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vmoura_iadb_org/Documents/FMM/BR-L1254 - SE/Plano de aquisições/"/>
    </mc:Choice>
  </mc:AlternateContent>
  <xr:revisionPtr revIDLastSave="0" documentId="8_{86E0D13B-8F4B-42BB-BE7B-22C8841BC2EB}" xr6:coauthVersionLast="31" xr6:coauthVersionMax="31" xr10:uidLastSave="{00000000-0000-0000-0000-000000000000}"/>
  <bookViews>
    <workbookView xWindow="0" yWindow="0" windowWidth="23040" windowHeight="8724" firstSheet="11" activeTab="11" xr2:uid="{00000000-000D-0000-FFFF-FFFF00000000}"/>
  </bookViews>
  <sheets>
    <sheet name="PA1" sheetId="1" state="hidden" r:id="rId1"/>
    <sheet name="PA2" sheetId="2" state="hidden" r:id="rId2"/>
    <sheet name="PA3" sheetId="3" state="hidden" r:id="rId3"/>
    <sheet name="PA4" sheetId="4" state="hidden" r:id="rId4"/>
    <sheet name="PA5" sheetId="5" state="hidden" r:id="rId5"/>
    <sheet name="PA6" sheetId="6" state="hidden" r:id="rId6"/>
    <sheet name="PA7" sheetId="7" state="hidden" r:id="rId7"/>
    <sheet name="PA8o" sheetId="8" state="hidden" r:id="rId8"/>
    <sheet name="PA8" sheetId="9" state="hidden" r:id="rId9"/>
    <sheet name="PA9" sheetId="11" state="hidden" r:id="rId10"/>
    <sheet name="PA10" sheetId="12" state="hidden" r:id="rId11"/>
    <sheet name="PA11" sheetId="13" r:id="rId12"/>
    <sheet name="Instruções" sheetId="10" state="hidden" r:id="rId13"/>
  </sheets>
  <externalReferences>
    <externalReference r:id="rId14"/>
    <externalReference r:id="rId15"/>
    <externalReference r:id="rId16"/>
  </externalReferences>
  <definedNames>
    <definedName name="Cronogr_2" localSheetId="10">#REF!</definedName>
    <definedName name="Cronogr_2" localSheetId="11">#REF!</definedName>
    <definedName name="Cronogr_2" localSheetId="9">#REF!</definedName>
    <definedName name="Cronogr_2_10" localSheetId="10">#REF!</definedName>
    <definedName name="Cronogr_2_10" localSheetId="11">#REF!</definedName>
    <definedName name="Cronogr_2_10" localSheetId="9">#REF!</definedName>
    <definedName name="Cronogr_2_2" localSheetId="10">#REF!</definedName>
    <definedName name="Cronogr_2_2" localSheetId="11">#REF!</definedName>
    <definedName name="Cronogr_2_2" localSheetId="9">#REF!</definedName>
    <definedName name="Cronogr_2_3" localSheetId="10">#REF!</definedName>
    <definedName name="Cronogr_2_3" localSheetId="11">#REF!</definedName>
    <definedName name="Cronogr_2_3" localSheetId="9">#REF!</definedName>
    <definedName name="Cronogr_2_4" localSheetId="10">#REF!</definedName>
    <definedName name="Cronogr_2_4" localSheetId="11">#REF!</definedName>
    <definedName name="Cronogr_2_4" localSheetId="9">#REF!</definedName>
    <definedName name="Cronogr_2_5" localSheetId="10">#REF!</definedName>
    <definedName name="Cronogr_2_5" localSheetId="11">#REF!</definedName>
    <definedName name="Cronogr_2_5" localSheetId="9">#REF!</definedName>
    <definedName name="Cronogr_2_6" localSheetId="10">#REF!</definedName>
    <definedName name="Cronogr_2_6" localSheetId="11">#REF!</definedName>
    <definedName name="Cronogr_2_6" localSheetId="9">#REF!</definedName>
    <definedName name="Cronogr_2_7" localSheetId="10">#REF!</definedName>
    <definedName name="Cronogr_2_7" localSheetId="11">#REF!</definedName>
    <definedName name="Cronogr_2_7" localSheetId="9">#REF!</definedName>
    <definedName name="Cronogr_2_8" localSheetId="10">#REF!</definedName>
    <definedName name="Cronogr_2_8" localSheetId="11">#REF!</definedName>
    <definedName name="Cronogr_2_8" localSheetId="9">#REF!</definedName>
    <definedName name="Cronogr_2_9" localSheetId="10">#REF!</definedName>
    <definedName name="Cronogr_2_9" localSheetId="11">#REF!</definedName>
    <definedName name="Cronogr_2_9" localSheetId="9">#REF!</definedName>
    <definedName name="Desembolso2015" localSheetId="10">#REF!</definedName>
    <definedName name="Desembolso2015" localSheetId="11">#REF!</definedName>
    <definedName name="Desembolso2015" localSheetId="9">#REF!</definedName>
    <definedName name="Desembolso2015_10" localSheetId="10">#REF!</definedName>
    <definedName name="Desembolso2015_10" localSheetId="11">#REF!</definedName>
    <definedName name="Desembolso2015_10" localSheetId="9">#REF!</definedName>
    <definedName name="Desembolso2015_6" localSheetId="10">#REF!</definedName>
    <definedName name="Desembolso2015_6" localSheetId="11">#REF!</definedName>
    <definedName name="Desembolso2015_6" localSheetId="9">#REF!</definedName>
    <definedName name="Desembolso2015_7" localSheetId="10">#REF!</definedName>
    <definedName name="Desembolso2015_7" localSheetId="11">#REF!</definedName>
    <definedName name="Desembolso2015_7" localSheetId="9">#REF!</definedName>
    <definedName name="Desembolso2015_8" localSheetId="10">#REF!</definedName>
    <definedName name="Desembolso2015_8" localSheetId="11">#REF!</definedName>
    <definedName name="Desembolso2015_8" localSheetId="9">#REF!</definedName>
    <definedName name="Desembolso2015_9" localSheetId="10">#REF!</definedName>
    <definedName name="Desembolso2015_9" localSheetId="11">#REF!</definedName>
    <definedName name="Desembolso2015_9" localSheetId="9">#REF!</definedName>
    <definedName name="Estados" localSheetId="10">#REF!</definedName>
    <definedName name="Estados" localSheetId="11">#REF!</definedName>
    <definedName name="Estados" localSheetId="9">#REF!</definedName>
    <definedName name="Estados_10" localSheetId="10">#REF!</definedName>
    <definedName name="Estados_10" localSheetId="11">#REF!</definedName>
    <definedName name="Estados_10" localSheetId="9">#REF!</definedName>
    <definedName name="Estados_6" localSheetId="10">#REF!</definedName>
    <definedName name="Estados_6" localSheetId="11">#REF!</definedName>
    <definedName name="Estados_6" localSheetId="9">#REF!</definedName>
    <definedName name="Estados_7" localSheetId="10">#REF!</definedName>
    <definedName name="Estados_7" localSheetId="11">#REF!</definedName>
    <definedName name="Estados_7" localSheetId="9">#REF!</definedName>
    <definedName name="Estados_8" localSheetId="10">#REF!</definedName>
    <definedName name="Estados_8" localSheetId="11">#REF!</definedName>
    <definedName name="Estados_8" localSheetId="9">#REF!</definedName>
    <definedName name="Estados_9" localSheetId="10">#REF!</definedName>
    <definedName name="Estados_9" localSheetId="11">#REF!</definedName>
    <definedName name="Estados_9" localSheetId="9">#REF!</definedName>
    <definedName name="Impact1" localSheetId="10">'[1]5. Riscos e Plano Mitigação'!#REF!</definedName>
    <definedName name="Impact1" localSheetId="11">'[1]5. Riscos e Plano Mitigação'!#REF!</definedName>
    <definedName name="Impact1" localSheetId="9">'[1]5. Riscos e Plano Mitigação'!#REF!</definedName>
    <definedName name="Impact1_10" localSheetId="10">'[1]5. Riscos e Plano Mitigação'!#REF!</definedName>
    <definedName name="Impact1_10" localSheetId="11">'[1]5. Riscos e Plano Mitigação'!#REF!</definedName>
    <definedName name="Impact1_10" localSheetId="9">'[1]5. Riscos e Plano Mitigação'!#REF!</definedName>
    <definedName name="Impact1_6" localSheetId="10">'[1]5. Riscos e Plano Mitigação'!#REF!</definedName>
    <definedName name="Impact1_6" localSheetId="11">'[1]5. Riscos e Plano Mitigação'!#REF!</definedName>
    <definedName name="Impact1_6" localSheetId="9">'[1]5. Riscos e Plano Mitigação'!#REF!</definedName>
    <definedName name="Impact1_7" localSheetId="10">'[1]5. Riscos e Plano Mitigação'!#REF!</definedName>
    <definedName name="Impact1_7" localSheetId="11">'[1]5. Riscos e Plano Mitigação'!#REF!</definedName>
    <definedName name="Impact1_7" localSheetId="9">'[1]5. Riscos e Plano Mitigação'!#REF!</definedName>
    <definedName name="Impact1_8" localSheetId="10">'[1]5. Riscos e Plano Mitigação'!#REF!</definedName>
    <definedName name="Impact1_8" localSheetId="11">'[1]5. Riscos e Plano Mitigação'!#REF!</definedName>
    <definedName name="Impact1_8" localSheetId="9">'[1]5. Riscos e Plano Mitigação'!#REF!</definedName>
    <definedName name="Impact1_9" localSheetId="10">'[1]5. Riscos e Plano Mitigação'!#REF!</definedName>
    <definedName name="Impact1_9" localSheetId="11">'[1]5. Riscos e Plano Mitigação'!#REF!</definedName>
    <definedName name="Impact1_9" localSheetId="9">'[1]5. Riscos e Plano Mitigação'!#REF!</definedName>
    <definedName name="Meses" localSheetId="10">#REF!</definedName>
    <definedName name="Meses" localSheetId="11">#REF!</definedName>
    <definedName name="Meses" localSheetId="9">#REF!</definedName>
    <definedName name="Meses_10" localSheetId="10">#REF!</definedName>
    <definedName name="Meses_10" localSheetId="11">#REF!</definedName>
    <definedName name="Meses_10" localSheetId="9">#REF!</definedName>
    <definedName name="Meses_6" localSheetId="10">#REF!</definedName>
    <definedName name="Meses_6" localSheetId="11">#REF!</definedName>
    <definedName name="Meses_6" localSheetId="9">#REF!</definedName>
    <definedName name="Meses_7" localSheetId="10">#REF!</definedName>
    <definedName name="Meses_7" localSheetId="11">#REF!</definedName>
    <definedName name="Meses_7" localSheetId="9">#REF!</definedName>
    <definedName name="Meses_8" localSheetId="10">#REF!</definedName>
    <definedName name="Meses_8" localSheetId="11">#REF!</definedName>
    <definedName name="Meses_8" localSheetId="9">#REF!</definedName>
    <definedName name="Meses_9" localSheetId="10">#REF!</definedName>
    <definedName name="Meses_9" localSheetId="11">#REF!</definedName>
    <definedName name="Meses_9" localSheetId="9">#REF!</definedName>
    <definedName name="_xlnm.Print_Area" localSheetId="4">'PA5'!$A$1:$M$74</definedName>
    <definedName name="_xlnm.Print_Area" localSheetId="6">'PA7'!$A$1:$U$118</definedName>
    <definedName name="_xlnm.Print_Area" localSheetId="7">PA8o!$A$1:$U$125</definedName>
    <definedName name="_xlnm.Print_Titles" localSheetId="0">'PA1'!$1:$7</definedName>
    <definedName name="_xlnm.Print_Titles" localSheetId="1">'PA2'!$1:$7</definedName>
    <definedName name="_xlnm.Print_Titles" localSheetId="2">'PA3'!$1:$7</definedName>
    <definedName name="_xlnm.Print_Titles" localSheetId="3">'PA4'!$1:$7</definedName>
    <definedName name="_xlnm.Print_Titles" localSheetId="4">'PA5'!$1:$7</definedName>
    <definedName name="Probability1" localSheetId="10">'[1]5. Riscos e Plano Mitigação'!#REF!</definedName>
    <definedName name="Probability1" localSheetId="11">'[1]5. Riscos e Plano Mitigação'!#REF!</definedName>
    <definedName name="Probability1" localSheetId="9">'[1]5. Riscos e Plano Mitigação'!#REF!</definedName>
    <definedName name="Probability1_10" localSheetId="10">'[1]5. Riscos e Plano Mitigação'!#REF!</definedName>
    <definedName name="Probability1_10" localSheetId="11">'[1]5. Riscos e Plano Mitigação'!#REF!</definedName>
    <definedName name="Probability1_10" localSheetId="9">'[1]5. Riscos e Plano Mitigação'!#REF!</definedName>
    <definedName name="Probability1_6" localSheetId="10">'[1]5. Riscos e Plano Mitigação'!#REF!</definedName>
    <definedName name="Probability1_6" localSheetId="11">'[1]5. Riscos e Plano Mitigação'!#REF!</definedName>
    <definedName name="Probability1_6" localSheetId="9">'[1]5. Riscos e Plano Mitigação'!#REF!</definedName>
    <definedName name="Probability1_7" localSheetId="10">'[1]5. Riscos e Plano Mitigação'!#REF!</definedName>
    <definedName name="Probability1_7" localSheetId="11">'[1]5. Riscos e Plano Mitigação'!#REF!</definedName>
    <definedName name="Probability1_7" localSheetId="9">'[1]5. Riscos e Plano Mitigação'!#REF!</definedName>
    <definedName name="Probability1_8" localSheetId="10">'[1]5. Riscos e Plano Mitigação'!#REF!</definedName>
    <definedName name="Probability1_8" localSheetId="11">'[1]5. Riscos e Plano Mitigação'!#REF!</definedName>
    <definedName name="Probability1_8" localSheetId="9">'[1]5. Riscos e Plano Mitigação'!#REF!</definedName>
    <definedName name="Probability1_9" localSheetId="10">'[1]5. Riscos e Plano Mitigação'!#REF!</definedName>
    <definedName name="Probability1_9" localSheetId="11">'[1]5. Riscos e Plano Mitigação'!#REF!</definedName>
    <definedName name="Probability1_9" localSheetId="9">'[1]5. Riscos e Plano Mitigação'!#REF!</definedName>
    <definedName name="Responsaveis">[2]Parâmetros!$C$8:$C$34</definedName>
    <definedName name="Responsáveis" localSheetId="10">#REF!</definedName>
    <definedName name="Responsáveis" localSheetId="11">#REF!</definedName>
    <definedName name="Responsáveis" localSheetId="9">#REF!</definedName>
    <definedName name="Responsáveis_10" localSheetId="10">#REF!</definedName>
    <definedName name="Responsáveis_10" localSheetId="11">#REF!</definedName>
    <definedName name="Responsáveis_10" localSheetId="9">#REF!</definedName>
    <definedName name="Responsáveis_6" localSheetId="10">#REF!</definedName>
    <definedName name="Responsáveis_6" localSheetId="11">#REF!</definedName>
    <definedName name="Responsáveis_6" localSheetId="9">#REF!</definedName>
    <definedName name="Responsáveis_7" localSheetId="10">#REF!</definedName>
    <definedName name="Responsáveis_7" localSheetId="11">#REF!</definedName>
    <definedName name="Responsáveis_7" localSheetId="9">#REF!</definedName>
    <definedName name="Responsáveis_8" localSheetId="10">#REF!</definedName>
    <definedName name="Responsáveis_8" localSheetId="11">#REF!</definedName>
    <definedName name="Responsáveis_8" localSheetId="9">#REF!</definedName>
    <definedName name="Responsáveis_9" localSheetId="10">#REF!</definedName>
    <definedName name="Responsáveis_9" localSheetId="11">#REF!</definedName>
    <definedName name="Responsáveis_9" localSheetId="9">#REF!</definedName>
    <definedName name="Trimestres" localSheetId="10">#REF!</definedName>
    <definedName name="Trimestres" localSheetId="11">#REF!</definedName>
    <definedName name="Trimestres" localSheetId="9">#REF!</definedName>
    <definedName name="Trimestres_10" localSheetId="10">#REF!</definedName>
    <definedName name="Trimestres_10" localSheetId="11">#REF!</definedName>
    <definedName name="Trimestres_10" localSheetId="9">#REF!</definedName>
    <definedName name="Trimestres_2" localSheetId="10">#REF!</definedName>
    <definedName name="Trimestres_2" localSheetId="11">#REF!</definedName>
    <definedName name="Trimestres_2" localSheetId="9">#REF!</definedName>
    <definedName name="Trimestres_3" localSheetId="10">#REF!</definedName>
    <definedName name="Trimestres_3" localSheetId="11">#REF!</definedName>
    <definedName name="Trimestres_3" localSheetId="9">#REF!</definedName>
    <definedName name="Trimestres_4" localSheetId="10">#REF!</definedName>
    <definedName name="Trimestres_4" localSheetId="11">#REF!</definedName>
    <definedName name="Trimestres_4" localSheetId="9">#REF!</definedName>
    <definedName name="Trimestres_5" localSheetId="10">#REF!</definedName>
    <definedName name="Trimestres_5" localSheetId="11">#REF!</definedName>
    <definedName name="Trimestres_5" localSheetId="9">#REF!</definedName>
    <definedName name="Trimestres_6" localSheetId="10">#REF!</definedName>
    <definedName name="Trimestres_6" localSheetId="11">#REF!</definedName>
    <definedName name="Trimestres_6" localSheetId="9">#REF!</definedName>
    <definedName name="Trimestres_7" localSheetId="10">#REF!</definedName>
    <definedName name="Trimestres_7" localSheetId="11">#REF!</definedName>
    <definedName name="Trimestres_7" localSheetId="9">#REF!</definedName>
    <definedName name="Trimestres_8" localSheetId="10">#REF!</definedName>
    <definedName name="Trimestres_8" localSheetId="11">#REF!</definedName>
    <definedName name="Trimestres_8" localSheetId="9">#REF!</definedName>
    <definedName name="Trimestres_9" localSheetId="10">#REF!</definedName>
    <definedName name="Trimestres_9" localSheetId="11">#REF!</definedName>
    <definedName name="Trimestres_9" localSheetId="9">#REF!</definedName>
  </definedNames>
  <calcPr calcId="179017"/>
</workbook>
</file>

<file path=xl/calcChain.xml><?xml version="1.0" encoding="utf-8"?>
<calcChain xmlns="http://schemas.openxmlformats.org/spreadsheetml/2006/main">
  <c r="H50" i="13" l="1"/>
  <c r="I62" i="13"/>
  <c r="I60" i="13"/>
  <c r="I61" i="13"/>
  <c r="I59" i="13"/>
  <c r="I118" i="13" l="1"/>
  <c r="H117" i="13"/>
  <c r="I117" i="13" s="1"/>
  <c r="H116" i="13"/>
  <c r="I116" i="13" s="1"/>
  <c r="H115" i="13"/>
  <c r="I115" i="13" s="1"/>
  <c r="H114" i="13"/>
  <c r="H109" i="13"/>
  <c r="I108" i="13"/>
  <c r="I107" i="13"/>
  <c r="H100" i="13"/>
  <c r="I99" i="13"/>
  <c r="I98" i="13"/>
  <c r="I97" i="13"/>
  <c r="I95" i="13"/>
  <c r="I94" i="13"/>
  <c r="I91" i="13"/>
  <c r="I89" i="13"/>
  <c r="I86" i="13"/>
  <c r="H78" i="13"/>
  <c r="I76" i="13"/>
  <c r="I75" i="13"/>
  <c r="I69" i="13"/>
  <c r="I58" i="13"/>
  <c r="I57" i="13"/>
  <c r="H53" i="13"/>
  <c r="I53" i="13" s="1"/>
  <c r="I52" i="13"/>
  <c r="I50" i="13"/>
  <c r="H47" i="13"/>
  <c r="I47" i="13" s="1"/>
  <c r="H46" i="13"/>
  <c r="I46" i="13" s="1"/>
  <c r="H44" i="13"/>
  <c r="I44" i="13" s="1"/>
  <c r="H40" i="13"/>
  <c r="H38" i="13"/>
  <c r="I38" i="13" s="1"/>
  <c r="H37" i="13"/>
  <c r="H36" i="13"/>
  <c r="I36" i="13" s="1"/>
  <c r="I28" i="13"/>
  <c r="H27" i="13"/>
  <c r="H19" i="13"/>
  <c r="I18" i="13"/>
  <c r="I17" i="13"/>
  <c r="I16" i="13"/>
  <c r="I87" i="12"/>
  <c r="H113" i="12"/>
  <c r="I113" i="12" s="1"/>
  <c r="I52" i="12"/>
  <c r="I57" i="12"/>
  <c r="I114" i="12"/>
  <c r="H112" i="12"/>
  <c r="I112" i="12" s="1"/>
  <c r="H111" i="12"/>
  <c r="I111" i="12" s="1"/>
  <c r="H110" i="12"/>
  <c r="H115" i="12" s="1"/>
  <c r="I104" i="12"/>
  <c r="I103" i="12"/>
  <c r="H105" i="12"/>
  <c r="I95" i="12"/>
  <c r="I94" i="12"/>
  <c r="I93" i="12"/>
  <c r="I91" i="12"/>
  <c r="I90" i="12"/>
  <c r="I85" i="12"/>
  <c r="H96" i="12"/>
  <c r="I72" i="12"/>
  <c r="I71" i="12"/>
  <c r="I65" i="12"/>
  <c r="I58" i="12"/>
  <c r="H53" i="12"/>
  <c r="I53" i="12" s="1"/>
  <c r="I50" i="12"/>
  <c r="H47" i="12"/>
  <c r="I47" i="12" s="1"/>
  <c r="H46" i="12"/>
  <c r="I46" i="12" s="1"/>
  <c r="H44" i="12"/>
  <c r="I44" i="12" s="1"/>
  <c r="H40" i="12"/>
  <c r="I38" i="12"/>
  <c r="H38" i="12"/>
  <c r="H37" i="12"/>
  <c r="H36" i="12"/>
  <c r="I36" i="12" s="1"/>
  <c r="I28" i="12"/>
  <c r="H27" i="12"/>
  <c r="H19" i="12"/>
  <c r="I18" i="12"/>
  <c r="I17" i="12"/>
  <c r="I16" i="12"/>
  <c r="I101" i="11"/>
  <c r="H111" i="11"/>
  <c r="I111" i="11" s="1"/>
  <c r="I110" i="11"/>
  <c r="H110" i="11"/>
  <c r="H109" i="11"/>
  <c r="I109" i="11" s="1"/>
  <c r="H108" i="11"/>
  <c r="H112" i="11" s="1"/>
  <c r="I102" i="11"/>
  <c r="I103" i="11" s="1"/>
  <c r="H100" i="11"/>
  <c r="H99" i="11"/>
  <c r="H103" i="11" s="1"/>
  <c r="H94" i="11"/>
  <c r="I93" i="11"/>
  <c r="I92" i="11"/>
  <c r="I91" i="11"/>
  <c r="I89" i="11"/>
  <c r="I88" i="11"/>
  <c r="I85" i="11"/>
  <c r="I83" i="11"/>
  <c r="I80" i="11"/>
  <c r="H80" i="11"/>
  <c r="I70" i="11"/>
  <c r="I69" i="11"/>
  <c r="H68" i="11"/>
  <c r="I68" i="11" s="1"/>
  <c r="H67" i="11"/>
  <c r="I67" i="11" s="1"/>
  <c r="H65" i="11"/>
  <c r="I65" i="11" s="1"/>
  <c r="I64" i="11"/>
  <c r="H64" i="11"/>
  <c r="H63" i="11"/>
  <c r="H56" i="11"/>
  <c r="I56" i="11" s="1"/>
  <c r="I55" i="11"/>
  <c r="H55" i="11"/>
  <c r="H54" i="11"/>
  <c r="I54" i="11" s="1"/>
  <c r="I53" i="11"/>
  <c r="H53" i="11"/>
  <c r="I52" i="11"/>
  <c r="H51" i="11"/>
  <c r="I51" i="11" s="1"/>
  <c r="I50" i="11"/>
  <c r="H50" i="11"/>
  <c r="H47" i="11"/>
  <c r="I47" i="11" s="1"/>
  <c r="H46" i="11"/>
  <c r="I46" i="11" s="1"/>
  <c r="H44" i="11"/>
  <c r="I44" i="11" s="1"/>
  <c r="H40" i="11"/>
  <c r="H38" i="11"/>
  <c r="I38" i="11" s="1"/>
  <c r="H37" i="11"/>
  <c r="I36" i="11"/>
  <c r="H36" i="11"/>
  <c r="H28" i="11"/>
  <c r="I28" i="11" s="1"/>
  <c r="H27" i="11"/>
  <c r="H57" i="11" s="1"/>
  <c r="I25" i="11"/>
  <c r="H19" i="11"/>
  <c r="I18" i="11"/>
  <c r="I17" i="11"/>
  <c r="I16" i="11"/>
  <c r="I101" i="9"/>
  <c r="H100" i="9"/>
  <c r="H56" i="9"/>
  <c r="I56" i="9" s="1"/>
  <c r="I17" i="9"/>
  <c r="H80" i="9"/>
  <c r="I80" i="9" s="1"/>
  <c r="D5" i="1"/>
  <c r="E10" i="1" s="1"/>
  <c r="E12" i="1"/>
  <c r="D19" i="1"/>
  <c r="D25" i="1" s="1"/>
  <c r="E20" i="1"/>
  <c r="E24" i="1"/>
  <c r="D29" i="1"/>
  <c r="E38" i="1"/>
  <c r="E42" i="1"/>
  <c r="E54" i="1"/>
  <c r="D55" i="1"/>
  <c r="E55" i="1" s="1"/>
  <c r="D58" i="1"/>
  <c r="D60" i="1"/>
  <c r="D61" i="1"/>
  <c r="D5" i="2"/>
  <c r="E11" i="2" s="1"/>
  <c r="D26" i="2"/>
  <c r="D64" i="2" s="1"/>
  <c r="E64" i="2" s="1"/>
  <c r="D31" i="2"/>
  <c r="E39" i="2"/>
  <c r="E44" i="2"/>
  <c r="E50" i="2"/>
  <c r="E55" i="2"/>
  <c r="D57" i="2"/>
  <c r="E59" i="2"/>
  <c r="E60" i="2" s="1"/>
  <c r="D60" i="2"/>
  <c r="D62" i="2"/>
  <c r="D63" i="2" s="1"/>
  <c r="D5" i="3"/>
  <c r="E12" i="3" s="1"/>
  <c r="D26" i="3"/>
  <c r="E26" i="3" s="1"/>
  <c r="D31" i="3"/>
  <c r="E40" i="3"/>
  <c r="E52" i="3"/>
  <c r="E56" i="3"/>
  <c r="D57" i="3"/>
  <c r="D60" i="3"/>
  <c r="D62" i="3"/>
  <c r="E62" i="3" s="1"/>
  <c r="E64" i="3" s="1"/>
  <c r="D64" i="3"/>
  <c r="D5" i="4"/>
  <c r="E11" i="4" s="1"/>
  <c r="E16" i="4"/>
  <c r="E19" i="4"/>
  <c r="E20" i="4"/>
  <c r="E24" i="4"/>
  <c r="D26" i="4"/>
  <c r="E26" i="4" s="1"/>
  <c r="E31" i="4"/>
  <c r="D32" i="4"/>
  <c r="E32" i="4" s="1"/>
  <c r="E35" i="4"/>
  <c r="E39" i="4"/>
  <c r="E40" i="4"/>
  <c r="E43" i="4"/>
  <c r="E47" i="4"/>
  <c r="E48" i="4"/>
  <c r="E51" i="4"/>
  <c r="E55" i="4"/>
  <c r="E56" i="4"/>
  <c r="E57" i="4"/>
  <c r="D59" i="4"/>
  <c r="D62" i="4"/>
  <c r="D64" i="4"/>
  <c r="E64" i="4" s="1"/>
  <c r="E66" i="4" s="1"/>
  <c r="E65" i="4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D81" i="5" s="1"/>
  <c r="E23" i="5"/>
  <c r="E24" i="5"/>
  <c r="E25" i="5"/>
  <c r="D26" i="5"/>
  <c r="E26" i="5" s="1"/>
  <c r="E28" i="5"/>
  <c r="E29" i="5"/>
  <c r="E30" i="5"/>
  <c r="E31" i="5"/>
  <c r="E32" i="5"/>
  <c r="D33" i="5"/>
  <c r="E33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D61" i="5"/>
  <c r="E61" i="5"/>
  <c r="E63" i="5"/>
  <c r="D64" i="5"/>
  <c r="E64" i="5" s="1"/>
  <c r="D66" i="5"/>
  <c r="E66" i="5" s="1"/>
  <c r="E67" i="5"/>
  <c r="G69" i="5"/>
  <c r="T8" i="6"/>
  <c r="H9" i="6"/>
  <c r="T9" i="6"/>
  <c r="H14" i="6"/>
  <c r="T14" i="6"/>
  <c r="H15" i="6"/>
  <c r="T15" i="6"/>
  <c r="T16" i="6"/>
  <c r="H17" i="6"/>
  <c r="T17" i="6"/>
  <c r="H18" i="6"/>
  <c r="T18" i="6"/>
  <c r="T19" i="6"/>
  <c r="T20" i="6"/>
  <c r="T21" i="6"/>
  <c r="P22" i="6"/>
  <c r="T22" i="6"/>
  <c r="T23" i="6"/>
  <c r="H24" i="6"/>
  <c r="T24" i="6"/>
  <c r="T25" i="6"/>
  <c r="H26" i="6"/>
  <c r="T26" i="6"/>
  <c r="H27" i="6"/>
  <c r="T27" i="6"/>
  <c r="H28" i="6"/>
  <c r="T28" i="6"/>
  <c r="T29" i="6"/>
  <c r="H30" i="6"/>
  <c r="T30" i="6"/>
  <c r="H31" i="6"/>
  <c r="T31" i="6"/>
  <c r="T32" i="6"/>
  <c r="T33" i="6"/>
  <c r="H34" i="6"/>
  <c r="T34" i="6"/>
  <c r="H35" i="6"/>
  <c r="T35" i="6"/>
  <c r="H36" i="6"/>
  <c r="T36" i="6"/>
  <c r="T37" i="6"/>
  <c r="T38" i="6"/>
  <c r="T39" i="6"/>
  <c r="H40" i="6"/>
  <c r="T40" i="6"/>
  <c r="H41" i="6"/>
  <c r="T41" i="6"/>
  <c r="H42" i="6"/>
  <c r="T42" i="6"/>
  <c r="H43" i="6"/>
  <c r="T43" i="6"/>
  <c r="T48" i="6"/>
  <c r="H49" i="6"/>
  <c r="T49" i="6"/>
  <c r="H50" i="6"/>
  <c r="T50" i="6"/>
  <c r="H51" i="6"/>
  <c r="T51" i="6"/>
  <c r="T52" i="6"/>
  <c r="H57" i="6"/>
  <c r="P58" i="6"/>
  <c r="T58" i="6" s="1"/>
  <c r="T63" i="6"/>
  <c r="T64" i="6"/>
  <c r="H65" i="6"/>
  <c r="P65" i="6"/>
  <c r="T65" i="6" s="1"/>
  <c r="H66" i="6"/>
  <c r="T66" i="6"/>
  <c r="T67" i="6"/>
  <c r="T68" i="6"/>
  <c r="H69" i="6"/>
  <c r="T69" i="6"/>
  <c r="T70" i="6"/>
  <c r="T71" i="6"/>
  <c r="H72" i="6"/>
  <c r="T72" i="6"/>
  <c r="T73" i="6"/>
  <c r="H74" i="6"/>
  <c r="T74" i="6"/>
  <c r="H75" i="6"/>
  <c r="T75" i="6"/>
  <c r="T76" i="6"/>
  <c r="H77" i="6"/>
  <c r="T77" i="6"/>
  <c r="T82" i="6"/>
  <c r="T83" i="6"/>
  <c r="H88" i="6"/>
  <c r="H89" i="6"/>
  <c r="H90" i="6"/>
  <c r="H91" i="6"/>
  <c r="T13" i="7"/>
  <c r="H14" i="7"/>
  <c r="T14" i="7"/>
  <c r="H19" i="7"/>
  <c r="T19" i="7"/>
  <c r="H20" i="7"/>
  <c r="T20" i="7"/>
  <c r="T21" i="7"/>
  <c r="H22" i="7"/>
  <c r="T22" i="7"/>
  <c r="H23" i="7"/>
  <c r="T23" i="7"/>
  <c r="T24" i="7"/>
  <c r="T25" i="7"/>
  <c r="T26" i="7"/>
  <c r="P27" i="7"/>
  <c r="T27" i="7" s="1"/>
  <c r="T28" i="7"/>
  <c r="H29" i="7"/>
  <c r="T29" i="7"/>
  <c r="T30" i="7"/>
  <c r="H31" i="7"/>
  <c r="T31" i="7"/>
  <c r="H32" i="7"/>
  <c r="T32" i="7"/>
  <c r="H33" i="7"/>
  <c r="T33" i="7"/>
  <c r="T34" i="7"/>
  <c r="H35" i="7"/>
  <c r="T35" i="7"/>
  <c r="H36" i="7"/>
  <c r="T36" i="7"/>
  <c r="T37" i="7"/>
  <c r="T38" i="7"/>
  <c r="H39" i="7"/>
  <c r="T39" i="7"/>
  <c r="H40" i="7"/>
  <c r="T40" i="7"/>
  <c r="H41" i="7"/>
  <c r="T41" i="7"/>
  <c r="T42" i="7"/>
  <c r="T43" i="7"/>
  <c r="T44" i="7"/>
  <c r="H45" i="7"/>
  <c r="T45" i="7"/>
  <c r="H46" i="7"/>
  <c r="T46" i="7"/>
  <c r="H47" i="7"/>
  <c r="T47" i="7"/>
  <c r="H48" i="7"/>
  <c r="T48" i="7"/>
  <c r="H49" i="7"/>
  <c r="T49" i="7"/>
  <c r="H50" i="7"/>
  <c r="T50" i="7"/>
  <c r="T55" i="7"/>
  <c r="H56" i="7"/>
  <c r="T56" i="7"/>
  <c r="H57" i="7"/>
  <c r="T57" i="7"/>
  <c r="H58" i="7"/>
  <c r="T58" i="7"/>
  <c r="T59" i="7"/>
  <c r="H60" i="7"/>
  <c r="T60" i="7"/>
  <c r="H61" i="7"/>
  <c r="T61" i="7"/>
  <c r="H62" i="7"/>
  <c r="T62" i="7"/>
  <c r="H67" i="7"/>
  <c r="P68" i="7"/>
  <c r="T68" i="7" s="1"/>
  <c r="T73" i="7"/>
  <c r="T74" i="7"/>
  <c r="H75" i="7"/>
  <c r="P75" i="7"/>
  <c r="T75" i="7" s="1"/>
  <c r="H76" i="7"/>
  <c r="T76" i="7"/>
  <c r="T77" i="7"/>
  <c r="T78" i="7"/>
  <c r="H79" i="7"/>
  <c r="T79" i="7"/>
  <c r="T80" i="7"/>
  <c r="T81" i="7"/>
  <c r="H82" i="7"/>
  <c r="T82" i="7"/>
  <c r="T83" i="7"/>
  <c r="H84" i="7"/>
  <c r="T84" i="7"/>
  <c r="H85" i="7"/>
  <c r="T85" i="7"/>
  <c r="T86" i="7"/>
  <c r="H87" i="7"/>
  <c r="T87" i="7"/>
  <c r="H88" i="7"/>
  <c r="T88" i="7"/>
  <c r="H89" i="7"/>
  <c r="T89" i="7"/>
  <c r="T94" i="7"/>
  <c r="T95" i="7"/>
  <c r="H100" i="7"/>
  <c r="H101" i="7"/>
  <c r="H102" i="7"/>
  <c r="H103" i="7"/>
  <c r="T13" i="8"/>
  <c r="H14" i="8"/>
  <c r="T14" i="8"/>
  <c r="T19" i="8"/>
  <c r="H20" i="8"/>
  <c r="T20" i="8"/>
  <c r="T21" i="8"/>
  <c r="H22" i="8"/>
  <c r="T22" i="8"/>
  <c r="H23" i="8"/>
  <c r="T23" i="8"/>
  <c r="T24" i="8"/>
  <c r="T25" i="8"/>
  <c r="T26" i="8"/>
  <c r="P27" i="8"/>
  <c r="T27" i="8" s="1"/>
  <c r="T28" i="8"/>
  <c r="T29" i="8"/>
  <c r="T30" i="8"/>
  <c r="H31" i="8"/>
  <c r="T31" i="8"/>
  <c r="H32" i="8"/>
  <c r="T32" i="8"/>
  <c r="H33" i="8"/>
  <c r="T33" i="8"/>
  <c r="T34" i="8"/>
  <c r="H35" i="8"/>
  <c r="T35" i="8"/>
  <c r="T36" i="8"/>
  <c r="T37" i="8"/>
  <c r="T38" i="8"/>
  <c r="H39" i="8"/>
  <c r="T39" i="8"/>
  <c r="T40" i="8"/>
  <c r="H41" i="8"/>
  <c r="T41" i="8"/>
  <c r="H42" i="8"/>
  <c r="T42" i="8"/>
  <c r="T43" i="8"/>
  <c r="T44" i="8"/>
  <c r="H45" i="8"/>
  <c r="T45" i="8"/>
  <c r="H46" i="8"/>
  <c r="T46" i="8"/>
  <c r="H47" i="8"/>
  <c r="T47" i="8"/>
  <c r="H48" i="8"/>
  <c r="T48" i="8"/>
  <c r="H49" i="8"/>
  <c r="T49" i="8"/>
  <c r="H50" i="8"/>
  <c r="T50" i="8"/>
  <c r="H51" i="8"/>
  <c r="T51" i="8"/>
  <c r="H52" i="8"/>
  <c r="T52" i="8"/>
  <c r="H53" i="8"/>
  <c r="T53" i="8"/>
  <c r="H54" i="8"/>
  <c r="T54" i="8"/>
  <c r="H55" i="8"/>
  <c r="T55" i="8"/>
  <c r="H56" i="8"/>
  <c r="T56" i="8"/>
  <c r="T61" i="8"/>
  <c r="H62" i="8"/>
  <c r="T62" i="8"/>
  <c r="H63" i="8"/>
  <c r="T63" i="8"/>
  <c r="H64" i="8"/>
  <c r="T64" i="8"/>
  <c r="T65" i="8"/>
  <c r="H66" i="8"/>
  <c r="T66" i="8"/>
  <c r="H67" i="8"/>
  <c r="T67" i="8"/>
  <c r="H68" i="8"/>
  <c r="T68" i="8"/>
  <c r="H73" i="8"/>
  <c r="P74" i="8"/>
  <c r="T74" i="8" s="1"/>
  <c r="T79" i="8"/>
  <c r="H80" i="8"/>
  <c r="T80" i="8"/>
  <c r="P81" i="8"/>
  <c r="T81" i="8" s="1"/>
  <c r="H82" i="8"/>
  <c r="T82" i="8"/>
  <c r="T83" i="8"/>
  <c r="T84" i="8"/>
  <c r="H85" i="8"/>
  <c r="T85" i="8"/>
  <c r="T86" i="8"/>
  <c r="H87" i="8"/>
  <c r="T87" i="8"/>
  <c r="T88" i="8"/>
  <c r="T89" i="8"/>
  <c r="H90" i="8"/>
  <c r="T90" i="8"/>
  <c r="H91" i="8"/>
  <c r="T91" i="8"/>
  <c r="T92" i="8"/>
  <c r="H93" i="8"/>
  <c r="T93" i="8"/>
  <c r="H94" i="8"/>
  <c r="T94" i="8"/>
  <c r="H95" i="8"/>
  <c r="T95" i="8"/>
  <c r="H96" i="8"/>
  <c r="T96" i="8"/>
  <c r="T101" i="8"/>
  <c r="T102" i="8"/>
  <c r="H107" i="8"/>
  <c r="H108" i="8"/>
  <c r="H109" i="8"/>
  <c r="H110" i="8"/>
  <c r="I16" i="9"/>
  <c r="I18" i="9"/>
  <c r="H19" i="9"/>
  <c r="I25" i="9"/>
  <c r="H27" i="9"/>
  <c r="H28" i="9"/>
  <c r="I28" i="9" s="1"/>
  <c r="H36" i="9"/>
  <c r="I36" i="9" s="1"/>
  <c r="H37" i="9"/>
  <c r="H38" i="9"/>
  <c r="I38" i="9" s="1"/>
  <c r="H40" i="9"/>
  <c r="H44" i="9"/>
  <c r="I44" i="9" s="1"/>
  <c r="H46" i="9"/>
  <c r="I46" i="9" s="1"/>
  <c r="H47" i="9"/>
  <c r="I47" i="9" s="1"/>
  <c r="H50" i="9"/>
  <c r="I50" i="9" s="1"/>
  <c r="H51" i="9"/>
  <c r="I51" i="9" s="1"/>
  <c r="I52" i="9"/>
  <c r="H53" i="9"/>
  <c r="I53" i="9" s="1"/>
  <c r="H54" i="9"/>
  <c r="I54" i="9" s="1"/>
  <c r="H55" i="9"/>
  <c r="I55" i="9" s="1"/>
  <c r="H63" i="9"/>
  <c r="I63" i="9" s="1"/>
  <c r="H64" i="9"/>
  <c r="H72" i="9" s="1"/>
  <c r="H65" i="9"/>
  <c r="I65" i="9" s="1"/>
  <c r="H67" i="9"/>
  <c r="I67" i="9" s="1"/>
  <c r="H68" i="9"/>
  <c r="I68" i="9" s="1"/>
  <c r="I69" i="9"/>
  <c r="I70" i="9"/>
  <c r="I83" i="9"/>
  <c r="I85" i="9"/>
  <c r="I88" i="9"/>
  <c r="I89" i="9"/>
  <c r="I91" i="9"/>
  <c r="I92" i="9"/>
  <c r="I93" i="9"/>
  <c r="H99" i="9"/>
  <c r="I102" i="9"/>
  <c r="H107" i="9"/>
  <c r="I107" i="9" s="1"/>
  <c r="H108" i="9"/>
  <c r="I108" i="9" s="1"/>
  <c r="H109" i="9"/>
  <c r="I109" i="9" s="1"/>
  <c r="H110" i="9"/>
  <c r="I110" i="9" s="1"/>
  <c r="E9" i="3"/>
  <c r="E13" i="2"/>
  <c r="E13" i="4"/>
  <c r="E9" i="4"/>
  <c r="E14" i="3"/>
  <c r="E22" i="2"/>
  <c r="D62" i="1"/>
  <c r="E10" i="4"/>
  <c r="E15" i="3"/>
  <c r="E15" i="2"/>
  <c r="E15" i="4"/>
  <c r="E10" i="2" l="1"/>
  <c r="E30" i="2"/>
  <c r="E29" i="2"/>
  <c r="D79" i="5"/>
  <c r="E54" i="2"/>
  <c r="E43" i="2"/>
  <c r="I108" i="11"/>
  <c r="I112" i="11" s="1"/>
  <c r="E23" i="2"/>
  <c r="E13" i="1"/>
  <c r="E14" i="2"/>
  <c r="E34" i="2"/>
  <c r="E21" i="2"/>
  <c r="E33" i="2"/>
  <c r="D83" i="5"/>
  <c r="D66" i="4"/>
  <c r="D67" i="4" s="1"/>
  <c r="E67" i="4" s="1"/>
  <c r="E52" i="4"/>
  <c r="E44" i="4"/>
  <c r="E36" i="4"/>
  <c r="E28" i="4"/>
  <c r="E23" i="4"/>
  <c r="E14" i="4"/>
  <c r="E48" i="3"/>
  <c r="E52" i="2"/>
  <c r="E47" i="2"/>
  <c r="E42" i="2"/>
  <c r="E16" i="2"/>
  <c r="E50" i="1"/>
  <c r="E34" i="1"/>
  <c r="E25" i="1"/>
  <c r="E19" i="2"/>
  <c r="E17" i="2"/>
  <c r="H111" i="9"/>
  <c r="E36" i="3"/>
  <c r="E57" i="2"/>
  <c r="E48" i="2"/>
  <c r="E38" i="2"/>
  <c r="E20" i="2"/>
  <c r="I57" i="11"/>
  <c r="H72" i="11"/>
  <c r="E35" i="2"/>
  <c r="E17" i="1"/>
  <c r="E18" i="2"/>
  <c r="E10" i="3"/>
  <c r="E9" i="2"/>
  <c r="E25" i="2"/>
  <c r="E37" i="2"/>
  <c r="D68" i="5"/>
  <c r="E68" i="5" s="1"/>
  <c r="E69" i="5" s="1"/>
  <c r="E57" i="3"/>
  <c r="E44" i="3"/>
  <c r="E28" i="3"/>
  <c r="E56" i="2"/>
  <c r="E51" i="2"/>
  <c r="E46" i="2"/>
  <c r="E40" i="2"/>
  <c r="E28" i="2"/>
  <c r="E12" i="2"/>
  <c r="E46" i="1"/>
  <c r="E18" i="1"/>
  <c r="I19" i="11"/>
  <c r="I94" i="11"/>
  <c r="I78" i="13"/>
  <c r="I100" i="13"/>
  <c r="H119" i="13"/>
  <c r="I109" i="13"/>
  <c r="I19" i="13"/>
  <c r="H63" i="13"/>
  <c r="H122" i="13" s="1"/>
  <c r="I114" i="13"/>
  <c r="I119" i="13" s="1"/>
  <c r="I63" i="13"/>
  <c r="I19" i="12"/>
  <c r="I82" i="12"/>
  <c r="I96" i="12" s="1"/>
  <c r="H74" i="12"/>
  <c r="I105" i="12"/>
  <c r="I74" i="12"/>
  <c r="H59" i="12"/>
  <c r="I59" i="12"/>
  <c r="I110" i="12"/>
  <c r="I115" i="12" s="1"/>
  <c r="H115" i="11"/>
  <c r="I63" i="11"/>
  <c r="I72" i="11" s="1"/>
  <c r="I115" i="11" s="1"/>
  <c r="H102" i="9"/>
  <c r="I94" i="9"/>
  <c r="I19" i="9"/>
  <c r="I64" i="9"/>
  <c r="I72" i="9" s="1"/>
  <c r="H57" i="9"/>
  <c r="H94" i="9"/>
  <c r="D80" i="5"/>
  <c r="I111" i="9"/>
  <c r="I57" i="9"/>
  <c r="D69" i="5"/>
  <c r="E13" i="3"/>
  <c r="E61" i="4"/>
  <c r="E62" i="4" s="1"/>
  <c r="E58" i="4"/>
  <c r="E54" i="4"/>
  <c r="E50" i="4"/>
  <c r="E46" i="4"/>
  <c r="E42" i="4"/>
  <c r="E38" i="4"/>
  <c r="E34" i="4"/>
  <c r="E30" i="4"/>
  <c r="E22" i="4"/>
  <c r="E18" i="4"/>
  <c r="E12" i="4"/>
  <c r="D65" i="3"/>
  <c r="E65" i="3" s="1"/>
  <c r="E59" i="3"/>
  <c r="E60" i="3" s="1"/>
  <c r="E55" i="3"/>
  <c r="E51" i="3"/>
  <c r="E47" i="3"/>
  <c r="E43" i="3"/>
  <c r="E39" i="3"/>
  <c r="E35" i="3"/>
  <c r="E23" i="3"/>
  <c r="E16" i="3"/>
  <c r="E53" i="2"/>
  <c r="E49" i="2"/>
  <c r="E45" i="2"/>
  <c r="E41" i="2"/>
  <c r="E36" i="2"/>
  <c r="E24" i="2"/>
  <c r="E60" i="1"/>
  <c r="E61" i="1" s="1"/>
  <c r="E57" i="1"/>
  <c r="E58" i="1" s="1"/>
  <c r="E53" i="1"/>
  <c r="E49" i="1"/>
  <c r="E45" i="1"/>
  <c r="E41" i="1"/>
  <c r="E37" i="1"/>
  <c r="E33" i="1"/>
  <c r="E23" i="1"/>
  <c r="E16" i="1"/>
  <c r="E11" i="1"/>
  <c r="E24" i="3"/>
  <c r="E20" i="3"/>
  <c r="E26" i="2"/>
  <c r="E59" i="4"/>
  <c r="E63" i="3"/>
  <c r="E53" i="3"/>
  <c r="E49" i="3"/>
  <c r="E45" i="3"/>
  <c r="E41" i="3"/>
  <c r="E37" i="3"/>
  <c r="E33" i="3"/>
  <c r="E29" i="3"/>
  <c r="E25" i="3"/>
  <c r="E21" i="3"/>
  <c r="E11" i="3"/>
  <c r="E62" i="2"/>
  <c r="E63" i="2" s="1"/>
  <c r="E51" i="1"/>
  <c r="E47" i="1"/>
  <c r="E43" i="1"/>
  <c r="E39" i="1"/>
  <c r="E35" i="1"/>
  <c r="E31" i="1"/>
  <c r="E27" i="1"/>
  <c r="E21" i="1"/>
  <c r="E14" i="1"/>
  <c r="E9" i="1"/>
  <c r="E19" i="3"/>
  <c r="E62" i="1"/>
  <c r="E18" i="3"/>
  <c r="E19" i="1"/>
  <c r="E17" i="3"/>
  <c r="E53" i="4"/>
  <c r="E49" i="4"/>
  <c r="E45" i="4"/>
  <c r="E41" i="4"/>
  <c r="E37" i="4"/>
  <c r="E29" i="4"/>
  <c r="E25" i="4"/>
  <c r="E21" i="4"/>
  <c r="E17" i="4"/>
  <c r="E54" i="3"/>
  <c r="E50" i="3"/>
  <c r="E46" i="3"/>
  <c r="E42" i="3"/>
  <c r="E38" i="3"/>
  <c r="E34" i="3"/>
  <c r="E30" i="3"/>
  <c r="E22" i="3"/>
  <c r="E52" i="1"/>
  <c r="E48" i="1"/>
  <c r="E44" i="1"/>
  <c r="E40" i="1"/>
  <c r="E36" i="1"/>
  <c r="E32" i="1"/>
  <c r="E28" i="1"/>
  <c r="E22" i="1"/>
  <c r="E15" i="1"/>
  <c r="E31" i="3" l="1"/>
  <c r="H69" i="5"/>
  <c r="E31" i="2"/>
  <c r="I122" i="13"/>
  <c r="H118" i="12"/>
  <c r="I118" i="12"/>
  <c r="H114" i="9"/>
  <c r="I114" i="9"/>
  <c r="E29" i="1"/>
  <c r="D82" i="5"/>
  <c r="E80" i="5" s="1"/>
  <c r="E79" i="5" l="1"/>
  <c r="E81" i="5"/>
</calcChain>
</file>

<file path=xl/sharedStrings.xml><?xml version="1.0" encoding="utf-8"?>
<sst xmlns="http://schemas.openxmlformats.org/spreadsheetml/2006/main" count="9435" uniqueCount="747">
  <si>
    <t>Atualizado em: 28/11/2013</t>
  </si>
  <si>
    <t>Contrato de Empréstimo Nº 2518/OC-BR</t>
  </si>
  <si>
    <t>GOVERNO DO ESTADO DE SERGIPE</t>
  </si>
  <si>
    <t>Atualização Nº: 01</t>
  </si>
  <si>
    <t>PLANO DE AQUISIÇÕES (PA) PARA 18 MESES</t>
  </si>
  <si>
    <t>Secretaria de Estado da Fazenda</t>
  </si>
  <si>
    <t>Atualizado por: Marta Auxiliadora - Coord. Geral</t>
  </si>
  <si>
    <t>GERPLAM - Ger. Plan. Gest. Adm.</t>
  </si>
  <si>
    <t>Dolar US$</t>
  </si>
  <si>
    <t>UCP - Unid. de Coord. do PROMOFAZ</t>
  </si>
  <si>
    <t>No</t>
  </si>
  <si>
    <t>Descrição do Contrato</t>
  </si>
  <si>
    <t>Produto vinc. no PA/POA</t>
  </si>
  <si>
    <t>Custo Estimado (R$)</t>
  </si>
  <si>
    <t>Custo Estimado (US$)</t>
  </si>
  <si>
    <t>Método aquisição (1)</t>
  </si>
  <si>
    <t>Revisão (2)</t>
  </si>
  <si>
    <t>Fonte (%)</t>
  </si>
  <si>
    <t>Datas estimadas</t>
  </si>
  <si>
    <t>Status 
(3)</t>
  </si>
  <si>
    <t>Comentário</t>
  </si>
  <si>
    <t>BID</t>
  </si>
  <si>
    <t>Local</t>
  </si>
  <si>
    <t xml:space="preserve">Publicação anúncio </t>
  </si>
  <si>
    <t>Término Contrato</t>
  </si>
  <si>
    <t>1. SERVIÇOS DE CONSULTORIA</t>
  </si>
  <si>
    <t>C01</t>
  </si>
  <si>
    <t>Apoio na elaboração de TdR e na especificação de soluções técnicas (estima-se 2 consultores)</t>
  </si>
  <si>
    <t>ADM</t>
  </si>
  <si>
    <t>BID CI</t>
  </si>
  <si>
    <t>ex-post</t>
  </si>
  <si>
    <t>I Trim 2014</t>
  </si>
  <si>
    <t>IV Trim 2014</t>
  </si>
  <si>
    <t>P</t>
  </si>
  <si>
    <t>C02</t>
  </si>
  <si>
    <t>Auditoria Externa</t>
  </si>
  <si>
    <t>BID SBQC</t>
  </si>
  <si>
    <t>ex-ante</t>
  </si>
  <si>
    <t>II Trim 2018</t>
  </si>
  <si>
    <t>C03</t>
  </si>
  <si>
    <t>Contratação de estudos de  Instituiçoes que realizam pesquisas econômicos-fiscais;</t>
  </si>
  <si>
    <t>P3.4</t>
  </si>
  <si>
    <t>BID SQC</t>
  </si>
  <si>
    <t>II Trim 2014</t>
  </si>
  <si>
    <t>II Trim 2015</t>
  </si>
  <si>
    <t>C04</t>
  </si>
  <si>
    <t>Aquisição ou desenvolvimento de sistemas de integração dos créditos tributários</t>
  </si>
  <si>
    <t>P3.5</t>
  </si>
  <si>
    <t>Legislação Nacional</t>
  </si>
  <si>
    <t>III Trim 2014</t>
  </si>
  <si>
    <t>IV Trim 2015</t>
  </si>
  <si>
    <t>C05</t>
  </si>
  <si>
    <t>Contratação de consultoria  para desenvolver e implantar Novo Modelo de Planejamento Fiscal (Inteligência Artificial)</t>
  </si>
  <si>
    <t>C06</t>
  </si>
  <si>
    <t>Desenvolvimento e implantação de sistema de classificação do crédito tributário quanto a possibilidade de recuperação;</t>
  </si>
  <si>
    <t>P5.1</t>
  </si>
  <si>
    <t>IV Trim 2016</t>
  </si>
  <si>
    <t>C07</t>
  </si>
  <si>
    <t>Desenvolvimento de sistema para consulta a registros de bens do devedor;</t>
  </si>
  <si>
    <t>IV Trim 2017</t>
  </si>
  <si>
    <t>C08</t>
  </si>
  <si>
    <t>Modelo de Desenvolvimento de RH baseado em competências, com respectivo Plano de Capacitação continuada</t>
  </si>
  <si>
    <t>P11.1</t>
  </si>
  <si>
    <t>C09</t>
  </si>
  <si>
    <t>Desenvolvimento do Novo modelo de Gestão de Fiscalização de Estabelecimentos: roteiros de auditoria fiscal eletrõnica para receita tributária e não tributária, Avaliação de Auditorias realizadas e Desempenho Funcional.</t>
  </si>
  <si>
    <t>P3.3</t>
  </si>
  <si>
    <t>C10</t>
  </si>
  <si>
    <t>Redesenho de processos e proposta de estrutura</t>
  </si>
  <si>
    <t>P1.2</t>
  </si>
  <si>
    <t>SBQ</t>
  </si>
  <si>
    <t>I Trim 2017</t>
  </si>
  <si>
    <t>C11</t>
  </si>
  <si>
    <t>Consultoria para Desenvolvimento e Implantação do Novo Modelo de Planejamento e Gestão Estratégica</t>
  </si>
  <si>
    <t>P1.1</t>
  </si>
  <si>
    <t>I Trim 2015</t>
  </si>
  <si>
    <t>II Trim 2016</t>
  </si>
  <si>
    <t>C12</t>
  </si>
  <si>
    <t>Customização do Sistema Fazendário de Trânsito (SIT) e do software de integração de equipamentos</t>
  </si>
  <si>
    <t>P3.1</t>
  </si>
  <si>
    <t>C13</t>
  </si>
  <si>
    <t>Desenvolver sistema para Gestão da Fiscalização baseado no novo modelo</t>
  </si>
  <si>
    <t>C14</t>
  </si>
  <si>
    <t>Desenvolver sistema de acompanhamento das receitas não tributárias</t>
  </si>
  <si>
    <t>C15</t>
  </si>
  <si>
    <t>Contratação de consultoria para desenvolver e implantar na ferramenta BI os critérios de cruzamento de informações para geração de relatórios e consultas on-line</t>
  </si>
  <si>
    <t>P6.1</t>
  </si>
  <si>
    <t>C16</t>
  </si>
  <si>
    <t>Segurança da informação</t>
  </si>
  <si>
    <t>P10.1</t>
  </si>
  <si>
    <t>III Trim 2017</t>
  </si>
  <si>
    <t>SUBTOTAL CONSULTORIA</t>
  </si>
  <si>
    <t>2. SERVIÇOS TÉCNICOS (Exceto Consultoria)</t>
  </si>
  <si>
    <t>T01</t>
  </si>
  <si>
    <t>Capacitação (incscrição em cursos de mercado - ICM)</t>
  </si>
  <si>
    <t xml:space="preserve">P3.3, P5.1, PA1, A2, </t>
  </si>
  <si>
    <t>BID CP</t>
  </si>
  <si>
    <t>IV Trim 2013</t>
  </si>
  <si>
    <t>III Trim 2018</t>
  </si>
  <si>
    <t>T02</t>
  </si>
  <si>
    <t xml:space="preserve">Serviços gráficos </t>
  </si>
  <si>
    <t>1.1</t>
  </si>
  <si>
    <t>SUBTOTAL SERVIÇOS TÉCNICOS</t>
  </si>
  <si>
    <t>3. BENS</t>
  </si>
  <si>
    <t>B01</t>
  </si>
  <si>
    <t>Software da Inteligência Fiscal contemplando customização, treinamento e implantação</t>
  </si>
  <si>
    <t>P3.2</t>
  </si>
  <si>
    <t>PE / ARP</t>
  </si>
  <si>
    <t>B02</t>
  </si>
  <si>
    <t>Implantação de uma central de telecobrança;</t>
  </si>
  <si>
    <t>B03</t>
  </si>
  <si>
    <t>Aquisição de Sistema de disponibilização da Legislação Tributária Eletrônica</t>
  </si>
  <si>
    <t>P3.6</t>
  </si>
  <si>
    <t>B04</t>
  </si>
  <si>
    <t>Adquirir totens de autoatendimento</t>
  </si>
  <si>
    <t>P9.1</t>
  </si>
  <si>
    <t>B05</t>
  </si>
  <si>
    <t>Licenças para migração de aplicativos atuais para plataforma atualizada</t>
  </si>
  <si>
    <t>B07</t>
  </si>
  <si>
    <t>Licenças para sistemas de informações gerenciais</t>
  </si>
  <si>
    <t>B08</t>
  </si>
  <si>
    <t xml:space="preserve">Computadores </t>
  </si>
  <si>
    <t>B09</t>
  </si>
  <si>
    <t>Notebooks</t>
  </si>
  <si>
    <t>B10</t>
  </si>
  <si>
    <t>Impressora/scanner</t>
  </si>
  <si>
    <t>B11</t>
  </si>
  <si>
    <t>Sofware de segurança da informação</t>
  </si>
  <si>
    <t>B12</t>
  </si>
  <si>
    <t>Software de gestão integrada de projetos</t>
  </si>
  <si>
    <t>B13</t>
  </si>
  <si>
    <t>Certificados digitais</t>
  </si>
  <si>
    <t>B14</t>
  </si>
  <si>
    <t>Anel de fibra ótica para interconexão das principais unidades</t>
  </si>
  <si>
    <t>I Trim 2016</t>
  </si>
  <si>
    <t>B15</t>
  </si>
  <si>
    <t>Equipamentos de videoconferência</t>
  </si>
  <si>
    <t>B16</t>
  </si>
  <si>
    <t>Software de Gestão do Desenvolvimento de RH</t>
  </si>
  <si>
    <t>B17</t>
  </si>
  <si>
    <t>Kit de Pesagem Dinâmica de Cargas conforme detalhado na planilha 27d_Det. EqApoio</t>
  </si>
  <si>
    <t>B18</t>
  </si>
  <si>
    <t>Kit de Apoio à implantação do Novo Modelo de Fiscalização de Trânsito, conforme detalhado na planilha 27d_Det. EqApoio</t>
  </si>
  <si>
    <t>B19</t>
  </si>
  <si>
    <t>Veículos para fiscalização de trânsito conforme detalhado na planilha 27d_Det. EqApoio</t>
  </si>
  <si>
    <t>B20</t>
  </si>
  <si>
    <t>Kit de equipamentos de suporte à administração do Projeto (notebook, impressora, tela e projetor multimídia)</t>
  </si>
  <si>
    <t>III Trim 2013</t>
  </si>
  <si>
    <t>B21</t>
  </si>
  <si>
    <t>Software de gestão e acompanhamento do projeto</t>
  </si>
  <si>
    <t>B22</t>
  </si>
  <si>
    <t>Aquisição de ferramenta de acompanhamento de indicadores com base na metodologia do BSC</t>
  </si>
  <si>
    <t>IV Trim. 2015</t>
  </si>
  <si>
    <t>IV Trim. 2018</t>
  </si>
  <si>
    <t>B23</t>
  </si>
  <si>
    <t>Aquisição de dispositivos miniaturizados para coleta e transmissão de evidências de áudio e vídeo</t>
  </si>
  <si>
    <t>B24</t>
  </si>
  <si>
    <t>Kit de ferramentas de apreensão e autenticação de dados (licenças de software de auditagem para extração de dados dos equipamentos)</t>
  </si>
  <si>
    <t>B25</t>
  </si>
  <si>
    <t>Aquisição de material de escritório (pastas, canetas, blocos, crachá)</t>
  </si>
  <si>
    <t>SUBTOTAL BENS</t>
  </si>
  <si>
    <t>4. OBRAS</t>
  </si>
  <si>
    <t>O01</t>
  </si>
  <si>
    <t>Reforma das instalações físicas das unidades da SEFAZ.</t>
  </si>
  <si>
    <t>EP</t>
  </si>
  <si>
    <t>TOTAL OBRAS</t>
  </si>
  <si>
    <t>5. DESPESAS OPERACIONAIS</t>
  </si>
  <si>
    <t>D01</t>
  </si>
  <si>
    <t>Passagens e diárias</t>
  </si>
  <si>
    <t>SUBTOTAL DESPESAS OPERACIONAIS</t>
  </si>
  <si>
    <t>TOTAL GERAL</t>
  </si>
  <si>
    <t>OBS.:</t>
  </si>
  <si>
    <r>
      <t xml:space="preserve">(1) </t>
    </r>
    <r>
      <rPr>
        <sz val="10"/>
        <rFont val="Calibri"/>
        <family val="2"/>
      </rPr>
      <t xml:space="preserve">Métodos de Licitação/Seleção: </t>
    </r>
    <r>
      <rPr>
        <b/>
        <sz val="10"/>
        <rFont val="Calibri"/>
        <family val="2"/>
      </rPr>
      <t>a) BID: LPI:</t>
    </r>
    <r>
      <rPr>
        <sz val="10"/>
        <rFont val="Calibri"/>
        <family val="2"/>
      </rPr>
      <t xml:space="preserve"> Licitação Pública Internacional; </t>
    </r>
    <r>
      <rPr>
        <b/>
        <sz val="10"/>
        <rFont val="Calibri"/>
        <family val="2"/>
      </rPr>
      <t xml:space="preserve">LPN: </t>
    </r>
    <r>
      <rPr>
        <sz val="10"/>
        <rFont val="Calibri"/>
        <family val="2"/>
      </rPr>
      <t xml:space="preserve">Licitação Pública Nacional; </t>
    </r>
    <r>
      <rPr>
        <b/>
        <sz val="10"/>
        <rFont val="Calibri"/>
        <family val="2"/>
      </rPr>
      <t xml:space="preserve">CP: </t>
    </r>
    <r>
      <rPr>
        <sz val="10"/>
        <rFont val="Calibri"/>
        <family val="2"/>
      </rPr>
      <t xml:space="preserve">Comparação de Preços; </t>
    </r>
    <r>
      <rPr>
        <b/>
        <sz val="10"/>
        <rFont val="Calibri"/>
        <family val="2"/>
      </rPr>
      <t xml:space="preserve">CD: </t>
    </r>
    <r>
      <rPr>
        <sz val="10"/>
        <rFont val="Calibri"/>
        <family val="2"/>
      </rPr>
      <t xml:space="preserve">Contratação Direta; </t>
    </r>
    <r>
      <rPr>
        <b/>
        <sz val="10"/>
        <rFont val="Calibri"/>
        <family val="2"/>
      </rPr>
      <t xml:space="preserve">SBQC: </t>
    </r>
    <r>
      <rPr>
        <sz val="10"/>
        <rFont val="Calibri"/>
        <family val="2"/>
      </rPr>
      <t xml:space="preserve">Seleção Baseada em Qualidade e Custo; </t>
    </r>
    <r>
      <rPr>
        <b/>
        <sz val="10"/>
        <rFont val="Calibri"/>
        <family val="2"/>
      </rPr>
      <t xml:space="preserve">SQS: </t>
    </r>
    <r>
      <rPr>
        <sz val="10"/>
        <rFont val="Calibri"/>
        <family val="2"/>
      </rPr>
      <t>Seleção Baseada nas Qualificações dos Consu</t>
    </r>
  </si>
  <si>
    <r>
      <t xml:space="preserve">(2) </t>
    </r>
    <r>
      <rPr>
        <sz val="10"/>
        <rFont val="Calibri"/>
        <family val="2"/>
      </rPr>
      <t>Ex-post ou Ex-ante</t>
    </r>
  </si>
  <si>
    <r>
      <t>(3)</t>
    </r>
    <r>
      <rPr>
        <sz val="10"/>
        <rFont val="Calibri"/>
        <family val="2"/>
      </rPr>
      <t xml:space="preserve"> Status: </t>
    </r>
    <r>
      <rPr>
        <b/>
        <sz val="10"/>
        <rFont val="Calibri"/>
        <family val="2"/>
      </rPr>
      <t>P</t>
    </r>
    <r>
      <rPr>
        <sz val="10"/>
        <rFont val="Calibri"/>
        <family val="2"/>
      </rPr>
      <t xml:space="preserve"> - Pendente; </t>
    </r>
    <r>
      <rPr>
        <b/>
        <sz val="10"/>
        <rFont val="Calibri"/>
        <family val="2"/>
      </rPr>
      <t>EP</t>
    </r>
    <r>
      <rPr>
        <sz val="10"/>
        <rFont val="Calibri"/>
        <family val="2"/>
      </rPr>
      <t xml:space="preserve"> - Em Processo; </t>
    </r>
    <r>
      <rPr>
        <b/>
        <sz val="10"/>
        <rFont val="Calibri"/>
        <family val="2"/>
      </rPr>
      <t>A</t>
    </r>
    <r>
      <rPr>
        <sz val="10"/>
        <rFont val="Calibri"/>
        <family val="2"/>
      </rPr>
      <t xml:space="preserve"> - Adjudicado; </t>
    </r>
    <r>
      <rPr>
        <b/>
        <sz val="10"/>
        <rFont val="Calibri"/>
        <family val="2"/>
      </rPr>
      <t>C</t>
    </r>
    <r>
      <rPr>
        <sz val="10"/>
        <rFont val="Calibri"/>
        <family val="2"/>
      </rPr>
      <t xml:space="preserve"> - Cancelado.</t>
    </r>
  </si>
  <si>
    <t>Atualizado em: 10/04/2014</t>
  </si>
  <si>
    <t>Atualização Nº: 02</t>
  </si>
  <si>
    <t xml:space="preserve">Public. anúncio </t>
  </si>
  <si>
    <t>Apoio na elaboração de TdR e na especificação de soluções técnicas (01 consultor)</t>
  </si>
  <si>
    <t>Parte do recurso transferida p C17</t>
  </si>
  <si>
    <t>IITrim 2018</t>
  </si>
  <si>
    <t>IVTrim 2014</t>
  </si>
  <si>
    <t>IITrim 2015</t>
  </si>
  <si>
    <t>ITrim 2015</t>
  </si>
  <si>
    <t>III Trim 2015</t>
  </si>
  <si>
    <t>IIITrim 2014</t>
  </si>
  <si>
    <t>IIITrim 2015</t>
  </si>
  <si>
    <t>IVTrim 2015</t>
  </si>
  <si>
    <t>C17</t>
  </si>
  <si>
    <t>Apoio na Gestão de Mudança Organizacional (01 consultor)</t>
  </si>
  <si>
    <t>T03</t>
  </si>
  <si>
    <t>Customização do Sistema de disponibilização da Legislação Tributária Eletrônica</t>
  </si>
  <si>
    <t>C</t>
  </si>
  <si>
    <t>Remanejada p/ Consultoria</t>
  </si>
  <si>
    <t>Já adquiridos c/ recursos próprios</t>
  </si>
  <si>
    <t>Incluídos na aquisição de TI</t>
  </si>
  <si>
    <t>Software cedido pela SEFAZ/BA</t>
  </si>
  <si>
    <t>IV Trim. 2014</t>
  </si>
  <si>
    <t>II Trim 2011</t>
  </si>
  <si>
    <t>.</t>
  </si>
  <si>
    <t>Atualizado em: 25/06/2014</t>
  </si>
  <si>
    <t>Atualização Nº: 03</t>
  </si>
  <si>
    <t>BID CD</t>
  </si>
  <si>
    <t>Kit de equipamentos de suporte à administração do Projeto (notebook, impressora colorida, tela e projetor multimídia)</t>
  </si>
  <si>
    <t>D02</t>
  </si>
  <si>
    <t>Organização de Reunião da COGEF</t>
  </si>
  <si>
    <t>Atualizado em: 19/09/2014</t>
  </si>
  <si>
    <t>Atualização Nº: 04</t>
  </si>
  <si>
    <t>Acrescentado R$ 86,100 de B02</t>
  </si>
  <si>
    <t>Remanejado p/ T04</t>
  </si>
  <si>
    <t>T04</t>
  </si>
  <si>
    <t>Customização do BI</t>
  </si>
  <si>
    <t>P6.1 e P10.1</t>
  </si>
  <si>
    <t xml:space="preserve">Junção das aquisições C15 e B07 </t>
  </si>
  <si>
    <t>Remanejado R$ 86.100 p/ C06</t>
  </si>
  <si>
    <t>Remanejada p/ T03</t>
  </si>
  <si>
    <t>Remanejado R$ 15.000 p/ B26</t>
  </si>
  <si>
    <t>B26</t>
  </si>
  <si>
    <t>Datashows</t>
  </si>
  <si>
    <t>Recursos oriundos de B10</t>
  </si>
  <si>
    <t>Atualizado em: 07/11/2014</t>
  </si>
  <si>
    <t>Atualização Nº: 05</t>
  </si>
  <si>
    <t>UCP - Unid. de Coord. PROMOFAZ</t>
  </si>
  <si>
    <t>Custo Estimado (R$) (4)</t>
  </si>
  <si>
    <t>A</t>
  </si>
  <si>
    <t>Nº PRISM BR 10607</t>
  </si>
  <si>
    <t xml:space="preserve"> </t>
  </si>
  <si>
    <t>Acrescentado R$ 86.100 de B02</t>
  </si>
  <si>
    <t>IITrim 2016</t>
  </si>
  <si>
    <t>IV Trim 2018</t>
  </si>
  <si>
    <t>Acrescentado R$ 180.000 de C11</t>
  </si>
  <si>
    <t>Remanejamento de R$ 180.000 para C10</t>
  </si>
  <si>
    <t>III Trim 2016</t>
  </si>
  <si>
    <t>Acrescentado R$ 15.000 de B11</t>
  </si>
  <si>
    <t>SUBTOTAL CONSULTORIA (4)</t>
  </si>
  <si>
    <t>Remanejamento de R$ 100.000 para B27</t>
  </si>
  <si>
    <t>T05</t>
  </si>
  <si>
    <t>Customização do Software de Gestão Integrada de Projetos</t>
  </si>
  <si>
    <t>Recursos oriundos de B12</t>
  </si>
  <si>
    <t>SUBTOTAL SERVIÇOS TÉCNICOS (4)</t>
  </si>
  <si>
    <t>Nº PRISM BRB 2566</t>
  </si>
  <si>
    <t>Nº PRISM BRB 2564</t>
  </si>
  <si>
    <t>Impressoras/scanners</t>
  </si>
  <si>
    <t>Nº PRISM BRB 2565 e BRB 2567</t>
  </si>
  <si>
    <t>Remanejado p/ C16</t>
  </si>
  <si>
    <t>Remanejado R$ 155.000 p/ T05</t>
  </si>
  <si>
    <t>Substituído de CP para PE/ARP</t>
  </si>
  <si>
    <t>B27</t>
  </si>
  <si>
    <t>Aquisição de Servidores do BI</t>
  </si>
  <si>
    <t>P10.2</t>
  </si>
  <si>
    <t>Recursos oriundos de T04</t>
  </si>
  <si>
    <t>SUBTOTAL BENS (4)</t>
  </si>
  <si>
    <t>SUBTOTAL OBRAS (4)</t>
  </si>
  <si>
    <t>Nº PRISM BRB 2470</t>
  </si>
  <si>
    <t>SUBTOTAL DESPESAS OPERACIONAIS (4)</t>
  </si>
  <si>
    <t>TOTAL GERAL (4)</t>
  </si>
  <si>
    <r>
      <t xml:space="preserve">(1) </t>
    </r>
    <r>
      <rPr>
        <sz val="10"/>
        <rFont val="Calibri"/>
        <family val="2"/>
      </rPr>
      <t xml:space="preserve">Métodos de Licitação/Seleção: </t>
    </r>
    <r>
      <rPr>
        <b/>
        <sz val="10"/>
        <rFont val="Calibri"/>
        <family val="2"/>
      </rPr>
      <t>a) BID: LPI:</t>
    </r>
    <r>
      <rPr>
        <sz val="10"/>
        <rFont val="Calibri"/>
        <family val="2"/>
      </rPr>
      <t xml:space="preserve"> Licitação Pública Internacional; </t>
    </r>
    <r>
      <rPr>
        <b/>
        <sz val="10"/>
        <rFont val="Calibri"/>
        <family val="2"/>
      </rPr>
      <t xml:space="preserve">LPN: </t>
    </r>
    <r>
      <rPr>
        <sz val="10"/>
        <rFont val="Calibri"/>
        <family val="2"/>
      </rPr>
      <t xml:space="preserve">Licitação Pública Nacional; </t>
    </r>
    <r>
      <rPr>
        <b/>
        <sz val="10"/>
        <rFont val="Calibri"/>
        <family val="2"/>
      </rPr>
      <t xml:space="preserve">CP: </t>
    </r>
    <r>
      <rPr>
        <sz val="10"/>
        <rFont val="Calibri"/>
        <family val="2"/>
      </rPr>
      <t xml:space="preserve">Comparação de Preços; </t>
    </r>
    <r>
      <rPr>
        <b/>
        <sz val="10"/>
        <rFont val="Calibri"/>
        <family val="2"/>
      </rPr>
      <t xml:space="preserve">CD: </t>
    </r>
    <r>
      <rPr>
        <sz val="10"/>
        <rFont val="Calibri"/>
        <family val="2"/>
      </rPr>
      <t xml:space="preserve">Contratação Direta; </t>
    </r>
    <r>
      <rPr>
        <b/>
        <sz val="10"/>
        <rFont val="Calibri"/>
        <family val="2"/>
      </rPr>
      <t xml:space="preserve">SBQC: </t>
    </r>
    <r>
      <rPr>
        <sz val="10"/>
        <rFont val="Calibri"/>
        <family val="2"/>
      </rPr>
      <t xml:space="preserve">Seleção Baseada em Qualidade e Custo; </t>
    </r>
    <r>
      <rPr>
        <b/>
        <sz val="10"/>
        <rFont val="Calibri"/>
        <family val="2"/>
      </rPr>
      <t xml:space="preserve">SQS: </t>
    </r>
    <r>
      <rPr>
        <sz val="10"/>
        <rFont val="Calibri"/>
        <family val="2"/>
      </rPr>
      <t>Seleção Baseada nas Qualificações dos Consultores</t>
    </r>
  </si>
  <si>
    <r>
      <t xml:space="preserve">(4) </t>
    </r>
    <r>
      <rPr>
        <sz val="10"/>
        <rFont val="Calibri"/>
        <family val="2"/>
      </rPr>
      <t>Esta soma exclui</t>
    </r>
    <r>
      <rPr>
        <b/>
        <sz val="10"/>
        <rFont val="Calibri"/>
        <family val="2"/>
      </rPr>
      <t xml:space="preserve"> </t>
    </r>
    <r>
      <rPr>
        <sz val="10"/>
        <rFont val="Calibri"/>
        <family val="2"/>
      </rPr>
      <t>os itens cancelados e, no caso dos processos adjudicados, considera os valores  contratados.</t>
    </r>
  </si>
  <si>
    <r>
      <t xml:space="preserve">(5) </t>
    </r>
    <r>
      <rPr>
        <b/>
        <sz val="12"/>
        <color indexed="8"/>
        <rFont val="Calibri"/>
        <family val="2"/>
      </rPr>
      <t>Alterações:</t>
    </r>
    <r>
      <rPr>
        <sz val="12"/>
        <color indexed="8"/>
        <rFont val="Calibri"/>
        <family val="2"/>
      </rPr>
      <t xml:space="preserve"> Indicar em vermelho as alterações feitas nas aquisições já constantes do PA</t>
    </r>
  </si>
  <si>
    <r>
      <t>(6)</t>
    </r>
    <r>
      <rPr>
        <sz val="10"/>
        <rFont val="Calibri"/>
        <family val="2"/>
      </rPr>
      <t xml:space="preserve"> </t>
    </r>
    <r>
      <rPr>
        <b/>
        <sz val="12"/>
        <color indexed="8"/>
        <rFont val="Calibri"/>
        <family val="2"/>
      </rPr>
      <t>Inclusões:</t>
    </r>
    <r>
      <rPr>
        <sz val="12"/>
        <color indexed="8"/>
        <rFont val="Calibri"/>
        <family val="2"/>
      </rPr>
      <t xml:space="preserve"> Indicar em azul as aquisições agora incluídas no PA</t>
    </r>
  </si>
  <si>
    <r>
      <t>(7)</t>
    </r>
    <r>
      <rPr>
        <sz val="10"/>
        <rFont val="Calibri"/>
        <family val="2"/>
      </rPr>
      <t xml:space="preserve"> </t>
    </r>
    <r>
      <rPr>
        <b/>
        <sz val="12"/>
        <color indexed="8"/>
        <rFont val="Calibri"/>
        <family val="2"/>
      </rPr>
      <t>Cancelamentos:</t>
    </r>
    <r>
      <rPr>
        <sz val="12"/>
        <color indexed="8"/>
        <rFont val="Calibri"/>
        <family val="2"/>
      </rPr>
      <t xml:space="preserve"> indicar em verde os cancelamentos das aquisições constantes do PA</t>
    </r>
  </si>
  <si>
    <t>Adjudicados</t>
  </si>
  <si>
    <t>Em Processamento</t>
  </si>
  <si>
    <t>Pendentes</t>
  </si>
  <si>
    <t>Total Vigente</t>
  </si>
  <si>
    <t>Cancelados</t>
  </si>
  <si>
    <t>INFORMAÇÃO PARA PREENCHIMENTO INICIAL DO PLANO DE AQUISIÇÕES (EM CURSO E/OU ÚLTIMO APRESENTADO)</t>
  </si>
  <si>
    <t>OBRAS</t>
  </si>
  <si>
    <t>Sistema Nacional</t>
  </si>
  <si>
    <t>#</t>
  </si>
  <si>
    <t>Unidade Executora</t>
  </si>
  <si>
    <t>Atividade</t>
  </si>
  <si>
    <t>Descrição adicional:</t>
  </si>
  <si>
    <t>Método de Seleção/Aquisição</t>
  </si>
  <si>
    <t>Número do Processo:</t>
  </si>
  <si>
    <t xml:space="preserve">Montante Estimado </t>
  </si>
  <si>
    <t>Categoria de Investimento:</t>
  </si>
  <si>
    <t>Método de Revisão:</t>
  </si>
  <si>
    <t>S</t>
  </si>
  <si>
    <t>Datas</t>
  </si>
  <si>
    <t>Valor Adjudicado</t>
  </si>
  <si>
    <t>PRISM</t>
  </si>
  <si>
    <t>Aditivo</t>
  </si>
  <si>
    <t>Valor Final</t>
  </si>
  <si>
    <t>Comentários - para UCS incluir método de Seleção</t>
  </si>
  <si>
    <t>Ex-Post</t>
  </si>
  <si>
    <t>Montante Estimado em US$:</t>
  </si>
  <si>
    <t>Montante Estimado % BID:</t>
  </si>
  <si>
    <t>Montante Estimado % Local:</t>
  </si>
  <si>
    <t>Publicação do Anúncio</t>
  </si>
  <si>
    <t>Assinatura do Contrato</t>
  </si>
  <si>
    <t>Qtd</t>
  </si>
  <si>
    <t>Valor Aditado</t>
  </si>
  <si>
    <t>Ex-Ante</t>
  </si>
  <si>
    <t>SEFAZ</t>
  </si>
  <si>
    <t>Ampliação do Prédio Sede</t>
  </si>
  <si>
    <t>Ampliação do mezanino do prédio sede da SEFAZ.</t>
  </si>
  <si>
    <t>016.000.02736/2013-8</t>
  </si>
  <si>
    <t>Produto 3.3, Componente II</t>
  </si>
  <si>
    <t>NA</t>
  </si>
  <si>
    <t>Concorrência Pública nº 09/2013</t>
  </si>
  <si>
    <t>Processo em curso</t>
  </si>
  <si>
    <t>O02</t>
  </si>
  <si>
    <t>Reforma de Postos Fiscais</t>
  </si>
  <si>
    <t>Reforma de Postos Fiscais, em especial,  Propriá e Cristinápolis</t>
  </si>
  <si>
    <t>Produto 3.1, Componente II</t>
  </si>
  <si>
    <t>Concorrência Pública</t>
  </si>
  <si>
    <t>Rechazo de Ofertas</t>
  </si>
  <si>
    <t>BENS</t>
  </si>
  <si>
    <t>Contrato em Ejecución</t>
  </si>
  <si>
    <t>Unidade Executora:</t>
  </si>
  <si>
    <t>Qtd de Lotes:</t>
  </si>
  <si>
    <t>Contrato Terminado</t>
  </si>
  <si>
    <t>Software da Inteligência Fiscal</t>
  </si>
  <si>
    <t>016.000.02157/2015-1</t>
  </si>
  <si>
    <t>Produto 3.2, Componente II</t>
  </si>
  <si>
    <t>BRB 2836</t>
  </si>
  <si>
    <t>Pregão Eletrônico – PE Nº 091/2015</t>
  </si>
  <si>
    <t>Central de Telecobrança</t>
  </si>
  <si>
    <t>Produto 5.1, Componente II</t>
  </si>
  <si>
    <t>Pregão Eletrônico / Adesão à Ata de Registro de Preço</t>
  </si>
  <si>
    <t>Licitação Pública Internacional</t>
  </si>
  <si>
    <t>Sistema de disponibilização da Legislação Tributária Eletrônica</t>
  </si>
  <si>
    <t>Produto 3.6, Componente II</t>
  </si>
  <si>
    <t>Licitação Pública Nacional </t>
  </si>
  <si>
    <t>Totens de Autoatendimento</t>
  </si>
  <si>
    <t>Produto 9.1, Componente IV</t>
  </si>
  <si>
    <t>Comparação de Preços </t>
  </si>
  <si>
    <t>Licenças para migração de aplicativos</t>
  </si>
  <si>
    <t>Produto 10.1, Componente IV</t>
  </si>
  <si>
    <t>Contratação Direta </t>
  </si>
  <si>
    <t>016.000.06509/2014-0</t>
  </si>
  <si>
    <t>BRB 2566</t>
  </si>
  <si>
    <t>Adesão à Ata de Registro de Preços</t>
  </si>
  <si>
    <t>016.000.05437/2014-7</t>
  </si>
  <si>
    <t>BRB 2564</t>
  </si>
  <si>
    <t>016.000.06832/2014-8</t>
  </si>
  <si>
    <t>BRB 2565 e BRB 2567</t>
  </si>
  <si>
    <t>Licença de software de gestão integrada de projetos</t>
  </si>
  <si>
    <t>016.000.00199/2015-1</t>
  </si>
  <si>
    <t>BR 10881</t>
  </si>
  <si>
    <t>Anel de fibra ótica</t>
  </si>
  <si>
    <t>Software de Gestão de RH</t>
  </si>
  <si>
    <t>Produto 11.1, Componente IV</t>
  </si>
  <si>
    <t>II Trim 2017</t>
  </si>
  <si>
    <t>Kit de Pesagem Dinâmica de Carga</t>
  </si>
  <si>
    <t>Aquisição cancelada devido às indefinições dos Postos de Fronteira</t>
  </si>
  <si>
    <t>Kit de Apoio à implantação do Novo Modelo de Fiscalização de Trânsito</t>
  </si>
  <si>
    <t>Veículos para fiscalização de trânsito</t>
  </si>
  <si>
    <t>016.000.08817/2014-7</t>
  </si>
  <si>
    <t>BRB 2838</t>
  </si>
  <si>
    <t>Pregão Eletrônico – PE Nº 342/2014</t>
  </si>
  <si>
    <t>Kit de equipamentos de suporte à administração do Projeto</t>
  </si>
  <si>
    <t>Produto A1, Gestão do Projeto</t>
  </si>
  <si>
    <t>Software de gestão do projeto</t>
  </si>
  <si>
    <t>Produto A2, Monitor. do Projeto</t>
  </si>
  <si>
    <t>Aquisição de software BSC</t>
  </si>
  <si>
    <t>Produto 1.1, Componente I</t>
  </si>
  <si>
    <t>Aquisição de dispositivos miniaturizados</t>
  </si>
  <si>
    <t>016.000.10519/2014-4</t>
  </si>
  <si>
    <t>BRB 2837</t>
  </si>
  <si>
    <t>Pregão Eletrônico – PE Nº 016/2015</t>
  </si>
  <si>
    <t>Kit de ferramentas de apreensão e autenticação de dados</t>
  </si>
  <si>
    <t>Aquisição de material de escritório</t>
  </si>
  <si>
    <t>Aquisição de material de escritório (pastas, canetas, blocos, crachá) p/ PE</t>
  </si>
  <si>
    <t>016.000.02256/2015-8</t>
  </si>
  <si>
    <t>BRB 2842</t>
  </si>
  <si>
    <t>Pregão Eletrônico – PE Nº 061/2015</t>
  </si>
  <si>
    <t>Recursos transferidos p/ B29</t>
  </si>
  <si>
    <t>B28</t>
  </si>
  <si>
    <t>Hardware para Datacenter</t>
  </si>
  <si>
    <t>Equipamentos de TI (servidores) para reforçar o Datacenter</t>
  </si>
  <si>
    <t>B29</t>
  </si>
  <si>
    <t>Rede sem fio</t>
  </si>
  <si>
    <t>Equipamentos da rede wireless (access point e roteadores)</t>
  </si>
  <si>
    <t>B30</t>
  </si>
  <si>
    <t>Mobiliário Sede</t>
  </si>
  <si>
    <t>Móveis e divisórias p/ o prédio sede devido à ampliação</t>
  </si>
  <si>
    <t>B31</t>
  </si>
  <si>
    <t>Tela para Datashow</t>
  </si>
  <si>
    <t>Tela de Datashow para a sala de situação</t>
  </si>
  <si>
    <t>SERVIÇOS QUE NÃO SÃO DE CONSULTORIA</t>
  </si>
  <si>
    <t>Licitação Internacional Limitada </t>
  </si>
  <si>
    <t>Licitação Pública Internacional com Precalificação</t>
  </si>
  <si>
    <t>Documento de Licitação</t>
  </si>
  <si>
    <t>Licitação Pública Internacional em 2 etapas </t>
  </si>
  <si>
    <t>Capacitação</t>
  </si>
  <si>
    <t>Inscrição em cursos de mercado - ICM</t>
  </si>
  <si>
    <t>Produtos diversos</t>
  </si>
  <si>
    <t>Desmembrado na cat. "Capacitação", itens L01, L02, L03 e L04.</t>
  </si>
  <si>
    <t>Serviços gráficos para o Planejamento Estratégico</t>
  </si>
  <si>
    <t>Sistema da Legislação Tributária Eletrônica</t>
  </si>
  <si>
    <t>Customização de BI</t>
  </si>
  <si>
    <t>Desenvolvimento e implantação na ferramenta de BI dos critérios de cruzamento de informações</t>
  </si>
  <si>
    <t>Produto 6.1, Componente III
Produto 10.1 Componente IV</t>
  </si>
  <si>
    <t>Software de Gestão Integrada de Projetos</t>
  </si>
  <si>
    <t>016.000.11625/2014-4</t>
  </si>
  <si>
    <t>Produto 10.1 Componente IV</t>
  </si>
  <si>
    <t>BR 10876</t>
  </si>
  <si>
    <t>DESPESAS OPERACIONAIS</t>
  </si>
  <si>
    <t>Passagens e diárias diversas</t>
  </si>
  <si>
    <t>Passagens via contrato centralizado e diárias pagas diretamente</t>
  </si>
  <si>
    <t>Licitação Pública Internacional por Lotes </t>
  </si>
  <si>
    <t>Organização da 24ª Reunião da COGEF</t>
  </si>
  <si>
    <t>015.000.17409/2013-6</t>
  </si>
  <si>
    <t>BRB 2470</t>
  </si>
  <si>
    <t>Adesão à Ata de Registro de Preços nº 280/2014</t>
  </si>
  <si>
    <t>Seleção Baseada na Qualidade (SBQ)</t>
  </si>
  <si>
    <t>CONSULTORIAS FIRMAS</t>
  </si>
  <si>
    <t>Seleção Baseada na Qualificação do Consultor (SQC)</t>
  </si>
  <si>
    <t>Contratação Direta (CD)</t>
  </si>
  <si>
    <t>Manifestação de Interesse</t>
  </si>
  <si>
    <t>Seleção Baseada no Menor Custo (SBMC)</t>
  </si>
  <si>
    <t>Auditoria Externa Anual do PROMOFAZ</t>
  </si>
  <si>
    <t>Seleção Baseada na Qualidade e Custo (SBQC)</t>
  </si>
  <si>
    <t>016.000.00072/2015-8</t>
  </si>
  <si>
    <t>BR 10877</t>
  </si>
  <si>
    <t>Seleção Baseada em Orçamento Fixo (SBOF)</t>
  </si>
  <si>
    <t>Estudos Econômico-fiscais</t>
  </si>
  <si>
    <t>Contratação de estudos de  Instituiçoes que realizam pesquisas econômico-fiscais;</t>
  </si>
  <si>
    <t>Produto 3.4, Componente II</t>
  </si>
  <si>
    <t>Sistema de integração dos créditos tributários</t>
  </si>
  <si>
    <t>Aquisição ou desenvolvimento de sistema de integração dos créditos tributários</t>
  </si>
  <si>
    <t>Produto 3.5, Componente II</t>
  </si>
  <si>
    <t>Autorizada Contratação Direta da Sergipetec, empresa pública estadual. Concluído.</t>
  </si>
  <si>
    <t>Sistema de Planejamento Fiscal</t>
  </si>
  <si>
    <t>Desenvolvimento do Sistema de Planejamento Fiscal (Inteligência Artificial)</t>
  </si>
  <si>
    <t>Sistema de Classificação do Crédito Tributário</t>
  </si>
  <si>
    <t>BR 10879</t>
  </si>
  <si>
    <t>Sistema para consulta a registros de bens do devedor</t>
  </si>
  <si>
    <t>Recursos transferidos p/ B02</t>
  </si>
  <si>
    <t>Consultoria de RH para Gestão de Competências</t>
  </si>
  <si>
    <t>Novo modelo de Gestão de Fiscalização de Estabelecimentos</t>
  </si>
  <si>
    <t>Desenvolvimento de: roteiros de auditoria fiscal eletrônica para receita tributária e não tributária, avaliação de auditorias realizadas e desempenho funcional.</t>
  </si>
  <si>
    <t>Recursos transferidos p/ C10, pois o Redesenho de Processos incorporou esta finalidade</t>
  </si>
  <si>
    <t>Redesenho de Processos</t>
  </si>
  <si>
    <t>Redesenho de Processos Organizacionais e Proposta de Nova Estrutura para a SEFAZ</t>
  </si>
  <si>
    <t>Produto 1.2, Componente I (US$ 366.667)
Produto 3.3, Componente II (US$ 133.333)</t>
  </si>
  <si>
    <t>Planejamento e Gestão Estratégica baseada em BSC</t>
  </si>
  <si>
    <t>Implantação do Novo Modelo de Planejamento e Gestão Estratégica focada em resultado</t>
  </si>
  <si>
    <t>016.000.005381/2015-4</t>
  </si>
  <si>
    <t>BR 10985</t>
  </si>
  <si>
    <t>Customização do SIT</t>
  </si>
  <si>
    <t>Customização do Sistema Fazendário de Trânsito e do software de integração de equipamentos</t>
  </si>
  <si>
    <t>Sistema para Gestão da Fiscalização de Estabelecimentos</t>
  </si>
  <si>
    <t>Sistema de acompanhamento das receitas não tributárias</t>
  </si>
  <si>
    <t>Consultoria de BI</t>
  </si>
  <si>
    <t>Desenvolver e implantar na ferramenta BI os critérios de cruzamento de informações para geração de relatórios e consultas on-line</t>
  </si>
  <si>
    <t>Produto 6.1, Componente III</t>
  </si>
  <si>
    <t>Llave em mano</t>
  </si>
  <si>
    <t>Bens </t>
  </si>
  <si>
    <t>CONSULTORIAS INDIVIDUAL</t>
  </si>
  <si>
    <t>Preços Unitarios</t>
  </si>
  <si>
    <t>Número de Processo:</t>
  </si>
  <si>
    <t>SomaAlzada</t>
  </si>
  <si>
    <t>Obras </t>
  </si>
  <si>
    <t>Não Objeção aos  TDR da Atividade</t>
  </si>
  <si>
    <t>Firma Contrato</t>
  </si>
  <si>
    <t>Consultor Individual para auxiliar a UCP</t>
  </si>
  <si>
    <t>Apoio na elaboração de TdRs e na especificação de soluções técnicas</t>
  </si>
  <si>
    <t>Comparação de Qualificações (3 CV's)</t>
  </si>
  <si>
    <t>016.000.004835/2014-8</t>
  </si>
  <si>
    <t>BR 10607</t>
  </si>
  <si>
    <t>Em execução</t>
  </si>
  <si>
    <t>Somaalzada</t>
  </si>
  <si>
    <t>Serviços Que Não São De Consultoria </t>
  </si>
  <si>
    <t>Apoio na Gestão de Mudança Organizacional</t>
  </si>
  <si>
    <t>Curso de Coaching para o corpo gerencial da SEFAZ</t>
  </si>
  <si>
    <t>016.000.00174/2015-1</t>
  </si>
  <si>
    <t>Concluído</t>
  </si>
  <si>
    <t>Somaglobal</t>
  </si>
  <si>
    <t>Consultoria - Firmas </t>
  </si>
  <si>
    <t>CAPACITAÇÃO</t>
  </si>
  <si>
    <t>Somaglobal + Gastos Reembolsables</t>
  </si>
  <si>
    <t>Tempo Trabajado</t>
  </si>
  <si>
    <t>Consultoria - Individuos </t>
  </si>
  <si>
    <t>L01</t>
  </si>
  <si>
    <t>Capacitação no uso de novas ferramentas e sistemas</t>
  </si>
  <si>
    <t>Capacitação no uso do novo sistema de inteligência artificial</t>
  </si>
  <si>
    <t>Pregão Eletrônico</t>
  </si>
  <si>
    <t>L02</t>
  </si>
  <si>
    <t>Cobrança administrativa e operação dos sistemas</t>
  </si>
  <si>
    <t>Cobrança administrativa e operação dos novos sistemas criados</t>
  </si>
  <si>
    <t>L03</t>
  </si>
  <si>
    <t>Monitoramento e Avaliação</t>
  </si>
  <si>
    <t>Monitoramento e Avaliação do PROMOFAZ</t>
  </si>
  <si>
    <t>Adq. libros de textos e material de lectura</t>
  </si>
  <si>
    <t>L04</t>
  </si>
  <si>
    <t>Indicadores de Desempenho de Projeto</t>
  </si>
  <si>
    <t>Indicadores de Desempenho para o PROMOFAZ e PE</t>
  </si>
  <si>
    <t>Aquisição de Bens - Sector Salud</t>
  </si>
  <si>
    <t>SUBPROJETOS</t>
  </si>
  <si>
    <t>Comparação de Preços para Bens</t>
  </si>
  <si>
    <t>Número</t>
  </si>
  <si>
    <t>Objeto da Transferencia:</t>
  </si>
  <si>
    <t>Quantidade Estimada de Subprojetos:</t>
  </si>
  <si>
    <t>Comentários</t>
  </si>
  <si>
    <t>Especificaciones Técnicas</t>
  </si>
  <si>
    <t>Montante Estimado % Contrapartida:</t>
  </si>
  <si>
    <t>Assinatura do Contrato/ Convênio por Adjudicação dos Subprojetos</t>
  </si>
  <si>
    <t>Data de 
Transferencia</t>
  </si>
  <si>
    <t>Quantidade</t>
  </si>
  <si>
    <t>Suministro e instalación de plantas e equipos</t>
  </si>
  <si>
    <t>Suministro e instalación de sist. de información</t>
  </si>
  <si>
    <t>Comparação de Preços para Obras</t>
  </si>
  <si>
    <t>Contratação de Obras Mayores</t>
  </si>
  <si>
    <t>Contratação de Obras Menores</t>
  </si>
  <si>
    <t>Doc. de precalificación para construcción de obras</t>
  </si>
  <si>
    <r>
      <t xml:space="preserve">(1) Status: </t>
    </r>
    <r>
      <rPr>
        <b/>
        <sz val="10"/>
        <rFont val="Calibri"/>
        <family val="2"/>
      </rPr>
      <t>P</t>
    </r>
    <r>
      <rPr>
        <sz val="10"/>
        <rFont val="Calibri"/>
        <family val="2"/>
      </rPr>
      <t xml:space="preserve"> - Pendente; </t>
    </r>
    <r>
      <rPr>
        <b/>
        <sz val="10"/>
        <rFont val="Calibri"/>
        <family val="2"/>
      </rPr>
      <t>EP</t>
    </r>
    <r>
      <rPr>
        <sz val="10"/>
        <rFont val="Calibri"/>
        <family val="2"/>
      </rPr>
      <t xml:space="preserve"> - Em Processo; </t>
    </r>
    <r>
      <rPr>
        <b/>
        <sz val="10"/>
        <rFont val="Calibri"/>
        <family val="2"/>
      </rPr>
      <t>A</t>
    </r>
    <r>
      <rPr>
        <sz val="10"/>
        <rFont val="Calibri"/>
        <family val="2"/>
      </rPr>
      <t xml:space="preserve"> - Adjudicado; </t>
    </r>
    <r>
      <rPr>
        <b/>
        <sz val="10"/>
        <rFont val="Calibri"/>
        <family val="2"/>
      </rPr>
      <t>C</t>
    </r>
    <r>
      <rPr>
        <sz val="10"/>
        <rFont val="Calibri"/>
        <family val="2"/>
      </rPr>
      <t xml:space="preserve"> - Cancelado.</t>
    </r>
  </si>
  <si>
    <r>
      <t xml:space="preserve">(2) </t>
    </r>
    <r>
      <rPr>
        <b/>
        <sz val="12"/>
        <color indexed="8"/>
        <rFont val="Calibri"/>
        <family val="2"/>
      </rPr>
      <t>Alterações:</t>
    </r>
    <r>
      <rPr>
        <sz val="12"/>
        <color indexed="8"/>
        <rFont val="Calibri"/>
        <family val="2"/>
      </rPr>
      <t xml:space="preserve"> Indicar em vermelho as alterações feitas nas aquisições já constantes do PA</t>
    </r>
  </si>
  <si>
    <r>
      <t xml:space="preserve">(3) </t>
    </r>
    <r>
      <rPr>
        <b/>
        <sz val="12"/>
        <color indexed="8"/>
        <rFont val="Calibri"/>
        <family val="2"/>
      </rPr>
      <t>Inclusões:</t>
    </r>
    <r>
      <rPr>
        <sz val="12"/>
        <color indexed="8"/>
        <rFont val="Calibri"/>
        <family val="2"/>
      </rPr>
      <t xml:space="preserve"> Indicar em azul as aquisições agora incluídas no PA</t>
    </r>
  </si>
  <si>
    <r>
      <t xml:space="preserve">(4) </t>
    </r>
    <r>
      <rPr>
        <b/>
        <sz val="12"/>
        <color indexed="8"/>
        <rFont val="Calibri"/>
        <family val="2"/>
      </rPr>
      <t>Cancelamentos:</t>
    </r>
    <r>
      <rPr>
        <sz val="12"/>
        <color indexed="8"/>
        <rFont val="Calibri"/>
        <family val="2"/>
      </rPr>
      <t xml:space="preserve"> indicar em verde os cancelamentos das aquisições constantes do PA</t>
    </r>
  </si>
  <si>
    <t>,</t>
  </si>
  <si>
    <t>Solicitud de Propuestas e Termos de Referência</t>
  </si>
  <si>
    <t>Termos de Referência</t>
  </si>
  <si>
    <t>Atualizado em: 16/12/2015</t>
  </si>
  <si>
    <t>Atualização Nº: 07</t>
  </si>
  <si>
    <t>Atualizado por: Bruno Lima - Coord. Financeiro</t>
  </si>
  <si>
    <t>Aquisição cancelada por opção gerencial</t>
  </si>
  <si>
    <t>B32</t>
  </si>
  <si>
    <t>Container Cofre</t>
  </si>
  <si>
    <t>Container que funciona como sala cofre da área de TI</t>
  </si>
  <si>
    <t>B33</t>
  </si>
  <si>
    <t>Ferramenta de Monitoramento TI</t>
  </si>
  <si>
    <t>Ferramenta para o monitoramento de software e hardware da área de TI</t>
  </si>
  <si>
    <t>T06</t>
  </si>
  <si>
    <t>Website da SEFAZ</t>
  </si>
  <si>
    <t>Aprimoramento do website da SEFAZ</t>
  </si>
  <si>
    <t>T07</t>
  </si>
  <si>
    <t>Reestruturação da rede de cabeamento</t>
  </si>
  <si>
    <t>Reestruturação da rede de cabeamento estruturado do prédio sede da SEFAZ</t>
  </si>
  <si>
    <t>T08</t>
  </si>
  <si>
    <t>CFTV sede SEFAZ</t>
  </si>
  <si>
    <t>Instalação do CFTV para vigilância do prédio sede da SEFAZ</t>
  </si>
  <si>
    <t>Monitoramento de TI</t>
  </si>
  <si>
    <t>Monitoramento da infraestrutura e aplicações de TI</t>
  </si>
  <si>
    <t>C18</t>
  </si>
  <si>
    <t>Gerenciamento de Configurações</t>
  </si>
  <si>
    <t>Gerenciamento de configurações dos softwares de TI</t>
  </si>
  <si>
    <t>Atualizado em: 11/02/2016</t>
  </si>
  <si>
    <t>Atualização Nº: 08</t>
  </si>
  <si>
    <t>Comparação de Preços  (CP)</t>
  </si>
  <si>
    <t>Aquisição de software para  gerenciamento da rede sem fio</t>
  </si>
  <si>
    <t>B34</t>
  </si>
  <si>
    <t>B35</t>
  </si>
  <si>
    <t>Computadores  II</t>
  </si>
  <si>
    <t>Desktops robustos para a área de TI</t>
  </si>
  <si>
    <t>B36</t>
  </si>
  <si>
    <t>Notebooks II</t>
  </si>
  <si>
    <t>Notebooks p/ TI</t>
  </si>
  <si>
    <t>B37</t>
  </si>
  <si>
    <t>Scanners II</t>
  </si>
  <si>
    <t>Scanners para o CEAC</t>
  </si>
  <si>
    <t>B38</t>
  </si>
  <si>
    <t>Painéis de Senha</t>
  </si>
  <si>
    <t>Painéis de Senha para atendimento no CEAC</t>
  </si>
  <si>
    <t>B39</t>
  </si>
  <si>
    <t>Monitores LED</t>
  </si>
  <si>
    <t>Monitores Profissionais p/ TI</t>
  </si>
  <si>
    <t>BR11235</t>
  </si>
  <si>
    <t>Comparação de Preços</t>
  </si>
  <si>
    <t>BR 10880</t>
  </si>
  <si>
    <t>BR11236</t>
  </si>
  <si>
    <t>Cancelada pois na aquisição do EPM constatou-se que já vinha com módulo que atendia ao BI, necessitando apenas de customização (T04)</t>
  </si>
  <si>
    <t>C19</t>
  </si>
  <si>
    <t>Consultoria para estudos econômico fiscais</t>
  </si>
  <si>
    <t>Consultoria para estruturação da área de estudos econ. fiscais</t>
  </si>
  <si>
    <t>Produto 1.3, Componente I</t>
  </si>
  <si>
    <t>BRASIL</t>
  </si>
  <si>
    <t>Programa PROFISCO</t>
  </si>
  <si>
    <t>Contrato de Empréstimo Nº 2518 OC-BR</t>
  </si>
  <si>
    <t xml:space="preserve">PLANO DE AQUISIÇÕES (PA) - 18 MESES </t>
  </si>
  <si>
    <t>Cotação USD:</t>
  </si>
  <si>
    <t>Objeto*</t>
  </si>
  <si>
    <t>Quantidade de Lotes: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</si>
  <si>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</si>
  <si>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</si>
  <si>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</si>
  <si>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</si>
  <si>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método de Seleção</t>
  </si>
  <si>
    <t>Numero PRISM</t>
  </si>
  <si>
    <t>Status</t>
  </si>
  <si>
    <t>Montante Estimado em R$:</t>
  </si>
  <si>
    <t>Publicação do Anúncio/Convite</t>
  </si>
  <si>
    <t>Concorrência Pública nº 09/2013 contrapartida</t>
  </si>
  <si>
    <t>Contrato em Execução</t>
  </si>
  <si>
    <t>Reforma de Postos Fiscais, Propriá e Cristinápolis</t>
  </si>
  <si>
    <t>Concorrência Pública contrapartida</t>
  </si>
  <si>
    <t>Previsto</t>
  </si>
  <si>
    <t>O03</t>
  </si>
  <si>
    <t>Reestruturação elétrica do prédio sede da SEFAZ</t>
  </si>
  <si>
    <t>Total:</t>
  </si>
  <si>
    <t>Objeto</t>
  </si>
  <si>
    <t>Método de Revisão (Selecionar uma das opções):</t>
  </si>
  <si>
    <t>Datas Estimadas</t>
  </si>
  <si>
    <t>Fones da Central de Telecobrança</t>
  </si>
  <si>
    <t>Fones para central de telecobrança</t>
  </si>
  <si>
    <t>Processo Cancelado</t>
  </si>
  <si>
    <t>Desistência da SUPERGEST</t>
  </si>
  <si>
    <t>Licenças de software</t>
  </si>
  <si>
    <t>Licenças de Barramento de serviços SOA, de ferramenta de desenvolvimento e de  ferramenta de configuração</t>
  </si>
  <si>
    <t>Pregão Eletrônico Remanejado R$ 155.000 p/ T05</t>
  </si>
  <si>
    <t>Pregão Eletrônico / Adesão à Ata de Registro de Preço contrapartida</t>
  </si>
  <si>
    <t>Cancelada devido às indefinições dos Postos de Fronteira</t>
  </si>
  <si>
    <t>Kit de Apoio à implantação do Novo Modelo de Fiscalização de Trânsito (equimentos ou solução para central de atendimento)</t>
  </si>
  <si>
    <t>Ferramenta de acompanhamento de indicadores com base na metodologia do BSC</t>
  </si>
  <si>
    <t>Dispositivos miniaturizados</t>
  </si>
  <si>
    <t>Dispositivos miniaturizados para coleta e transmissão de evidências de áudio e vídeo</t>
  </si>
  <si>
    <t>Material de escritório</t>
  </si>
  <si>
    <t>Material de escritório (pastas, canetas, blocos, crachá) p/ PE</t>
  </si>
  <si>
    <t xml:space="preserve"> Servidores do BI</t>
  </si>
  <si>
    <t>Software Rede sem fio</t>
  </si>
  <si>
    <t>Container que funciona como sala segura da área de TI</t>
  </si>
  <si>
    <t>Equipamentos de TI</t>
  </si>
  <si>
    <t>Total (sem os cancelados):</t>
  </si>
  <si>
    <t>Comparação de Preços (CP)</t>
  </si>
  <si>
    <t>Serviço de customização de software da Legislação Tributária Eletrônica</t>
  </si>
  <si>
    <t>Serviço de customização de BI</t>
  </si>
  <si>
    <t>Customização da ferramenta de BI nos critérios de cruzamento de informações</t>
  </si>
  <si>
    <t>Sistema Nacional (SN)</t>
  </si>
  <si>
    <t>BR11401</t>
  </si>
  <si>
    <t>Customização Software de Gestão Integrada de Projetos</t>
  </si>
  <si>
    <t>Atualizar Website da SEFAZ</t>
  </si>
  <si>
    <t>Controle de acesso da sede SEFAZ</t>
  </si>
  <si>
    <t>Instalação do CFTV e controle de acesso para segurança do prédio sede da SEFAZ</t>
  </si>
  <si>
    <t>T09</t>
  </si>
  <si>
    <t>T10</t>
  </si>
  <si>
    <t>Realização de testes de stress da segurança da informação</t>
  </si>
  <si>
    <t>Publicação  Manifestação de Interesse</t>
  </si>
  <si>
    <t xml:space="preserve"> Desenvolvimento de sistema de integração dos créditos tributários</t>
  </si>
  <si>
    <t xml:space="preserve"> Contratação Direta da Sergipetec, empresa pública estadual. Concluído.</t>
  </si>
  <si>
    <t>Desenvolvimento e implantação do Sistema de Planejamento Fiscal (Inteligência Artificial)</t>
  </si>
  <si>
    <t>Seleção Baseada na Qualidade </t>
  </si>
  <si>
    <t>BR11402</t>
  </si>
  <si>
    <t>Novo Modelo de Planejamento e Gestão Estratégica focada em resultado</t>
  </si>
  <si>
    <t>Remanejado p/ T11</t>
  </si>
  <si>
    <t>Cancelado e Remanejado p/ B33, pois a aquis. do soft. contempla instalação</t>
  </si>
  <si>
    <t>Remanejado p/ B34</t>
  </si>
  <si>
    <t>Assinatura Contrato</t>
  </si>
  <si>
    <t xml:space="preserve">Comparação de Qualificações (3 CV's) </t>
  </si>
  <si>
    <t xml:space="preserve"> Publicação  Manifestação de Interesse</t>
  </si>
  <si>
    <t>Capacitação no uso do novo sistema de inteligência artificial - cancelar</t>
  </si>
  <si>
    <t>Será realizado pelo FINATE</t>
  </si>
  <si>
    <t>Realizado por servidor da SEFAZ</t>
  </si>
  <si>
    <t>Pregão Eletrônico Contrapartida</t>
  </si>
  <si>
    <t>TOTAL GERAL (sem os cancelados):</t>
  </si>
  <si>
    <t>Revisão / Supervisão</t>
  </si>
  <si>
    <t>ReLicitação</t>
  </si>
  <si>
    <t>Declaração de Licitação Deserta</t>
  </si>
  <si>
    <t xml:space="preserve">Metodos </t>
  </si>
  <si>
    <t>Consultoria firmas</t>
  </si>
  <si>
    <t>Seleção Baseada no Menor Custo (SBMC) </t>
  </si>
  <si>
    <t>Seleção Baseado em Orçamento Fixo</t>
  </si>
  <si>
    <t>Bens, obras e Serviços</t>
  </si>
  <si>
    <t>Licitação Pública Internacional (LPI)</t>
  </si>
  <si>
    <t>Licitação Limitada Internacional  (LLI)</t>
  </si>
  <si>
    <t>Licitação Pública Internacional com Precalificación</t>
  </si>
  <si>
    <t>Licitação Pública Internacional sem Pré-qualificação</t>
  </si>
  <si>
    <t>Consultoria Individual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</si>
  <si>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</si>
  <si>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 xml:space="preserve">Instrucções Gerais </t>
  </si>
  <si>
    <t>Pregão eletronico/Ata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</si>
  <si>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</si>
  <si>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Procesos com 100% de contrapartida</t>
  </si>
  <si>
    <t>Colocar "sistema nacional" na coluna de metodo e na coluna de revisão/supervisão + indicar o metodo e "contrapartida"' na coluna" "comentario"</t>
  </si>
  <si>
    <t xml:space="preserve">Instrucções </t>
  </si>
  <si>
    <t>Categoria/ Componente</t>
  </si>
  <si>
    <t>colocar o Nº de componente asociado</t>
  </si>
  <si>
    <t>Objeto da licitação</t>
  </si>
  <si>
    <t>Selecionar no menu suspenso</t>
  </si>
  <si>
    <t>Revisão/Supervisão</t>
  </si>
  <si>
    <t>Nova Licitação</t>
  </si>
  <si>
    <t>Declaração de aquisição Deserta</t>
  </si>
  <si>
    <t>Recusa de Ofertas</t>
  </si>
  <si>
    <t>Contrato concluido</t>
  </si>
  <si>
    <t>Categoria</t>
  </si>
  <si>
    <t>Consultoria firmas e Capacitacão</t>
  </si>
  <si>
    <t>Seleção Baseada na Qualidade e Custo  (SBQC)</t>
  </si>
  <si>
    <t>Seleção Baseada na Qualidade  (SBQ)</t>
  </si>
  <si>
    <t>Seleção Baseada no Menor Custo  (SBMC)</t>
  </si>
  <si>
    <t>Seleção Baseado em Orçamento Fixo (SBOF)</t>
  </si>
  <si>
    <t>Licitação Pública Nacional (LPN)</t>
  </si>
  <si>
    <t>Licitação  Limitada Internacional(LLI)</t>
  </si>
  <si>
    <t>Exemplos</t>
  </si>
  <si>
    <t>Metodos de licitação nacional</t>
  </si>
  <si>
    <t>Pregão Presencial</t>
  </si>
  <si>
    <t>Pregão Eletrónico</t>
  </si>
  <si>
    <t>Ata de registro de preços</t>
  </si>
  <si>
    <t>Concorrencia Publica Nacional</t>
  </si>
  <si>
    <t>Tomada de preços</t>
  </si>
  <si>
    <t>Carta convite</t>
  </si>
  <si>
    <t>Contrataçõ direta</t>
  </si>
  <si>
    <t xml:space="preserve">Sistema de acompanhamento das receitas não tributárias </t>
  </si>
  <si>
    <t>Seleção Baseada na Qualidade (SBQ)</t>
  </si>
  <si>
    <t>Integrado e remanejado para C05</t>
  </si>
  <si>
    <t>Sistema Integrado de Planejamento  e Execução da Ação Fiscal</t>
  </si>
  <si>
    <t>Produto 3.4 e 3.3, Componente II</t>
  </si>
  <si>
    <t>Contratação Direta da Sergipetec, empresa pública estadual.</t>
  </si>
  <si>
    <t>O04</t>
  </si>
  <si>
    <t>Recuperação da estrutura metálica da fachada do prédio sede da SEFAZ</t>
  </si>
  <si>
    <t>Software para  gerenciamento da rede sem fio</t>
  </si>
  <si>
    <t>Cancelado devido limitação financeira e prioridades</t>
  </si>
  <si>
    <t>Cancelada devido ao redesenho de processos</t>
  </si>
  <si>
    <t>Aquisição incluída no produto B35</t>
  </si>
  <si>
    <t>Apoio na Gestão da Reestruturação Elétrica do prédio sede</t>
  </si>
  <si>
    <t>Engenheiro elétrico para a elaboração e acompanhamento do projeto de reestruturação elétrica</t>
  </si>
  <si>
    <t>Equipamentos para área de TI: Desktops robustos , Tablets, Notebooks, Scanners, Monitores Profissionais e Tela</t>
  </si>
  <si>
    <t>Atualizado em: 04/08/2016</t>
  </si>
  <si>
    <t>Produto 3.3, Componente II e Produto 10.1, Componente IV</t>
  </si>
  <si>
    <r>
      <t xml:space="preserve">Método 
</t>
    </r>
    <r>
      <rPr>
        <i/>
        <sz val="14"/>
        <color indexed="9"/>
        <rFont val="Calibri"/>
        <family val="2"/>
      </rPr>
      <t>(Selecionar uma das Opções)</t>
    </r>
    <r>
      <rPr>
        <sz val="14"/>
        <color indexed="9"/>
        <rFont val="Calibri"/>
        <family val="2"/>
      </rPr>
      <t>:*</t>
    </r>
  </si>
  <si>
    <t>C20</t>
  </si>
  <si>
    <t>Apoio técnico nos processos de licenciamento ambiental da SEFAZ</t>
  </si>
  <si>
    <t>Engenheiro Ambiental para auxiliar na obtenção das licenças ambientais necessárias ao correto funcionamento da SEFAZ</t>
  </si>
  <si>
    <t>Equipamentos para área de TI: Desktops robustos</t>
  </si>
  <si>
    <t>Monitores de TI</t>
  </si>
  <si>
    <t>Equipamentos para área de TI: Monitores Tvs de 55"</t>
  </si>
  <si>
    <t>Desktops Robustos</t>
  </si>
  <si>
    <t>Produto 1.2, Componente I</t>
  </si>
  <si>
    <t>I Trim 2018</t>
  </si>
  <si>
    <t>Atualização Nº: 09</t>
  </si>
  <si>
    <t>Atualizado em: 23/11/2016</t>
  </si>
  <si>
    <t>Atualização Nº: 10</t>
  </si>
  <si>
    <t>BRB 3442</t>
  </si>
  <si>
    <t>BRB3443</t>
  </si>
  <si>
    <t>BRB3316</t>
  </si>
  <si>
    <t>BRB3441</t>
  </si>
  <si>
    <t>Produto A2, Aval. do Projeto</t>
  </si>
  <si>
    <t>Equipamentos para área de TI: Tablets, Notebooks, Scanners</t>
  </si>
  <si>
    <t>Produto A2, Mon. e Aval. do Projeto</t>
  </si>
  <si>
    <t>L05</t>
  </si>
  <si>
    <t>Capacitação em Direito Tributário e Auditoria Fiscal</t>
  </si>
  <si>
    <t>Capacitação de aprimoramento profissional dos auditores fiscais</t>
  </si>
  <si>
    <t>Notebooks e Tablets</t>
  </si>
  <si>
    <t>Atualizado em: 10/04/2017</t>
  </si>
  <si>
    <t>Produto 3.3, comp II, Produto 10.1, comp IV e Produto 6.1, comp III</t>
  </si>
  <si>
    <t>Atualizado em: 21/12/2017</t>
  </si>
  <si>
    <t>Atualização Nº: 11</t>
  </si>
  <si>
    <t>Equipamentos para área de TI: Tablets</t>
  </si>
  <si>
    <t>Tablets</t>
  </si>
  <si>
    <t>Equipamentos para área de TI: Notebooks</t>
  </si>
  <si>
    <t>Produto 3.3, comp II</t>
  </si>
  <si>
    <t>Software de Segurança da Informação</t>
  </si>
  <si>
    <t>Software de Segurança da Informação para proteger os servidores</t>
  </si>
  <si>
    <t>Monitores de acompanhamento da gestão</t>
  </si>
  <si>
    <t>Monitores de tv para os gabinetes dos superintendes e secretário</t>
  </si>
  <si>
    <t>B40</t>
  </si>
  <si>
    <t>Substituição das cadeiras do prédio sede da SEFAZ</t>
  </si>
  <si>
    <t>Substituição de mobiliário da sede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</si>
</sst>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(&quot;R$ &quot;* #,##0.00_);_(&quot;R$ &quot;* \(#,##0.00\);_(&quot;R$ &quot;* \-??_);_(@_)"/>
    <numFmt numFmtId="165" formatCode="mmm\-yy;@"/>
    <numFmt numFmtId="166" formatCode="_(* #,##0.00_);_(* \(#,##0.00\);_(* \-??_);_(@_)"/>
    <numFmt numFmtId="167" formatCode="_-* #,##0.00_-;\-* #,##0.00_-;_-* \-??_-;_-@_-"/>
    <numFmt numFmtId="168" formatCode="_(* #,##0_);_(* \(#,##0\);_(* \-??_);_(@_)"/>
    <numFmt numFmtId="169" formatCode="mmmm\-yy;@"/>
    <numFmt numFmtId="170" formatCode="_(* #,##0_);_(* \(#,##0\);_(* \-_);_(@_)"/>
    <numFmt numFmtId="171" formatCode="0.000"/>
    <numFmt numFmtId="172" formatCode="_-* #,##0_-;\-* #,##0_-;_-* \-??_-;_-@_-"/>
    <numFmt numFmtId="173" formatCode="#,##0.0000_ ;\-#,##0.0000\ "/>
  </numFmts>
  <fonts count="58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10"/>
      <name val="Calibri"/>
      <family val="2"/>
    </font>
    <font>
      <sz val="10"/>
      <color indexed="10"/>
      <name val="Arial"/>
      <family val="2"/>
    </font>
    <font>
      <b/>
      <sz val="10"/>
      <color indexed="10"/>
      <name val="Calibri"/>
      <family val="2"/>
    </font>
    <font>
      <b/>
      <sz val="10"/>
      <color indexed="17"/>
      <name val="Calibri"/>
      <family val="2"/>
    </font>
    <font>
      <b/>
      <sz val="10"/>
      <color indexed="4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name val="Calibri"/>
      <family val="2"/>
    </font>
    <font>
      <b/>
      <sz val="12"/>
      <color indexed="9"/>
      <name val="Calibri"/>
      <family val="2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1"/>
      <name val="Calibri"/>
      <family val="2"/>
    </font>
    <font>
      <sz val="10"/>
      <color indexed="40"/>
      <name val="Calibri"/>
      <family val="2"/>
    </font>
    <font>
      <sz val="10"/>
      <color indexed="40"/>
      <name val="Arial"/>
      <family val="2"/>
    </font>
    <font>
      <sz val="10"/>
      <color indexed="17"/>
      <name val="Calibri"/>
      <family val="2"/>
    </font>
    <font>
      <sz val="10"/>
      <color indexed="17"/>
      <name val="Arial"/>
      <family val="2"/>
    </font>
    <font>
      <sz val="10"/>
      <color indexed="48"/>
      <name val="Calibri"/>
      <family val="2"/>
    </font>
    <font>
      <sz val="14"/>
      <color indexed="9"/>
      <name val="Calibri"/>
      <family val="2"/>
    </font>
    <font>
      <b/>
      <sz val="10"/>
      <color indexed="8"/>
      <name val="Calibri"/>
      <family val="2"/>
    </font>
    <font>
      <sz val="10"/>
      <name val="Arial"/>
      <family val="2"/>
    </font>
    <font>
      <sz val="14"/>
      <color indexed="8"/>
      <name val="Calibri"/>
      <family val="2"/>
    </font>
    <font>
      <sz val="14"/>
      <color indexed="8"/>
      <name val="Times New Roman"/>
      <family val="1"/>
    </font>
    <font>
      <sz val="14"/>
      <name val="Arial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  <font>
      <b/>
      <sz val="14"/>
      <color indexed="10"/>
      <name val="Calibri"/>
      <family val="2"/>
    </font>
    <font>
      <b/>
      <sz val="14"/>
      <color indexed="9"/>
      <name val="Calibri"/>
      <family val="2"/>
    </font>
    <font>
      <i/>
      <sz val="14"/>
      <color indexed="9"/>
      <name val="Calibri"/>
      <family val="2"/>
    </font>
    <font>
      <sz val="14"/>
      <name val="Calibri"/>
      <family val="2"/>
    </font>
    <font>
      <sz val="14"/>
      <color rgb="FF0070C0"/>
      <name val="Calibri"/>
      <family val="2"/>
    </font>
    <font>
      <sz val="14"/>
      <color rgb="FF0070C0"/>
      <name val="Arial"/>
      <family val="2"/>
    </font>
    <font>
      <sz val="14"/>
      <color indexed="17"/>
      <name val="Calibri"/>
      <family val="2"/>
    </font>
    <font>
      <sz val="14"/>
      <color indexed="17"/>
      <name val="Arial"/>
      <family val="2"/>
    </font>
    <font>
      <b/>
      <sz val="14"/>
      <name val="Arial"/>
      <family val="2"/>
    </font>
    <font>
      <b/>
      <sz val="14"/>
      <color rgb="FFFF0000"/>
      <name val="Calibri"/>
      <family val="2"/>
    </font>
    <font>
      <sz val="14"/>
      <color theme="3" tint="0.39997558519241921"/>
      <name val="Calibri"/>
      <family val="2"/>
    </font>
    <font>
      <b/>
      <sz val="14"/>
      <color rgb="FF00B0F0"/>
      <name val="Calibri"/>
      <family val="2"/>
    </font>
    <font>
      <b/>
      <sz val="14"/>
      <color rgb="FFC00000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1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48"/>
        <bgColor indexed="30"/>
      </patternFill>
    </fill>
    <fill>
      <patternFill patternType="solid">
        <fgColor theme="0"/>
        <bgColor indexed="41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5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6" fillId="21" borderId="2" applyNumberFormat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0" borderId="0" applyNumberFormat="0" applyFill="0" applyBorder="0" applyAlignment="0" applyProtection="0"/>
    <xf numFmtId="0" fontId="4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7" borderId="1" applyNumberFormat="0" applyAlignment="0" applyProtection="0"/>
    <xf numFmtId="0" fontId="7" fillId="0" borderId="3" applyNumberFormat="0" applyFill="0" applyAlignment="0" applyProtection="0"/>
    <xf numFmtId="164" fontId="39" fillId="0" borderId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39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165" fontId="39" fillId="0" borderId="0"/>
    <xf numFmtId="0" fontId="39" fillId="0" borderId="0"/>
    <xf numFmtId="0" fontId="39" fillId="0" borderId="0"/>
    <xf numFmtId="0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0" fontId="39" fillId="0" borderId="0"/>
    <xf numFmtId="0" fontId="39" fillId="23" borderId="7" applyNumberFormat="0" applyAlignment="0" applyProtection="0"/>
    <xf numFmtId="0" fontId="39" fillId="23" borderId="7" applyNumberFormat="0" applyAlignment="0" applyProtection="0"/>
    <xf numFmtId="0" fontId="39" fillId="23" borderId="7" applyNumberFormat="0" applyAlignment="0" applyProtection="0"/>
    <xf numFmtId="0" fontId="39" fillId="23" borderId="7" applyNumberFormat="0" applyAlignment="0" applyProtection="0"/>
    <xf numFmtId="0" fontId="39" fillId="23" borderId="7" applyNumberFormat="0" applyAlignment="0" applyProtection="0"/>
    <xf numFmtId="0" fontId="14" fillId="20" borderId="8" applyNumberFormat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0" fontId="14" fillId="20" borderId="8" applyNumberFormat="0" applyAlignment="0" applyProtection="0"/>
    <xf numFmtId="0" fontId="14" fillId="20" borderId="8" applyNumberFormat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7" fontId="39" fillId="0" borderId="0" applyFill="0" applyBorder="0" applyAlignment="0" applyProtection="0"/>
    <xf numFmtId="167" fontId="39" fillId="0" borderId="0" applyFill="0" applyBorder="0" applyAlignment="0" applyProtection="0"/>
    <xf numFmtId="167" fontId="39" fillId="0" borderId="0" applyFill="0" applyBorder="0" applyAlignment="0" applyProtection="0"/>
    <xf numFmtId="167" fontId="39" fillId="0" borderId="0" applyFill="0" applyBorder="0" applyAlignment="0" applyProtection="0"/>
    <xf numFmtId="166" fontId="39" fillId="0" borderId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166" fontId="39" fillId="0" borderId="0" applyFill="0" applyBorder="0" applyAlignment="0" applyProtection="0"/>
    <xf numFmtId="0" fontId="15" fillId="0" borderId="0" applyNumberFormat="0" applyFill="0" applyBorder="0" applyAlignment="0" applyProtection="0"/>
  </cellStyleXfs>
  <cellXfs count="672">
    <xf numFmtId="0" fontId="0" fillId="0" borderId="0" xfId="0"/>
    <xf numFmtId="0" fontId="18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vertic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2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 vertical="top"/>
    </xf>
    <xf numFmtId="0" fontId="19" fillId="0" borderId="10" xfId="0" applyFont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 wrapText="1"/>
    </xf>
    <xf numFmtId="168" fontId="18" fillId="0" borderId="12" xfId="136" applyNumberFormat="1" applyFont="1" applyFill="1" applyBorder="1" applyAlignment="1" applyProtection="1">
      <alignment horizontal="center" vertical="center" wrapText="1"/>
    </xf>
    <xf numFmtId="168" fontId="18" fillId="24" borderId="12" xfId="136" applyNumberFormat="1" applyFont="1" applyFill="1" applyBorder="1" applyAlignment="1" applyProtection="1">
      <alignment vertical="center" wrapText="1"/>
    </xf>
    <xf numFmtId="0" fontId="0" fillId="0" borderId="12" xfId="0" applyFont="1" applyBorder="1" applyAlignment="1">
      <alignment horizontal="center" vertical="center" wrapText="1"/>
    </xf>
    <xf numFmtId="9" fontId="0" fillId="0" borderId="12" xfId="127" applyFont="1" applyFill="1" applyBorder="1" applyAlignment="1" applyProtection="1">
      <alignment horizontal="center" vertical="center" wrapText="1"/>
    </xf>
    <xf numFmtId="169" fontId="0" fillId="0" borderId="12" xfId="0" applyNumberFormat="1" applyFont="1" applyBorder="1" applyAlignment="1">
      <alignment horizontal="center" vertical="center" wrapText="1"/>
    </xf>
    <xf numFmtId="169" fontId="0" fillId="0" borderId="13" xfId="0" applyNumberFormat="1" applyFont="1" applyBorder="1" applyAlignment="1">
      <alignment horizontal="center" vertical="center" wrapText="1"/>
    </xf>
    <xf numFmtId="0" fontId="18" fillId="24" borderId="12" xfId="0" applyFont="1" applyFill="1" applyBorder="1" applyAlignment="1">
      <alignment horizontal="left" vertical="center" wrapText="1"/>
    </xf>
    <xf numFmtId="0" fontId="18" fillId="24" borderId="12" xfId="0" applyFont="1" applyFill="1" applyBorder="1" applyAlignment="1">
      <alignment horizontal="center" vertical="center" wrapText="1"/>
    </xf>
    <xf numFmtId="9" fontId="18" fillId="0" borderId="12" xfId="127" applyFont="1" applyFill="1" applyBorder="1" applyAlignment="1" applyProtection="1">
      <alignment horizontal="center" vertical="center" wrapText="1"/>
    </xf>
    <xf numFmtId="169" fontId="18" fillId="0" borderId="12" xfId="0" applyNumberFormat="1" applyFont="1" applyBorder="1" applyAlignment="1">
      <alignment horizontal="center" vertical="center" wrapText="1"/>
    </xf>
    <xf numFmtId="169" fontId="18" fillId="0" borderId="13" xfId="0" applyNumberFormat="1" applyFont="1" applyBorder="1" applyAlignment="1">
      <alignment horizontal="center" vertical="center" wrapText="1"/>
    </xf>
    <xf numFmtId="0" fontId="18" fillId="24" borderId="12" xfId="0" applyFont="1" applyFill="1" applyBorder="1" applyAlignment="1" applyProtection="1">
      <alignment vertical="center" wrapText="1"/>
      <protection locked="0"/>
    </xf>
    <xf numFmtId="3" fontId="18" fillId="24" borderId="12" xfId="0" applyNumberFormat="1" applyFont="1" applyFill="1" applyBorder="1" applyAlignment="1" applyProtection="1">
      <alignment vertical="center" wrapText="1"/>
      <protection locked="0"/>
    </xf>
    <xf numFmtId="166" fontId="18" fillId="24" borderId="12" xfId="136" applyNumberFormat="1" applyFont="1" applyFill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horizontal="center" vertical="center" wrapText="1"/>
      <protection locked="0"/>
    </xf>
    <xf numFmtId="168" fontId="18" fillId="0" borderId="12" xfId="136" applyNumberFormat="1" applyFont="1" applyFill="1" applyBorder="1" applyAlignment="1" applyProtection="1">
      <alignment vertical="center" wrapText="1"/>
    </xf>
    <xf numFmtId="0" fontId="18" fillId="0" borderId="12" xfId="0" applyFont="1" applyBorder="1" applyAlignment="1" applyProtection="1">
      <alignment vertical="center" wrapText="1"/>
      <protection locked="0"/>
    </xf>
    <xf numFmtId="0" fontId="19" fillId="0" borderId="10" xfId="0" applyFont="1" applyBorder="1" applyAlignment="1">
      <alignment horizontal="center" vertical="top" wrapText="1"/>
    </xf>
    <xf numFmtId="168" fontId="19" fillId="0" borderId="10" xfId="0" applyNumberFormat="1" applyFont="1" applyBorder="1" applyAlignment="1">
      <alignment horizontal="right" vertical="center" wrapText="1"/>
    </xf>
    <xf numFmtId="0" fontId="18" fillId="0" borderId="11" xfId="0" applyFont="1" applyBorder="1" applyAlignment="1">
      <alignment horizontal="center" vertical="center"/>
    </xf>
    <xf numFmtId="166" fontId="18" fillId="0" borderId="12" xfId="136" applyNumberFormat="1" applyFont="1" applyFill="1" applyBorder="1" applyAlignment="1" applyProtection="1">
      <alignment horizontal="center" vertical="center" wrapText="1"/>
    </xf>
    <xf numFmtId="170" fontId="18" fillId="0" borderId="12" xfId="136" applyNumberFormat="1" applyFont="1" applyFill="1" applyBorder="1" applyAlignment="1" applyProtection="1">
      <alignment horizontal="center" vertical="center" wrapText="1"/>
    </xf>
    <xf numFmtId="168" fontId="18" fillId="24" borderId="12" xfId="136" applyNumberFormat="1" applyFont="1" applyFill="1" applyBorder="1" applyAlignment="1" applyProtection="1">
      <alignment horizontal="center" vertical="center" wrapText="1"/>
    </xf>
    <xf numFmtId="0" fontId="18" fillId="24" borderId="12" xfId="0" applyFont="1" applyFill="1" applyBorder="1" applyAlignment="1">
      <alignment vertical="center" wrapText="1"/>
    </xf>
    <xf numFmtId="168" fontId="18" fillId="24" borderId="12" xfId="136" applyNumberFormat="1" applyFont="1" applyFill="1" applyBorder="1" applyAlignment="1" applyProtection="1">
      <alignment horizontal="right" vertical="center" wrapText="1"/>
    </xf>
    <xf numFmtId="0" fontId="20" fillId="0" borderId="0" xfId="0" applyFont="1"/>
    <xf numFmtId="0" fontId="18" fillId="24" borderId="12" xfId="0" applyFont="1" applyFill="1" applyBorder="1" applyAlignment="1" applyProtection="1">
      <alignment vertical="center"/>
      <protection locked="0"/>
    </xf>
    <xf numFmtId="0" fontId="0" fillId="24" borderId="12" xfId="0" applyFont="1" applyFill="1" applyBorder="1" applyAlignment="1">
      <alignment horizontal="left" vertical="center" wrapText="1"/>
    </xf>
    <xf numFmtId="9" fontId="20" fillId="0" borderId="12" xfId="127" applyFont="1" applyFill="1" applyBorder="1" applyAlignment="1" applyProtection="1">
      <alignment horizontal="center" vertical="center" wrapText="1"/>
    </xf>
    <xf numFmtId="0" fontId="18" fillId="0" borderId="12" xfId="0" applyFont="1" applyBorder="1"/>
    <xf numFmtId="0" fontId="0" fillId="0" borderId="12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/>
    </xf>
    <xf numFmtId="168" fontId="18" fillId="0" borderId="12" xfId="0" applyNumberFormat="1" applyFont="1" applyBorder="1" applyAlignment="1">
      <alignment horizontal="right" vertical="center" wrapText="1"/>
    </xf>
    <xf numFmtId="0" fontId="18" fillId="0" borderId="10" xfId="0" applyFont="1" applyBorder="1" applyAlignment="1">
      <alignment horizontal="center" vertical="center" wrapText="1"/>
    </xf>
    <xf numFmtId="168" fontId="19" fillId="0" borderId="10" xfId="136" applyNumberFormat="1" applyFont="1" applyFill="1" applyBorder="1" applyAlignment="1" applyProtection="1">
      <alignment horizontal="center" vertical="center" wrapText="1"/>
    </xf>
    <xf numFmtId="9" fontId="18" fillId="0" borderId="10" xfId="127" applyFont="1" applyFill="1" applyBorder="1" applyAlignment="1" applyProtection="1">
      <alignment horizontal="center" vertical="center" wrapText="1"/>
    </xf>
    <xf numFmtId="169" fontId="18" fillId="0" borderId="10" xfId="0" applyNumberFormat="1" applyFont="1" applyBorder="1" applyAlignment="1">
      <alignment horizontal="center" vertical="center" wrapText="1"/>
    </xf>
    <xf numFmtId="169" fontId="18" fillId="0" borderId="14" xfId="0" applyNumberFormat="1" applyFont="1" applyBorder="1" applyAlignment="1">
      <alignment horizontal="center" vertical="center" wrapText="1"/>
    </xf>
    <xf numFmtId="168" fontId="19" fillId="20" borderId="15" xfId="0" applyNumberFormat="1" applyFont="1" applyFill="1" applyBorder="1" applyAlignment="1">
      <alignment horizontal="right" vertical="center" wrapText="1"/>
    </xf>
    <xf numFmtId="168" fontId="19" fillId="20" borderId="16" xfId="0" applyNumberFormat="1" applyFont="1" applyFill="1" applyBorder="1" applyAlignment="1">
      <alignment horizontal="right" vertical="center" wrapText="1"/>
    </xf>
    <xf numFmtId="166" fontId="18" fillId="0" borderId="0" xfId="0" applyNumberFormat="1" applyFont="1"/>
    <xf numFmtId="168" fontId="18" fillId="0" borderId="0" xfId="0" applyNumberFormat="1" applyFont="1" applyAlignment="1">
      <alignment horizontal="center"/>
    </xf>
    <xf numFmtId="168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top"/>
    </xf>
    <xf numFmtId="0" fontId="19" fillId="0" borderId="0" xfId="0" applyFont="1"/>
    <xf numFmtId="0" fontId="18" fillId="0" borderId="0" xfId="0" applyNumberFormat="1" applyFont="1" applyAlignment="1"/>
    <xf numFmtId="168" fontId="18" fillId="0" borderId="0" xfId="0" applyNumberFormat="1" applyFont="1"/>
    <xf numFmtId="168" fontId="39" fillId="0" borderId="0" xfId="130" applyNumberFormat="1" applyFill="1" applyBorder="1" applyAlignment="1" applyProtection="1"/>
    <xf numFmtId="168" fontId="39" fillId="0" borderId="0" xfId="130" applyNumberFormat="1" applyFill="1" applyBorder="1" applyAlignment="1" applyProtection="1">
      <alignment vertical="center"/>
    </xf>
    <xf numFmtId="168" fontId="18" fillId="0" borderId="0" xfId="0" applyNumberFormat="1" applyFont="1" applyAlignment="1"/>
    <xf numFmtId="168" fontId="20" fillId="0" borderId="12" xfId="136" applyNumberFormat="1" applyFont="1" applyFill="1" applyBorder="1" applyAlignment="1" applyProtection="1">
      <alignment horizontal="center" vertical="center" wrapText="1"/>
    </xf>
    <xf numFmtId="168" fontId="20" fillId="24" borderId="12" xfId="136" applyNumberFormat="1" applyFont="1" applyFill="1" applyBorder="1" applyAlignment="1" applyProtection="1">
      <alignment vertical="center" wrapText="1"/>
    </xf>
    <xf numFmtId="169" fontId="21" fillId="0" borderId="12" xfId="0" applyNumberFormat="1" applyFont="1" applyBorder="1" applyAlignment="1">
      <alignment horizontal="center" vertical="center" wrapText="1"/>
    </xf>
    <xf numFmtId="169" fontId="0" fillId="0" borderId="13" xfId="0" applyNumberFormat="1" applyFont="1" applyBorder="1" applyAlignment="1">
      <alignment horizontal="left" vertical="center" wrapText="1"/>
    </xf>
    <xf numFmtId="169" fontId="20" fillId="0" borderId="12" xfId="0" applyNumberFormat="1" applyFont="1" applyBorder="1" applyAlignment="1">
      <alignment horizontal="center" vertical="center" wrapText="1"/>
    </xf>
    <xf numFmtId="169" fontId="18" fillId="0" borderId="13" xfId="0" applyNumberFormat="1" applyFont="1" applyBorder="1" applyAlignment="1">
      <alignment horizontal="left" vertical="center" wrapText="1"/>
    </xf>
    <xf numFmtId="3" fontId="18" fillId="24" borderId="11" xfId="0" applyNumberFormat="1" applyFont="1" applyFill="1" applyBorder="1" applyAlignment="1" applyProtection="1">
      <alignment vertical="center" wrapText="1"/>
      <protection locked="0"/>
    </xf>
    <xf numFmtId="0" fontId="18" fillId="0" borderId="11" xfId="0" applyFont="1" applyBorder="1" applyAlignment="1" applyProtection="1">
      <alignment vertical="center" wrapText="1"/>
      <protection locked="0"/>
    </xf>
    <xf numFmtId="0" fontId="18" fillId="0" borderId="17" xfId="0" applyFont="1" applyBorder="1" applyAlignment="1">
      <alignment horizontal="center" vertical="center" wrapText="1"/>
    </xf>
    <xf numFmtId="168" fontId="18" fillId="0" borderId="17" xfId="136" applyNumberFormat="1" applyFont="1" applyFill="1" applyBorder="1" applyAlignment="1" applyProtection="1">
      <alignment vertical="center" wrapText="1"/>
    </xf>
    <xf numFmtId="0" fontId="21" fillId="0" borderId="17" xfId="0" applyFont="1" applyBorder="1" applyAlignment="1">
      <alignment horizontal="center" vertical="center" wrapText="1"/>
    </xf>
    <xf numFmtId="9" fontId="18" fillId="0" borderId="17" xfId="127" applyFont="1" applyFill="1" applyBorder="1" applyAlignment="1" applyProtection="1">
      <alignment horizontal="center" vertical="center" wrapText="1"/>
    </xf>
    <xf numFmtId="0" fontId="18" fillId="8" borderId="11" xfId="0" applyFont="1" applyFill="1" applyBorder="1" applyAlignment="1">
      <alignment horizontal="center" vertical="center"/>
    </xf>
    <xf numFmtId="0" fontId="18" fillId="8" borderId="12" xfId="0" applyFont="1" applyFill="1" applyBorder="1" applyAlignment="1">
      <alignment horizontal="left" vertical="center" wrapText="1"/>
    </xf>
    <xf numFmtId="0" fontId="18" fillId="8" borderId="12" xfId="0" applyFont="1" applyFill="1" applyBorder="1" applyAlignment="1">
      <alignment horizontal="center" vertical="center" wrapText="1"/>
    </xf>
    <xf numFmtId="168" fontId="18" fillId="8" borderId="12" xfId="136" applyNumberFormat="1" applyFont="1" applyFill="1" applyBorder="1" applyAlignment="1" applyProtection="1">
      <alignment horizontal="center" vertical="center" wrapText="1"/>
    </xf>
    <xf numFmtId="168" fontId="18" fillId="8" borderId="12" xfId="136" applyNumberFormat="1" applyFont="1" applyFill="1" applyBorder="1" applyAlignment="1" applyProtection="1">
      <alignment vertical="center" wrapText="1"/>
    </xf>
    <xf numFmtId="0" fontId="0" fillId="8" borderId="12" xfId="0" applyFont="1" applyFill="1" applyBorder="1" applyAlignment="1">
      <alignment horizontal="center" vertical="center" wrapText="1"/>
    </xf>
    <xf numFmtId="9" fontId="0" fillId="8" borderId="12" xfId="127" applyFont="1" applyFill="1" applyBorder="1" applyAlignment="1" applyProtection="1">
      <alignment horizontal="center" vertical="center" wrapText="1"/>
    </xf>
    <xf numFmtId="169" fontId="0" fillId="8" borderId="12" xfId="0" applyNumberFormat="1" applyFont="1" applyFill="1" applyBorder="1" applyAlignment="1">
      <alignment horizontal="center" vertical="center" wrapText="1"/>
    </xf>
    <xf numFmtId="169" fontId="0" fillId="8" borderId="13" xfId="0" applyNumberFormat="1" applyFont="1" applyFill="1" applyBorder="1" applyAlignment="1">
      <alignment horizontal="left" vertical="center" wrapText="1"/>
    </xf>
    <xf numFmtId="166" fontId="18" fillId="8" borderId="12" xfId="136" applyNumberFormat="1" applyFont="1" applyFill="1" applyBorder="1" applyAlignment="1" applyProtection="1">
      <alignment horizontal="center" vertical="center" wrapText="1"/>
    </xf>
    <xf numFmtId="9" fontId="18" fillId="8" borderId="12" xfId="127" applyFont="1" applyFill="1" applyBorder="1" applyAlignment="1" applyProtection="1">
      <alignment horizontal="center" vertical="center" wrapText="1"/>
    </xf>
    <xf numFmtId="169" fontId="18" fillId="8" borderId="12" xfId="0" applyNumberFormat="1" applyFont="1" applyFill="1" applyBorder="1" applyAlignment="1">
      <alignment horizontal="center" vertical="center" wrapText="1"/>
    </xf>
    <xf numFmtId="0" fontId="18" fillId="10" borderId="11" xfId="0" applyFont="1" applyFill="1" applyBorder="1" applyAlignment="1">
      <alignment horizontal="center" vertical="center"/>
    </xf>
    <xf numFmtId="0" fontId="18" fillId="10" borderId="12" xfId="0" applyFont="1" applyFill="1" applyBorder="1" applyAlignment="1">
      <alignment horizontal="left" vertical="center" wrapText="1"/>
    </xf>
    <xf numFmtId="166" fontId="18" fillId="10" borderId="12" xfId="136" applyNumberFormat="1" applyFont="1" applyFill="1" applyBorder="1" applyAlignment="1" applyProtection="1">
      <alignment horizontal="center" vertical="center" wrapText="1"/>
    </xf>
    <xf numFmtId="168" fontId="18" fillId="10" borderId="12" xfId="136" applyNumberFormat="1" applyFont="1" applyFill="1" applyBorder="1" applyAlignment="1" applyProtection="1">
      <alignment horizontal="center" vertical="center" wrapText="1"/>
    </xf>
    <xf numFmtId="0" fontId="18" fillId="10" borderId="12" xfId="0" applyFont="1" applyFill="1" applyBorder="1" applyAlignment="1">
      <alignment horizontal="center" vertical="center" wrapText="1"/>
    </xf>
    <xf numFmtId="9" fontId="18" fillId="10" borderId="12" xfId="127" applyFont="1" applyFill="1" applyBorder="1" applyAlignment="1" applyProtection="1">
      <alignment horizontal="center" vertical="center" wrapText="1"/>
    </xf>
    <xf numFmtId="169" fontId="18" fillId="10" borderId="12" xfId="0" applyNumberFormat="1" applyFont="1" applyFill="1" applyBorder="1" applyAlignment="1">
      <alignment horizontal="center" vertical="center" wrapText="1"/>
    </xf>
    <xf numFmtId="169" fontId="0" fillId="10" borderId="12" xfId="0" applyNumberFormat="1" applyFont="1" applyFill="1" applyBorder="1" applyAlignment="1">
      <alignment horizontal="center" vertical="center" wrapText="1"/>
    </xf>
    <xf numFmtId="169" fontId="18" fillId="10" borderId="13" xfId="0" applyNumberFormat="1" applyFont="1" applyFill="1" applyBorder="1" applyAlignment="1">
      <alignment horizontal="left" vertical="center" wrapText="1"/>
    </xf>
    <xf numFmtId="168" fontId="20" fillId="24" borderId="12" xfId="136" applyNumberFormat="1" applyFont="1" applyFill="1" applyBorder="1" applyAlignment="1" applyProtection="1">
      <alignment horizontal="center" vertical="center" wrapText="1"/>
    </xf>
    <xf numFmtId="0" fontId="18" fillId="10" borderId="12" xfId="0" applyFont="1" applyFill="1" applyBorder="1" applyAlignment="1">
      <alignment vertical="center" wrapText="1"/>
    </xf>
    <xf numFmtId="0" fontId="18" fillId="24" borderId="18" xfId="0" applyFont="1" applyFill="1" applyBorder="1" applyAlignment="1" applyProtection="1">
      <alignment vertical="center" wrapText="1"/>
      <protection locked="0"/>
    </xf>
    <xf numFmtId="0" fontId="18" fillId="24" borderId="11" xfId="0" applyFont="1" applyFill="1" applyBorder="1" applyAlignment="1" applyProtection="1">
      <alignment vertical="center"/>
      <protection locked="0"/>
    </xf>
    <xf numFmtId="0" fontId="0" fillId="10" borderId="12" xfId="0" applyFont="1" applyFill="1" applyBorder="1" applyAlignment="1">
      <alignment horizontal="left" vertical="center" wrapText="1"/>
    </xf>
    <xf numFmtId="9" fontId="20" fillId="10" borderId="12" xfId="127" applyFont="1" applyFill="1" applyBorder="1" applyAlignment="1" applyProtection="1">
      <alignment horizontal="center" vertical="center" wrapText="1"/>
    </xf>
    <xf numFmtId="0" fontId="18" fillId="10" borderId="0" xfId="0" applyFont="1" applyFill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20" fillId="8" borderId="11" xfId="0" applyFont="1" applyFill="1" applyBorder="1" applyAlignment="1">
      <alignment horizontal="center" vertical="center"/>
    </xf>
    <xf numFmtId="0" fontId="20" fillId="8" borderId="12" xfId="0" applyFont="1" applyFill="1" applyBorder="1" applyAlignment="1">
      <alignment horizontal="left" vertical="center" wrapText="1"/>
    </xf>
    <xf numFmtId="166" fontId="20" fillId="8" borderId="12" xfId="136" applyNumberFormat="1" applyFont="1" applyFill="1" applyBorder="1" applyAlignment="1" applyProtection="1">
      <alignment horizontal="center" vertical="center" wrapText="1"/>
    </xf>
    <xf numFmtId="168" fontId="20" fillId="8" borderId="12" xfId="136" applyNumberFormat="1" applyFont="1" applyFill="1" applyBorder="1" applyAlignment="1" applyProtection="1">
      <alignment horizontal="center" vertical="center" wrapText="1"/>
    </xf>
    <xf numFmtId="168" fontId="20" fillId="8" borderId="12" xfId="136" applyNumberFormat="1" applyFont="1" applyFill="1" applyBorder="1" applyAlignment="1" applyProtection="1">
      <alignment vertical="center" wrapText="1"/>
    </xf>
    <xf numFmtId="0" fontId="20" fillId="8" borderId="12" xfId="0" applyFont="1" applyFill="1" applyBorder="1" applyAlignment="1">
      <alignment horizontal="center" vertical="center" wrapText="1"/>
    </xf>
    <xf numFmtId="9" fontId="20" fillId="8" borderId="12" xfId="127" applyFont="1" applyFill="1" applyBorder="1" applyAlignment="1" applyProtection="1">
      <alignment horizontal="center" vertical="center" wrapText="1"/>
    </xf>
    <xf numFmtId="169" fontId="20" fillId="8" borderId="12" xfId="0" applyNumberFormat="1" applyFont="1" applyFill="1" applyBorder="1" applyAlignment="1">
      <alignment horizontal="center" vertical="center" wrapText="1"/>
    </xf>
    <xf numFmtId="169" fontId="21" fillId="8" borderId="12" xfId="0" applyNumberFormat="1" applyFont="1" applyFill="1" applyBorder="1" applyAlignment="1">
      <alignment horizontal="center" vertical="center" wrapText="1"/>
    </xf>
    <xf numFmtId="169" fontId="21" fillId="8" borderId="13" xfId="0" applyNumberFormat="1" applyFont="1" applyFill="1" applyBorder="1" applyAlignment="1">
      <alignment horizontal="left" vertical="center" wrapText="1"/>
    </xf>
    <xf numFmtId="169" fontId="20" fillId="0" borderId="13" xfId="0" applyNumberFormat="1" applyFont="1" applyBorder="1" applyAlignment="1">
      <alignment horizontal="left" vertical="center" wrapText="1"/>
    </xf>
    <xf numFmtId="0" fontId="20" fillId="10" borderId="11" xfId="0" applyFont="1" applyFill="1" applyBorder="1" applyAlignment="1">
      <alignment horizontal="center" vertical="center"/>
    </xf>
    <xf numFmtId="0" fontId="20" fillId="10" borderId="12" xfId="0" applyFont="1" applyFill="1" applyBorder="1" applyAlignment="1">
      <alignment horizontal="left" vertical="center" wrapText="1"/>
    </xf>
    <xf numFmtId="166" fontId="20" fillId="10" borderId="12" xfId="136" applyNumberFormat="1" applyFont="1" applyFill="1" applyBorder="1" applyAlignment="1" applyProtection="1">
      <alignment horizontal="center" vertical="center" wrapText="1"/>
    </xf>
    <xf numFmtId="168" fontId="20" fillId="10" borderId="12" xfId="136" applyNumberFormat="1" applyFont="1" applyFill="1" applyBorder="1" applyAlignment="1" applyProtection="1">
      <alignment horizontal="center" vertical="center" wrapText="1"/>
    </xf>
    <xf numFmtId="0" fontId="20" fillId="10" borderId="12" xfId="0" applyFont="1" applyFill="1" applyBorder="1" applyAlignment="1">
      <alignment horizontal="center" vertical="center" wrapText="1"/>
    </xf>
    <xf numFmtId="169" fontId="20" fillId="10" borderId="12" xfId="0" applyNumberFormat="1" applyFont="1" applyFill="1" applyBorder="1" applyAlignment="1">
      <alignment horizontal="center" vertical="center" wrapText="1"/>
    </xf>
    <xf numFmtId="169" fontId="21" fillId="10" borderId="12" xfId="0" applyNumberFormat="1" applyFont="1" applyFill="1" applyBorder="1" applyAlignment="1">
      <alignment horizontal="center" vertical="center" wrapText="1"/>
    </xf>
    <xf numFmtId="169" fontId="20" fillId="10" borderId="13" xfId="0" applyNumberFormat="1" applyFont="1" applyFill="1" applyBorder="1" applyAlignment="1">
      <alignment horizontal="left" vertical="center" wrapText="1"/>
    </xf>
    <xf numFmtId="0" fontId="18" fillId="0" borderId="0" xfId="103" applyFont="1" applyAlignment="1">
      <alignment horizontal="center"/>
    </xf>
    <xf numFmtId="0" fontId="18" fillId="0" borderId="0" xfId="103" applyFont="1"/>
    <xf numFmtId="0" fontId="18" fillId="0" borderId="0" xfId="103" applyFont="1" applyAlignment="1">
      <alignment vertical="center"/>
    </xf>
    <xf numFmtId="0" fontId="18" fillId="0" borderId="0" xfId="103" applyFont="1" applyAlignment="1">
      <alignment horizontal="left"/>
    </xf>
    <xf numFmtId="0" fontId="19" fillId="0" borderId="0" xfId="103" applyFont="1" applyAlignment="1">
      <alignment horizontal="left"/>
    </xf>
    <xf numFmtId="0" fontId="19" fillId="0" borderId="0" xfId="103" applyFont="1" applyAlignment="1">
      <alignment horizontal="center" vertical="center"/>
    </xf>
    <xf numFmtId="0" fontId="18" fillId="0" borderId="0" xfId="103" applyFont="1" applyAlignment="1">
      <alignment horizontal="right"/>
    </xf>
    <xf numFmtId="2" fontId="18" fillId="0" borderId="0" xfId="103" applyNumberFormat="1" applyFont="1" applyAlignment="1">
      <alignment horizontal="left"/>
    </xf>
    <xf numFmtId="0" fontId="18" fillId="0" borderId="0" xfId="103" applyFont="1" applyAlignment="1">
      <alignment horizontal="left" vertical="top"/>
    </xf>
    <xf numFmtId="0" fontId="19" fillId="0" borderId="10" xfId="103" applyFont="1" applyBorder="1" applyAlignment="1">
      <alignment horizontal="center" vertical="center" wrapText="1"/>
    </xf>
    <xf numFmtId="0" fontId="18" fillId="0" borderId="11" xfId="103" applyFont="1" applyFill="1" applyBorder="1" applyAlignment="1">
      <alignment horizontal="center" vertical="center"/>
    </xf>
    <xf numFmtId="0" fontId="18" fillId="24" borderId="12" xfId="103" applyFont="1" applyFill="1" applyBorder="1" applyAlignment="1">
      <alignment horizontal="left" vertical="center" wrapText="1"/>
    </xf>
    <xf numFmtId="0" fontId="18" fillId="24" borderId="12" xfId="103" applyFont="1" applyFill="1" applyBorder="1" applyAlignment="1">
      <alignment horizontal="center" vertical="center" wrapText="1"/>
    </xf>
    <xf numFmtId="168" fontId="22" fillId="24" borderId="12" xfId="136" applyNumberFormat="1" applyFont="1" applyFill="1" applyBorder="1" applyAlignment="1" applyProtection="1">
      <alignment vertical="center" wrapText="1"/>
    </xf>
    <xf numFmtId="0" fontId="18" fillId="0" borderId="12" xfId="103" applyFont="1" applyBorder="1" applyAlignment="1">
      <alignment horizontal="center" vertical="center" wrapText="1"/>
    </xf>
    <xf numFmtId="169" fontId="18" fillId="0" borderId="12" xfId="103" applyNumberFormat="1" applyFont="1" applyBorder="1" applyAlignment="1">
      <alignment horizontal="center" vertical="center" wrapText="1"/>
    </xf>
    <xf numFmtId="169" fontId="22" fillId="0" borderId="12" xfId="103" applyNumberFormat="1" applyFont="1" applyBorder="1" applyAlignment="1">
      <alignment horizontal="center" vertical="center" wrapText="1"/>
    </xf>
    <xf numFmtId="169" fontId="22" fillId="0" borderId="13" xfId="103" applyNumberFormat="1" applyFont="1" applyBorder="1" applyAlignment="1">
      <alignment horizontal="left" vertical="center" wrapText="1"/>
    </xf>
    <xf numFmtId="0" fontId="18" fillId="0" borderId="12" xfId="103" applyFont="1" applyFill="1" applyBorder="1" applyAlignment="1">
      <alignment horizontal="left" vertical="center" wrapText="1"/>
    </xf>
    <xf numFmtId="0" fontId="18" fillId="0" borderId="12" xfId="103" applyFont="1" applyFill="1" applyBorder="1" applyAlignment="1">
      <alignment horizontal="center" vertical="center" wrapText="1"/>
    </xf>
    <xf numFmtId="169" fontId="18" fillId="0" borderId="12" xfId="103" applyNumberFormat="1" applyFont="1" applyFill="1" applyBorder="1" applyAlignment="1">
      <alignment horizontal="center" vertical="center" wrapText="1"/>
    </xf>
    <xf numFmtId="169" fontId="22" fillId="0" borderId="12" xfId="103" applyNumberFormat="1" applyFont="1" applyFill="1" applyBorder="1" applyAlignment="1">
      <alignment horizontal="center" vertical="center" wrapText="1"/>
    </xf>
    <xf numFmtId="169" fontId="18" fillId="0" borderId="13" xfId="103" applyNumberFormat="1" applyFont="1" applyFill="1" applyBorder="1" applyAlignment="1">
      <alignment horizontal="left" vertical="center" wrapText="1"/>
    </xf>
    <xf numFmtId="0" fontId="18" fillId="0" borderId="0" xfId="103" applyFont="1" applyFill="1"/>
    <xf numFmtId="169" fontId="18" fillId="0" borderId="13" xfId="103" applyNumberFormat="1" applyFont="1" applyBorder="1" applyAlignment="1">
      <alignment horizontal="left" vertical="center" wrapText="1"/>
    </xf>
    <xf numFmtId="168" fontId="18" fillId="0" borderId="0" xfId="103" applyNumberFormat="1" applyFont="1"/>
    <xf numFmtId="0" fontId="18" fillId="24" borderId="12" xfId="103" applyFont="1" applyFill="1" applyBorder="1" applyAlignment="1" applyProtection="1">
      <alignment vertical="center" wrapText="1"/>
      <protection locked="0"/>
    </xf>
    <xf numFmtId="3" fontId="18" fillId="24" borderId="11" xfId="103" applyNumberFormat="1" applyFont="1" applyFill="1" applyBorder="1" applyAlignment="1" applyProtection="1">
      <alignment vertical="center" wrapText="1"/>
      <protection locked="0"/>
    </xf>
    <xf numFmtId="0" fontId="22" fillId="0" borderId="12" xfId="103" applyFont="1" applyBorder="1" applyAlignment="1">
      <alignment horizontal="center" vertical="center" wrapText="1"/>
    </xf>
    <xf numFmtId="0" fontId="22" fillId="0" borderId="12" xfId="103" applyFont="1" applyBorder="1" applyAlignment="1" applyProtection="1">
      <alignment horizontal="center" vertical="center" wrapText="1"/>
      <protection locked="0"/>
    </xf>
    <xf numFmtId="169" fontId="22" fillId="24" borderId="13" xfId="103" applyNumberFormat="1" applyFont="1" applyFill="1" applyBorder="1" applyAlignment="1">
      <alignment horizontal="left" vertical="center" wrapText="1"/>
    </xf>
    <xf numFmtId="0" fontId="18" fillId="0" borderId="12" xfId="103" applyFont="1" applyBorder="1" applyAlignment="1">
      <alignment horizontal="left" vertical="center" wrapText="1"/>
    </xf>
    <xf numFmtId="0" fontId="23" fillId="24" borderId="11" xfId="103" applyFont="1" applyFill="1" applyBorder="1" applyAlignment="1">
      <alignment horizontal="center" vertical="center"/>
    </xf>
    <xf numFmtId="0" fontId="23" fillId="24" borderId="12" xfId="103" applyFont="1" applyFill="1" applyBorder="1" applyAlignment="1">
      <alignment horizontal="left" vertical="center" wrapText="1"/>
    </xf>
    <xf numFmtId="0" fontId="23" fillId="24" borderId="12" xfId="103" applyFont="1" applyFill="1" applyBorder="1" applyAlignment="1">
      <alignment horizontal="center" vertical="center" wrapText="1"/>
    </xf>
    <xf numFmtId="168" fontId="23" fillId="24" borderId="12" xfId="136" applyNumberFormat="1" applyFont="1" applyFill="1" applyBorder="1" applyAlignment="1" applyProtection="1">
      <alignment horizontal="center" vertical="center" wrapText="1"/>
    </xf>
    <xf numFmtId="9" fontId="23" fillId="24" borderId="12" xfId="127" applyFont="1" applyFill="1" applyBorder="1" applyAlignment="1" applyProtection="1">
      <alignment horizontal="center" vertical="center" wrapText="1"/>
    </xf>
    <xf numFmtId="169" fontId="23" fillId="24" borderId="12" xfId="103" applyNumberFormat="1" applyFont="1" applyFill="1" applyBorder="1" applyAlignment="1">
      <alignment horizontal="center" vertical="center" wrapText="1"/>
    </xf>
    <xf numFmtId="169" fontId="23" fillId="24" borderId="13" xfId="103" applyNumberFormat="1" applyFont="1" applyFill="1" applyBorder="1" applyAlignment="1">
      <alignment horizontal="left" vertical="center" wrapText="1"/>
    </xf>
    <xf numFmtId="168" fontId="22" fillId="0" borderId="12" xfId="136" applyNumberFormat="1" applyFont="1" applyFill="1" applyBorder="1" applyAlignment="1" applyProtection="1">
      <alignment vertical="center" wrapText="1"/>
    </xf>
    <xf numFmtId="0" fontId="19" fillId="0" borderId="10" xfId="103" applyFont="1" applyBorder="1" applyAlignment="1">
      <alignment horizontal="center" vertical="top" wrapText="1"/>
    </xf>
    <xf numFmtId="168" fontId="19" fillId="0" borderId="10" xfId="103" applyNumberFormat="1" applyFont="1" applyBorder="1" applyAlignment="1">
      <alignment horizontal="right" vertical="center" wrapText="1"/>
    </xf>
    <xf numFmtId="0" fontId="18" fillId="0" borderId="11" xfId="103" applyFont="1" applyBorder="1" applyAlignment="1">
      <alignment horizontal="center" vertical="center"/>
    </xf>
    <xf numFmtId="0" fontId="18" fillId="24" borderId="11" xfId="103" applyFont="1" applyFill="1" applyBorder="1" applyAlignment="1">
      <alignment horizontal="center" vertical="center"/>
    </xf>
    <xf numFmtId="168" fontId="22" fillId="24" borderId="12" xfId="136" applyNumberFormat="1" applyFont="1" applyFill="1" applyBorder="1" applyAlignment="1" applyProtection="1">
      <alignment horizontal="center" vertical="center" wrapText="1"/>
    </xf>
    <xf numFmtId="9" fontId="18" fillId="24" borderId="12" xfId="127" applyFont="1" applyFill="1" applyBorder="1" applyAlignment="1" applyProtection="1">
      <alignment horizontal="center" vertical="center" wrapText="1"/>
    </xf>
    <xf numFmtId="169" fontId="22" fillId="24" borderId="12" xfId="103" applyNumberFormat="1" applyFont="1" applyFill="1" applyBorder="1" applyAlignment="1">
      <alignment horizontal="center" vertical="center" wrapText="1"/>
    </xf>
    <xf numFmtId="0" fontId="24" fillId="24" borderId="11" xfId="103" applyFont="1" applyFill="1" applyBorder="1" applyAlignment="1">
      <alignment horizontal="center" vertical="center"/>
    </xf>
    <xf numFmtId="0" fontId="24" fillId="24" borderId="12" xfId="103" applyFont="1" applyFill="1" applyBorder="1" applyAlignment="1">
      <alignment horizontal="left" vertical="center" wrapText="1"/>
    </xf>
    <xf numFmtId="166" fontId="24" fillId="24" borderId="12" xfId="136" applyNumberFormat="1" applyFont="1" applyFill="1" applyBorder="1" applyAlignment="1" applyProtection="1">
      <alignment horizontal="center" vertical="center" wrapText="1"/>
    </xf>
    <xf numFmtId="168" fontId="24" fillId="24" borderId="12" xfId="136" applyNumberFormat="1" applyFont="1" applyFill="1" applyBorder="1" applyAlignment="1" applyProtection="1">
      <alignment horizontal="center" vertical="center" wrapText="1"/>
    </xf>
    <xf numFmtId="168" fontId="24" fillId="24" borderId="12" xfId="136" applyNumberFormat="1" applyFont="1" applyFill="1" applyBorder="1" applyAlignment="1" applyProtection="1">
      <alignment vertical="center" wrapText="1"/>
    </xf>
    <xf numFmtId="0" fontId="24" fillId="24" borderId="12" xfId="103" applyFont="1" applyFill="1" applyBorder="1" applyAlignment="1">
      <alignment horizontal="center" vertical="center" wrapText="1"/>
    </xf>
    <xf numFmtId="9" fontId="24" fillId="24" borderId="12" xfId="127" applyFont="1" applyFill="1" applyBorder="1" applyAlignment="1" applyProtection="1">
      <alignment horizontal="center" vertical="center" wrapText="1"/>
    </xf>
    <xf numFmtId="169" fontId="24" fillId="24" borderId="12" xfId="103" applyNumberFormat="1" applyFont="1" applyFill="1" applyBorder="1" applyAlignment="1">
      <alignment horizontal="center" vertical="center" wrapText="1"/>
    </xf>
    <xf numFmtId="169" fontId="24" fillId="24" borderId="13" xfId="103" applyNumberFormat="1" applyFont="1" applyFill="1" applyBorder="1" applyAlignment="1">
      <alignment horizontal="left" vertical="center" wrapText="1"/>
    </xf>
    <xf numFmtId="0" fontId="18" fillId="24" borderId="12" xfId="103" applyFont="1" applyFill="1" applyBorder="1" applyAlignment="1">
      <alignment vertical="center" wrapText="1"/>
    </xf>
    <xf numFmtId="168" fontId="22" fillId="0" borderId="12" xfId="103" applyNumberFormat="1" applyFont="1" applyBorder="1" applyAlignment="1">
      <alignment horizontal="right" vertical="center" wrapText="1"/>
    </xf>
    <xf numFmtId="168" fontId="18" fillId="0" borderId="12" xfId="103" applyNumberFormat="1" applyFont="1" applyBorder="1" applyAlignment="1">
      <alignment horizontal="right" vertical="center" wrapText="1"/>
    </xf>
    <xf numFmtId="0" fontId="18" fillId="0" borderId="10" xfId="103" applyFont="1" applyBorder="1" applyAlignment="1">
      <alignment horizontal="center" vertical="center" wrapText="1"/>
    </xf>
    <xf numFmtId="169" fontId="19" fillId="0" borderId="13" xfId="103" applyNumberFormat="1" applyFont="1" applyBorder="1" applyAlignment="1">
      <alignment horizontal="left" vertical="center" wrapText="1"/>
    </xf>
    <xf numFmtId="168" fontId="22" fillId="24" borderId="12" xfId="103" applyNumberFormat="1" applyFont="1" applyFill="1" applyBorder="1" applyAlignment="1">
      <alignment horizontal="right" vertical="center" wrapText="1"/>
    </xf>
    <xf numFmtId="168" fontId="18" fillId="24" borderId="12" xfId="103" applyNumberFormat="1" applyFont="1" applyFill="1" applyBorder="1" applyAlignment="1">
      <alignment horizontal="right" vertical="center" wrapText="1"/>
    </xf>
    <xf numFmtId="169" fontId="18" fillId="24" borderId="12" xfId="103" applyNumberFormat="1" applyFont="1" applyFill="1" applyBorder="1" applyAlignment="1">
      <alignment horizontal="center" vertical="center" wrapText="1"/>
    </xf>
    <xf numFmtId="168" fontId="19" fillId="20" borderId="15" xfId="103" applyNumberFormat="1" applyFont="1" applyFill="1" applyBorder="1" applyAlignment="1">
      <alignment horizontal="right" vertical="center" wrapText="1"/>
    </xf>
    <xf numFmtId="171" fontId="18" fillId="0" borderId="0" xfId="103" applyNumberFormat="1" applyFont="1"/>
    <xf numFmtId="168" fontId="18" fillId="0" borderId="0" xfId="103" applyNumberFormat="1" applyFont="1" applyAlignment="1">
      <alignment horizontal="center"/>
    </xf>
    <xf numFmtId="168" fontId="18" fillId="0" borderId="0" xfId="103" applyNumberFormat="1" applyFont="1" applyAlignment="1">
      <alignment vertical="center"/>
    </xf>
    <xf numFmtId="166" fontId="18" fillId="0" borderId="0" xfId="103" applyNumberFormat="1" applyFont="1"/>
    <xf numFmtId="0" fontId="18" fillId="0" borderId="0" xfId="103" applyFont="1" applyAlignment="1">
      <alignment horizontal="center" vertical="top"/>
    </xf>
    <xf numFmtId="0" fontId="19" fillId="0" borderId="0" xfId="103" applyFont="1"/>
    <xf numFmtId="0" fontId="18" fillId="0" borderId="0" xfId="103" applyNumberFormat="1" applyFont="1" applyAlignment="1"/>
    <xf numFmtId="168" fontId="18" fillId="0" borderId="0" xfId="130" applyNumberFormat="1" applyFont="1" applyFill="1" applyBorder="1" applyAlignment="1" applyProtection="1">
      <alignment vertical="center"/>
    </xf>
    <xf numFmtId="49" fontId="26" fillId="0" borderId="0" xfId="0" applyNumberFormat="1" applyFont="1" applyAlignment="1">
      <alignment horizontal="center"/>
    </xf>
    <xf numFmtId="49" fontId="26" fillId="0" borderId="0" xfId="0" applyNumberFormat="1" applyFont="1" applyAlignment="1">
      <alignment horizontal="right"/>
    </xf>
    <xf numFmtId="169" fontId="22" fillId="0" borderId="0" xfId="103" applyNumberFormat="1" applyFont="1" applyBorder="1" applyAlignment="1">
      <alignment horizontal="center" vertical="center" wrapText="1"/>
    </xf>
    <xf numFmtId="9" fontId="18" fillId="0" borderId="0" xfId="120" applyFont="1" applyFill="1" applyBorder="1" applyAlignment="1" applyProtection="1">
      <alignment horizontal="left" vertical="center"/>
    </xf>
    <xf numFmtId="168" fontId="18" fillId="0" borderId="19" xfId="130" applyNumberFormat="1" applyFont="1" applyFill="1" applyBorder="1" applyAlignment="1" applyProtection="1">
      <alignment vertical="center"/>
    </xf>
    <xf numFmtId="0" fontId="1" fillId="0" borderId="0" xfId="113" applyFont="1" applyAlignment="1">
      <alignment horizontal="center"/>
    </xf>
    <xf numFmtId="0" fontId="39" fillId="0" borderId="0" xfId="113"/>
    <xf numFmtId="4" fontId="39" fillId="0" borderId="0" xfId="113" applyNumberFormat="1"/>
    <xf numFmtId="9" fontId="39" fillId="0" borderId="0" xfId="113" applyNumberFormat="1"/>
    <xf numFmtId="0" fontId="39" fillId="0" borderId="0" xfId="113" applyAlignment="1">
      <alignment horizontal="center"/>
    </xf>
    <xf numFmtId="0" fontId="39" fillId="0" borderId="0" xfId="113" applyBorder="1"/>
    <xf numFmtId="4" fontId="39" fillId="0" borderId="0" xfId="113" applyNumberFormat="1" applyBorder="1"/>
    <xf numFmtId="9" fontId="39" fillId="0" borderId="0" xfId="113" applyNumberFormat="1" applyBorder="1"/>
    <xf numFmtId="0" fontId="39" fillId="0" borderId="0" xfId="113" applyBorder="1" applyAlignment="1">
      <alignment horizontal="center"/>
    </xf>
    <xf numFmtId="0" fontId="1" fillId="0" borderId="0" xfId="113" applyFont="1" applyBorder="1" applyAlignment="1">
      <alignment horizontal="center"/>
    </xf>
    <xf numFmtId="0" fontId="39" fillId="0" borderId="0" xfId="104"/>
    <xf numFmtId="0" fontId="0" fillId="0" borderId="0" xfId="107" applyFont="1" applyBorder="1"/>
    <xf numFmtId="0" fontId="0" fillId="0" borderId="0" xfId="104" applyFont="1" applyBorder="1"/>
    <xf numFmtId="0" fontId="18" fillId="0" borderId="0" xfId="107" applyFont="1" applyFill="1" applyBorder="1" applyAlignment="1">
      <alignment vertical="center" wrapText="1"/>
    </xf>
    <xf numFmtId="0" fontId="29" fillId="9" borderId="12" xfId="104" applyFont="1" applyFill="1" applyBorder="1" applyAlignment="1">
      <alignment horizontal="center" vertical="center" wrapText="1"/>
    </xf>
    <xf numFmtId="0" fontId="30" fillId="25" borderId="12" xfId="104" applyFont="1" applyFill="1" applyBorder="1" applyAlignment="1">
      <alignment horizontal="center" vertical="center" wrapText="1"/>
    </xf>
    <xf numFmtId="4" fontId="30" fillId="25" borderId="12" xfId="104" applyNumberFormat="1" applyFont="1" applyFill="1" applyBorder="1" applyAlignment="1">
      <alignment horizontal="center" vertical="center" wrapText="1"/>
    </xf>
    <xf numFmtId="9" fontId="30" fillId="25" borderId="12" xfId="104" applyNumberFormat="1" applyFont="1" applyFill="1" applyBorder="1" applyAlignment="1">
      <alignment horizontal="center" vertical="center" wrapText="1"/>
    </xf>
    <xf numFmtId="0" fontId="29" fillId="9" borderId="20" xfId="104" applyFont="1" applyFill="1" applyBorder="1" applyAlignment="1">
      <alignment horizontal="center" vertical="center" wrapText="1"/>
    </xf>
    <xf numFmtId="0" fontId="31" fillId="0" borderId="0" xfId="113" applyFont="1" applyBorder="1"/>
    <xf numFmtId="0" fontId="29" fillId="24" borderId="12" xfId="104" applyFont="1" applyFill="1" applyBorder="1" applyAlignment="1">
      <alignment horizontal="center" vertical="center" wrapText="1"/>
    </xf>
    <xf numFmtId="0" fontId="18" fillId="0" borderId="11" xfId="104" applyFont="1" applyFill="1" applyBorder="1" applyAlignment="1">
      <alignment vertical="center" wrapText="1"/>
    </xf>
    <xf numFmtId="0" fontId="18" fillId="0" borderId="12" xfId="104" applyFont="1" applyFill="1" applyBorder="1" applyAlignment="1">
      <alignment vertical="center" wrapText="1"/>
    </xf>
    <xf numFmtId="0" fontId="18" fillId="0" borderId="12" xfId="104" applyFont="1" applyFill="1" applyBorder="1" applyAlignment="1">
      <alignment horizontal="center" vertical="center" wrapText="1"/>
    </xf>
    <xf numFmtId="9" fontId="18" fillId="0" borderId="12" xfId="104" applyNumberFormat="1" applyFont="1" applyFill="1" applyBorder="1" applyAlignment="1">
      <alignment vertical="center" wrapText="1"/>
    </xf>
    <xf numFmtId="10" fontId="18" fillId="0" borderId="12" xfId="104" applyNumberFormat="1" applyFont="1" applyFill="1" applyBorder="1" applyAlignment="1">
      <alignment vertical="center" wrapText="1"/>
    </xf>
    <xf numFmtId="0" fontId="29" fillId="0" borderId="12" xfId="104" applyFont="1" applyFill="1" applyBorder="1" applyAlignment="1">
      <alignment horizontal="center" vertical="center" wrapText="1"/>
    </xf>
    <xf numFmtId="172" fontId="18" fillId="0" borderId="21" xfId="104" applyNumberFormat="1" applyFont="1" applyFill="1" applyBorder="1" applyAlignment="1">
      <alignment vertical="center" wrapText="1"/>
    </xf>
    <xf numFmtId="0" fontId="18" fillId="0" borderId="21" xfId="104" applyFont="1" applyFill="1" applyBorder="1" applyAlignment="1">
      <alignment vertical="center" wrapText="1"/>
    </xf>
    <xf numFmtId="0" fontId="18" fillId="0" borderId="13" xfId="104" applyFont="1" applyFill="1" applyBorder="1" applyAlignment="1">
      <alignment vertical="center" wrapText="1"/>
    </xf>
    <xf numFmtId="0" fontId="32" fillId="24" borderId="10" xfId="104" applyFont="1" applyFill="1" applyBorder="1" applyAlignment="1">
      <alignment horizontal="center" vertical="center" wrapText="1"/>
    </xf>
    <xf numFmtId="0" fontId="32" fillId="0" borderId="22" xfId="104" applyFont="1" applyFill="1" applyBorder="1" applyAlignment="1">
      <alignment vertical="center" wrapText="1"/>
    </xf>
    <xf numFmtId="0" fontId="32" fillId="0" borderId="10" xfId="104" applyFont="1" applyFill="1" applyBorder="1" applyAlignment="1">
      <alignment vertical="center" wrapText="1"/>
    </xf>
    <xf numFmtId="0" fontId="32" fillId="0" borderId="10" xfId="104" applyFont="1" applyFill="1" applyBorder="1" applyAlignment="1">
      <alignment horizontal="center" vertical="center" wrapText="1"/>
    </xf>
    <xf numFmtId="168" fontId="32" fillId="24" borderId="10" xfId="136" applyNumberFormat="1" applyFont="1" applyFill="1" applyBorder="1" applyAlignment="1" applyProtection="1">
      <alignment vertical="center" wrapText="1"/>
    </xf>
    <xf numFmtId="9" fontId="32" fillId="0" borderId="10" xfId="104" applyNumberFormat="1" applyFont="1" applyFill="1" applyBorder="1" applyAlignment="1">
      <alignment vertical="center" wrapText="1"/>
    </xf>
    <xf numFmtId="10" fontId="32" fillId="0" borderId="10" xfId="104" applyNumberFormat="1" applyFont="1" applyFill="1" applyBorder="1" applyAlignment="1">
      <alignment vertical="center" wrapText="1"/>
    </xf>
    <xf numFmtId="172" fontId="32" fillId="0" borderId="23" xfId="104" applyNumberFormat="1" applyFont="1" applyFill="1" applyBorder="1" applyAlignment="1">
      <alignment vertical="center" wrapText="1"/>
    </xf>
    <xf numFmtId="0" fontId="32" fillId="0" borderId="23" xfId="104" applyFont="1" applyFill="1" applyBorder="1" applyAlignment="1">
      <alignment vertical="center" wrapText="1"/>
    </xf>
    <xf numFmtId="172" fontId="18" fillId="0" borderId="23" xfId="104" applyNumberFormat="1" applyFont="1" applyFill="1" applyBorder="1" applyAlignment="1">
      <alignment vertical="center" wrapText="1"/>
    </xf>
    <xf numFmtId="0" fontId="32" fillId="0" borderId="14" xfId="104" applyFont="1" applyFill="1" applyBorder="1" applyAlignment="1">
      <alignment vertical="center" wrapText="1"/>
    </xf>
    <xf numFmtId="0" fontId="33" fillId="0" borderId="0" xfId="104" applyFont="1"/>
    <xf numFmtId="0" fontId="32" fillId="0" borderId="0" xfId="107" applyFont="1" applyFill="1" applyBorder="1" applyAlignment="1">
      <alignment vertical="center" wrapText="1"/>
    </xf>
    <xf numFmtId="0" fontId="33" fillId="0" borderId="0" xfId="104" applyFont="1" applyBorder="1"/>
    <xf numFmtId="0" fontId="33" fillId="0" borderId="0" xfId="113" applyFont="1"/>
    <xf numFmtId="10" fontId="18" fillId="0" borderId="12" xfId="104" applyNumberFormat="1" applyFont="1" applyFill="1" applyBorder="1" applyAlignment="1">
      <alignment horizontal="center" vertical="center" wrapText="1"/>
    </xf>
    <xf numFmtId="0" fontId="34" fillId="24" borderId="12" xfId="104" applyFont="1" applyFill="1" applyBorder="1" applyAlignment="1">
      <alignment horizontal="center" vertical="center" wrapText="1"/>
    </xf>
    <xf numFmtId="0" fontId="34" fillId="0" borderId="11" xfId="104" applyFont="1" applyFill="1" applyBorder="1" applyAlignment="1">
      <alignment vertical="center" wrapText="1"/>
    </xf>
    <xf numFmtId="0" fontId="34" fillId="0" borderId="12" xfId="104" applyFont="1" applyFill="1" applyBorder="1" applyAlignment="1">
      <alignment vertical="center" wrapText="1"/>
    </xf>
    <xf numFmtId="0" fontId="34" fillId="24" borderId="12" xfId="103" applyFont="1" applyFill="1" applyBorder="1" applyAlignment="1">
      <alignment horizontal="left" vertical="center" wrapText="1"/>
    </xf>
    <xf numFmtId="168" fontId="34" fillId="24" borderId="12" xfId="136" applyNumberFormat="1" applyFont="1" applyFill="1" applyBorder="1" applyAlignment="1" applyProtection="1">
      <alignment horizontal="center" vertical="center" wrapText="1"/>
    </xf>
    <xf numFmtId="9" fontId="34" fillId="0" borderId="12" xfId="104" applyNumberFormat="1" applyFont="1" applyFill="1" applyBorder="1" applyAlignment="1">
      <alignment vertical="center" wrapText="1"/>
    </xf>
    <xf numFmtId="10" fontId="34" fillId="0" borderId="12" xfId="104" applyNumberFormat="1" applyFont="1" applyFill="1" applyBorder="1" applyAlignment="1">
      <alignment vertical="center" wrapText="1"/>
    </xf>
    <xf numFmtId="10" fontId="34" fillId="0" borderId="12" xfId="104" applyNumberFormat="1" applyFont="1" applyFill="1" applyBorder="1" applyAlignment="1">
      <alignment horizontal="center" vertical="center" wrapText="1"/>
    </xf>
    <xf numFmtId="0" fontId="34" fillId="0" borderId="12" xfId="104" applyFont="1" applyFill="1" applyBorder="1" applyAlignment="1">
      <alignment horizontal="center" vertical="center" wrapText="1"/>
    </xf>
    <xf numFmtId="0" fontId="34" fillId="0" borderId="13" xfId="104" applyFont="1" applyFill="1" applyBorder="1" applyAlignment="1">
      <alignment vertical="center" wrapText="1"/>
    </xf>
    <xf numFmtId="0" fontId="35" fillId="0" borderId="0" xfId="104" applyFont="1"/>
    <xf numFmtId="0" fontId="35" fillId="0" borderId="0" xfId="104" applyFont="1" applyBorder="1"/>
    <xf numFmtId="0" fontId="35" fillId="0" borderId="0" xfId="113" applyFont="1"/>
    <xf numFmtId="0" fontId="34" fillId="0" borderId="0" xfId="107" applyFont="1" applyFill="1" applyBorder="1" applyAlignment="1">
      <alignment vertical="center" wrapText="1"/>
    </xf>
    <xf numFmtId="168" fontId="34" fillId="24" borderId="12" xfId="136" applyNumberFormat="1" applyFont="1" applyFill="1" applyBorder="1" applyAlignment="1" applyProtection="1">
      <alignment vertical="center" wrapText="1"/>
    </xf>
    <xf numFmtId="0" fontId="32" fillId="24" borderId="12" xfId="104" applyFont="1" applyFill="1" applyBorder="1" applyAlignment="1">
      <alignment horizontal="center" vertical="center" wrapText="1"/>
    </xf>
    <xf numFmtId="0" fontId="32" fillId="0" borderId="11" xfId="104" applyFont="1" applyFill="1" applyBorder="1" applyAlignment="1">
      <alignment vertical="center" wrapText="1"/>
    </xf>
    <xf numFmtId="0" fontId="32" fillId="24" borderId="12" xfId="103" applyFont="1" applyFill="1" applyBorder="1" applyAlignment="1">
      <alignment horizontal="left" vertical="center" wrapText="1"/>
    </xf>
    <xf numFmtId="0" fontId="32" fillId="0" borderId="12" xfId="104" applyFont="1" applyFill="1" applyBorder="1" applyAlignment="1">
      <alignment vertical="center" wrapText="1"/>
    </xf>
    <xf numFmtId="168" fontId="32" fillId="24" borderId="12" xfId="136" applyNumberFormat="1" applyFont="1" applyFill="1" applyBorder="1" applyAlignment="1" applyProtection="1">
      <alignment vertical="center" wrapText="1"/>
    </xf>
    <xf numFmtId="9" fontId="32" fillId="0" borderId="12" xfId="104" applyNumberFormat="1" applyFont="1" applyFill="1" applyBorder="1" applyAlignment="1">
      <alignment vertical="center" wrapText="1"/>
    </xf>
    <xf numFmtId="10" fontId="32" fillId="0" borderId="12" xfId="104" applyNumberFormat="1" applyFont="1" applyFill="1" applyBorder="1" applyAlignment="1">
      <alignment vertical="center" wrapText="1"/>
    </xf>
    <xf numFmtId="10" fontId="32" fillId="0" borderId="12" xfId="104" applyNumberFormat="1" applyFont="1" applyFill="1" applyBorder="1" applyAlignment="1">
      <alignment horizontal="center" vertical="center" wrapText="1"/>
    </xf>
    <xf numFmtId="0" fontId="32" fillId="0" borderId="12" xfId="104" applyFont="1" applyFill="1" applyBorder="1" applyAlignment="1">
      <alignment horizontal="center" vertical="center" wrapText="1"/>
    </xf>
    <xf numFmtId="0" fontId="32" fillId="0" borderId="13" xfId="104" applyFont="1" applyFill="1" applyBorder="1" applyAlignment="1">
      <alignment vertical="center" wrapText="1"/>
    </xf>
    <xf numFmtId="0" fontId="32" fillId="24" borderId="10" xfId="103" applyFont="1" applyFill="1" applyBorder="1" applyAlignment="1">
      <alignment horizontal="left" vertical="center" wrapText="1"/>
    </xf>
    <xf numFmtId="10" fontId="32" fillId="0" borderId="10" xfId="104" applyNumberFormat="1" applyFont="1" applyFill="1" applyBorder="1" applyAlignment="1">
      <alignment horizontal="center" vertical="center" wrapText="1"/>
    </xf>
    <xf numFmtId="0" fontId="18" fillId="0" borderId="23" xfId="104" applyFont="1" applyFill="1" applyBorder="1" applyAlignment="1">
      <alignment vertical="center" wrapText="1"/>
    </xf>
    <xf numFmtId="0" fontId="34" fillId="0" borderId="12" xfId="103" applyFont="1" applyBorder="1" applyAlignment="1">
      <alignment horizontal="left" vertical="center" wrapText="1"/>
    </xf>
    <xf numFmtId="3" fontId="34" fillId="0" borderId="12" xfId="104" applyNumberFormat="1" applyFont="1" applyFill="1" applyBorder="1" applyAlignment="1">
      <alignment vertical="center" wrapText="1"/>
    </xf>
    <xf numFmtId="172" fontId="34" fillId="0" borderId="21" xfId="133" applyNumberFormat="1" applyFont="1" applyFill="1" applyBorder="1" applyAlignment="1" applyProtection="1">
      <alignment vertical="center" wrapText="1"/>
    </xf>
    <xf numFmtId="0" fontId="34" fillId="0" borderId="21" xfId="104" applyFont="1" applyFill="1" applyBorder="1" applyAlignment="1">
      <alignment vertical="center" wrapText="1"/>
    </xf>
    <xf numFmtId="172" fontId="34" fillId="0" borderId="21" xfId="104" applyNumberFormat="1" applyFont="1" applyFill="1" applyBorder="1" applyAlignment="1">
      <alignment vertical="center" wrapText="1"/>
    </xf>
    <xf numFmtId="0" fontId="35" fillId="0" borderId="0" xfId="107" applyFont="1" applyBorder="1"/>
    <xf numFmtId="0" fontId="4" fillId="0" borderId="0" xfId="113" applyFont="1" applyBorder="1"/>
    <xf numFmtId="3" fontId="18" fillId="0" borderId="12" xfId="104" applyNumberFormat="1" applyFont="1" applyFill="1" applyBorder="1" applyAlignment="1">
      <alignment vertical="center" wrapText="1"/>
    </xf>
    <xf numFmtId="172" fontId="18" fillId="0" borderId="21" xfId="133" applyNumberFormat="1" applyFont="1" applyFill="1" applyBorder="1" applyAlignment="1" applyProtection="1">
      <alignment vertical="center" wrapText="1"/>
    </xf>
    <xf numFmtId="0" fontId="29" fillId="24" borderId="10" xfId="104" applyFont="1" applyFill="1" applyBorder="1" applyAlignment="1">
      <alignment horizontal="center" vertical="center" wrapText="1"/>
    </xf>
    <xf numFmtId="0" fontId="18" fillId="0" borderId="22" xfId="104" applyFont="1" applyFill="1" applyBorder="1" applyAlignment="1">
      <alignment vertical="center" wrapText="1"/>
    </xf>
    <xf numFmtId="0" fontId="18" fillId="0" borderId="10" xfId="104" applyFont="1" applyFill="1" applyBorder="1" applyAlignment="1">
      <alignment vertical="center" wrapText="1"/>
    </xf>
    <xf numFmtId="0" fontId="18" fillId="24" borderId="10" xfId="103" applyFont="1" applyFill="1" applyBorder="1" applyAlignment="1">
      <alignment horizontal="left" vertical="center" wrapText="1"/>
    </xf>
    <xf numFmtId="3" fontId="18" fillId="0" borderId="10" xfId="104" applyNumberFormat="1" applyFont="1" applyFill="1" applyBorder="1" applyAlignment="1">
      <alignment vertical="center" wrapText="1"/>
    </xf>
    <xf numFmtId="9" fontId="18" fillId="0" borderId="10" xfId="104" applyNumberFormat="1" applyFont="1" applyFill="1" applyBorder="1" applyAlignment="1">
      <alignment vertical="center" wrapText="1"/>
    </xf>
    <xf numFmtId="0" fontId="18" fillId="0" borderId="10" xfId="104" applyFont="1" applyFill="1" applyBorder="1" applyAlignment="1">
      <alignment horizontal="center" vertical="center" wrapText="1"/>
    </xf>
    <xf numFmtId="0" fontId="29" fillId="0" borderId="10" xfId="104" applyFont="1" applyFill="1" applyBorder="1" applyAlignment="1">
      <alignment horizontal="center" vertical="center" wrapText="1"/>
    </xf>
    <xf numFmtId="172" fontId="18" fillId="0" borderId="23" xfId="133" applyNumberFormat="1" applyFont="1" applyFill="1" applyBorder="1" applyAlignment="1" applyProtection="1">
      <alignment vertical="center" wrapText="1"/>
    </xf>
    <xf numFmtId="0" fontId="18" fillId="0" borderId="14" xfId="104" applyFont="1" applyFill="1" applyBorder="1" applyAlignment="1">
      <alignment vertical="center" wrapText="1"/>
    </xf>
    <xf numFmtId="167" fontId="18" fillId="0" borderId="21" xfId="133" applyNumberFormat="1" applyFont="1" applyFill="1" applyBorder="1" applyAlignment="1" applyProtection="1">
      <alignment vertical="center" wrapText="1"/>
    </xf>
    <xf numFmtId="0" fontId="18" fillId="24" borderId="12" xfId="104" applyFont="1" applyFill="1" applyBorder="1" applyAlignment="1">
      <alignment horizontal="center" vertical="center" wrapText="1"/>
    </xf>
    <xf numFmtId="172" fontId="18" fillId="0" borderId="12" xfId="133" applyNumberFormat="1" applyFont="1" applyFill="1" applyBorder="1" applyAlignment="1" applyProtection="1">
      <alignment vertical="center" wrapText="1"/>
    </xf>
    <xf numFmtId="172" fontId="34" fillId="0" borderId="12" xfId="133" applyNumberFormat="1" applyFont="1" applyFill="1" applyBorder="1" applyAlignment="1" applyProtection="1">
      <alignment vertical="center" wrapText="1"/>
    </xf>
    <xf numFmtId="169" fontId="34" fillId="0" borderId="12" xfId="103" applyNumberFormat="1" applyFont="1" applyBorder="1" applyAlignment="1">
      <alignment horizontal="center" vertical="center" wrapText="1"/>
    </xf>
    <xf numFmtId="169" fontId="34" fillId="24" borderId="12" xfId="103" applyNumberFormat="1" applyFont="1" applyFill="1" applyBorder="1" applyAlignment="1">
      <alignment horizontal="center" vertical="center" wrapText="1"/>
    </xf>
    <xf numFmtId="3" fontId="18" fillId="0" borderId="21" xfId="104" applyNumberFormat="1" applyFont="1" applyFill="1" applyBorder="1" applyAlignment="1">
      <alignment vertical="center" wrapText="1"/>
    </xf>
    <xf numFmtId="0" fontId="18" fillId="0" borderId="10" xfId="103" applyFont="1" applyBorder="1" applyAlignment="1">
      <alignment horizontal="left" vertical="center" wrapText="1"/>
    </xf>
    <xf numFmtId="0" fontId="18" fillId="24" borderId="10" xfId="104" applyFont="1" applyFill="1" applyBorder="1" applyAlignment="1">
      <alignment horizontal="center" vertical="center" wrapText="1"/>
    </xf>
    <xf numFmtId="172" fontId="18" fillId="0" borderId="10" xfId="133" applyNumberFormat="1" applyFont="1" applyFill="1" applyBorder="1" applyAlignment="1" applyProtection="1">
      <alignment vertical="center" wrapText="1"/>
    </xf>
    <xf numFmtId="10" fontId="18" fillId="0" borderId="10" xfId="104" applyNumberFormat="1" applyFont="1" applyFill="1" applyBorder="1" applyAlignment="1">
      <alignment vertical="center" wrapText="1"/>
    </xf>
    <xf numFmtId="169" fontId="18" fillId="0" borderId="10" xfId="103" applyNumberFormat="1" applyFont="1" applyBorder="1" applyAlignment="1">
      <alignment horizontal="center" vertical="center" wrapText="1"/>
    </xf>
    <xf numFmtId="169" fontId="18" fillId="24" borderId="10" xfId="103" applyNumberFormat="1" applyFont="1" applyFill="1" applyBorder="1" applyAlignment="1">
      <alignment horizontal="center" vertical="center" wrapText="1"/>
    </xf>
    <xf numFmtId="0" fontId="18" fillId="0" borderId="0" xfId="107" applyFont="1" applyFill="1" applyBorder="1" applyAlignment="1">
      <alignment horizontal="left" vertical="center" wrapText="1"/>
    </xf>
    <xf numFmtId="0" fontId="18" fillId="0" borderId="24" xfId="104" applyFont="1" applyFill="1" applyBorder="1" applyAlignment="1">
      <alignment horizontal="center" vertical="center" wrapText="1"/>
    </xf>
    <xf numFmtId="9" fontId="18" fillId="0" borderId="24" xfId="104" applyNumberFormat="1" applyFont="1" applyFill="1" applyBorder="1" applyAlignment="1">
      <alignment vertical="center" wrapText="1"/>
    </xf>
    <xf numFmtId="172" fontId="18" fillId="0" borderId="10" xfId="104" applyNumberFormat="1" applyFont="1" applyFill="1" applyBorder="1" applyAlignment="1">
      <alignment vertical="center" wrapText="1"/>
    </xf>
    <xf numFmtId="172" fontId="32" fillId="0" borderId="12" xfId="133" applyNumberFormat="1" applyFont="1" applyFill="1" applyBorder="1" applyAlignment="1" applyProtection="1">
      <alignment vertical="center" wrapText="1"/>
    </xf>
    <xf numFmtId="9" fontId="32" fillId="0" borderId="12" xfId="125" applyNumberFormat="1" applyFont="1" applyFill="1" applyBorder="1" applyAlignment="1" applyProtection="1">
      <alignment vertical="center" wrapText="1"/>
    </xf>
    <xf numFmtId="169" fontId="32" fillId="0" borderId="12" xfId="103" applyNumberFormat="1" applyFont="1" applyBorder="1" applyAlignment="1">
      <alignment horizontal="center" vertical="center" wrapText="1"/>
    </xf>
    <xf numFmtId="169" fontId="32" fillId="24" borderId="12" xfId="103" applyNumberFormat="1" applyFont="1" applyFill="1" applyBorder="1" applyAlignment="1">
      <alignment horizontal="center" vertical="center" wrapText="1"/>
    </xf>
    <xf numFmtId="0" fontId="32" fillId="0" borderId="21" xfId="104" applyFont="1" applyFill="1" applyBorder="1" applyAlignment="1">
      <alignment vertical="center" wrapText="1"/>
    </xf>
    <xf numFmtId="0" fontId="32" fillId="0" borderId="0" xfId="107" applyFont="1" applyFill="1" applyBorder="1" applyAlignment="1">
      <alignment horizontal="left" vertical="center" wrapText="1"/>
    </xf>
    <xf numFmtId="0" fontId="33" fillId="0" borderId="0" xfId="107" applyFont="1" applyBorder="1"/>
    <xf numFmtId="172" fontId="32" fillId="0" borderId="10" xfId="133" applyNumberFormat="1" applyFont="1" applyFill="1" applyBorder="1" applyAlignment="1" applyProtection="1">
      <alignment vertical="center" wrapText="1"/>
    </xf>
    <xf numFmtId="9" fontId="32" fillId="0" borderId="10" xfId="125" applyNumberFormat="1" applyFont="1" applyFill="1" applyBorder="1" applyAlignment="1" applyProtection="1">
      <alignment vertical="center" wrapText="1"/>
    </xf>
    <xf numFmtId="169" fontId="32" fillId="0" borderId="10" xfId="103" applyNumberFormat="1" applyFont="1" applyBorder="1" applyAlignment="1">
      <alignment horizontal="center" vertical="center" wrapText="1"/>
    </xf>
    <xf numFmtId="169" fontId="32" fillId="24" borderId="10" xfId="103" applyNumberFormat="1" applyFont="1" applyFill="1" applyBorder="1" applyAlignment="1">
      <alignment horizontal="center" vertical="center" wrapText="1"/>
    </xf>
    <xf numFmtId="0" fontId="29" fillId="0" borderId="0" xfId="104" applyFont="1" applyFill="1" applyBorder="1" applyAlignment="1">
      <alignment horizontal="center" vertical="center" wrapText="1"/>
    </xf>
    <xf numFmtId="0" fontId="18" fillId="0" borderId="0" xfId="104" applyFont="1" applyFill="1" applyBorder="1" applyAlignment="1">
      <alignment vertical="center" wrapText="1"/>
    </xf>
    <xf numFmtId="9" fontId="18" fillId="0" borderId="0" xfId="104" applyNumberFormat="1" applyFont="1" applyFill="1" applyBorder="1" applyAlignment="1">
      <alignment vertical="center" wrapText="1"/>
    </xf>
    <xf numFmtId="10" fontId="18" fillId="0" borderId="0" xfId="104" applyNumberFormat="1" applyFont="1" applyFill="1" applyBorder="1" applyAlignment="1">
      <alignment vertical="center" wrapText="1"/>
    </xf>
    <xf numFmtId="0" fontId="18" fillId="0" borderId="0" xfId="104" applyFont="1" applyFill="1" applyBorder="1" applyAlignment="1">
      <alignment horizontal="center" vertical="center" wrapText="1"/>
    </xf>
    <xf numFmtId="10" fontId="18" fillId="0" borderId="10" xfId="104" applyNumberFormat="1" applyFont="1" applyFill="1" applyBorder="1" applyAlignment="1">
      <alignment horizontal="center" vertical="center" wrapText="1"/>
    </xf>
    <xf numFmtId="0" fontId="19" fillId="0" borderId="0" xfId="103" applyFont="1" applyAlignment="1">
      <alignment vertical="top" wrapText="1"/>
    </xf>
    <xf numFmtId="9" fontId="19" fillId="0" borderId="0" xfId="103" applyNumberFormat="1" applyFont="1" applyAlignment="1">
      <alignment vertical="top" wrapText="1"/>
    </xf>
    <xf numFmtId="0" fontId="19" fillId="0" borderId="0" xfId="103" applyFont="1" applyBorder="1" applyAlignment="1">
      <alignment vertical="top" wrapText="1"/>
    </xf>
    <xf numFmtId="9" fontId="19" fillId="0" borderId="0" xfId="103" applyNumberFormat="1" applyFont="1" applyBorder="1" applyAlignment="1">
      <alignment vertical="top" wrapText="1"/>
    </xf>
    <xf numFmtId="9" fontId="18" fillId="0" borderId="0" xfId="103" applyNumberFormat="1" applyFont="1"/>
    <xf numFmtId="168" fontId="18" fillId="0" borderId="0" xfId="131" applyNumberFormat="1" applyFont="1" applyFill="1" applyBorder="1" applyAlignment="1" applyProtection="1">
      <alignment vertical="center"/>
    </xf>
    <xf numFmtId="0" fontId="0" fillId="0" borderId="0" xfId="113" applyFont="1"/>
    <xf numFmtId="0" fontId="19" fillId="0" borderId="0" xfId="103" applyFont="1" applyAlignment="1">
      <alignment horizontal="right"/>
    </xf>
    <xf numFmtId="2" fontId="19" fillId="0" borderId="0" xfId="103" applyNumberFormat="1" applyFont="1" applyAlignment="1">
      <alignment horizontal="left"/>
    </xf>
    <xf numFmtId="0" fontId="28" fillId="25" borderId="25" xfId="104" applyFont="1" applyFill="1" applyBorder="1" applyAlignment="1">
      <alignment vertical="center" wrapText="1"/>
    </xf>
    <xf numFmtId="0" fontId="28" fillId="25" borderId="26" xfId="104" applyFont="1" applyFill="1" applyBorder="1" applyAlignment="1">
      <alignment vertical="center" wrapText="1"/>
    </xf>
    <xf numFmtId="0" fontId="28" fillId="25" borderId="27" xfId="104" applyFont="1" applyFill="1" applyBorder="1" applyAlignment="1">
      <alignment vertical="center" wrapText="1"/>
    </xf>
    <xf numFmtId="168" fontId="18" fillId="24" borderId="10" xfId="136" applyNumberFormat="1" applyFont="1" applyFill="1" applyBorder="1" applyAlignment="1" applyProtection="1">
      <alignment vertical="center" wrapText="1"/>
    </xf>
    <xf numFmtId="0" fontId="36" fillId="24" borderId="12" xfId="104" applyFont="1" applyFill="1" applyBorder="1" applyAlignment="1">
      <alignment horizontal="center" vertical="center" wrapText="1"/>
    </xf>
    <xf numFmtId="0" fontId="36" fillId="0" borderId="11" xfId="104" applyFont="1" applyFill="1" applyBorder="1" applyAlignment="1">
      <alignment vertical="center" wrapText="1"/>
    </xf>
    <xf numFmtId="0" fontId="36" fillId="0" borderId="12" xfId="104" applyFont="1" applyFill="1" applyBorder="1" applyAlignment="1">
      <alignment vertical="center" wrapText="1"/>
    </xf>
    <xf numFmtId="0" fontId="36" fillId="24" borderId="12" xfId="103" applyFont="1" applyFill="1" applyBorder="1" applyAlignment="1">
      <alignment horizontal="left" vertical="center" wrapText="1"/>
    </xf>
    <xf numFmtId="3" fontId="36" fillId="0" borderId="12" xfId="104" applyNumberFormat="1" applyFont="1" applyFill="1" applyBorder="1" applyAlignment="1">
      <alignment vertical="center" wrapText="1"/>
    </xf>
    <xf numFmtId="9" fontId="36" fillId="0" borderId="12" xfId="104" applyNumberFormat="1" applyFont="1" applyFill="1" applyBorder="1" applyAlignment="1">
      <alignment vertical="center" wrapText="1"/>
    </xf>
    <xf numFmtId="0" fontId="36" fillId="0" borderId="12" xfId="104" applyFont="1" applyFill="1" applyBorder="1" applyAlignment="1">
      <alignment horizontal="center" vertical="center" wrapText="1"/>
    </xf>
    <xf numFmtId="172" fontId="36" fillId="0" borderId="21" xfId="133" applyNumberFormat="1" applyFont="1" applyFill="1" applyBorder="1" applyAlignment="1" applyProtection="1">
      <alignment vertical="center" wrapText="1"/>
    </xf>
    <xf numFmtId="0" fontId="36" fillId="0" borderId="21" xfId="104" applyFont="1" applyFill="1" applyBorder="1" applyAlignment="1">
      <alignment vertical="center" wrapText="1"/>
    </xf>
    <xf numFmtId="172" fontId="36" fillId="0" borderId="21" xfId="104" applyNumberFormat="1" applyFont="1" applyFill="1" applyBorder="1" applyAlignment="1">
      <alignment vertical="center" wrapText="1"/>
    </xf>
    <xf numFmtId="0" fontId="36" fillId="0" borderId="13" xfId="104" applyFont="1" applyFill="1" applyBorder="1" applyAlignment="1">
      <alignment vertical="center" wrapText="1"/>
    </xf>
    <xf numFmtId="0" fontId="36" fillId="24" borderId="24" xfId="104" applyFont="1" applyFill="1" applyBorder="1" applyAlignment="1">
      <alignment horizontal="center" vertical="center" wrapText="1"/>
    </xf>
    <xf numFmtId="0" fontId="36" fillId="0" borderId="28" xfId="104" applyFont="1" applyFill="1" applyBorder="1" applyAlignment="1">
      <alignment vertical="center" wrapText="1"/>
    </xf>
    <xf numFmtId="0" fontId="36" fillId="0" borderId="24" xfId="104" applyFont="1" applyFill="1" applyBorder="1" applyAlignment="1">
      <alignment vertical="center" wrapText="1"/>
    </xf>
    <xf numFmtId="0" fontId="36" fillId="24" borderId="24" xfId="103" applyFont="1" applyFill="1" applyBorder="1" applyAlignment="1">
      <alignment horizontal="left" vertical="center" wrapText="1"/>
    </xf>
    <xf numFmtId="3" fontId="36" fillId="0" borderId="24" xfId="104" applyNumberFormat="1" applyFont="1" applyFill="1" applyBorder="1" applyAlignment="1">
      <alignment vertical="center" wrapText="1"/>
    </xf>
    <xf numFmtId="9" fontId="36" fillId="0" borderId="24" xfId="104" applyNumberFormat="1" applyFont="1" applyFill="1" applyBorder="1" applyAlignment="1">
      <alignment vertical="center" wrapText="1"/>
    </xf>
    <xf numFmtId="0" fontId="36" fillId="0" borderId="24" xfId="104" applyFont="1" applyFill="1" applyBorder="1" applyAlignment="1">
      <alignment horizontal="center" vertical="center" wrapText="1"/>
    </xf>
    <xf numFmtId="172" fontId="36" fillId="0" borderId="29" xfId="133" applyNumberFormat="1" applyFont="1" applyFill="1" applyBorder="1" applyAlignment="1" applyProtection="1">
      <alignment vertical="center" wrapText="1"/>
    </xf>
    <xf numFmtId="0" fontId="36" fillId="0" borderId="29" xfId="104" applyFont="1" applyFill="1" applyBorder="1" applyAlignment="1">
      <alignment vertical="center" wrapText="1"/>
    </xf>
    <xf numFmtId="172" fontId="36" fillId="0" borderId="29" xfId="104" applyNumberFormat="1" applyFont="1" applyFill="1" applyBorder="1" applyAlignment="1">
      <alignment vertical="center" wrapText="1"/>
    </xf>
    <xf numFmtId="0" fontId="36" fillId="0" borderId="30" xfId="104" applyFont="1" applyFill="1" applyBorder="1" applyAlignment="1">
      <alignment vertical="center" wrapText="1"/>
    </xf>
    <xf numFmtId="3" fontId="22" fillId="0" borderId="12" xfId="104" applyNumberFormat="1" applyFont="1" applyFill="1" applyBorder="1" applyAlignment="1">
      <alignment vertical="center" wrapText="1"/>
    </xf>
    <xf numFmtId="0" fontId="36" fillId="0" borderId="12" xfId="103" applyFont="1" applyBorder="1" applyAlignment="1">
      <alignment horizontal="left" vertical="center" wrapText="1"/>
    </xf>
    <xf numFmtId="172" fontId="36" fillId="0" borderId="12" xfId="133" applyNumberFormat="1" applyFont="1" applyFill="1" applyBorder="1" applyAlignment="1" applyProtection="1">
      <alignment vertical="center" wrapText="1"/>
    </xf>
    <xf numFmtId="10" fontId="36" fillId="0" borderId="12" xfId="104" applyNumberFormat="1" applyFont="1" applyFill="1" applyBorder="1" applyAlignment="1">
      <alignment vertical="center" wrapText="1"/>
    </xf>
    <xf numFmtId="169" fontId="36" fillId="0" borderId="12" xfId="103" applyNumberFormat="1" applyFont="1" applyBorder="1" applyAlignment="1">
      <alignment horizontal="center" vertical="center" wrapText="1"/>
    </xf>
    <xf numFmtId="169" fontId="36" fillId="24" borderId="12" xfId="103" applyNumberFormat="1" applyFont="1" applyFill="1" applyBorder="1" applyAlignment="1">
      <alignment horizontal="center" vertical="center" wrapText="1"/>
    </xf>
    <xf numFmtId="0" fontId="36" fillId="0" borderId="24" xfId="103" applyFont="1" applyBorder="1" applyAlignment="1">
      <alignment horizontal="left" vertical="center" wrapText="1"/>
    </xf>
    <xf numFmtId="172" fontId="36" fillId="0" borderId="24" xfId="133" applyNumberFormat="1" applyFont="1" applyFill="1" applyBorder="1" applyAlignment="1" applyProtection="1">
      <alignment vertical="center" wrapText="1"/>
    </xf>
    <xf numFmtId="10" fontId="36" fillId="0" borderId="24" xfId="104" applyNumberFormat="1" applyFont="1" applyFill="1" applyBorder="1" applyAlignment="1">
      <alignment vertical="center" wrapText="1"/>
    </xf>
    <xf numFmtId="169" fontId="36" fillId="0" borderId="24" xfId="103" applyNumberFormat="1" applyFont="1" applyBorder="1" applyAlignment="1">
      <alignment horizontal="center" vertical="center" wrapText="1"/>
    </xf>
    <xf numFmtId="169" fontId="36" fillId="24" borderId="24" xfId="103" applyNumberFormat="1" applyFont="1" applyFill="1" applyBorder="1" applyAlignment="1">
      <alignment horizontal="center" vertical="center" wrapText="1"/>
    </xf>
    <xf numFmtId="0" fontId="18" fillId="0" borderId="29" xfId="104" applyFont="1" applyFill="1" applyBorder="1" applyAlignment="1">
      <alignment vertical="center" wrapText="1"/>
    </xf>
    <xf numFmtId="172" fontId="18" fillId="0" borderId="29" xfId="104" applyNumberFormat="1" applyFont="1" applyFill="1" applyBorder="1" applyAlignment="1">
      <alignment vertical="center" wrapText="1"/>
    </xf>
    <xf numFmtId="0" fontId="18" fillId="0" borderId="30" xfId="104" applyFont="1" applyFill="1" applyBorder="1" applyAlignment="1">
      <alignment vertical="center" wrapText="1"/>
    </xf>
    <xf numFmtId="9" fontId="18" fillId="0" borderId="12" xfId="125" applyNumberFormat="1" applyFont="1" applyFill="1" applyBorder="1" applyAlignment="1" applyProtection="1">
      <alignment vertical="center" wrapText="1"/>
    </xf>
    <xf numFmtId="9" fontId="18" fillId="0" borderId="10" xfId="125" applyNumberFormat="1" applyFont="1" applyFill="1" applyBorder="1" applyAlignment="1" applyProtection="1">
      <alignment vertical="center" wrapText="1"/>
    </xf>
    <xf numFmtId="168" fontId="22" fillId="24" borderId="10" xfId="136" applyNumberFormat="1" applyFont="1" applyFill="1" applyBorder="1" applyAlignment="1" applyProtection="1">
      <alignment vertical="center" wrapText="1"/>
    </xf>
    <xf numFmtId="0" fontId="22" fillId="0" borderId="10" xfId="104" applyFont="1" applyFill="1" applyBorder="1" applyAlignment="1">
      <alignment horizontal="center" vertical="center" wrapText="1"/>
    </xf>
    <xf numFmtId="10" fontId="20" fillId="0" borderId="12" xfId="104" applyNumberFormat="1" applyFont="1" applyFill="1" applyBorder="1" applyAlignment="1">
      <alignment horizontal="center" vertical="center" wrapText="1"/>
    </xf>
    <xf numFmtId="0" fontId="22" fillId="0" borderId="12" xfId="104" applyFont="1" applyFill="1" applyBorder="1" applyAlignment="1">
      <alignment horizontal="center" vertical="center" wrapText="1"/>
    </xf>
    <xf numFmtId="0" fontId="22" fillId="0" borderId="13" xfId="104" applyFont="1" applyFill="1" applyBorder="1" applyAlignment="1">
      <alignment vertical="center" wrapText="1"/>
    </xf>
    <xf numFmtId="0" fontId="22" fillId="24" borderId="12" xfId="103" applyFont="1" applyFill="1" applyBorder="1" applyAlignment="1">
      <alignment horizontal="left" vertical="center" wrapText="1"/>
    </xf>
    <xf numFmtId="0" fontId="20" fillId="0" borderId="12" xfId="104" applyFont="1" applyFill="1" applyBorder="1" applyAlignment="1">
      <alignment horizontal="center" vertical="center" wrapText="1"/>
    </xf>
    <xf numFmtId="0" fontId="24" fillId="24" borderId="13" xfId="104" applyFont="1" applyFill="1" applyBorder="1" applyAlignment="1">
      <alignment horizontal="center" vertical="center" wrapText="1"/>
    </xf>
    <xf numFmtId="0" fontId="24" fillId="0" borderId="11" xfId="104" applyFont="1" applyFill="1" applyBorder="1" applyAlignment="1">
      <alignment vertical="center" wrapText="1"/>
    </xf>
    <xf numFmtId="0" fontId="24" fillId="0" borderId="12" xfId="104" applyFont="1" applyFill="1" applyBorder="1" applyAlignment="1">
      <alignment vertical="center" wrapText="1"/>
    </xf>
    <xf numFmtId="3" fontId="24" fillId="0" borderId="12" xfId="104" applyNumberFormat="1" applyFont="1" applyFill="1" applyBorder="1" applyAlignment="1">
      <alignment vertical="center" wrapText="1"/>
    </xf>
    <xf numFmtId="9" fontId="24" fillId="0" borderId="12" xfId="104" applyNumberFormat="1" applyFont="1" applyFill="1" applyBorder="1" applyAlignment="1">
      <alignment vertical="center" wrapText="1"/>
    </xf>
    <xf numFmtId="0" fontId="24" fillId="0" borderId="12" xfId="104" applyFont="1" applyFill="1" applyBorder="1" applyAlignment="1">
      <alignment horizontal="center" vertical="center" wrapText="1"/>
    </xf>
    <xf numFmtId="0" fontId="24" fillId="0" borderId="13" xfId="104" applyFont="1" applyFill="1" applyBorder="1" applyAlignment="1">
      <alignment vertical="center" wrapText="1"/>
    </xf>
    <xf numFmtId="0" fontId="24" fillId="24" borderId="14" xfId="104" applyFont="1" applyFill="1" applyBorder="1" applyAlignment="1">
      <alignment horizontal="center" vertical="center" wrapText="1"/>
    </xf>
    <xf numFmtId="0" fontId="24" fillId="0" borderId="28" xfId="104" applyFont="1" applyFill="1" applyBorder="1" applyAlignment="1">
      <alignment vertical="center" wrapText="1"/>
    </xf>
    <xf numFmtId="0" fontId="24" fillId="0" borderId="24" xfId="104" applyFont="1" applyFill="1" applyBorder="1" applyAlignment="1">
      <alignment vertical="center" wrapText="1"/>
    </xf>
    <xf numFmtId="0" fontId="24" fillId="24" borderId="24" xfId="103" applyFont="1" applyFill="1" applyBorder="1" applyAlignment="1">
      <alignment horizontal="left" vertical="center" wrapText="1"/>
    </xf>
    <xf numFmtId="3" fontId="24" fillId="0" borderId="24" xfId="104" applyNumberFormat="1" applyFont="1" applyFill="1" applyBorder="1" applyAlignment="1">
      <alignment vertical="center" wrapText="1"/>
    </xf>
    <xf numFmtId="9" fontId="24" fillId="0" borderId="24" xfId="104" applyNumberFormat="1" applyFont="1" applyFill="1" applyBorder="1" applyAlignment="1">
      <alignment vertical="center" wrapText="1"/>
    </xf>
    <xf numFmtId="0" fontId="24" fillId="0" borderId="24" xfId="104" applyFont="1" applyFill="1" applyBorder="1" applyAlignment="1">
      <alignment horizontal="center" vertical="center" wrapText="1"/>
    </xf>
    <xf numFmtId="0" fontId="24" fillId="0" borderId="10" xfId="104" applyFont="1" applyFill="1" applyBorder="1" applyAlignment="1">
      <alignment horizontal="center" vertical="center" wrapText="1"/>
    </xf>
    <xf numFmtId="0" fontId="24" fillId="0" borderId="14" xfId="104" applyFont="1" applyFill="1" applyBorder="1" applyAlignment="1">
      <alignment vertical="center" wrapText="1"/>
    </xf>
    <xf numFmtId="0" fontId="18" fillId="24" borderId="24" xfId="104" applyFont="1" applyFill="1" applyBorder="1" applyAlignment="1">
      <alignment horizontal="center" vertical="center" wrapText="1"/>
    </xf>
    <xf numFmtId="0" fontId="18" fillId="0" borderId="28" xfId="104" applyFont="1" applyFill="1" applyBorder="1" applyAlignment="1">
      <alignment vertical="center" wrapText="1"/>
    </xf>
    <xf numFmtId="0" fontId="18" fillId="0" borderId="24" xfId="104" applyFont="1" applyFill="1" applyBorder="1" applyAlignment="1">
      <alignment vertical="center" wrapText="1"/>
    </xf>
    <xf numFmtId="0" fontId="18" fillId="24" borderId="24" xfId="103" applyFont="1" applyFill="1" applyBorder="1" applyAlignment="1">
      <alignment horizontal="left" vertical="center" wrapText="1"/>
    </xf>
    <xf numFmtId="3" fontId="22" fillId="0" borderId="24" xfId="104" applyNumberFormat="1" applyFont="1" applyFill="1" applyBorder="1" applyAlignment="1">
      <alignment vertical="center" wrapText="1"/>
    </xf>
    <xf numFmtId="0" fontId="20" fillId="0" borderId="24" xfId="104" applyFont="1" applyFill="1" applyBorder="1" applyAlignment="1">
      <alignment horizontal="center" vertical="center" wrapText="1"/>
    </xf>
    <xf numFmtId="172" fontId="18" fillId="0" borderId="29" xfId="133" applyNumberFormat="1" applyFont="1" applyFill="1" applyBorder="1" applyAlignment="1" applyProtection="1">
      <alignment vertical="center" wrapText="1"/>
    </xf>
    <xf numFmtId="172" fontId="22" fillId="0" borderId="12" xfId="133" applyNumberFormat="1" applyFont="1" applyFill="1" applyBorder="1" applyAlignment="1" applyProtection="1">
      <alignment vertical="center" wrapText="1"/>
    </xf>
    <xf numFmtId="0" fontId="18" fillId="24" borderId="13" xfId="104" applyFont="1" applyFill="1" applyBorder="1" applyAlignment="1">
      <alignment horizontal="center" vertical="center" wrapText="1"/>
    </xf>
    <xf numFmtId="0" fontId="24" fillId="0" borderId="24" xfId="103" applyFont="1" applyBorder="1" applyAlignment="1">
      <alignment horizontal="left" vertical="center" wrapText="1"/>
    </xf>
    <xf numFmtId="0" fontId="24" fillId="24" borderId="24" xfId="104" applyFont="1" applyFill="1" applyBorder="1" applyAlignment="1">
      <alignment horizontal="center" vertical="center" wrapText="1"/>
    </xf>
    <xf numFmtId="172" fontId="24" fillId="0" borderId="24" xfId="133" applyNumberFormat="1" applyFont="1" applyFill="1" applyBorder="1" applyAlignment="1" applyProtection="1">
      <alignment vertical="center" wrapText="1"/>
    </xf>
    <xf numFmtId="10" fontId="24" fillId="0" borderId="24" xfId="104" applyNumberFormat="1" applyFont="1" applyFill="1" applyBorder="1" applyAlignment="1">
      <alignment vertical="center" wrapText="1"/>
    </xf>
    <xf numFmtId="169" fontId="24" fillId="0" borderId="24" xfId="103" applyNumberFormat="1" applyFont="1" applyBorder="1" applyAlignment="1">
      <alignment horizontal="center" vertical="center" wrapText="1"/>
    </xf>
    <xf numFmtId="169" fontId="24" fillId="24" borderId="24" xfId="103" applyNumberFormat="1" applyFont="1" applyFill="1" applyBorder="1" applyAlignment="1">
      <alignment horizontal="center" vertical="center" wrapText="1"/>
    </xf>
    <xf numFmtId="0" fontId="19" fillId="0" borderId="29" xfId="104" applyFont="1" applyFill="1" applyBorder="1" applyAlignment="1">
      <alignment vertical="center" wrapText="1"/>
    </xf>
    <xf numFmtId="172" fontId="19" fillId="0" borderId="29" xfId="104" applyNumberFormat="1" applyFont="1" applyFill="1" applyBorder="1" applyAlignment="1">
      <alignment vertical="center" wrapText="1"/>
    </xf>
    <xf numFmtId="0" fontId="19" fillId="0" borderId="30" xfId="104" applyFont="1" applyFill="1" applyBorder="1" applyAlignment="1">
      <alignment vertical="center" wrapText="1"/>
    </xf>
    <xf numFmtId="172" fontId="22" fillId="0" borderId="10" xfId="133" applyNumberFormat="1" applyFont="1" applyFill="1" applyBorder="1" applyAlignment="1" applyProtection="1">
      <alignment vertical="center" wrapText="1"/>
    </xf>
    <xf numFmtId="0" fontId="20" fillId="0" borderId="10" xfId="104" applyFont="1" applyFill="1" applyBorder="1" applyAlignment="1">
      <alignment horizontal="center" vertical="center" wrapText="1"/>
    </xf>
    <xf numFmtId="0" fontId="1" fillId="0" borderId="0" xfId="102"/>
    <xf numFmtId="0" fontId="29" fillId="0" borderId="0" xfId="102" applyFont="1"/>
    <xf numFmtId="0" fontId="30" fillId="16" borderId="32" xfId="102" applyFont="1" applyFill="1" applyBorder="1" applyAlignment="1">
      <alignment horizontal="center" vertical="center"/>
    </xf>
    <xf numFmtId="0" fontId="30" fillId="16" borderId="33" xfId="103" applyFont="1" applyFill="1" applyBorder="1" applyAlignment="1">
      <alignment horizontal="left" vertical="center" wrapText="1"/>
    </xf>
    <xf numFmtId="0" fontId="29" fillId="0" borderId="34" xfId="102" applyFont="1" applyBorder="1" applyAlignment="1">
      <alignment horizontal="left" vertical="center" wrapText="1"/>
    </xf>
    <xf numFmtId="0" fontId="30" fillId="16" borderId="35" xfId="103" applyFont="1" applyFill="1" applyBorder="1" applyAlignment="1">
      <alignment horizontal="left" vertical="center" wrapText="1"/>
    </xf>
    <xf numFmtId="0" fontId="29" fillId="0" borderId="36" xfId="102" applyFont="1" applyBorder="1" applyAlignment="1">
      <alignment horizontal="left" vertical="center" wrapText="1"/>
    </xf>
    <xf numFmtId="0" fontId="30" fillId="0" borderId="37" xfId="103" applyFont="1" applyFill="1" applyBorder="1" applyAlignment="1">
      <alignment horizontal="left" vertical="center" wrapText="1"/>
    </xf>
    <xf numFmtId="0" fontId="29" fillId="0" borderId="37" xfId="102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0" fontId="29" fillId="0" borderId="0" xfId="102" applyFont="1" applyFill="1" applyBorder="1" applyAlignment="1">
      <alignment horizontal="left" vertical="center" wrapText="1"/>
    </xf>
    <xf numFmtId="0" fontId="29" fillId="0" borderId="0" xfId="102" applyFont="1" applyFill="1"/>
    <xf numFmtId="0" fontId="1" fillId="0" borderId="0" xfId="102" applyFill="1"/>
    <xf numFmtId="0" fontId="30" fillId="16" borderId="38" xfId="103" applyFont="1" applyFill="1" applyBorder="1" applyAlignment="1">
      <alignment horizontal="left" vertical="center" wrapText="1"/>
    </xf>
    <xf numFmtId="0" fontId="29" fillId="0" borderId="39" xfId="102" applyFont="1" applyBorder="1" applyAlignment="1">
      <alignment horizontal="left" vertical="center" wrapText="1"/>
    </xf>
    <xf numFmtId="0" fontId="30" fillId="16" borderId="22" xfId="103" applyFont="1" applyFill="1" applyBorder="1" applyAlignment="1">
      <alignment horizontal="left" vertical="center" wrapText="1"/>
    </xf>
    <xf numFmtId="0" fontId="29" fillId="0" borderId="14" xfId="102" applyFont="1" applyFill="1" applyBorder="1" applyAlignment="1">
      <alignment horizontal="left" vertical="center" wrapText="1"/>
    </xf>
    <xf numFmtId="0" fontId="18" fillId="0" borderId="34" xfId="106" applyFont="1" applyFill="1" applyBorder="1" applyAlignment="1">
      <alignment vertical="center" wrapText="1"/>
    </xf>
    <xf numFmtId="0" fontId="18" fillId="0" borderId="13" xfId="106" applyFont="1" applyFill="1" applyBorder="1" applyAlignment="1">
      <alignment vertical="center" wrapText="1"/>
    </xf>
    <xf numFmtId="0" fontId="18" fillId="0" borderId="14" xfId="102" applyFont="1" applyBorder="1"/>
    <xf numFmtId="0" fontId="30" fillId="0" borderId="0" xfId="102" applyFont="1" applyFill="1" applyBorder="1" applyAlignment="1">
      <alignment horizontal="center" vertical="center" wrapText="1"/>
    </xf>
    <xf numFmtId="0" fontId="18" fillId="0" borderId="14" xfId="106" applyFont="1" applyFill="1" applyBorder="1" applyAlignment="1">
      <alignment vertical="center" wrapText="1"/>
    </xf>
    <xf numFmtId="0" fontId="18" fillId="0" borderId="31" xfId="106" applyFont="1" applyFill="1" applyBorder="1" applyAlignment="1">
      <alignment vertical="center" wrapText="1"/>
    </xf>
    <xf numFmtId="0" fontId="18" fillId="0" borderId="12" xfId="106" applyFont="1" applyFill="1" applyBorder="1" applyAlignment="1">
      <alignment vertical="center" wrapText="1"/>
    </xf>
    <xf numFmtId="0" fontId="18" fillId="0" borderId="0" xfId="106" applyFont="1" applyFill="1" applyBorder="1" applyAlignment="1">
      <alignment vertical="center" wrapText="1"/>
    </xf>
    <xf numFmtId="0" fontId="40" fillId="0" borderId="0" xfId="101" applyFont="1"/>
    <xf numFmtId="0" fontId="41" fillId="0" borderId="0" xfId="101" applyFont="1" applyAlignment="1">
      <alignment horizontal="justify" vertical="center"/>
    </xf>
    <xf numFmtId="0" fontId="40" fillId="0" borderId="0" xfId="101" applyFont="1" applyAlignment="1">
      <alignment horizontal="center"/>
    </xf>
    <xf numFmtId="172" fontId="42" fillId="0" borderId="0" xfId="135" applyNumberFormat="1" applyFont="1" applyFill="1" applyBorder="1" applyAlignment="1" applyProtection="1"/>
    <xf numFmtId="9" fontId="42" fillId="0" borderId="0" xfId="126" applyFont="1" applyFill="1" applyBorder="1" applyAlignment="1" applyProtection="1">
      <alignment horizontal="center"/>
    </xf>
    <xf numFmtId="0" fontId="42" fillId="0" borderId="0" xfId="113" applyFont="1" applyAlignment="1">
      <alignment horizontal="center"/>
    </xf>
    <xf numFmtId="0" fontId="42" fillId="0" borderId="0" xfId="113" applyFont="1"/>
    <xf numFmtId="0" fontId="42" fillId="0" borderId="0" xfId="113" applyFont="1" applyBorder="1" applyAlignment="1">
      <alignment horizontal="center"/>
    </xf>
    <xf numFmtId="0" fontId="42" fillId="0" borderId="0" xfId="113" applyFont="1" applyBorder="1"/>
    <xf numFmtId="0" fontId="44" fillId="0" borderId="0" xfId="104" applyFont="1" applyAlignment="1">
      <alignment horizontal="left"/>
    </xf>
    <xf numFmtId="0" fontId="44" fillId="0" borderId="0" xfId="101" applyFont="1" applyAlignment="1">
      <alignment horizontal="left" vertical="center"/>
    </xf>
    <xf numFmtId="0" fontId="43" fillId="0" borderId="0" xfId="101" applyFont="1" applyAlignment="1">
      <alignment horizontal="left" vertical="center"/>
    </xf>
    <xf numFmtId="0" fontId="44" fillId="0" borderId="0" xfId="104" applyFont="1" applyAlignment="1">
      <alignment horizontal="left" vertical="top"/>
    </xf>
    <xf numFmtId="0" fontId="45" fillId="0" borderId="0" xfId="101" applyFont="1" applyAlignment="1">
      <alignment horizontal="left" vertical="center"/>
    </xf>
    <xf numFmtId="0" fontId="40" fillId="0" borderId="0" xfId="101" applyFont="1" applyBorder="1"/>
    <xf numFmtId="0" fontId="44" fillId="0" borderId="0" xfId="103" applyFont="1" applyFill="1" applyBorder="1" applyAlignment="1">
      <alignment horizontal="left" vertical="center" wrapText="1"/>
    </xf>
    <xf numFmtId="0" fontId="44" fillId="0" borderId="0" xfId="103" applyFont="1" applyFill="1" applyBorder="1" applyAlignment="1">
      <alignment horizontal="center" vertical="center" wrapText="1"/>
    </xf>
    <xf numFmtId="172" fontId="44" fillId="0" borderId="0" xfId="135" applyNumberFormat="1" applyFont="1" applyFill="1" applyBorder="1" applyAlignment="1" applyProtection="1">
      <alignment horizontal="right" vertical="center" wrapText="1"/>
    </xf>
    <xf numFmtId="173" fontId="44" fillId="0" borderId="0" xfId="135" applyNumberFormat="1" applyFont="1" applyFill="1" applyBorder="1" applyAlignment="1" applyProtection="1">
      <alignment horizontal="left" vertical="center" wrapText="1"/>
    </xf>
    <xf numFmtId="9" fontId="44" fillId="0" borderId="0" xfId="126" applyFont="1" applyFill="1" applyBorder="1" applyAlignment="1" applyProtection="1">
      <alignment horizontal="center" vertical="center" wrapText="1"/>
    </xf>
    <xf numFmtId="0" fontId="42" fillId="0" borderId="0" xfId="103" applyFont="1"/>
    <xf numFmtId="172" fontId="37" fillId="25" borderId="12" xfId="135" applyNumberFormat="1" applyFont="1" applyFill="1" applyBorder="1" applyAlignment="1" applyProtection="1">
      <alignment horizontal="center" vertical="center" wrapText="1"/>
    </xf>
    <xf numFmtId="9" fontId="37" fillId="25" borderId="12" xfId="126" applyFont="1" applyFill="1" applyBorder="1" applyAlignment="1" applyProtection="1">
      <alignment horizontal="center" vertical="center" wrapText="1"/>
    </xf>
    <xf numFmtId="0" fontId="37" fillId="25" borderId="12" xfId="103" applyFont="1" applyFill="1" applyBorder="1" applyAlignment="1">
      <alignment horizontal="center" vertical="center" wrapText="1"/>
    </xf>
    <xf numFmtId="0" fontId="40" fillId="24" borderId="12" xfId="104" applyFont="1" applyFill="1" applyBorder="1" applyAlignment="1">
      <alignment horizontal="center" vertical="center" wrapText="1"/>
    </xf>
    <xf numFmtId="0" fontId="48" fillId="0" borderId="12" xfId="104" applyFont="1" applyFill="1" applyBorder="1" applyAlignment="1">
      <alignment vertical="center" wrapText="1"/>
    </xf>
    <xf numFmtId="0" fontId="48" fillId="0" borderId="12" xfId="103" applyFont="1" applyFill="1" applyBorder="1" applyAlignment="1">
      <alignment horizontal="center" vertical="center" wrapText="1"/>
    </xf>
    <xf numFmtId="0" fontId="48" fillId="0" borderId="12" xfId="103" applyFont="1" applyFill="1" applyBorder="1" applyAlignment="1">
      <alignment vertical="center" wrapText="1"/>
    </xf>
    <xf numFmtId="172" fontId="48" fillId="24" borderId="12" xfId="135" applyNumberFormat="1" applyFont="1" applyFill="1" applyBorder="1" applyAlignment="1" applyProtection="1">
      <alignment vertical="center" wrapText="1"/>
    </xf>
    <xf numFmtId="9" fontId="48" fillId="0" borderId="12" xfId="126" applyFont="1" applyFill="1" applyBorder="1" applyAlignment="1" applyProtection="1">
      <alignment horizontal="center" vertical="center" wrapText="1"/>
    </xf>
    <xf numFmtId="10" fontId="48" fillId="0" borderId="12" xfId="104" applyNumberFormat="1" applyFont="1" applyFill="1" applyBorder="1" applyAlignment="1">
      <alignment vertical="center" wrapText="1"/>
    </xf>
    <xf numFmtId="0" fontId="48" fillId="0" borderId="12" xfId="104" applyFont="1" applyFill="1" applyBorder="1" applyAlignment="1">
      <alignment horizontal="center" vertical="center" wrapText="1"/>
    </xf>
    <xf numFmtId="0" fontId="48" fillId="24" borderId="12" xfId="104" applyFont="1" applyFill="1" applyBorder="1" applyAlignment="1">
      <alignment horizontal="center" vertical="center" wrapText="1"/>
    </xf>
    <xf numFmtId="0" fontId="49" fillId="24" borderId="12" xfId="104" applyFont="1" applyFill="1" applyBorder="1" applyAlignment="1">
      <alignment horizontal="center" vertical="center" wrapText="1"/>
    </xf>
    <xf numFmtId="0" fontId="49" fillId="0" borderId="12" xfId="104" applyFont="1" applyFill="1" applyBorder="1" applyAlignment="1">
      <alignment vertical="center" wrapText="1"/>
    </xf>
    <xf numFmtId="0" fontId="49" fillId="0" borderId="12" xfId="103" applyFont="1" applyFill="1" applyBorder="1" applyAlignment="1">
      <alignment horizontal="center" vertical="center" wrapText="1"/>
    </xf>
    <xf numFmtId="0" fontId="49" fillId="0" borderId="12" xfId="103" applyFont="1" applyFill="1" applyBorder="1" applyAlignment="1">
      <alignment vertical="center" wrapText="1"/>
    </xf>
    <xf numFmtId="172" fontId="49" fillId="24" borderId="12" xfId="135" applyNumberFormat="1" applyFont="1" applyFill="1" applyBorder="1" applyAlignment="1" applyProtection="1">
      <alignment vertical="center" wrapText="1"/>
    </xf>
    <xf numFmtId="9" fontId="49" fillId="0" borderId="12" xfId="126" applyFont="1" applyFill="1" applyBorder="1" applyAlignment="1" applyProtection="1">
      <alignment horizontal="center" vertical="center" wrapText="1"/>
    </xf>
    <xf numFmtId="0" fontId="49" fillId="0" borderId="12" xfId="104" applyFont="1" applyFill="1" applyBorder="1" applyAlignment="1">
      <alignment horizontal="center" vertical="center" wrapText="1"/>
    </xf>
    <xf numFmtId="0" fontId="50" fillId="0" borderId="0" xfId="103" applyFont="1"/>
    <xf numFmtId="0" fontId="49" fillId="0" borderId="0" xfId="101" applyFont="1"/>
    <xf numFmtId="10" fontId="49" fillId="0" borderId="12" xfId="104" applyNumberFormat="1" applyFont="1" applyFill="1" applyBorder="1" applyAlignment="1">
      <alignment vertical="center" wrapText="1"/>
    </xf>
    <xf numFmtId="0" fontId="49" fillId="0" borderId="12" xfId="104" applyFont="1" applyFill="1" applyBorder="1" applyAlignment="1">
      <alignment horizontal="left" vertical="center" wrapText="1"/>
    </xf>
    <xf numFmtId="0" fontId="48" fillId="0" borderId="0" xfId="103" applyFont="1" applyFill="1" applyBorder="1" applyAlignment="1">
      <alignment vertical="center" wrapText="1"/>
    </xf>
    <xf numFmtId="0" fontId="48" fillId="0" borderId="0" xfId="103" applyFont="1" applyFill="1" applyBorder="1" applyAlignment="1">
      <alignment horizontal="center" vertical="center" wrapText="1"/>
    </xf>
    <xf numFmtId="0" fontId="44" fillId="0" borderId="0" xfId="103" applyFont="1" applyFill="1" applyBorder="1" applyAlignment="1">
      <alignment horizontal="right" vertical="center" wrapText="1"/>
    </xf>
    <xf numFmtId="172" fontId="44" fillId="0" borderId="0" xfId="135" applyNumberFormat="1" applyFont="1" applyFill="1" applyBorder="1" applyAlignment="1" applyProtection="1">
      <alignment vertical="center" wrapText="1"/>
    </xf>
    <xf numFmtId="9" fontId="48" fillId="0" borderId="0" xfId="126" applyFont="1" applyFill="1" applyBorder="1" applyAlignment="1" applyProtection="1">
      <alignment horizontal="center" vertical="center" wrapText="1"/>
    </xf>
    <xf numFmtId="0" fontId="48" fillId="24" borderId="12" xfId="104" applyFont="1" applyFill="1" applyBorder="1" applyAlignment="1">
      <alignment horizontal="left" vertical="center" wrapText="1"/>
    </xf>
    <xf numFmtId="0" fontId="48" fillId="24" borderId="12" xfId="103" applyFont="1" applyFill="1" applyBorder="1" applyAlignment="1">
      <alignment horizontal="left" vertical="center" wrapText="1"/>
    </xf>
    <xf numFmtId="0" fontId="51" fillId="24" borderId="12" xfId="104" applyFont="1" applyFill="1" applyBorder="1" applyAlignment="1">
      <alignment horizontal="center" vertical="center" wrapText="1"/>
    </xf>
    <xf numFmtId="0" fontId="51" fillId="0" borderId="12" xfId="104" applyFont="1" applyFill="1" applyBorder="1" applyAlignment="1">
      <alignment vertical="center" wrapText="1"/>
    </xf>
    <xf numFmtId="0" fontId="51" fillId="24" borderId="12" xfId="104" applyFont="1" applyFill="1" applyBorder="1" applyAlignment="1">
      <alignment horizontal="left" vertical="center" wrapText="1"/>
    </xf>
    <xf numFmtId="0" fontId="51" fillId="0" borderId="12" xfId="103" applyFont="1" applyFill="1" applyBorder="1" applyAlignment="1">
      <alignment horizontal="center" vertical="center" wrapText="1"/>
    </xf>
    <xf numFmtId="172" fontId="51" fillId="24" borderId="12" xfId="135" applyNumberFormat="1" applyFont="1" applyFill="1" applyBorder="1" applyAlignment="1" applyProtection="1">
      <alignment horizontal="center" vertical="center" wrapText="1"/>
    </xf>
    <xf numFmtId="9" fontId="51" fillId="0" borderId="12" xfId="126" applyFont="1" applyFill="1" applyBorder="1" applyAlignment="1" applyProtection="1">
      <alignment horizontal="center" vertical="center" wrapText="1"/>
    </xf>
    <xf numFmtId="10" fontId="51" fillId="0" borderId="12" xfId="104" applyNumberFormat="1" applyFont="1" applyFill="1" applyBorder="1" applyAlignment="1">
      <alignment vertical="center" wrapText="1"/>
    </xf>
    <xf numFmtId="0" fontId="51" fillId="0" borderId="12" xfId="103" applyFont="1" applyFill="1" applyBorder="1" applyAlignment="1">
      <alignment vertical="center" wrapText="1"/>
    </xf>
    <xf numFmtId="0" fontId="51" fillId="0" borderId="12" xfId="104" applyFont="1" applyFill="1" applyBorder="1" applyAlignment="1">
      <alignment horizontal="center" vertical="center" wrapText="1"/>
    </xf>
    <xf numFmtId="0" fontId="52" fillId="0" borderId="0" xfId="103" applyFont="1"/>
    <xf numFmtId="0" fontId="51" fillId="0" borderId="0" xfId="101" applyFont="1"/>
    <xf numFmtId="172" fontId="51" fillId="24" borderId="12" xfId="135" applyNumberFormat="1" applyFont="1" applyFill="1" applyBorder="1" applyAlignment="1" applyProtection="1">
      <alignment vertical="center" wrapText="1"/>
    </xf>
    <xf numFmtId="0" fontId="48" fillId="24" borderId="12" xfId="104" applyFont="1" applyFill="1" applyBorder="1" applyAlignment="1">
      <alignment vertical="center" wrapText="1"/>
    </xf>
    <xf numFmtId="0" fontId="51" fillId="24" borderId="12" xfId="104" applyFont="1" applyFill="1" applyBorder="1" applyAlignment="1">
      <alignment vertical="center" wrapText="1"/>
    </xf>
    <xf numFmtId="0" fontId="48" fillId="0" borderId="12" xfId="104" applyFont="1" applyBorder="1" applyAlignment="1">
      <alignment horizontal="left" vertical="center" wrapText="1"/>
    </xf>
    <xf numFmtId="0" fontId="51" fillId="0" borderId="12" xfId="104" applyFont="1" applyBorder="1" applyAlignment="1">
      <alignment horizontal="left" vertical="center" wrapText="1"/>
    </xf>
    <xf numFmtId="172" fontId="48" fillId="0" borderId="12" xfId="135" applyNumberFormat="1" applyFont="1" applyFill="1" applyBorder="1" applyAlignment="1" applyProtection="1">
      <alignment vertical="center" wrapText="1"/>
    </xf>
    <xf numFmtId="0" fontId="49" fillId="24" borderId="12" xfId="104" applyFont="1" applyFill="1" applyBorder="1" applyAlignment="1">
      <alignment vertical="center" wrapText="1"/>
    </xf>
    <xf numFmtId="0" fontId="49" fillId="24" borderId="12" xfId="104" applyFont="1" applyFill="1" applyBorder="1" applyAlignment="1">
      <alignment horizontal="left" vertical="center" wrapText="1"/>
    </xf>
    <xf numFmtId="172" fontId="49" fillId="0" borderId="12" xfId="135" applyNumberFormat="1" applyFont="1" applyFill="1" applyBorder="1" applyAlignment="1" applyProtection="1">
      <alignment vertical="center" wrapText="1"/>
    </xf>
    <xf numFmtId="3" fontId="51" fillId="0" borderId="12" xfId="104" applyNumberFormat="1" applyFont="1" applyFill="1" applyBorder="1" applyAlignment="1">
      <alignment vertical="center" wrapText="1"/>
    </xf>
    <xf numFmtId="3" fontId="48" fillId="0" borderId="12" xfId="104" applyNumberFormat="1" applyFont="1" applyFill="1" applyBorder="1" applyAlignment="1">
      <alignment vertical="center" wrapText="1"/>
    </xf>
    <xf numFmtId="172" fontId="48" fillId="0" borderId="31" xfId="135" applyNumberFormat="1" applyFont="1" applyFill="1" applyBorder="1" applyAlignment="1" applyProtection="1">
      <alignment vertical="center" wrapText="1"/>
    </xf>
    <xf numFmtId="172" fontId="48" fillId="24" borderId="31" xfId="135" applyNumberFormat="1" applyFont="1" applyFill="1" applyBorder="1" applyAlignment="1" applyProtection="1">
      <alignment vertical="center" wrapText="1"/>
    </xf>
    <xf numFmtId="9" fontId="48" fillId="0" borderId="31" xfId="126" applyFont="1" applyFill="1" applyBorder="1" applyAlignment="1" applyProtection="1">
      <alignment horizontal="center" vertical="center" wrapText="1"/>
    </xf>
    <xf numFmtId="0" fontId="48" fillId="0" borderId="31" xfId="104" applyFont="1" applyFill="1" applyBorder="1" applyAlignment="1">
      <alignment vertical="center" wrapText="1"/>
    </xf>
    <xf numFmtId="169" fontId="48" fillId="0" borderId="31" xfId="104" applyNumberFormat="1" applyFont="1" applyBorder="1" applyAlignment="1">
      <alignment horizontal="center" vertical="center" wrapText="1"/>
    </xf>
    <xf numFmtId="0" fontId="48" fillId="0" borderId="12" xfId="104" applyFont="1" applyFill="1" applyBorder="1" applyAlignment="1">
      <alignment horizontal="left" vertical="center" wrapText="1"/>
    </xf>
    <xf numFmtId="169" fontId="48" fillId="24" borderId="12" xfId="104" applyNumberFormat="1" applyFont="1" applyFill="1" applyBorder="1" applyAlignment="1">
      <alignment horizontal="center" vertical="center" wrapText="1"/>
    </xf>
    <xf numFmtId="172" fontId="46" fillId="25" borderId="12" xfId="135" applyNumberFormat="1" applyFont="1" applyFill="1" applyBorder="1" applyAlignment="1" applyProtection="1">
      <alignment horizontal="left" vertical="center" wrapText="1"/>
    </xf>
    <xf numFmtId="0" fontId="48" fillId="0" borderId="12" xfId="103" applyFont="1" applyFill="1" applyBorder="1" applyAlignment="1">
      <alignment horizontal="center" vertical="center" wrapText="1"/>
    </xf>
    <xf numFmtId="172" fontId="48" fillId="0" borderId="12" xfId="134" applyNumberFormat="1" applyFont="1" applyFill="1" applyBorder="1" applyAlignment="1" applyProtection="1">
      <alignment vertical="center" wrapText="1"/>
    </xf>
    <xf numFmtId="9" fontId="48" fillId="0" borderId="12" xfId="104" applyNumberFormat="1" applyFont="1" applyFill="1" applyBorder="1" applyAlignment="1">
      <alignment horizontal="center" vertical="center" wrapText="1"/>
    </xf>
    <xf numFmtId="0" fontId="51" fillId="0" borderId="12" xfId="104" applyFont="1" applyFill="1" applyBorder="1" applyAlignment="1">
      <alignment horizontal="left" vertical="center" wrapText="1"/>
    </xf>
    <xf numFmtId="0" fontId="51" fillId="0" borderId="12" xfId="103" applyFont="1" applyFill="1" applyBorder="1" applyAlignment="1">
      <alignment horizontal="center" vertical="center" wrapText="1"/>
    </xf>
    <xf numFmtId="172" fontId="51" fillId="0" borderId="12" xfId="135" applyNumberFormat="1" applyFont="1" applyFill="1" applyBorder="1" applyAlignment="1" applyProtection="1">
      <alignment vertical="center" wrapText="1"/>
    </xf>
    <xf numFmtId="9" fontId="51" fillId="0" borderId="12" xfId="104" applyNumberFormat="1" applyFont="1" applyFill="1" applyBorder="1" applyAlignment="1">
      <alignment horizontal="center" vertical="center" wrapText="1"/>
    </xf>
    <xf numFmtId="169" fontId="51" fillId="24" borderId="12" xfId="104" applyNumberFormat="1" applyFont="1" applyFill="1" applyBorder="1" applyAlignment="1">
      <alignment horizontal="center" vertical="center" wrapText="1"/>
    </xf>
    <xf numFmtId="0" fontId="48" fillId="26" borderId="12" xfId="104" applyFont="1" applyFill="1" applyBorder="1" applyAlignment="1">
      <alignment horizontal="left" vertical="center" wrapText="1"/>
    </xf>
    <xf numFmtId="172" fontId="51" fillId="0" borderId="12" xfId="134" applyNumberFormat="1" applyFont="1" applyFill="1" applyBorder="1" applyAlignment="1" applyProtection="1">
      <alignment vertical="center" wrapText="1"/>
    </xf>
    <xf numFmtId="0" fontId="51" fillId="24" borderId="12" xfId="104" applyFont="1" applyFill="1" applyBorder="1" applyAlignment="1" applyProtection="1">
      <alignment vertical="center" wrapText="1"/>
      <protection locked="0"/>
    </xf>
    <xf numFmtId="0" fontId="48" fillId="0" borderId="12" xfId="104" applyFont="1" applyFill="1" applyBorder="1" applyAlignment="1">
      <alignment horizontal="center" vertical="center" wrapText="1"/>
    </xf>
    <xf numFmtId="10" fontId="48" fillId="0" borderId="12" xfId="103" applyNumberFormat="1" applyFont="1" applyFill="1" applyBorder="1" applyAlignment="1">
      <alignment vertical="center" wrapText="1"/>
    </xf>
    <xf numFmtId="0" fontId="48" fillId="0" borderId="12" xfId="103" applyFont="1" applyFill="1" applyBorder="1" applyAlignment="1">
      <alignment horizontal="left" vertical="center" wrapText="1"/>
    </xf>
    <xf numFmtId="10" fontId="48" fillId="0" borderId="0" xfId="103" applyNumberFormat="1" applyFont="1" applyFill="1" applyBorder="1" applyAlignment="1">
      <alignment vertical="center" wrapText="1"/>
    </xf>
    <xf numFmtId="10" fontId="51" fillId="0" borderId="12" xfId="103" applyNumberFormat="1" applyFont="1" applyFill="1" applyBorder="1" applyAlignment="1">
      <alignment vertical="center" wrapText="1"/>
    </xf>
    <xf numFmtId="0" fontId="43" fillId="0" borderId="0" xfId="101" applyFont="1"/>
    <xf numFmtId="0" fontId="43" fillId="0" borderId="0" xfId="101" applyFont="1" applyAlignment="1">
      <alignment horizontal="center"/>
    </xf>
    <xf numFmtId="0" fontId="43" fillId="0" borderId="0" xfId="101" applyFont="1" applyAlignment="1">
      <alignment horizontal="right"/>
    </xf>
    <xf numFmtId="172" fontId="53" fillId="9" borderId="12" xfId="135" applyNumberFormat="1" applyFont="1" applyFill="1" applyBorder="1" applyAlignment="1" applyProtection="1"/>
    <xf numFmtId="0" fontId="48" fillId="0" borderId="12" xfId="106" applyFont="1" applyFill="1" applyBorder="1" applyAlignment="1">
      <alignment vertical="center" wrapText="1"/>
    </xf>
    <xf numFmtId="0" fontId="48" fillId="0" borderId="12" xfId="101" applyFont="1" applyBorder="1"/>
    <xf numFmtId="0" fontId="48" fillId="0" borderId="0" xfId="101" applyFont="1"/>
    <xf numFmtId="0" fontId="54" fillId="0" borderId="12" xfId="104" applyFont="1" applyFill="1" applyBorder="1" applyAlignment="1">
      <alignment vertical="center" wrapText="1"/>
    </xf>
    <xf numFmtId="172" fontId="54" fillId="0" borderId="12" xfId="135" applyNumberFormat="1" applyFont="1" applyFill="1" applyBorder="1" applyAlignment="1" applyProtection="1">
      <alignment vertical="center" wrapText="1"/>
    </xf>
    <xf numFmtId="0" fontId="48" fillId="0" borderId="12" xfId="103" applyFont="1" applyFill="1" applyBorder="1" applyAlignment="1">
      <alignment horizontal="center" vertical="center" wrapText="1"/>
    </xf>
    <xf numFmtId="0" fontId="48" fillId="0" borderId="12" xfId="104" applyFont="1" applyFill="1" applyBorder="1" applyAlignment="1">
      <alignment horizontal="center" vertical="center" wrapText="1"/>
    </xf>
    <xf numFmtId="0" fontId="37" fillId="25" borderId="12" xfId="103" applyFont="1" applyFill="1" applyBorder="1" applyAlignment="1">
      <alignment horizontal="center" vertical="center" wrapText="1"/>
    </xf>
    <xf numFmtId="0" fontId="48" fillId="0" borderId="12" xfId="103" applyFont="1" applyFill="1" applyBorder="1" applyAlignment="1">
      <alignment horizontal="center" vertical="center" wrapText="1"/>
    </xf>
    <xf numFmtId="0" fontId="51" fillId="0" borderId="12" xfId="103" applyFont="1" applyFill="1" applyBorder="1" applyAlignment="1">
      <alignment horizontal="center" vertical="center" wrapText="1"/>
    </xf>
    <xf numFmtId="0" fontId="48" fillId="0" borderId="12" xfId="104" applyFont="1" applyFill="1" applyBorder="1" applyAlignment="1">
      <alignment horizontal="center" vertical="center" wrapText="1"/>
    </xf>
    <xf numFmtId="0" fontId="55" fillId="24" borderId="12" xfId="104" applyFont="1" applyFill="1" applyBorder="1" applyAlignment="1">
      <alignment horizontal="center" vertical="center" wrapText="1"/>
    </xf>
    <xf numFmtId="0" fontId="55" fillId="0" borderId="12" xfId="104" applyFont="1" applyFill="1" applyBorder="1" applyAlignment="1">
      <alignment vertical="center" wrapText="1"/>
    </xf>
    <xf numFmtId="0" fontId="55" fillId="0" borderId="12" xfId="103" applyFont="1" applyFill="1" applyBorder="1" applyAlignment="1">
      <alignment vertical="center" wrapText="1"/>
    </xf>
    <xf numFmtId="172" fontId="55" fillId="0" borderId="12" xfId="135" applyNumberFormat="1" applyFont="1" applyFill="1" applyBorder="1" applyAlignment="1" applyProtection="1">
      <alignment vertical="center" wrapText="1"/>
    </xf>
    <xf numFmtId="9" fontId="55" fillId="0" borderId="12" xfId="126" applyFont="1" applyFill="1" applyBorder="1" applyAlignment="1" applyProtection="1">
      <alignment horizontal="center" vertical="center" wrapText="1"/>
    </xf>
    <xf numFmtId="0" fontId="55" fillId="0" borderId="12" xfId="104" applyFont="1" applyFill="1" applyBorder="1" applyAlignment="1">
      <alignment horizontal="center" vertical="center" wrapText="1"/>
    </xf>
    <xf numFmtId="0" fontId="55" fillId="0" borderId="12" xfId="103" applyFont="1" applyFill="1" applyBorder="1" applyAlignment="1">
      <alignment horizontal="center" vertical="center" wrapText="1"/>
    </xf>
    <xf numFmtId="0" fontId="56" fillId="0" borderId="12" xfId="104" applyFont="1" applyFill="1" applyBorder="1" applyAlignment="1">
      <alignment vertical="center" wrapText="1"/>
    </xf>
    <xf numFmtId="0" fontId="56" fillId="24" borderId="12" xfId="104" applyFont="1" applyFill="1" applyBorder="1" applyAlignment="1">
      <alignment horizontal="center" vertical="center" wrapText="1"/>
    </xf>
    <xf numFmtId="0" fontId="56" fillId="24" borderId="12" xfId="104" applyFont="1" applyFill="1" applyBorder="1" applyAlignment="1">
      <alignment vertical="center" wrapText="1"/>
    </xf>
    <xf numFmtId="0" fontId="56" fillId="24" borderId="12" xfId="104" applyFont="1" applyFill="1" applyBorder="1" applyAlignment="1">
      <alignment horizontal="left" vertical="center" wrapText="1"/>
    </xf>
    <xf numFmtId="0" fontId="56" fillId="0" borderId="12" xfId="103" applyFont="1" applyFill="1" applyBorder="1" applyAlignment="1">
      <alignment horizontal="center" vertical="center" wrapText="1"/>
    </xf>
    <xf numFmtId="172" fontId="56" fillId="0" borderId="12" xfId="135" applyNumberFormat="1" applyFont="1" applyFill="1" applyBorder="1" applyAlignment="1" applyProtection="1">
      <alignment vertical="center" wrapText="1"/>
    </xf>
    <xf numFmtId="172" fontId="56" fillId="24" borderId="12" xfId="135" applyNumberFormat="1" applyFont="1" applyFill="1" applyBorder="1" applyAlignment="1" applyProtection="1">
      <alignment vertical="center" wrapText="1"/>
    </xf>
    <xf numFmtId="9" fontId="56" fillId="0" borderId="12" xfId="126" applyFont="1" applyFill="1" applyBorder="1" applyAlignment="1" applyProtection="1">
      <alignment horizontal="center" vertical="center" wrapText="1"/>
    </xf>
    <xf numFmtId="0" fontId="56" fillId="0" borderId="12" xfId="103" applyFont="1" applyFill="1" applyBorder="1" applyAlignment="1">
      <alignment vertical="center" wrapText="1"/>
    </xf>
    <xf numFmtId="0" fontId="56" fillId="0" borderId="12" xfId="104" applyFont="1" applyFill="1" applyBorder="1" applyAlignment="1">
      <alignment horizontal="center" vertical="center" wrapText="1"/>
    </xf>
    <xf numFmtId="0" fontId="54" fillId="0" borderId="12" xfId="103" applyFont="1" applyFill="1" applyBorder="1" applyAlignment="1">
      <alignment vertical="center" wrapText="1"/>
    </xf>
    <xf numFmtId="172" fontId="54" fillId="24" borderId="12" xfId="135" applyNumberFormat="1" applyFont="1" applyFill="1" applyBorder="1" applyAlignment="1" applyProtection="1">
      <alignment vertical="center" wrapText="1"/>
    </xf>
    <xf numFmtId="10" fontId="54" fillId="0" borderId="12" xfId="104" applyNumberFormat="1" applyFont="1" applyFill="1" applyBorder="1" applyAlignment="1">
      <alignment vertical="center" wrapText="1"/>
    </xf>
    <xf numFmtId="0" fontId="48" fillId="0" borderId="12" xfId="103" applyFont="1" applyFill="1" applyBorder="1" applyAlignment="1">
      <alignment horizontal="center" vertical="center" wrapText="1"/>
    </xf>
    <xf numFmtId="0" fontId="51" fillId="0" borderId="12" xfId="103" applyFont="1" applyFill="1" applyBorder="1" applyAlignment="1">
      <alignment horizontal="center" vertical="center" wrapText="1"/>
    </xf>
    <xf numFmtId="0" fontId="48" fillId="0" borderId="12" xfId="104" applyFont="1" applyFill="1" applyBorder="1" applyAlignment="1">
      <alignment horizontal="center" vertical="center" wrapText="1"/>
    </xf>
    <xf numFmtId="0" fontId="54" fillId="0" borderId="12" xfId="104" applyFont="1" applyFill="1" applyBorder="1" applyAlignment="1">
      <alignment horizontal="center" vertical="center" wrapText="1"/>
    </xf>
    <xf numFmtId="3" fontId="54" fillId="0" borderId="12" xfId="104" applyNumberFormat="1" applyFont="1" applyFill="1" applyBorder="1" applyAlignment="1">
      <alignment vertical="center" wrapText="1"/>
    </xf>
    <xf numFmtId="172" fontId="54" fillId="0" borderId="31" xfId="135" applyNumberFormat="1" applyFont="1" applyFill="1" applyBorder="1" applyAlignment="1" applyProtection="1">
      <alignment vertical="center" wrapText="1"/>
    </xf>
    <xf numFmtId="172" fontId="54" fillId="24" borderId="31" xfId="135" applyNumberFormat="1" applyFont="1" applyFill="1" applyBorder="1" applyAlignment="1" applyProtection="1">
      <alignment vertical="center" wrapText="1"/>
    </xf>
    <xf numFmtId="172" fontId="54" fillId="0" borderId="12" xfId="134" applyNumberFormat="1" applyFont="1" applyFill="1" applyBorder="1" applyAlignment="1" applyProtection="1">
      <alignment vertical="center" wrapText="1"/>
    </xf>
    <xf numFmtId="10" fontId="54" fillId="0" borderId="12" xfId="103" applyNumberFormat="1" applyFont="1" applyFill="1" applyBorder="1" applyAlignment="1">
      <alignment vertical="center" wrapText="1"/>
    </xf>
    <xf numFmtId="173" fontId="54" fillId="0" borderId="0" xfId="135" applyNumberFormat="1" applyFont="1" applyFill="1" applyBorder="1" applyAlignment="1" applyProtection="1">
      <alignment horizontal="left" vertical="center" wrapText="1"/>
    </xf>
    <xf numFmtId="0" fontId="51" fillId="0" borderId="12" xfId="103" applyFont="1" applyFill="1" applyBorder="1" applyAlignment="1">
      <alignment horizontal="center" vertical="center" wrapText="1"/>
    </xf>
    <xf numFmtId="0" fontId="48" fillId="0" borderId="12" xfId="103" applyFont="1" applyFill="1" applyBorder="1" applyAlignment="1">
      <alignment horizontal="center" vertical="center" wrapText="1"/>
    </xf>
    <xf numFmtId="0" fontId="48" fillId="0" borderId="12" xfId="104" applyFont="1" applyFill="1" applyBorder="1" applyAlignment="1">
      <alignment horizontal="center" vertical="center" wrapText="1"/>
    </xf>
    <xf numFmtId="0" fontId="57" fillId="24" borderId="12" xfId="104" applyFont="1" applyFill="1" applyBorder="1" applyAlignment="1">
      <alignment vertical="center" wrapText="1"/>
    </xf>
    <xf numFmtId="0" fontId="57" fillId="0" borderId="12" xfId="104" applyFont="1" applyFill="1" applyBorder="1" applyAlignment="1">
      <alignment vertical="center" wrapText="1"/>
    </xf>
    <xf numFmtId="9" fontId="54" fillId="0" borderId="12" xfId="126" applyFont="1" applyFill="1" applyBorder="1" applyAlignment="1" applyProtection="1">
      <alignment horizontal="center" vertical="center" wrapText="1"/>
    </xf>
    <xf numFmtId="0" fontId="54" fillId="0" borderId="12" xfId="103" applyFont="1" applyFill="1" applyBorder="1" applyAlignment="1">
      <alignment horizontal="center" vertical="center" wrapText="1"/>
    </xf>
    <xf numFmtId="0" fontId="37" fillId="25" borderId="12" xfId="103" applyFont="1" applyFill="1" applyBorder="1" applyAlignment="1">
      <alignment horizontal="center" vertical="center" wrapText="1"/>
    </xf>
    <xf numFmtId="0" fontId="51" fillId="0" borderId="12" xfId="103" applyFont="1" applyFill="1" applyBorder="1" applyAlignment="1">
      <alignment horizontal="center" vertical="center" wrapText="1"/>
    </xf>
    <xf numFmtId="0" fontId="48" fillId="0" borderId="12" xfId="103" applyFont="1" applyFill="1" applyBorder="1" applyAlignment="1">
      <alignment horizontal="center" vertical="center" wrapText="1"/>
    </xf>
    <xf numFmtId="0" fontId="48" fillId="0" borderId="12" xfId="104" applyFont="1" applyFill="1" applyBorder="1" applyAlignment="1">
      <alignment horizontal="center" vertical="center" wrapText="1"/>
    </xf>
    <xf numFmtId="0" fontId="48" fillId="0" borderId="21" xfId="103" applyFont="1" applyFill="1" applyBorder="1" applyAlignment="1">
      <alignment horizontal="center" vertical="center" wrapText="1"/>
    </xf>
    <xf numFmtId="0" fontId="48" fillId="0" borderId="48" xfId="104" applyFont="1" applyFill="1" applyBorder="1" applyAlignment="1">
      <alignment horizontal="left" vertical="center" wrapText="1"/>
    </xf>
    <xf numFmtId="0" fontId="54" fillId="24" borderId="12" xfId="104" applyFont="1" applyFill="1" applyBorder="1" applyAlignment="1">
      <alignment horizontal="left" vertical="center" wrapText="1"/>
    </xf>
    <xf numFmtId="10" fontId="56" fillId="0" borderId="12" xfId="104" applyNumberFormat="1" applyFont="1" applyFill="1" applyBorder="1" applyAlignment="1">
      <alignment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22" borderId="42" xfId="0" applyFont="1" applyFill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top" wrapText="1"/>
    </xf>
    <xf numFmtId="0" fontId="18" fillId="21" borderId="14" xfId="0" applyFont="1" applyFill="1" applyBorder="1" applyAlignment="1">
      <alignment horizontal="center" vertical="center" wrapText="1"/>
    </xf>
    <xf numFmtId="0" fontId="19" fillId="20" borderId="40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left" vertical="top" wrapText="1"/>
    </xf>
    <xf numFmtId="0" fontId="19" fillId="22" borderId="43" xfId="0" applyFont="1" applyFill="1" applyBorder="1" applyAlignment="1">
      <alignment horizontal="center" vertical="top" wrapText="1"/>
    </xf>
    <xf numFmtId="0" fontId="19" fillId="0" borderId="22" xfId="0" applyFont="1" applyBorder="1" applyAlignment="1">
      <alignment horizontal="center" vertical="center" wrapText="1"/>
    </xf>
    <xf numFmtId="0" fontId="19" fillId="0" borderId="15" xfId="103" applyFont="1" applyBorder="1" applyAlignment="1">
      <alignment horizontal="center" vertical="center" wrapText="1"/>
    </xf>
    <xf numFmtId="0" fontId="19" fillId="0" borderId="16" xfId="103" applyFont="1" applyBorder="1" applyAlignment="1">
      <alignment horizontal="center" vertical="center" wrapText="1"/>
    </xf>
    <xf numFmtId="0" fontId="19" fillId="22" borderId="42" xfId="103" applyFont="1" applyFill="1" applyBorder="1" applyAlignment="1">
      <alignment horizontal="center" vertical="top" wrapText="1"/>
    </xf>
    <xf numFmtId="0" fontId="19" fillId="0" borderId="40" xfId="103" applyFont="1" applyBorder="1" applyAlignment="1">
      <alignment horizontal="center" vertical="center"/>
    </xf>
    <xf numFmtId="0" fontId="19" fillId="0" borderId="41" xfId="103" applyFont="1" applyBorder="1" applyAlignment="1">
      <alignment horizontal="center" vertical="center" wrapText="1"/>
    </xf>
    <xf numFmtId="0" fontId="19" fillId="0" borderId="22" xfId="103" applyFont="1" applyBorder="1" applyAlignment="1">
      <alignment horizontal="center" vertical="top" wrapText="1"/>
    </xf>
    <xf numFmtId="0" fontId="18" fillId="21" borderId="14" xfId="103" applyFont="1" applyFill="1" applyBorder="1" applyAlignment="1">
      <alignment horizontal="center" vertical="center" wrapText="1"/>
    </xf>
    <xf numFmtId="0" fontId="19" fillId="20" borderId="40" xfId="103" applyFont="1" applyFill="1" applyBorder="1" applyAlignment="1">
      <alignment horizontal="center" vertical="top" wrapText="1"/>
    </xf>
    <xf numFmtId="0" fontId="19" fillId="0" borderId="0" xfId="103" applyFont="1" applyBorder="1" applyAlignment="1">
      <alignment horizontal="left" vertical="top" wrapText="1"/>
    </xf>
    <xf numFmtId="0" fontId="19" fillId="22" borderId="43" xfId="103" applyFont="1" applyFill="1" applyBorder="1" applyAlignment="1">
      <alignment horizontal="center" vertical="top" wrapText="1"/>
    </xf>
    <xf numFmtId="0" fontId="19" fillId="0" borderId="22" xfId="103" applyFont="1" applyBorder="1" applyAlignment="1">
      <alignment horizontal="center" vertical="center" wrapText="1"/>
    </xf>
    <xf numFmtId="0" fontId="27" fillId="0" borderId="44" xfId="104" applyFont="1" applyFill="1" applyBorder="1" applyAlignment="1">
      <alignment horizontal="left" vertical="center" wrapText="1"/>
    </xf>
    <xf numFmtId="0" fontId="28" fillId="25" borderId="45" xfId="104" applyFont="1" applyFill="1" applyBorder="1" applyAlignment="1">
      <alignment horizontal="left" vertical="center" wrapText="1"/>
    </xf>
    <xf numFmtId="0" fontId="29" fillId="9" borderId="12" xfId="104" applyFont="1" applyFill="1" applyBorder="1" applyAlignment="1">
      <alignment horizontal="center" vertical="center" wrapText="1"/>
    </xf>
    <xf numFmtId="0" fontId="30" fillId="25" borderId="11" xfId="104" applyFont="1" applyFill="1" applyBorder="1" applyAlignment="1">
      <alignment horizontal="center" vertical="center" wrapText="1"/>
    </xf>
    <xf numFmtId="0" fontId="30" fillId="25" borderId="12" xfId="104" applyFont="1" applyFill="1" applyBorder="1" applyAlignment="1">
      <alignment horizontal="center" vertical="center" wrapText="1"/>
    </xf>
    <xf numFmtId="0" fontId="30" fillId="25" borderId="12" xfId="104" applyFont="1" applyFill="1" applyBorder="1" applyAlignment="1">
      <alignment horizontal="center" vertical="center"/>
    </xf>
    <xf numFmtId="0" fontId="30" fillId="25" borderId="13" xfId="104" applyFont="1" applyFill="1" applyBorder="1" applyAlignment="1">
      <alignment horizontal="center" vertical="center" wrapText="1"/>
    </xf>
    <xf numFmtId="0" fontId="18" fillId="0" borderId="12" xfId="104" applyFont="1" applyFill="1" applyBorder="1" applyAlignment="1">
      <alignment horizontal="center" vertical="center" wrapText="1"/>
    </xf>
    <xf numFmtId="0" fontId="32" fillId="0" borderId="10" xfId="104" applyFont="1" applyFill="1" applyBorder="1" applyAlignment="1">
      <alignment horizontal="center" vertical="center" wrapText="1"/>
    </xf>
    <xf numFmtId="0" fontId="29" fillId="9" borderId="17" xfId="104" applyFont="1" applyFill="1" applyBorder="1" applyAlignment="1">
      <alignment horizontal="center" vertical="center" wrapText="1"/>
    </xf>
    <xf numFmtId="0" fontId="18" fillId="24" borderId="12" xfId="104" applyFont="1" applyFill="1" applyBorder="1" applyAlignment="1">
      <alignment horizontal="center" vertical="center" wrapText="1"/>
    </xf>
    <xf numFmtId="0" fontId="18" fillId="24" borderId="10" xfId="104" applyFont="1" applyFill="1" applyBorder="1" applyAlignment="1">
      <alignment horizontal="center" vertical="center" wrapText="1"/>
    </xf>
    <xf numFmtId="0" fontId="18" fillId="0" borderId="24" xfId="104" applyFont="1" applyFill="1" applyBorder="1" applyAlignment="1">
      <alignment horizontal="center" vertical="center" wrapText="1"/>
    </xf>
    <xf numFmtId="0" fontId="32" fillId="0" borderId="12" xfId="104" applyFont="1" applyFill="1" applyBorder="1" applyAlignment="1">
      <alignment horizontal="center" vertical="center" wrapText="1"/>
    </xf>
    <xf numFmtId="0" fontId="18" fillId="0" borderId="10" xfId="104" applyFont="1" applyFill="1" applyBorder="1" applyAlignment="1">
      <alignment horizontal="center" vertical="center" wrapText="1"/>
    </xf>
    <xf numFmtId="10" fontId="30" fillId="25" borderId="12" xfId="104" applyNumberFormat="1" applyFont="1" applyFill="1" applyBorder="1" applyAlignment="1">
      <alignment horizontal="center" vertical="center" wrapText="1"/>
    </xf>
    <xf numFmtId="0" fontId="36" fillId="24" borderId="12" xfId="104" applyFont="1" applyFill="1" applyBorder="1" applyAlignment="1">
      <alignment horizontal="center" vertical="center" wrapText="1"/>
    </xf>
    <xf numFmtId="0" fontId="36" fillId="24" borderId="24" xfId="104" applyFont="1" applyFill="1" applyBorder="1" applyAlignment="1">
      <alignment horizontal="center" vertical="center" wrapText="1"/>
    </xf>
    <xf numFmtId="0" fontId="24" fillId="24" borderId="24" xfId="104" applyFont="1" applyFill="1" applyBorder="1" applyAlignment="1">
      <alignment horizontal="center" vertical="center" wrapText="1"/>
    </xf>
    <xf numFmtId="0" fontId="43" fillId="0" borderId="0" xfId="101" applyFont="1" applyBorder="1" applyAlignment="1">
      <alignment horizontal="justify" vertical="center"/>
    </xf>
    <xf numFmtId="0" fontId="46" fillId="25" borderId="12" xfId="103" applyFont="1" applyFill="1" applyBorder="1" applyAlignment="1">
      <alignment horizontal="left" vertical="center" wrapText="1"/>
    </xf>
    <xf numFmtId="0" fontId="37" fillId="25" borderId="12" xfId="103" applyFont="1" applyFill="1" applyBorder="1" applyAlignment="1">
      <alignment horizontal="center" vertical="center" wrapText="1"/>
    </xf>
    <xf numFmtId="0" fontId="37" fillId="25" borderId="12" xfId="103" applyFont="1" applyFill="1" applyBorder="1" applyAlignment="1">
      <alignment horizontal="center" vertical="center"/>
    </xf>
    <xf numFmtId="0" fontId="44" fillId="0" borderId="37" xfId="103" applyFont="1" applyFill="1" applyBorder="1" applyAlignment="1">
      <alignment horizontal="right" vertical="center" wrapText="1"/>
    </xf>
    <xf numFmtId="0" fontId="48" fillId="0" borderId="12" xfId="103" applyFont="1" applyFill="1" applyBorder="1" applyAlignment="1">
      <alignment horizontal="center" vertical="center" wrapText="1"/>
    </xf>
    <xf numFmtId="0" fontId="51" fillId="0" borderId="12" xfId="103" applyFont="1" applyFill="1" applyBorder="1" applyAlignment="1">
      <alignment horizontal="center" vertical="center" wrapText="1"/>
    </xf>
    <xf numFmtId="0" fontId="48" fillId="0" borderId="12" xfId="104" applyFont="1" applyFill="1" applyBorder="1" applyAlignment="1">
      <alignment horizontal="center" vertical="center" wrapText="1"/>
    </xf>
    <xf numFmtId="0" fontId="49" fillId="0" borderId="12" xfId="104" applyFont="1" applyFill="1" applyBorder="1" applyAlignment="1">
      <alignment horizontal="center" vertical="center" wrapText="1"/>
    </xf>
    <xf numFmtId="0" fontId="37" fillId="12" borderId="12" xfId="101" applyFont="1" applyFill="1" applyBorder="1" applyAlignment="1">
      <alignment horizontal="center" vertical="center" wrapText="1"/>
    </xf>
    <xf numFmtId="0" fontId="37" fillId="12" borderId="12" xfId="101" applyFont="1" applyFill="1" applyBorder="1" applyAlignment="1">
      <alignment horizontal="center" vertical="center"/>
    </xf>
    <xf numFmtId="0" fontId="48" fillId="0" borderId="12" xfId="106" applyFont="1" applyFill="1" applyBorder="1" applyAlignment="1">
      <alignment horizontal="center" vertical="center" wrapText="1"/>
    </xf>
    <xf numFmtId="0" fontId="40" fillId="0" borderId="12" xfId="101" applyFont="1" applyBorder="1" applyAlignment="1">
      <alignment horizontal="center" vertical="center" wrapText="1"/>
    </xf>
    <xf numFmtId="0" fontId="55" fillId="0" borderId="12" xfId="104" applyFont="1" applyFill="1" applyBorder="1" applyAlignment="1">
      <alignment horizontal="center" vertical="center" wrapText="1"/>
    </xf>
    <xf numFmtId="0" fontId="46" fillId="25" borderId="21" xfId="103" applyFont="1" applyFill="1" applyBorder="1" applyAlignment="1">
      <alignment horizontal="left" vertical="center" wrapText="1"/>
    </xf>
    <xf numFmtId="0" fontId="46" fillId="25" borderId="47" xfId="103" applyFont="1" applyFill="1" applyBorder="1" applyAlignment="1">
      <alignment horizontal="left" vertical="center" wrapText="1"/>
    </xf>
    <xf numFmtId="0" fontId="46" fillId="25" borderId="48" xfId="103" applyFont="1" applyFill="1" applyBorder="1" applyAlignment="1">
      <alignment horizontal="left" vertical="center" wrapText="1"/>
    </xf>
    <xf numFmtId="172" fontId="44" fillId="0" borderId="19" xfId="135" applyNumberFormat="1" applyFont="1" applyFill="1" applyBorder="1" applyAlignment="1" applyProtection="1">
      <alignment horizontal="right" vertical="center" wrapText="1"/>
    </xf>
    <xf numFmtId="0" fontId="2" fillId="16" borderId="46" xfId="102" applyFont="1" applyFill="1" applyBorder="1" applyAlignment="1">
      <alignment horizontal="center" vertical="center" wrapText="1"/>
    </xf>
    <xf numFmtId="0" fontId="37" fillId="16" borderId="0" xfId="102" applyFont="1" applyFill="1" applyBorder="1" applyAlignment="1">
      <alignment horizontal="left" vertical="center" wrapText="1"/>
    </xf>
    <xf numFmtId="0" fontId="30" fillId="16" borderId="40" xfId="102" applyFont="1" applyFill="1" applyBorder="1" applyAlignment="1">
      <alignment horizontal="center" vertical="center"/>
    </xf>
    <xf numFmtId="0" fontId="30" fillId="16" borderId="40" xfId="102" applyFont="1" applyFill="1" applyBorder="1" applyAlignment="1">
      <alignment horizontal="left" vertical="center" wrapText="1"/>
    </xf>
    <xf numFmtId="0" fontId="30" fillId="16" borderId="12" xfId="102" applyFont="1" applyFill="1" applyBorder="1" applyAlignment="1">
      <alignment horizontal="center" vertical="center"/>
    </xf>
    <xf numFmtId="0" fontId="19" fillId="0" borderId="31" xfId="106" applyFont="1" applyFill="1" applyBorder="1" applyAlignment="1">
      <alignment horizontal="center" vertical="center" wrapText="1"/>
    </xf>
    <xf numFmtId="0" fontId="38" fillId="0" borderId="12" xfId="102" applyFont="1" applyBorder="1" applyAlignment="1">
      <alignment horizontal="center" vertical="center" wrapText="1"/>
    </xf>
  </cellXfs>
  <cellStyles count="156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20% - Ênfase1 2" xfId="7" xr:uid="{00000000-0005-0000-0000-000006000000}"/>
    <cellStyle name="20% - Ênfase1 3" xfId="8" xr:uid="{00000000-0005-0000-0000-000007000000}"/>
    <cellStyle name="20% - Ênfase2 2" xfId="9" xr:uid="{00000000-0005-0000-0000-000008000000}"/>
    <cellStyle name="20% - Ênfase2 3" xfId="10" xr:uid="{00000000-0005-0000-0000-000009000000}"/>
    <cellStyle name="20% - Ênfase3 2" xfId="11" xr:uid="{00000000-0005-0000-0000-00000A000000}"/>
    <cellStyle name="20% - Ênfase3 3" xfId="12" xr:uid="{00000000-0005-0000-0000-00000B000000}"/>
    <cellStyle name="20% - Ênfase4 2" xfId="13" xr:uid="{00000000-0005-0000-0000-00000C000000}"/>
    <cellStyle name="20% - Ênfase4 3" xfId="14" xr:uid="{00000000-0005-0000-0000-00000D000000}"/>
    <cellStyle name="20% - Ênfase5 2" xfId="15" xr:uid="{00000000-0005-0000-0000-00000E000000}"/>
    <cellStyle name="20% - Ênfase5 3" xfId="16" xr:uid="{00000000-0005-0000-0000-00000F000000}"/>
    <cellStyle name="20% - Ênfase6 2" xfId="17" xr:uid="{00000000-0005-0000-0000-000010000000}"/>
    <cellStyle name="20% - Ênfase6 3" xfId="18" xr:uid="{00000000-0005-0000-0000-000011000000}"/>
    <cellStyle name="40% - Accent1 2" xfId="19" xr:uid="{00000000-0005-0000-0000-000012000000}"/>
    <cellStyle name="40% - Accent2 2" xfId="20" xr:uid="{00000000-0005-0000-0000-000013000000}"/>
    <cellStyle name="40% - Accent3 2" xfId="21" xr:uid="{00000000-0005-0000-0000-000014000000}"/>
    <cellStyle name="40% - Accent4 2" xfId="22" xr:uid="{00000000-0005-0000-0000-000015000000}"/>
    <cellStyle name="40% - Accent5 2" xfId="23" xr:uid="{00000000-0005-0000-0000-000016000000}"/>
    <cellStyle name="40% - Accent6 2" xfId="24" xr:uid="{00000000-0005-0000-0000-000017000000}"/>
    <cellStyle name="40% - Ênfase1 2" xfId="25" xr:uid="{00000000-0005-0000-0000-000018000000}"/>
    <cellStyle name="40% - Ênfase1 3" xfId="26" xr:uid="{00000000-0005-0000-0000-000019000000}"/>
    <cellStyle name="40% - Ênfase2 2" xfId="27" xr:uid="{00000000-0005-0000-0000-00001A000000}"/>
    <cellStyle name="40% - Ênfase2 3" xfId="28" xr:uid="{00000000-0005-0000-0000-00001B000000}"/>
    <cellStyle name="40% - Ênfase3 2" xfId="29" xr:uid="{00000000-0005-0000-0000-00001C000000}"/>
    <cellStyle name="40% - Ênfase3 3" xfId="30" xr:uid="{00000000-0005-0000-0000-00001D000000}"/>
    <cellStyle name="40% - Ênfase4 2" xfId="31" xr:uid="{00000000-0005-0000-0000-00001E000000}"/>
    <cellStyle name="40% - Ênfase4 3" xfId="32" xr:uid="{00000000-0005-0000-0000-00001F000000}"/>
    <cellStyle name="40% - Ênfase5 2" xfId="33" xr:uid="{00000000-0005-0000-0000-000020000000}"/>
    <cellStyle name="40% - Ênfase5 3" xfId="34" xr:uid="{00000000-0005-0000-0000-000021000000}"/>
    <cellStyle name="40% - Ênfase6 2" xfId="35" xr:uid="{00000000-0005-0000-0000-000022000000}"/>
    <cellStyle name="40% - Ênfase6 3" xfId="36" xr:uid="{00000000-0005-0000-0000-000023000000}"/>
    <cellStyle name="60% - Accent1 2" xfId="37" xr:uid="{00000000-0005-0000-0000-000024000000}"/>
    <cellStyle name="60% - Accent2 2" xfId="38" xr:uid="{00000000-0005-0000-0000-000025000000}"/>
    <cellStyle name="60% - Accent3 2" xfId="39" xr:uid="{00000000-0005-0000-0000-000026000000}"/>
    <cellStyle name="60% - Accent4 2" xfId="40" xr:uid="{00000000-0005-0000-0000-000027000000}"/>
    <cellStyle name="60% - Accent5 2" xfId="41" xr:uid="{00000000-0005-0000-0000-000028000000}"/>
    <cellStyle name="60% - Accent6 2" xfId="42" xr:uid="{00000000-0005-0000-0000-000029000000}"/>
    <cellStyle name="60% - Ênfase1 2" xfId="43" xr:uid="{00000000-0005-0000-0000-00002A000000}"/>
    <cellStyle name="60% - Ênfase1 3" xfId="44" xr:uid="{00000000-0005-0000-0000-00002B000000}"/>
    <cellStyle name="60% - Ênfase2 2" xfId="45" xr:uid="{00000000-0005-0000-0000-00002C000000}"/>
    <cellStyle name="60% - Ênfase2 3" xfId="46" xr:uid="{00000000-0005-0000-0000-00002D000000}"/>
    <cellStyle name="60% - Ênfase3 2" xfId="47" xr:uid="{00000000-0005-0000-0000-00002E000000}"/>
    <cellStyle name="60% - Ênfase3 3" xfId="48" xr:uid="{00000000-0005-0000-0000-00002F000000}"/>
    <cellStyle name="60% - Ênfase4 2" xfId="49" xr:uid="{00000000-0005-0000-0000-000030000000}"/>
    <cellStyle name="60% - Ênfase4 3" xfId="50" xr:uid="{00000000-0005-0000-0000-000031000000}"/>
    <cellStyle name="60% - Ênfase5 2" xfId="51" xr:uid="{00000000-0005-0000-0000-000032000000}"/>
    <cellStyle name="60% - Ênfase5 3" xfId="52" xr:uid="{00000000-0005-0000-0000-000033000000}"/>
    <cellStyle name="60% - Ênfase6 2" xfId="53" xr:uid="{00000000-0005-0000-0000-000034000000}"/>
    <cellStyle name="60% - Ênfase6 3" xfId="54" xr:uid="{00000000-0005-0000-0000-000035000000}"/>
    <cellStyle name="Accent1 2" xfId="55" xr:uid="{00000000-0005-0000-0000-000036000000}"/>
    <cellStyle name="Accent2 2" xfId="56" xr:uid="{00000000-0005-0000-0000-000037000000}"/>
    <cellStyle name="Accent3 2" xfId="57" xr:uid="{00000000-0005-0000-0000-000038000000}"/>
    <cellStyle name="Accent4 2" xfId="58" xr:uid="{00000000-0005-0000-0000-000039000000}"/>
    <cellStyle name="Accent5 2" xfId="59" xr:uid="{00000000-0005-0000-0000-00003A000000}"/>
    <cellStyle name="Accent6 2" xfId="60" xr:uid="{00000000-0005-0000-0000-00003B000000}"/>
    <cellStyle name="Bad 2" xfId="61" xr:uid="{00000000-0005-0000-0000-00003C000000}"/>
    <cellStyle name="Bom 2" xfId="62" xr:uid="{00000000-0005-0000-0000-00003D000000}"/>
    <cellStyle name="Bom 3" xfId="63" xr:uid="{00000000-0005-0000-0000-00003E000000}"/>
    <cellStyle name="Calculation 2" xfId="64" xr:uid="{00000000-0005-0000-0000-00003F000000}"/>
    <cellStyle name="Cálculo 2" xfId="65" xr:uid="{00000000-0005-0000-0000-000040000000}"/>
    <cellStyle name="Cálculo 3" xfId="66" xr:uid="{00000000-0005-0000-0000-000041000000}"/>
    <cellStyle name="Célula de Verificação 2" xfId="67" xr:uid="{00000000-0005-0000-0000-000042000000}"/>
    <cellStyle name="Célula de Verificação 3" xfId="68" xr:uid="{00000000-0005-0000-0000-000043000000}"/>
    <cellStyle name="Célula Vinculada 2" xfId="69" xr:uid="{00000000-0005-0000-0000-000044000000}"/>
    <cellStyle name="Célula Vinculada 3" xfId="70" xr:uid="{00000000-0005-0000-0000-000045000000}"/>
    <cellStyle name="Check Cell 2" xfId="71" xr:uid="{00000000-0005-0000-0000-000046000000}"/>
    <cellStyle name="Comma" xfId="130" builtinId="3"/>
    <cellStyle name="Ênfase1 2" xfId="72" xr:uid="{00000000-0005-0000-0000-000047000000}"/>
    <cellStyle name="Ênfase1 3" xfId="73" xr:uid="{00000000-0005-0000-0000-000048000000}"/>
    <cellStyle name="Ênfase2 2" xfId="74" xr:uid="{00000000-0005-0000-0000-000049000000}"/>
    <cellStyle name="Ênfase2 3" xfId="75" xr:uid="{00000000-0005-0000-0000-00004A000000}"/>
    <cellStyle name="Ênfase3 2" xfId="76" xr:uid="{00000000-0005-0000-0000-00004B000000}"/>
    <cellStyle name="Ênfase3 3" xfId="77" xr:uid="{00000000-0005-0000-0000-00004C000000}"/>
    <cellStyle name="Ênfase4 2" xfId="78" xr:uid="{00000000-0005-0000-0000-00004D000000}"/>
    <cellStyle name="Ênfase4 3" xfId="79" xr:uid="{00000000-0005-0000-0000-00004E000000}"/>
    <cellStyle name="Ênfase5 2" xfId="80" xr:uid="{00000000-0005-0000-0000-00004F000000}"/>
    <cellStyle name="Ênfase5 3" xfId="81" xr:uid="{00000000-0005-0000-0000-000050000000}"/>
    <cellStyle name="Ênfase6 2" xfId="82" xr:uid="{00000000-0005-0000-0000-000051000000}"/>
    <cellStyle name="Ênfase6 3" xfId="83" xr:uid="{00000000-0005-0000-0000-000052000000}"/>
    <cellStyle name="Entrada 2" xfId="84" xr:uid="{00000000-0005-0000-0000-000053000000}"/>
    <cellStyle name="Entrada 3" xfId="85" xr:uid="{00000000-0005-0000-0000-000054000000}"/>
    <cellStyle name="Explanatory Text 2" xfId="86" xr:uid="{00000000-0005-0000-0000-000055000000}"/>
    <cellStyle name="Good 2" xfId="87" xr:uid="{00000000-0005-0000-0000-000056000000}"/>
    <cellStyle name="Heading 1 2" xfId="88" xr:uid="{00000000-0005-0000-0000-000057000000}"/>
    <cellStyle name="Heading 2 2" xfId="89" xr:uid="{00000000-0005-0000-0000-000058000000}"/>
    <cellStyle name="Heading 3 2" xfId="90" xr:uid="{00000000-0005-0000-0000-000059000000}"/>
    <cellStyle name="Heading 4 2" xfId="91" xr:uid="{00000000-0005-0000-0000-00005A000000}"/>
    <cellStyle name="Incorreto 2" xfId="92" xr:uid="{00000000-0005-0000-0000-00005B000000}"/>
    <cellStyle name="Incorreto 3" xfId="93" xr:uid="{00000000-0005-0000-0000-00005C000000}"/>
    <cellStyle name="Input 2" xfId="94" xr:uid="{00000000-0005-0000-0000-00005D000000}"/>
    <cellStyle name="Linked Cell 2" xfId="95" xr:uid="{00000000-0005-0000-0000-00005E000000}"/>
    <cellStyle name="Moeda 2" xfId="96" xr:uid="{00000000-0005-0000-0000-00005F000000}"/>
    <cellStyle name="Neutra 2" xfId="97" xr:uid="{00000000-0005-0000-0000-000060000000}"/>
    <cellStyle name="Neutra 3" xfId="98" xr:uid="{00000000-0005-0000-0000-000061000000}"/>
    <cellStyle name="Neutral 2" xfId="99" xr:uid="{00000000-0005-0000-0000-000062000000}"/>
    <cellStyle name="Normal" xfId="0" builtinId="0"/>
    <cellStyle name="Normal 10" xfId="100" xr:uid="{00000000-0005-0000-0000-000064000000}"/>
    <cellStyle name="Normal 11" xfId="101" xr:uid="{00000000-0005-0000-0000-000065000000}"/>
    <cellStyle name="Normal 12" xfId="102" xr:uid="{00000000-0005-0000-0000-000066000000}"/>
    <cellStyle name="Normal 2" xfId="103" xr:uid="{00000000-0005-0000-0000-000067000000}"/>
    <cellStyle name="Normal 2 2" xfId="104" xr:uid="{00000000-0005-0000-0000-000068000000}"/>
    <cellStyle name="Normal 2 3" xfId="105" xr:uid="{00000000-0005-0000-0000-000069000000}"/>
    <cellStyle name="Normal 3" xfId="106" xr:uid="{00000000-0005-0000-0000-00006A000000}"/>
    <cellStyle name="Normal 3 2" xfId="107" xr:uid="{00000000-0005-0000-0000-00006B000000}"/>
    <cellStyle name="Normal 4" xfId="108" xr:uid="{00000000-0005-0000-0000-00006C000000}"/>
    <cellStyle name="Normal 5" xfId="109" xr:uid="{00000000-0005-0000-0000-00006D000000}"/>
    <cellStyle name="Normal 6" xfId="110" xr:uid="{00000000-0005-0000-0000-00006E000000}"/>
    <cellStyle name="Normal 7" xfId="111" xr:uid="{00000000-0005-0000-0000-00006F000000}"/>
    <cellStyle name="Normal 8" xfId="112" xr:uid="{00000000-0005-0000-0000-000070000000}"/>
    <cellStyle name="Normal 9" xfId="113" xr:uid="{00000000-0005-0000-0000-000071000000}"/>
    <cellStyle name="Nota 2" xfId="114" xr:uid="{00000000-0005-0000-0000-000072000000}"/>
    <cellStyle name="Nota 2 2" xfId="115" xr:uid="{00000000-0005-0000-0000-000073000000}"/>
    <cellStyle name="Nota 3" xfId="116" xr:uid="{00000000-0005-0000-0000-000074000000}"/>
    <cellStyle name="Nota 4" xfId="117" xr:uid="{00000000-0005-0000-0000-000075000000}"/>
    <cellStyle name="Note 2" xfId="118" xr:uid="{00000000-0005-0000-0000-000076000000}"/>
    <cellStyle name="Output 2" xfId="119" xr:uid="{00000000-0005-0000-0000-000077000000}"/>
    <cellStyle name="Percent" xfId="120" builtinId="5"/>
    <cellStyle name="Porcentagem 11" xfId="121" xr:uid="{00000000-0005-0000-0000-000079000000}"/>
    <cellStyle name="Porcentagem 2" xfId="122" xr:uid="{00000000-0005-0000-0000-00007A000000}"/>
    <cellStyle name="Porcentagem 2 2" xfId="123" xr:uid="{00000000-0005-0000-0000-00007B000000}"/>
    <cellStyle name="Porcentagem 3" xfId="124" xr:uid="{00000000-0005-0000-0000-00007C000000}"/>
    <cellStyle name="Porcentagem 4" xfId="125" xr:uid="{00000000-0005-0000-0000-00007D000000}"/>
    <cellStyle name="Porcentagem 5" xfId="126" xr:uid="{00000000-0005-0000-0000-00007E000000}"/>
    <cellStyle name="Porcentagem_Cópia de PROFISCO SE BR-L1254 - AM ANEXO II - PAI" xfId="127" xr:uid="{00000000-0005-0000-0000-00007F000000}"/>
    <cellStyle name="Saída 2" xfId="128" xr:uid="{00000000-0005-0000-0000-000080000000}"/>
    <cellStyle name="Saída 3" xfId="129" xr:uid="{00000000-0005-0000-0000-000081000000}"/>
    <cellStyle name="Separador de milhares 11 2" xfId="131" xr:uid="{00000000-0005-0000-0000-000083000000}"/>
    <cellStyle name="Separador de milhares 2" xfId="132" xr:uid="{00000000-0005-0000-0000-000084000000}"/>
    <cellStyle name="Separador de milhares 3" xfId="133" xr:uid="{00000000-0005-0000-0000-000085000000}"/>
    <cellStyle name="Separador de milhares 3 2" xfId="134" xr:uid="{00000000-0005-0000-0000-000086000000}"/>
    <cellStyle name="Separador de milhares 4" xfId="135" xr:uid="{00000000-0005-0000-0000-000087000000}"/>
    <cellStyle name="Separador de milhares_Cópia de PROFISCO SE BR-L1254 - AM ANEXO II - PAI" xfId="136" xr:uid="{00000000-0005-0000-0000-000088000000}"/>
    <cellStyle name="Texto de Aviso 2" xfId="137" xr:uid="{00000000-0005-0000-0000-000089000000}"/>
    <cellStyle name="Texto de Aviso 3" xfId="138" xr:uid="{00000000-0005-0000-0000-00008A000000}"/>
    <cellStyle name="Texto Explicativo 2" xfId="139" xr:uid="{00000000-0005-0000-0000-00008B000000}"/>
    <cellStyle name="Texto Explicativo 3" xfId="140" xr:uid="{00000000-0005-0000-0000-00008C000000}"/>
    <cellStyle name="Title 2" xfId="141" xr:uid="{00000000-0005-0000-0000-00008D000000}"/>
    <cellStyle name="Título 1 2" xfId="142" xr:uid="{00000000-0005-0000-0000-00008E000000}"/>
    <cellStyle name="Título 1 3" xfId="143" xr:uid="{00000000-0005-0000-0000-00008F000000}"/>
    <cellStyle name="Título 2 2" xfId="144" xr:uid="{00000000-0005-0000-0000-000090000000}"/>
    <cellStyle name="Título 2 3" xfId="145" xr:uid="{00000000-0005-0000-0000-000091000000}"/>
    <cellStyle name="Título 3 2" xfId="146" xr:uid="{00000000-0005-0000-0000-000092000000}"/>
    <cellStyle name="Título 3 3" xfId="147" xr:uid="{00000000-0005-0000-0000-000093000000}"/>
    <cellStyle name="Título 4 2" xfId="148" xr:uid="{00000000-0005-0000-0000-000094000000}"/>
    <cellStyle name="Título 4 3" xfId="149" xr:uid="{00000000-0005-0000-0000-000095000000}"/>
    <cellStyle name="Título 5" xfId="150" xr:uid="{00000000-0005-0000-0000-000096000000}"/>
    <cellStyle name="Título 6" xfId="151" xr:uid="{00000000-0005-0000-0000-000097000000}"/>
    <cellStyle name="Total 2" xfId="152" xr:uid="{00000000-0005-0000-0000-000098000000}"/>
    <cellStyle name="Total 3" xfId="153" xr:uid="{00000000-0005-0000-0000-000099000000}"/>
    <cellStyle name="Vírgula 2" xfId="154" xr:uid="{00000000-0005-0000-0000-00009A000000}"/>
    <cellStyle name="Warning Text 2" xfId="155" xr:uid="{00000000-0005-0000-0000-00009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47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190500</xdr:rowOff>
    </xdr:from>
    <xdr:to>
      <xdr:col>1</xdr:col>
      <xdr:colOff>1266825</xdr:colOff>
      <xdr:row>0</xdr:row>
      <xdr:rowOff>781050</xdr:rowOff>
    </xdr:to>
    <xdr:pic>
      <xdr:nvPicPr>
        <xdr:cNvPr id="1049" name="Imagem 1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190500"/>
          <a:ext cx="1552575" cy="5905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4</xdr:col>
      <xdr:colOff>619125</xdr:colOff>
      <xdr:row>0</xdr:row>
      <xdr:rowOff>66675</xdr:rowOff>
    </xdr:from>
    <xdr:to>
      <xdr:col>6</xdr:col>
      <xdr:colOff>247650</xdr:colOff>
      <xdr:row>0</xdr:row>
      <xdr:rowOff>904875</xdr:rowOff>
    </xdr:to>
    <xdr:pic>
      <xdr:nvPicPr>
        <xdr:cNvPr id="1050" name="Imagem 2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514975" y="66675"/>
          <a:ext cx="1152525" cy="8382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12</xdr:col>
      <xdr:colOff>285750</xdr:colOff>
      <xdr:row>0</xdr:row>
      <xdr:rowOff>0</xdr:rowOff>
    </xdr:from>
    <xdr:to>
      <xdr:col>12</xdr:col>
      <xdr:colOff>895350</xdr:colOff>
      <xdr:row>0</xdr:row>
      <xdr:rowOff>885825</xdr:rowOff>
    </xdr:to>
    <xdr:pic>
      <xdr:nvPicPr>
        <xdr:cNvPr id="1051" name="Imagem 3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306050" y="0"/>
          <a:ext cx="609600" cy="885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2</xdr:col>
      <xdr:colOff>552450</xdr:colOff>
      <xdr:row>4</xdr:row>
      <xdr:rowOff>123825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85725"/>
          <a:ext cx="1495425" cy="9906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5</xdr:col>
      <xdr:colOff>676275</xdr:colOff>
      <xdr:row>0</xdr:row>
      <xdr:rowOff>133350</xdr:rowOff>
    </xdr:from>
    <xdr:to>
      <xdr:col>8</xdr:col>
      <xdr:colOff>85725</xdr:colOff>
      <xdr:row>5</xdr:row>
      <xdr:rowOff>114300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05625" y="133350"/>
          <a:ext cx="2009775" cy="1171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16</xdr:col>
      <xdr:colOff>590550</xdr:colOff>
      <xdr:row>0</xdr:row>
      <xdr:rowOff>85725</xdr:rowOff>
    </xdr:from>
    <xdr:to>
      <xdr:col>17</xdr:col>
      <xdr:colOff>695325</xdr:colOff>
      <xdr:row>5</xdr:row>
      <xdr:rowOff>19050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030700" y="85725"/>
          <a:ext cx="800100" cy="11239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2</xdr:col>
      <xdr:colOff>552450</xdr:colOff>
      <xdr:row>4</xdr:row>
      <xdr:rowOff>123825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85725"/>
          <a:ext cx="1495425" cy="9906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5</xdr:col>
      <xdr:colOff>676275</xdr:colOff>
      <xdr:row>0</xdr:row>
      <xdr:rowOff>133350</xdr:rowOff>
    </xdr:from>
    <xdr:to>
      <xdr:col>8</xdr:col>
      <xdr:colOff>85725</xdr:colOff>
      <xdr:row>5</xdr:row>
      <xdr:rowOff>114300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05625" y="133350"/>
          <a:ext cx="2009775" cy="1171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16</xdr:col>
      <xdr:colOff>590550</xdr:colOff>
      <xdr:row>0</xdr:row>
      <xdr:rowOff>85725</xdr:rowOff>
    </xdr:from>
    <xdr:to>
      <xdr:col>17</xdr:col>
      <xdr:colOff>695325</xdr:colOff>
      <xdr:row>5</xdr:row>
      <xdr:rowOff>19050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030700" y="85725"/>
          <a:ext cx="800100" cy="11239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2</xdr:col>
      <xdr:colOff>552450</xdr:colOff>
      <xdr:row>4</xdr:row>
      <xdr:rowOff>123825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85725"/>
          <a:ext cx="1495425" cy="9906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5</xdr:col>
      <xdr:colOff>676275</xdr:colOff>
      <xdr:row>0</xdr:row>
      <xdr:rowOff>133350</xdr:rowOff>
    </xdr:from>
    <xdr:to>
      <xdr:col>8</xdr:col>
      <xdr:colOff>85725</xdr:colOff>
      <xdr:row>5</xdr:row>
      <xdr:rowOff>114300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05625" y="133350"/>
          <a:ext cx="2009775" cy="1171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16</xdr:col>
      <xdr:colOff>590550</xdr:colOff>
      <xdr:row>0</xdr:row>
      <xdr:rowOff>85725</xdr:rowOff>
    </xdr:from>
    <xdr:to>
      <xdr:col>17</xdr:col>
      <xdr:colOff>695325</xdr:colOff>
      <xdr:row>5</xdr:row>
      <xdr:rowOff>19050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030700" y="85725"/>
          <a:ext cx="800100" cy="11239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190500</xdr:rowOff>
    </xdr:from>
    <xdr:to>
      <xdr:col>1</xdr:col>
      <xdr:colOff>1266825</xdr:colOff>
      <xdr:row>0</xdr:row>
      <xdr:rowOff>781050</xdr:rowOff>
    </xdr:to>
    <xdr:pic>
      <xdr:nvPicPr>
        <xdr:cNvPr id="2073" name="Imagem 1">
          <a:extLst>
            <a:ext uri="{FF2B5EF4-FFF2-40B4-BE49-F238E27FC236}">
              <a16:creationId xmlns:a16="http://schemas.microsoft.com/office/drawing/2014/main" id="{00000000-0008-0000-01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190500"/>
          <a:ext cx="1552575" cy="5905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4</xdr:col>
      <xdr:colOff>619125</xdr:colOff>
      <xdr:row>0</xdr:row>
      <xdr:rowOff>66675</xdr:rowOff>
    </xdr:from>
    <xdr:to>
      <xdr:col>6</xdr:col>
      <xdr:colOff>247650</xdr:colOff>
      <xdr:row>0</xdr:row>
      <xdr:rowOff>904875</xdr:rowOff>
    </xdr:to>
    <xdr:pic>
      <xdr:nvPicPr>
        <xdr:cNvPr id="2074" name="Imagem 2">
          <a:extLst>
            <a:ext uri="{FF2B5EF4-FFF2-40B4-BE49-F238E27FC236}">
              <a16:creationId xmlns:a16="http://schemas.microsoft.com/office/drawing/2014/main" id="{00000000-0008-0000-01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553075" y="66675"/>
          <a:ext cx="1152525" cy="8382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12</xdr:col>
      <xdr:colOff>390525</xdr:colOff>
      <xdr:row>0</xdr:row>
      <xdr:rowOff>0</xdr:rowOff>
    </xdr:from>
    <xdr:to>
      <xdr:col>12</xdr:col>
      <xdr:colOff>1000125</xdr:colOff>
      <xdr:row>0</xdr:row>
      <xdr:rowOff>885825</xdr:rowOff>
    </xdr:to>
    <xdr:pic>
      <xdr:nvPicPr>
        <xdr:cNvPr id="2075" name="Imagem 3">
          <a:extLst>
            <a:ext uri="{FF2B5EF4-FFF2-40B4-BE49-F238E27FC236}">
              <a16:creationId xmlns:a16="http://schemas.microsoft.com/office/drawing/2014/main" id="{00000000-0008-0000-01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353675" y="0"/>
          <a:ext cx="609600" cy="885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190500</xdr:rowOff>
    </xdr:from>
    <xdr:to>
      <xdr:col>1</xdr:col>
      <xdr:colOff>1266825</xdr:colOff>
      <xdr:row>0</xdr:row>
      <xdr:rowOff>781050</xdr:rowOff>
    </xdr:to>
    <xdr:pic>
      <xdr:nvPicPr>
        <xdr:cNvPr id="3097" name="Imagem 1">
          <a:extLst>
            <a:ext uri="{FF2B5EF4-FFF2-40B4-BE49-F238E27FC236}">
              <a16:creationId xmlns:a16="http://schemas.microsoft.com/office/drawing/2014/main" id="{00000000-0008-0000-0200-00001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190500"/>
          <a:ext cx="1552575" cy="5905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4</xdr:col>
      <xdr:colOff>619125</xdr:colOff>
      <xdr:row>0</xdr:row>
      <xdr:rowOff>66675</xdr:rowOff>
    </xdr:from>
    <xdr:to>
      <xdr:col>6</xdr:col>
      <xdr:colOff>247650</xdr:colOff>
      <xdr:row>0</xdr:row>
      <xdr:rowOff>904875</xdr:rowOff>
    </xdr:to>
    <xdr:pic>
      <xdr:nvPicPr>
        <xdr:cNvPr id="3098" name="Imagem 2">
          <a:extLst>
            <a:ext uri="{FF2B5EF4-FFF2-40B4-BE49-F238E27FC236}">
              <a16:creationId xmlns:a16="http://schemas.microsoft.com/office/drawing/2014/main" id="{00000000-0008-0000-0200-00001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372100" y="66675"/>
          <a:ext cx="1152525" cy="8382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12</xdr:col>
      <xdr:colOff>390525</xdr:colOff>
      <xdr:row>0</xdr:row>
      <xdr:rowOff>0</xdr:rowOff>
    </xdr:from>
    <xdr:to>
      <xdr:col>12</xdr:col>
      <xdr:colOff>1000125</xdr:colOff>
      <xdr:row>0</xdr:row>
      <xdr:rowOff>885825</xdr:rowOff>
    </xdr:to>
    <xdr:pic>
      <xdr:nvPicPr>
        <xdr:cNvPr id="3099" name="Imagem 3">
          <a:extLst>
            <a:ext uri="{FF2B5EF4-FFF2-40B4-BE49-F238E27FC236}">
              <a16:creationId xmlns:a16="http://schemas.microsoft.com/office/drawing/2014/main" id="{00000000-0008-0000-0200-00001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125075" y="0"/>
          <a:ext cx="609600" cy="885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190500</xdr:rowOff>
    </xdr:from>
    <xdr:to>
      <xdr:col>1</xdr:col>
      <xdr:colOff>1266825</xdr:colOff>
      <xdr:row>0</xdr:row>
      <xdr:rowOff>781050</xdr:rowOff>
    </xdr:to>
    <xdr:pic>
      <xdr:nvPicPr>
        <xdr:cNvPr id="4121" name="Imagem 1">
          <a:extLst>
            <a:ext uri="{FF2B5EF4-FFF2-40B4-BE49-F238E27FC236}">
              <a16:creationId xmlns:a16="http://schemas.microsoft.com/office/drawing/2014/main" id="{00000000-0008-0000-0300-00001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190500"/>
          <a:ext cx="1552575" cy="5905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4</xdr:col>
      <xdr:colOff>619125</xdr:colOff>
      <xdr:row>0</xdr:row>
      <xdr:rowOff>66675</xdr:rowOff>
    </xdr:from>
    <xdr:to>
      <xdr:col>6</xdr:col>
      <xdr:colOff>247650</xdr:colOff>
      <xdr:row>0</xdr:row>
      <xdr:rowOff>904875</xdr:rowOff>
    </xdr:to>
    <xdr:pic>
      <xdr:nvPicPr>
        <xdr:cNvPr id="4122" name="Imagem 2">
          <a:extLst>
            <a:ext uri="{FF2B5EF4-FFF2-40B4-BE49-F238E27FC236}">
              <a16:creationId xmlns:a16="http://schemas.microsoft.com/office/drawing/2014/main" id="{00000000-0008-0000-0300-00001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372100" y="66675"/>
          <a:ext cx="1152525" cy="8382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12</xdr:col>
      <xdr:colOff>390525</xdr:colOff>
      <xdr:row>0</xdr:row>
      <xdr:rowOff>0</xdr:rowOff>
    </xdr:from>
    <xdr:to>
      <xdr:col>12</xdr:col>
      <xdr:colOff>1000125</xdr:colOff>
      <xdr:row>0</xdr:row>
      <xdr:rowOff>885825</xdr:rowOff>
    </xdr:to>
    <xdr:pic>
      <xdr:nvPicPr>
        <xdr:cNvPr id="4123" name="Imagem 3">
          <a:extLst>
            <a:ext uri="{FF2B5EF4-FFF2-40B4-BE49-F238E27FC236}">
              <a16:creationId xmlns:a16="http://schemas.microsoft.com/office/drawing/2014/main" id="{00000000-0008-0000-0300-00001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125075" y="0"/>
          <a:ext cx="609600" cy="885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190500</xdr:rowOff>
    </xdr:from>
    <xdr:to>
      <xdr:col>1</xdr:col>
      <xdr:colOff>1266825</xdr:colOff>
      <xdr:row>0</xdr:row>
      <xdr:rowOff>781050</xdr:rowOff>
    </xdr:to>
    <xdr:pic>
      <xdr:nvPicPr>
        <xdr:cNvPr id="5145" name="Imagem 1">
          <a:extLst>
            <a:ext uri="{FF2B5EF4-FFF2-40B4-BE49-F238E27FC236}">
              <a16:creationId xmlns:a16="http://schemas.microsoft.com/office/drawing/2014/main" id="{00000000-0008-0000-0400-00001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190500"/>
          <a:ext cx="1552575" cy="5905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4</xdr:col>
      <xdr:colOff>619125</xdr:colOff>
      <xdr:row>0</xdr:row>
      <xdr:rowOff>66675</xdr:rowOff>
    </xdr:from>
    <xdr:to>
      <xdr:col>6</xdr:col>
      <xdr:colOff>247650</xdr:colOff>
      <xdr:row>0</xdr:row>
      <xdr:rowOff>904875</xdr:rowOff>
    </xdr:to>
    <xdr:pic>
      <xdr:nvPicPr>
        <xdr:cNvPr id="5146" name="Imagem 2">
          <a:extLst>
            <a:ext uri="{FF2B5EF4-FFF2-40B4-BE49-F238E27FC236}">
              <a16:creationId xmlns:a16="http://schemas.microsoft.com/office/drawing/2014/main" id="{00000000-0008-0000-0400-00001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372100" y="66675"/>
          <a:ext cx="1152525" cy="8382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12</xdr:col>
      <xdr:colOff>676275</xdr:colOff>
      <xdr:row>0</xdr:row>
      <xdr:rowOff>95250</xdr:rowOff>
    </xdr:from>
    <xdr:to>
      <xdr:col>12</xdr:col>
      <xdr:colOff>1285875</xdr:colOff>
      <xdr:row>0</xdr:row>
      <xdr:rowOff>981075</xdr:rowOff>
    </xdr:to>
    <xdr:pic>
      <xdr:nvPicPr>
        <xdr:cNvPr id="5147" name="Imagem 3">
          <a:extLst>
            <a:ext uri="{FF2B5EF4-FFF2-40B4-BE49-F238E27FC236}">
              <a16:creationId xmlns:a16="http://schemas.microsoft.com/office/drawing/2014/main" id="{00000000-0008-0000-0400-00001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544175" y="95250"/>
          <a:ext cx="609600" cy="885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28575</xdr:rowOff>
    </xdr:from>
    <xdr:to>
      <xdr:col>2</xdr:col>
      <xdr:colOff>400050</xdr:colOff>
      <xdr:row>2</xdr:row>
      <xdr:rowOff>152400</xdr:rowOff>
    </xdr:to>
    <xdr:pic>
      <xdr:nvPicPr>
        <xdr:cNvPr id="6153" name="Imagem 1">
          <a:extLst>
            <a:ext uri="{FF2B5EF4-FFF2-40B4-BE49-F238E27FC236}">
              <a16:creationId xmlns:a16="http://schemas.microsoft.com/office/drawing/2014/main" id="{00000000-0008-0000-0500-00000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28575"/>
          <a:ext cx="1247775" cy="504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85725</xdr:rowOff>
    </xdr:from>
    <xdr:to>
      <xdr:col>2</xdr:col>
      <xdr:colOff>809625</xdr:colOff>
      <xdr:row>4</xdr:row>
      <xdr:rowOff>123825</xdr:rowOff>
    </xdr:to>
    <xdr:pic>
      <xdr:nvPicPr>
        <xdr:cNvPr id="7193" name="Imagem 1">
          <a:extLst>
            <a:ext uri="{FF2B5EF4-FFF2-40B4-BE49-F238E27FC236}">
              <a16:creationId xmlns:a16="http://schemas.microsoft.com/office/drawing/2014/main" id="{00000000-0008-0000-0600-000019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375" y="85725"/>
          <a:ext cx="1419225" cy="8001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7</xdr:col>
      <xdr:colOff>419100</xdr:colOff>
      <xdr:row>0</xdr:row>
      <xdr:rowOff>66675</xdr:rowOff>
    </xdr:from>
    <xdr:to>
      <xdr:col>9</xdr:col>
      <xdr:colOff>381000</xdr:colOff>
      <xdr:row>4</xdr:row>
      <xdr:rowOff>142875</xdr:rowOff>
    </xdr:to>
    <xdr:pic>
      <xdr:nvPicPr>
        <xdr:cNvPr id="7194" name="Imagem 2">
          <a:extLst>
            <a:ext uri="{FF2B5EF4-FFF2-40B4-BE49-F238E27FC236}">
              <a16:creationId xmlns:a16="http://schemas.microsoft.com/office/drawing/2014/main" id="{00000000-0008-0000-0600-00001A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677025" y="66675"/>
          <a:ext cx="1152525" cy="8382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14</xdr:col>
      <xdr:colOff>581025</xdr:colOff>
      <xdr:row>0</xdr:row>
      <xdr:rowOff>47625</xdr:rowOff>
    </xdr:from>
    <xdr:to>
      <xdr:col>15</xdr:col>
      <xdr:colOff>466725</xdr:colOff>
      <xdr:row>4</xdr:row>
      <xdr:rowOff>171450</xdr:rowOff>
    </xdr:to>
    <xdr:pic>
      <xdr:nvPicPr>
        <xdr:cNvPr id="7195" name="Imagem 3">
          <a:extLst>
            <a:ext uri="{FF2B5EF4-FFF2-40B4-BE49-F238E27FC236}">
              <a16:creationId xmlns:a16="http://schemas.microsoft.com/office/drawing/2014/main" id="{00000000-0008-0000-0600-00001B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058525" y="47625"/>
          <a:ext cx="609600" cy="885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85725</xdr:rowOff>
    </xdr:from>
    <xdr:to>
      <xdr:col>2</xdr:col>
      <xdr:colOff>809625</xdr:colOff>
      <xdr:row>4</xdr:row>
      <xdr:rowOff>123825</xdr:rowOff>
    </xdr:to>
    <xdr:pic>
      <xdr:nvPicPr>
        <xdr:cNvPr id="8217" name="Imagem 1">
          <a:extLst>
            <a:ext uri="{FF2B5EF4-FFF2-40B4-BE49-F238E27FC236}">
              <a16:creationId xmlns:a16="http://schemas.microsoft.com/office/drawing/2014/main" id="{00000000-0008-0000-0700-000019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375" y="85725"/>
          <a:ext cx="1419225" cy="8001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7</xdr:col>
      <xdr:colOff>419100</xdr:colOff>
      <xdr:row>0</xdr:row>
      <xdr:rowOff>66675</xdr:rowOff>
    </xdr:from>
    <xdr:to>
      <xdr:col>9</xdr:col>
      <xdr:colOff>381000</xdr:colOff>
      <xdr:row>4</xdr:row>
      <xdr:rowOff>142875</xdr:rowOff>
    </xdr:to>
    <xdr:pic>
      <xdr:nvPicPr>
        <xdr:cNvPr id="8218" name="Imagem 2">
          <a:extLst>
            <a:ext uri="{FF2B5EF4-FFF2-40B4-BE49-F238E27FC236}">
              <a16:creationId xmlns:a16="http://schemas.microsoft.com/office/drawing/2014/main" id="{00000000-0008-0000-0700-00001A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677025" y="66675"/>
          <a:ext cx="1152525" cy="8382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14</xdr:col>
      <xdr:colOff>581025</xdr:colOff>
      <xdr:row>0</xdr:row>
      <xdr:rowOff>47625</xdr:rowOff>
    </xdr:from>
    <xdr:to>
      <xdr:col>15</xdr:col>
      <xdr:colOff>466725</xdr:colOff>
      <xdr:row>4</xdr:row>
      <xdr:rowOff>171450</xdr:rowOff>
    </xdr:to>
    <xdr:pic>
      <xdr:nvPicPr>
        <xdr:cNvPr id="8219" name="Imagem 3">
          <a:extLst>
            <a:ext uri="{FF2B5EF4-FFF2-40B4-BE49-F238E27FC236}">
              <a16:creationId xmlns:a16="http://schemas.microsoft.com/office/drawing/2014/main" id="{00000000-0008-0000-0700-00001B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058525" y="47625"/>
          <a:ext cx="609600" cy="885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2</xdr:col>
      <xdr:colOff>552450</xdr:colOff>
      <xdr:row>4</xdr:row>
      <xdr:rowOff>123825</xdr:rowOff>
    </xdr:to>
    <xdr:pic>
      <xdr:nvPicPr>
        <xdr:cNvPr id="9242" name="Imagem 1">
          <a:extLst>
            <a:ext uri="{FF2B5EF4-FFF2-40B4-BE49-F238E27FC236}">
              <a16:creationId xmlns:a16="http://schemas.microsoft.com/office/drawing/2014/main" id="{00000000-0008-0000-0800-00001A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85725"/>
          <a:ext cx="1409700" cy="8001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5</xdr:col>
      <xdr:colOff>676275</xdr:colOff>
      <xdr:row>0</xdr:row>
      <xdr:rowOff>133350</xdr:rowOff>
    </xdr:from>
    <xdr:to>
      <xdr:col>8</xdr:col>
      <xdr:colOff>85725</xdr:colOff>
      <xdr:row>5</xdr:row>
      <xdr:rowOff>114300</xdr:rowOff>
    </xdr:to>
    <xdr:pic>
      <xdr:nvPicPr>
        <xdr:cNvPr id="9243" name="Imagem 2">
          <a:extLst>
            <a:ext uri="{FF2B5EF4-FFF2-40B4-BE49-F238E27FC236}">
              <a16:creationId xmlns:a16="http://schemas.microsoft.com/office/drawing/2014/main" id="{00000000-0008-0000-0800-00001B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819900" y="133350"/>
          <a:ext cx="2009775" cy="9334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16</xdr:col>
      <xdr:colOff>590550</xdr:colOff>
      <xdr:row>0</xdr:row>
      <xdr:rowOff>85725</xdr:rowOff>
    </xdr:from>
    <xdr:to>
      <xdr:col>17</xdr:col>
      <xdr:colOff>695325</xdr:colOff>
      <xdr:row>5</xdr:row>
      <xdr:rowOff>19050</xdr:rowOff>
    </xdr:to>
    <xdr:pic>
      <xdr:nvPicPr>
        <xdr:cNvPr id="9244" name="Imagem 3">
          <a:extLst>
            <a:ext uri="{FF2B5EF4-FFF2-40B4-BE49-F238E27FC236}">
              <a16:creationId xmlns:a16="http://schemas.microsoft.com/office/drawing/2014/main" id="{00000000-0008-0000-0800-00001C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944975" y="85725"/>
          <a:ext cx="800100" cy="885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rofisco/Users/carlosa/AppData/Local/Microsoft/Windows/Temporary%20Internet%20Files/Content.Outlook/0JE2MCOZ/RSP%201%C2%BA%20semestre%202013%20-REMES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1arq01\Adins\3%20Projetos\2%20Conclu&#237;dos\DF%20Minist&#233;rio%20do%20Planejamento\Administra&#231;&#227;o\Relat&#243;rios%20dos%20Produtos\PNAGE%20POA%20-%20Versao%20Revista%20Plano%20de%20Contas%2001Ago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moura\AppData\Local\Microsoft\Windows\INetCache\Content.Outlook\IWQPO0CF\C&#243;pia%20de%20PROFISCO%20SE%20BR-L1254%20-%20AM%20ANEXO%20II%20-%20PA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1. Resumo Executivo"/>
      <sheetName val="2. Resultados (Outcomes-PMR)"/>
      <sheetName val="3a. Produtos-Fis (Outputs-PMR)"/>
      <sheetName val="3b. Produtos-Fin (Outputs-PMR)"/>
      <sheetName val="4. Situação e Plano Ação"/>
      <sheetName val="5. Riscos e Plano Mitigação"/>
      <sheetName val="6. Cláusulas Contratuais"/>
      <sheetName val="7. Alterações no Projeto"/>
      <sheetName val="8. Lições Aprend e Boas Prát"/>
      <sheetName val="9. Dem Exec Orçamentária"/>
      <sheetName val="10. Dem Desemb Fonte-Ano"/>
      <sheetName val="11. Dem Execução Financeira"/>
      <sheetName val="12. Dem Execução PA"/>
      <sheetName val="13. Relação Contr-Obras"/>
      <sheetName val="14. Marco de Resultados"/>
      <sheetName val="15. Quadro de Indicadores"/>
      <sheetName val="16. Matriz de Probl-Sol-Resulta"/>
      <sheetName val="17. PA-Priorizado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Justificativa"/>
      <sheetName val="Parâmetros"/>
      <sheetName val="Comp 1"/>
      <sheetName val="Comp A"/>
      <sheetName val="Comp 2"/>
      <sheetName val="Comp 3"/>
      <sheetName val="Comp 4"/>
      <sheetName val="Comp 5"/>
      <sheetName val="Comp 6"/>
      <sheetName val="Adm Projeto"/>
      <sheetName val="Monit&amp;Avaliação"/>
      <sheetName val="Consolidação 1"/>
      <sheetName val="Consolidação 2"/>
    </sheetNames>
    <sheetDataSet>
      <sheetData sheetId="0"/>
      <sheetData sheetId="1"/>
      <sheetData sheetId="2">
        <row r="8">
          <cell r="C8" t="str">
            <v>Rafaela</v>
          </cell>
        </row>
        <row r="9">
          <cell r="C9" t="str">
            <v>Marcos</v>
          </cell>
        </row>
        <row r="10">
          <cell r="C10" t="str">
            <v>COAF</v>
          </cell>
        </row>
        <row r="11">
          <cell r="C11" t="str">
            <v>Teste</v>
          </cell>
        </row>
        <row r="12">
          <cell r="C12" t="str">
            <v>Nélly</v>
          </cell>
        </row>
        <row r="13">
          <cell r="C13" t="str">
            <v>Eugenio</v>
          </cell>
        </row>
        <row r="14">
          <cell r="C14" t="str">
            <v>Tadeu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Matriz ProbSoluções"/>
      <sheetName val="3_Comp_Subcomp e Produtos"/>
      <sheetName val="3b_Alterações"/>
      <sheetName val="4_Subcomp 1"/>
      <sheetName val="5_Subcomp 2"/>
      <sheetName val="6_Subcomp 3"/>
      <sheetName val="7_Subcomp 4"/>
      <sheetName val="8_Subcomp 5"/>
      <sheetName val="9_Subcomp 6"/>
      <sheetName val="10_Subcomp 7"/>
      <sheetName val="11_Subcomp 8"/>
      <sheetName val="12_Subcomp 9"/>
      <sheetName val="13_Subcomp 10"/>
      <sheetName val="14_Subcomp 11"/>
      <sheetName val="15_Subcomp 12"/>
      <sheetName val="16_ADM"/>
      <sheetName val="17_Consolidação Tipo Recurso"/>
      <sheetName val="18_Cronograma Físico"/>
      <sheetName val="19_Distribuição por Fonte"/>
      <sheetName val="20_Programação Desembolso"/>
      <sheetName val="21_Orçamento Global"/>
      <sheetName val="22_POA 18 meses"/>
      <sheetName val="24_PA 18 meses"/>
      <sheetName val="25 MR Marco Resultados"/>
      <sheetName val="26 QI _Quadro Indicadores"/>
      <sheetName val="27d_Det EqApoio"/>
    </sheetNames>
    <sheetDataSet>
      <sheetData sheetId="0"/>
      <sheetData sheetId="1"/>
      <sheetData sheetId="2">
        <row r="1">
          <cell r="E1">
            <v>2.2000000000000002</v>
          </cell>
        </row>
      </sheetData>
      <sheetData sheetId="3"/>
      <sheetData sheetId="4">
        <row r="5">
          <cell r="L5">
            <v>450000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7"/>
  <sheetViews>
    <sheetView showGridLines="0" zoomScale="70" zoomScaleNormal="70" workbookViewId="0">
      <selection activeCell="A31" sqref="A31"/>
    </sheetView>
  </sheetViews>
  <sheetFormatPr defaultColWidth="8.88671875" defaultRowHeight="13.8" x14ac:dyDescent="0.3"/>
  <cols>
    <col min="1" max="1" width="4.88671875" style="1" customWidth="1"/>
    <col min="2" max="2" width="47.44140625" style="2" customWidth="1"/>
    <col min="3" max="3" width="9.33203125" style="1" customWidth="1"/>
    <col min="4" max="5" width="11.88671875" style="3" customWidth="1"/>
    <col min="6" max="6" width="11" style="2" customWidth="1"/>
    <col min="7" max="7" width="9.109375" style="2" customWidth="1"/>
    <col min="8" max="8" width="6.88671875" style="2" customWidth="1"/>
    <col min="9" max="9" width="6.5546875" style="2" customWidth="1"/>
    <col min="10" max="10" width="12" style="2" customWidth="1"/>
    <col min="11" max="11" width="11.33203125" style="2" customWidth="1"/>
    <col min="12" max="12" width="8.109375" style="2" customWidth="1"/>
    <col min="13" max="13" width="29.33203125" style="2" customWidth="1"/>
    <col min="14" max="16384" width="8.88671875" style="2"/>
  </cols>
  <sheetData>
    <row r="1" spans="1:13" ht="78.75" customHeight="1" x14ac:dyDescent="0.3"/>
    <row r="2" spans="1:13" x14ac:dyDescent="0.3">
      <c r="A2" s="4" t="s">
        <v>0</v>
      </c>
      <c r="F2" s="5" t="s">
        <v>1</v>
      </c>
      <c r="L2" s="4" t="s">
        <v>2</v>
      </c>
    </row>
    <row r="3" spans="1:13" x14ac:dyDescent="0.3">
      <c r="A3" s="4" t="s">
        <v>3</v>
      </c>
      <c r="F3" s="5" t="s">
        <v>4</v>
      </c>
      <c r="L3" s="6" t="s">
        <v>5</v>
      </c>
    </row>
    <row r="4" spans="1:13" x14ac:dyDescent="0.3">
      <c r="A4" s="4" t="s">
        <v>6</v>
      </c>
      <c r="L4" s="6" t="s">
        <v>7</v>
      </c>
    </row>
    <row r="5" spans="1:13" ht="22.5" customHeight="1" x14ac:dyDescent="0.3">
      <c r="C5" s="7" t="s">
        <v>8</v>
      </c>
      <c r="D5" s="8">
        <f>'[3]3_Comp_Subcomp e Produtos'!E1</f>
        <v>2.2000000000000002</v>
      </c>
      <c r="L5" s="9" t="s">
        <v>9</v>
      </c>
    </row>
    <row r="6" spans="1:13" ht="12.75" customHeight="1" x14ac:dyDescent="0.3">
      <c r="A6" s="609" t="s">
        <v>10</v>
      </c>
      <c r="B6" s="606" t="s">
        <v>11</v>
      </c>
      <c r="C6" s="606" t="s">
        <v>12</v>
      </c>
      <c r="D6" s="606" t="s">
        <v>13</v>
      </c>
      <c r="E6" s="606" t="s">
        <v>14</v>
      </c>
      <c r="F6" s="606" t="s">
        <v>15</v>
      </c>
      <c r="G6" s="606" t="s">
        <v>16</v>
      </c>
      <c r="H6" s="610" t="s">
        <v>17</v>
      </c>
      <c r="I6" s="610"/>
      <c r="J6" s="610" t="s">
        <v>18</v>
      </c>
      <c r="K6" s="610"/>
      <c r="L6" s="606" t="s">
        <v>19</v>
      </c>
      <c r="M6" s="607" t="s">
        <v>20</v>
      </c>
    </row>
    <row r="7" spans="1:13" ht="27.6" x14ac:dyDescent="0.3">
      <c r="A7" s="609"/>
      <c r="B7" s="606"/>
      <c r="C7" s="606"/>
      <c r="D7" s="606"/>
      <c r="E7" s="606"/>
      <c r="F7" s="606"/>
      <c r="G7" s="606"/>
      <c r="H7" s="10" t="s">
        <v>21</v>
      </c>
      <c r="I7" s="10" t="s">
        <v>22</v>
      </c>
      <c r="J7" s="10" t="s">
        <v>23</v>
      </c>
      <c r="K7" s="10" t="s">
        <v>24</v>
      </c>
      <c r="L7" s="606"/>
      <c r="M7" s="607"/>
    </row>
    <row r="8" spans="1:13" ht="12.75" customHeight="1" x14ac:dyDescent="0.3">
      <c r="A8" s="608" t="s">
        <v>25</v>
      </c>
      <c r="B8" s="608"/>
      <c r="C8" s="608"/>
      <c r="D8" s="608"/>
      <c r="E8" s="608"/>
      <c r="F8" s="608"/>
      <c r="G8" s="608"/>
      <c r="H8" s="608"/>
      <c r="I8" s="608"/>
      <c r="J8" s="608"/>
      <c r="K8" s="608"/>
      <c r="L8" s="608"/>
      <c r="M8" s="608"/>
    </row>
    <row r="9" spans="1:13" ht="27.6" x14ac:dyDescent="0.3">
      <c r="A9" s="11" t="s">
        <v>26</v>
      </c>
      <c r="B9" s="12" t="s">
        <v>27</v>
      </c>
      <c r="C9" s="13" t="s">
        <v>28</v>
      </c>
      <c r="D9" s="14">
        <v>204000</v>
      </c>
      <c r="E9" s="15">
        <f t="shared" ref="E9:E25" si="0">D9/$D$5</f>
        <v>92727.272727272721</v>
      </c>
      <c r="F9" s="16" t="s">
        <v>29</v>
      </c>
      <c r="G9" s="16" t="s">
        <v>30</v>
      </c>
      <c r="H9" s="17">
        <v>1</v>
      </c>
      <c r="I9" s="17"/>
      <c r="J9" s="18" t="s">
        <v>31</v>
      </c>
      <c r="K9" s="18" t="s">
        <v>32</v>
      </c>
      <c r="L9" s="18" t="s">
        <v>33</v>
      </c>
      <c r="M9" s="19"/>
    </row>
    <row r="10" spans="1:13" x14ac:dyDescent="0.3">
      <c r="A10" s="11" t="s">
        <v>34</v>
      </c>
      <c r="B10" s="12" t="s">
        <v>35</v>
      </c>
      <c r="C10" s="13" t="s">
        <v>28</v>
      </c>
      <c r="D10" s="14">
        <v>250000</v>
      </c>
      <c r="E10" s="15">
        <f t="shared" si="0"/>
        <v>113636.36363636363</v>
      </c>
      <c r="F10" s="16" t="s">
        <v>36</v>
      </c>
      <c r="G10" s="16" t="s">
        <v>37</v>
      </c>
      <c r="H10" s="17">
        <v>0.8</v>
      </c>
      <c r="I10" s="17">
        <v>0.2</v>
      </c>
      <c r="J10" s="18" t="s">
        <v>31</v>
      </c>
      <c r="K10" s="18" t="s">
        <v>38</v>
      </c>
      <c r="L10" s="18" t="s">
        <v>33</v>
      </c>
      <c r="M10" s="19"/>
    </row>
    <row r="11" spans="1:13" ht="27.6" x14ac:dyDescent="0.3">
      <c r="A11" s="11" t="s">
        <v>39</v>
      </c>
      <c r="B11" s="20" t="s">
        <v>40</v>
      </c>
      <c r="C11" s="21" t="s">
        <v>41</v>
      </c>
      <c r="D11" s="15">
        <v>25000</v>
      </c>
      <c r="E11" s="15">
        <f t="shared" si="0"/>
        <v>11363.636363636362</v>
      </c>
      <c r="F11" s="16" t="s">
        <v>42</v>
      </c>
      <c r="G11" s="16" t="s">
        <v>30</v>
      </c>
      <c r="H11" s="17">
        <v>1</v>
      </c>
      <c r="I11" s="22"/>
      <c r="J11" s="23" t="s">
        <v>43</v>
      </c>
      <c r="K11" s="23" t="s">
        <v>44</v>
      </c>
      <c r="L11" s="18" t="s">
        <v>33</v>
      </c>
      <c r="M11" s="24"/>
    </row>
    <row r="12" spans="1:13" ht="27.6" x14ac:dyDescent="0.3">
      <c r="A12" s="11" t="s">
        <v>45</v>
      </c>
      <c r="B12" s="20" t="s">
        <v>46</v>
      </c>
      <c r="C12" s="21" t="s">
        <v>47</v>
      </c>
      <c r="D12" s="15">
        <v>144000</v>
      </c>
      <c r="E12" s="15">
        <f t="shared" si="0"/>
        <v>65454.545454545449</v>
      </c>
      <c r="F12" s="13" t="s">
        <v>48</v>
      </c>
      <c r="G12" s="13" t="s">
        <v>30</v>
      </c>
      <c r="H12" s="17"/>
      <c r="I12" s="22">
        <v>1</v>
      </c>
      <c r="J12" s="23" t="s">
        <v>49</v>
      </c>
      <c r="K12" s="23" t="s">
        <v>50</v>
      </c>
      <c r="L12" s="18" t="s">
        <v>33</v>
      </c>
      <c r="M12" s="24"/>
    </row>
    <row r="13" spans="1:13" ht="41.4" x14ac:dyDescent="0.3">
      <c r="A13" s="11" t="s">
        <v>51</v>
      </c>
      <c r="B13" s="20" t="s">
        <v>52</v>
      </c>
      <c r="C13" s="21" t="s">
        <v>41</v>
      </c>
      <c r="D13" s="15">
        <v>900000</v>
      </c>
      <c r="E13" s="15">
        <f t="shared" si="0"/>
        <v>409090.90909090906</v>
      </c>
      <c r="F13" s="13" t="s">
        <v>36</v>
      </c>
      <c r="G13" s="13" t="s">
        <v>37</v>
      </c>
      <c r="H13" s="17">
        <v>1</v>
      </c>
      <c r="I13" s="22"/>
      <c r="J13" s="23" t="s">
        <v>49</v>
      </c>
      <c r="K13" s="23" t="s">
        <v>38</v>
      </c>
      <c r="L13" s="18" t="s">
        <v>33</v>
      </c>
      <c r="M13" s="24"/>
    </row>
    <row r="14" spans="1:13" ht="41.4" x14ac:dyDescent="0.3">
      <c r="A14" s="11" t="s">
        <v>53</v>
      </c>
      <c r="B14" s="20" t="s">
        <v>54</v>
      </c>
      <c r="C14" s="21" t="s">
        <v>55</v>
      </c>
      <c r="D14" s="15">
        <v>112200</v>
      </c>
      <c r="E14" s="15">
        <f t="shared" si="0"/>
        <v>50999.999999999993</v>
      </c>
      <c r="F14" s="16" t="s">
        <v>42</v>
      </c>
      <c r="G14" s="13" t="s">
        <v>30</v>
      </c>
      <c r="H14" s="17">
        <v>1</v>
      </c>
      <c r="I14" s="22"/>
      <c r="J14" s="23" t="s">
        <v>49</v>
      </c>
      <c r="K14" s="23" t="s">
        <v>56</v>
      </c>
      <c r="L14" s="18" t="s">
        <v>33</v>
      </c>
      <c r="M14" s="24"/>
    </row>
    <row r="15" spans="1:13" ht="27.6" x14ac:dyDescent="0.3">
      <c r="A15" s="11" t="s">
        <v>57</v>
      </c>
      <c r="B15" s="20" t="s">
        <v>58</v>
      </c>
      <c r="C15" s="21" t="s">
        <v>55</v>
      </c>
      <c r="D15" s="15">
        <v>60900</v>
      </c>
      <c r="E15" s="15">
        <f t="shared" si="0"/>
        <v>27681.81818181818</v>
      </c>
      <c r="F15" s="16" t="s">
        <v>42</v>
      </c>
      <c r="G15" s="13" t="s">
        <v>30</v>
      </c>
      <c r="H15" s="17">
        <v>1</v>
      </c>
      <c r="I15" s="22"/>
      <c r="J15" s="23" t="s">
        <v>49</v>
      </c>
      <c r="K15" s="23" t="s">
        <v>59</v>
      </c>
      <c r="L15" s="18" t="s">
        <v>33</v>
      </c>
      <c r="M15" s="24"/>
    </row>
    <row r="16" spans="1:13" ht="41.4" x14ac:dyDescent="0.3">
      <c r="A16" s="11" t="s">
        <v>60</v>
      </c>
      <c r="B16" s="25" t="s">
        <v>61</v>
      </c>
      <c r="C16" s="21" t="s">
        <v>62</v>
      </c>
      <c r="D16" s="15">
        <v>260000</v>
      </c>
      <c r="E16" s="15">
        <f t="shared" si="0"/>
        <v>118181.81818181818</v>
      </c>
      <c r="F16" s="16" t="s">
        <v>42</v>
      </c>
      <c r="G16" s="13" t="s">
        <v>30</v>
      </c>
      <c r="H16" s="17">
        <v>1</v>
      </c>
      <c r="I16" s="22"/>
      <c r="J16" s="23" t="s">
        <v>49</v>
      </c>
      <c r="K16" s="23" t="s">
        <v>38</v>
      </c>
      <c r="L16" s="18" t="s">
        <v>33</v>
      </c>
      <c r="M16" s="24"/>
    </row>
    <row r="17" spans="1:13" ht="69" x14ac:dyDescent="0.3">
      <c r="A17" s="11" t="s">
        <v>63</v>
      </c>
      <c r="B17" s="20" t="s">
        <v>64</v>
      </c>
      <c r="C17" s="21" t="s">
        <v>65</v>
      </c>
      <c r="D17" s="15">
        <v>400000</v>
      </c>
      <c r="E17" s="15">
        <f t="shared" si="0"/>
        <v>181818.18181818179</v>
      </c>
      <c r="F17" s="16" t="s">
        <v>42</v>
      </c>
      <c r="G17" s="16" t="s">
        <v>30</v>
      </c>
      <c r="H17" s="17">
        <v>1</v>
      </c>
      <c r="I17" s="22"/>
      <c r="J17" s="23" t="s">
        <v>32</v>
      </c>
      <c r="K17" s="23" t="s">
        <v>38</v>
      </c>
      <c r="L17" s="18" t="s">
        <v>33</v>
      </c>
      <c r="M17" s="24"/>
    </row>
    <row r="18" spans="1:13" x14ac:dyDescent="0.3">
      <c r="A18" s="11" t="s">
        <v>66</v>
      </c>
      <c r="B18" s="26" t="s">
        <v>67</v>
      </c>
      <c r="C18" s="21" t="s">
        <v>68</v>
      </c>
      <c r="D18" s="15">
        <v>600000</v>
      </c>
      <c r="E18" s="15">
        <f t="shared" si="0"/>
        <v>272727.27272727271</v>
      </c>
      <c r="F18" s="16" t="s">
        <v>69</v>
      </c>
      <c r="G18" s="16" t="s">
        <v>30</v>
      </c>
      <c r="H18" s="17">
        <v>1</v>
      </c>
      <c r="I18" s="22"/>
      <c r="J18" s="23" t="s">
        <v>43</v>
      </c>
      <c r="K18" s="23" t="s">
        <v>70</v>
      </c>
      <c r="L18" s="18" t="s">
        <v>33</v>
      </c>
      <c r="M18" s="24"/>
    </row>
    <row r="19" spans="1:13" ht="27.6" x14ac:dyDescent="0.3">
      <c r="A19" s="11" t="s">
        <v>71</v>
      </c>
      <c r="B19" s="20" t="s">
        <v>72</v>
      </c>
      <c r="C19" s="27" t="s">
        <v>73</v>
      </c>
      <c r="D19" s="15">
        <f>'[3]4_Subcomp 1'!L5</f>
        <v>450000</v>
      </c>
      <c r="E19" s="15">
        <f t="shared" si="0"/>
        <v>204545.45454545453</v>
      </c>
      <c r="F19" s="16" t="s">
        <v>69</v>
      </c>
      <c r="G19" s="28" t="s">
        <v>37</v>
      </c>
      <c r="H19" s="17">
        <v>1</v>
      </c>
      <c r="I19" s="17"/>
      <c r="J19" s="18" t="s">
        <v>74</v>
      </c>
      <c r="K19" s="18" t="s">
        <v>75</v>
      </c>
      <c r="L19" s="18" t="s">
        <v>33</v>
      </c>
      <c r="M19" s="19"/>
    </row>
    <row r="20" spans="1:13" ht="27.6" x14ac:dyDescent="0.3">
      <c r="A20" s="11" t="s">
        <v>76</v>
      </c>
      <c r="B20" s="20" t="s">
        <v>77</v>
      </c>
      <c r="C20" s="21" t="s">
        <v>78</v>
      </c>
      <c r="D20" s="15">
        <v>249000</v>
      </c>
      <c r="E20" s="15">
        <f t="shared" si="0"/>
        <v>113181.81818181818</v>
      </c>
      <c r="F20" s="16" t="s">
        <v>42</v>
      </c>
      <c r="G20" s="16" t="s">
        <v>30</v>
      </c>
      <c r="H20" s="17">
        <v>1</v>
      </c>
      <c r="I20" s="17"/>
      <c r="J20" s="18" t="s">
        <v>74</v>
      </c>
      <c r="K20" s="18" t="s">
        <v>59</v>
      </c>
      <c r="L20" s="18" t="s">
        <v>33</v>
      </c>
      <c r="M20" s="19"/>
    </row>
    <row r="21" spans="1:13" ht="27.6" x14ac:dyDescent="0.3">
      <c r="A21" s="11" t="s">
        <v>79</v>
      </c>
      <c r="B21" s="12" t="s">
        <v>80</v>
      </c>
      <c r="C21" s="13" t="s">
        <v>65</v>
      </c>
      <c r="D21" s="29">
        <v>427800</v>
      </c>
      <c r="E21" s="29">
        <f t="shared" si="0"/>
        <v>194454.54545454544</v>
      </c>
      <c r="F21" s="16" t="s">
        <v>42</v>
      </c>
      <c r="G21" s="16" t="s">
        <v>30</v>
      </c>
      <c r="H21" s="17">
        <v>1</v>
      </c>
      <c r="I21" s="22"/>
      <c r="J21" s="18" t="s">
        <v>74</v>
      </c>
      <c r="K21" s="23" t="s">
        <v>38</v>
      </c>
      <c r="L21" s="18" t="s">
        <v>33</v>
      </c>
      <c r="M21" s="24"/>
    </row>
    <row r="22" spans="1:13" ht="27.6" x14ac:dyDescent="0.3">
      <c r="A22" s="11" t="s">
        <v>81</v>
      </c>
      <c r="B22" s="12" t="s">
        <v>82</v>
      </c>
      <c r="C22" s="13" t="s">
        <v>65</v>
      </c>
      <c r="D22" s="29">
        <v>135600</v>
      </c>
      <c r="E22" s="29">
        <f t="shared" si="0"/>
        <v>61636.363636363632</v>
      </c>
      <c r="F22" s="16" t="s">
        <v>42</v>
      </c>
      <c r="G22" s="16" t="s">
        <v>30</v>
      </c>
      <c r="H22" s="17">
        <v>1</v>
      </c>
      <c r="I22" s="22"/>
      <c r="J22" s="18" t="s">
        <v>74</v>
      </c>
      <c r="K22" s="23" t="s">
        <v>38</v>
      </c>
      <c r="L22" s="18" t="s">
        <v>33</v>
      </c>
      <c r="M22" s="24"/>
    </row>
    <row r="23" spans="1:13" ht="41.4" x14ac:dyDescent="0.3">
      <c r="A23" s="11" t="s">
        <v>83</v>
      </c>
      <c r="B23" s="12" t="s">
        <v>84</v>
      </c>
      <c r="C23" s="13" t="s">
        <v>85</v>
      </c>
      <c r="D23" s="29">
        <v>400000</v>
      </c>
      <c r="E23" s="29">
        <f t="shared" si="0"/>
        <v>181818.18181818179</v>
      </c>
      <c r="F23" s="16" t="s">
        <v>42</v>
      </c>
      <c r="G23" s="13" t="s">
        <v>30</v>
      </c>
      <c r="H23" s="17">
        <v>1</v>
      </c>
      <c r="I23" s="22"/>
      <c r="J23" s="18" t="s">
        <v>74</v>
      </c>
      <c r="K23" s="23" t="s">
        <v>38</v>
      </c>
      <c r="L23" s="18" t="s">
        <v>33</v>
      </c>
      <c r="M23" s="24"/>
    </row>
    <row r="24" spans="1:13" x14ac:dyDescent="0.3">
      <c r="A24" s="11" t="s">
        <v>86</v>
      </c>
      <c r="B24" s="30" t="s">
        <v>87</v>
      </c>
      <c r="C24" s="13" t="s">
        <v>88</v>
      </c>
      <c r="D24" s="29">
        <v>85000</v>
      </c>
      <c r="E24" s="29">
        <f t="shared" si="0"/>
        <v>38636.363636363632</v>
      </c>
      <c r="F24" s="16" t="s">
        <v>29</v>
      </c>
      <c r="G24" s="13" t="s">
        <v>30</v>
      </c>
      <c r="H24" s="17">
        <v>1</v>
      </c>
      <c r="I24" s="22"/>
      <c r="J24" s="18" t="s">
        <v>70</v>
      </c>
      <c r="K24" s="18" t="s">
        <v>89</v>
      </c>
      <c r="L24" s="18" t="s">
        <v>33</v>
      </c>
      <c r="M24" s="19"/>
    </row>
    <row r="25" spans="1:13" ht="13.5" customHeight="1" x14ac:dyDescent="0.3">
      <c r="A25" s="611" t="s">
        <v>90</v>
      </c>
      <c r="B25" s="611"/>
      <c r="C25" s="31"/>
      <c r="D25" s="32">
        <f>SUM(D9:D24)</f>
        <v>4703500</v>
      </c>
      <c r="E25" s="32">
        <f t="shared" si="0"/>
        <v>2137954.5454545454</v>
      </c>
      <c r="F25" s="612"/>
      <c r="G25" s="612"/>
      <c r="H25" s="612"/>
      <c r="I25" s="612"/>
      <c r="J25" s="612"/>
      <c r="K25" s="612"/>
      <c r="L25" s="612"/>
      <c r="M25" s="612"/>
    </row>
    <row r="26" spans="1:13" ht="12.75" customHeight="1" x14ac:dyDescent="0.3">
      <c r="A26" s="608" t="s">
        <v>91</v>
      </c>
      <c r="B26" s="608"/>
      <c r="C26" s="608"/>
      <c r="D26" s="608"/>
      <c r="E26" s="608"/>
      <c r="F26" s="608"/>
      <c r="G26" s="608"/>
      <c r="H26" s="608"/>
      <c r="I26" s="608"/>
      <c r="J26" s="608"/>
      <c r="K26" s="608"/>
      <c r="L26" s="608"/>
      <c r="M26" s="608"/>
    </row>
    <row r="27" spans="1:13" ht="41.4" x14ac:dyDescent="0.3">
      <c r="A27" s="33" t="s">
        <v>92</v>
      </c>
      <c r="B27" s="12" t="s">
        <v>93</v>
      </c>
      <c r="C27" s="34" t="s">
        <v>94</v>
      </c>
      <c r="D27" s="35">
        <v>204000</v>
      </c>
      <c r="E27" s="29">
        <f>D27/$D$5</f>
        <v>92727.272727272721</v>
      </c>
      <c r="F27" s="13" t="s">
        <v>95</v>
      </c>
      <c r="G27" s="13" t="s">
        <v>30</v>
      </c>
      <c r="H27" s="17">
        <v>1</v>
      </c>
      <c r="I27" s="22"/>
      <c r="J27" s="23" t="s">
        <v>96</v>
      </c>
      <c r="K27" s="23" t="s">
        <v>97</v>
      </c>
      <c r="L27" s="23" t="s">
        <v>33</v>
      </c>
      <c r="M27" s="24"/>
    </row>
    <row r="28" spans="1:13" x14ac:dyDescent="0.3">
      <c r="A28" s="33" t="s">
        <v>98</v>
      </c>
      <c r="B28" s="12" t="s">
        <v>99</v>
      </c>
      <c r="C28" s="13" t="s">
        <v>100</v>
      </c>
      <c r="D28" s="14">
        <v>35000</v>
      </c>
      <c r="E28" s="29">
        <f>D28/$D$5</f>
        <v>15909.090909090908</v>
      </c>
      <c r="F28" s="13" t="s">
        <v>95</v>
      </c>
      <c r="G28" s="13" t="s">
        <v>30</v>
      </c>
      <c r="H28" s="22">
        <v>1</v>
      </c>
      <c r="I28" s="22"/>
      <c r="J28" s="23" t="s">
        <v>96</v>
      </c>
      <c r="K28" s="23" t="s">
        <v>97</v>
      </c>
      <c r="L28" s="23" t="s">
        <v>33</v>
      </c>
      <c r="M28" s="24"/>
    </row>
    <row r="29" spans="1:13" ht="13.5" customHeight="1" x14ac:dyDescent="0.3">
      <c r="A29" s="611" t="s">
        <v>101</v>
      </c>
      <c r="B29" s="611"/>
      <c r="C29" s="31"/>
      <c r="D29" s="32">
        <f>SUM(D27:D28)</f>
        <v>239000</v>
      </c>
      <c r="E29" s="32">
        <f>SUM(E27:E28)</f>
        <v>108636.36363636363</v>
      </c>
      <c r="F29" s="612"/>
      <c r="G29" s="612"/>
      <c r="H29" s="612"/>
      <c r="I29" s="612"/>
      <c r="J29" s="612"/>
      <c r="K29" s="612"/>
      <c r="L29" s="612"/>
      <c r="M29" s="612"/>
    </row>
    <row r="30" spans="1:13" ht="12.75" customHeight="1" x14ac:dyDescent="0.3">
      <c r="A30" s="608" t="s">
        <v>102</v>
      </c>
      <c r="B30" s="608"/>
      <c r="C30" s="608"/>
      <c r="D30" s="608"/>
      <c r="E30" s="608"/>
      <c r="F30" s="608"/>
      <c r="G30" s="608"/>
      <c r="H30" s="608"/>
      <c r="I30" s="608"/>
      <c r="J30" s="608"/>
      <c r="K30" s="608"/>
      <c r="L30" s="608"/>
      <c r="M30" s="608"/>
    </row>
    <row r="31" spans="1:13" ht="27.6" x14ac:dyDescent="0.3">
      <c r="A31" s="33" t="s">
        <v>103</v>
      </c>
      <c r="B31" s="20" t="s">
        <v>104</v>
      </c>
      <c r="C31" s="21" t="s">
        <v>105</v>
      </c>
      <c r="D31" s="15">
        <v>320000</v>
      </c>
      <c r="E31" s="15">
        <f t="shared" ref="E31:E55" si="1">D31/$D$5</f>
        <v>145454.54545454544</v>
      </c>
      <c r="F31" s="13" t="s">
        <v>106</v>
      </c>
      <c r="G31" s="13" t="s">
        <v>30</v>
      </c>
      <c r="H31" s="17">
        <v>1</v>
      </c>
      <c r="I31" s="22"/>
      <c r="J31" s="23" t="s">
        <v>49</v>
      </c>
      <c r="K31" s="18" t="s">
        <v>59</v>
      </c>
      <c r="L31" s="18" t="s">
        <v>33</v>
      </c>
      <c r="M31" s="19"/>
    </row>
    <row r="32" spans="1:13" x14ac:dyDescent="0.3">
      <c r="A32" s="33" t="s">
        <v>107</v>
      </c>
      <c r="B32" s="20" t="s">
        <v>108</v>
      </c>
      <c r="C32" s="21" t="s">
        <v>55</v>
      </c>
      <c r="D32" s="15">
        <v>91100</v>
      </c>
      <c r="E32" s="15">
        <f t="shared" si="1"/>
        <v>41409.090909090904</v>
      </c>
      <c r="F32" s="13" t="s">
        <v>106</v>
      </c>
      <c r="G32" s="13" t="s">
        <v>30</v>
      </c>
      <c r="H32" s="17">
        <v>1</v>
      </c>
      <c r="I32" s="22"/>
      <c r="J32" s="23" t="s">
        <v>49</v>
      </c>
      <c r="K32" s="23" t="s">
        <v>56</v>
      </c>
      <c r="L32" s="18" t="s">
        <v>33</v>
      </c>
      <c r="M32" s="24"/>
    </row>
    <row r="33" spans="1:13" ht="27.6" x14ac:dyDescent="0.3">
      <c r="A33" s="33" t="s">
        <v>109</v>
      </c>
      <c r="B33" s="20" t="s">
        <v>110</v>
      </c>
      <c r="C33" s="27" t="s">
        <v>111</v>
      </c>
      <c r="D33" s="36">
        <v>100000</v>
      </c>
      <c r="E33" s="36">
        <f t="shared" si="1"/>
        <v>45454.545454545449</v>
      </c>
      <c r="F33" s="13" t="s">
        <v>106</v>
      </c>
      <c r="G33" s="13" t="s">
        <v>30</v>
      </c>
      <c r="H33" s="22">
        <v>1</v>
      </c>
      <c r="I33" s="22"/>
      <c r="J33" s="23" t="s">
        <v>49</v>
      </c>
      <c r="K33" s="23" t="s">
        <v>50</v>
      </c>
      <c r="L33" s="18" t="s">
        <v>33</v>
      </c>
      <c r="M33" s="24"/>
    </row>
    <row r="34" spans="1:13" x14ac:dyDescent="0.3">
      <c r="A34" s="33" t="s">
        <v>112</v>
      </c>
      <c r="B34" s="20" t="s">
        <v>113</v>
      </c>
      <c r="C34" s="21" t="s">
        <v>114</v>
      </c>
      <c r="D34" s="36">
        <v>200000</v>
      </c>
      <c r="E34" s="36">
        <f t="shared" si="1"/>
        <v>90909.090909090897</v>
      </c>
      <c r="F34" s="13" t="s">
        <v>106</v>
      </c>
      <c r="G34" s="13" t="s">
        <v>30</v>
      </c>
      <c r="H34" s="22">
        <v>1</v>
      </c>
      <c r="I34" s="22"/>
      <c r="J34" s="23" t="s">
        <v>49</v>
      </c>
      <c r="K34" s="23" t="s">
        <v>50</v>
      </c>
      <c r="L34" s="18" t="s">
        <v>33</v>
      </c>
      <c r="M34" s="24"/>
    </row>
    <row r="35" spans="1:13" ht="27.6" x14ac:dyDescent="0.3">
      <c r="A35" s="33" t="s">
        <v>115</v>
      </c>
      <c r="B35" s="37" t="s">
        <v>116</v>
      </c>
      <c r="C35" s="21" t="s">
        <v>88</v>
      </c>
      <c r="D35" s="36">
        <v>750000</v>
      </c>
      <c r="E35" s="36">
        <f t="shared" si="1"/>
        <v>340909.09090909088</v>
      </c>
      <c r="F35" s="13" t="s">
        <v>106</v>
      </c>
      <c r="G35" s="13" t="s">
        <v>30</v>
      </c>
      <c r="H35" s="22"/>
      <c r="I35" s="22">
        <v>1</v>
      </c>
      <c r="J35" s="23" t="s">
        <v>49</v>
      </c>
      <c r="K35" s="23" t="s">
        <v>56</v>
      </c>
      <c r="L35" s="18" t="s">
        <v>33</v>
      </c>
      <c r="M35" s="24"/>
    </row>
    <row r="36" spans="1:13" x14ac:dyDescent="0.3">
      <c r="A36" s="33" t="s">
        <v>117</v>
      </c>
      <c r="B36" s="37" t="s">
        <v>118</v>
      </c>
      <c r="C36" s="21" t="s">
        <v>88</v>
      </c>
      <c r="D36" s="36">
        <v>500000</v>
      </c>
      <c r="E36" s="36">
        <f t="shared" si="1"/>
        <v>227272.72727272726</v>
      </c>
      <c r="F36" s="13" t="s">
        <v>106</v>
      </c>
      <c r="G36" s="13" t="s">
        <v>30</v>
      </c>
      <c r="H36" s="22">
        <v>1</v>
      </c>
      <c r="I36" s="22"/>
      <c r="J36" s="23" t="s">
        <v>43</v>
      </c>
      <c r="K36" s="23" t="s">
        <v>44</v>
      </c>
      <c r="L36" s="18" t="s">
        <v>33</v>
      </c>
      <c r="M36" s="24"/>
    </row>
    <row r="37" spans="1:13" x14ac:dyDescent="0.3">
      <c r="A37" s="33" t="s">
        <v>119</v>
      </c>
      <c r="B37" s="37" t="s">
        <v>120</v>
      </c>
      <c r="C37" s="21" t="s">
        <v>88</v>
      </c>
      <c r="D37" s="36">
        <v>960000</v>
      </c>
      <c r="E37" s="36">
        <f t="shared" si="1"/>
        <v>436363.63636363635</v>
      </c>
      <c r="F37" s="13" t="s">
        <v>106</v>
      </c>
      <c r="G37" s="13" t="s">
        <v>30</v>
      </c>
      <c r="H37" s="22">
        <v>1</v>
      </c>
      <c r="I37" s="22"/>
      <c r="J37" s="23" t="s">
        <v>43</v>
      </c>
      <c r="K37" s="23" t="s">
        <v>44</v>
      </c>
      <c r="L37" s="18" t="s">
        <v>33</v>
      </c>
      <c r="M37" s="24"/>
    </row>
    <row r="38" spans="1:13" x14ac:dyDescent="0.3">
      <c r="A38" s="33" t="s">
        <v>121</v>
      </c>
      <c r="B38" s="37" t="s">
        <v>122</v>
      </c>
      <c r="C38" s="21" t="s">
        <v>88</v>
      </c>
      <c r="D38" s="36">
        <v>288000</v>
      </c>
      <c r="E38" s="36">
        <f t="shared" si="1"/>
        <v>130909.0909090909</v>
      </c>
      <c r="F38" s="13" t="s">
        <v>106</v>
      </c>
      <c r="G38" s="13" t="s">
        <v>30</v>
      </c>
      <c r="H38" s="22">
        <v>1</v>
      </c>
      <c r="I38" s="22"/>
      <c r="J38" s="23" t="s">
        <v>43</v>
      </c>
      <c r="K38" s="23" t="s">
        <v>44</v>
      </c>
      <c r="L38" s="18" t="s">
        <v>33</v>
      </c>
      <c r="M38" s="24"/>
    </row>
    <row r="39" spans="1:13" x14ac:dyDescent="0.3">
      <c r="A39" s="33" t="s">
        <v>123</v>
      </c>
      <c r="B39" s="37" t="s">
        <v>124</v>
      </c>
      <c r="C39" s="21" t="s">
        <v>88</v>
      </c>
      <c r="D39" s="36">
        <v>88000</v>
      </c>
      <c r="E39" s="36">
        <f t="shared" si="1"/>
        <v>40000</v>
      </c>
      <c r="F39" s="13" t="s">
        <v>106</v>
      </c>
      <c r="G39" s="13" t="s">
        <v>30</v>
      </c>
      <c r="H39" s="22">
        <v>1</v>
      </c>
      <c r="I39" s="22"/>
      <c r="J39" s="23" t="s">
        <v>43</v>
      </c>
      <c r="K39" s="23" t="s">
        <v>44</v>
      </c>
      <c r="L39" s="18" t="s">
        <v>33</v>
      </c>
      <c r="M39" s="24"/>
    </row>
    <row r="40" spans="1:13" s="39" customFormat="1" x14ac:dyDescent="0.3">
      <c r="A40" s="33" t="s">
        <v>125</v>
      </c>
      <c r="B40" s="37" t="s">
        <v>126</v>
      </c>
      <c r="C40" s="21" t="s">
        <v>88</v>
      </c>
      <c r="D40" s="38">
        <v>15000</v>
      </c>
      <c r="E40" s="38">
        <f t="shared" si="1"/>
        <v>6818.181818181818</v>
      </c>
      <c r="F40" s="13" t="s">
        <v>106</v>
      </c>
      <c r="G40" s="13" t="s">
        <v>30</v>
      </c>
      <c r="H40" s="22">
        <v>1</v>
      </c>
      <c r="I40" s="22"/>
      <c r="J40" s="23" t="s">
        <v>43</v>
      </c>
      <c r="K40" s="23" t="s">
        <v>44</v>
      </c>
      <c r="L40" s="18" t="s">
        <v>33</v>
      </c>
      <c r="M40" s="24"/>
    </row>
    <row r="41" spans="1:13" x14ac:dyDescent="0.3">
      <c r="A41" s="33" t="s">
        <v>127</v>
      </c>
      <c r="B41" s="37" t="s">
        <v>128</v>
      </c>
      <c r="C41" s="21" t="s">
        <v>88</v>
      </c>
      <c r="D41" s="36">
        <v>100000</v>
      </c>
      <c r="E41" s="36">
        <f t="shared" si="1"/>
        <v>45454.545454545449</v>
      </c>
      <c r="F41" s="13" t="s">
        <v>106</v>
      </c>
      <c r="G41" s="13" t="s">
        <v>30</v>
      </c>
      <c r="H41" s="22">
        <v>1</v>
      </c>
      <c r="I41" s="22"/>
      <c r="J41" s="23" t="s">
        <v>43</v>
      </c>
      <c r="K41" s="23" t="s">
        <v>44</v>
      </c>
      <c r="L41" s="18" t="s">
        <v>33</v>
      </c>
      <c r="M41" s="24"/>
    </row>
    <row r="42" spans="1:13" x14ac:dyDescent="0.3">
      <c r="A42" s="33" t="s">
        <v>129</v>
      </c>
      <c r="B42" s="37" t="s">
        <v>130</v>
      </c>
      <c r="C42" s="21" t="s">
        <v>88</v>
      </c>
      <c r="D42" s="36">
        <v>30000</v>
      </c>
      <c r="E42" s="36">
        <f t="shared" si="1"/>
        <v>13636.363636363636</v>
      </c>
      <c r="F42" s="13" t="s">
        <v>106</v>
      </c>
      <c r="G42" s="13" t="s">
        <v>30</v>
      </c>
      <c r="H42" s="22">
        <v>1</v>
      </c>
      <c r="I42" s="22"/>
      <c r="J42" s="23" t="s">
        <v>43</v>
      </c>
      <c r="K42" s="23" t="s">
        <v>44</v>
      </c>
      <c r="L42" s="18" t="s">
        <v>33</v>
      </c>
      <c r="M42" s="24"/>
    </row>
    <row r="43" spans="1:13" ht="27.6" x14ac:dyDescent="0.3">
      <c r="A43" s="33" t="s">
        <v>131</v>
      </c>
      <c r="B43" s="25" t="s">
        <v>132</v>
      </c>
      <c r="C43" s="21" t="s">
        <v>88</v>
      </c>
      <c r="D43" s="36">
        <v>500000</v>
      </c>
      <c r="E43" s="36">
        <f t="shared" si="1"/>
        <v>227272.72727272726</v>
      </c>
      <c r="F43" s="13" t="s">
        <v>106</v>
      </c>
      <c r="G43" s="13" t="s">
        <v>30</v>
      </c>
      <c r="H43" s="22"/>
      <c r="I43" s="22">
        <v>1</v>
      </c>
      <c r="J43" s="23" t="s">
        <v>133</v>
      </c>
      <c r="K43" s="23" t="s">
        <v>38</v>
      </c>
      <c r="L43" s="18" t="s">
        <v>33</v>
      </c>
      <c r="M43" s="24"/>
    </row>
    <row r="44" spans="1:13" x14ac:dyDescent="0.3">
      <c r="A44" s="33" t="s">
        <v>134</v>
      </c>
      <c r="B44" s="40" t="s">
        <v>135</v>
      </c>
      <c r="C44" s="21" t="s">
        <v>88</v>
      </c>
      <c r="D44" s="36">
        <v>100000</v>
      </c>
      <c r="E44" s="36">
        <f t="shared" si="1"/>
        <v>45454.545454545449</v>
      </c>
      <c r="F44" s="13" t="s">
        <v>106</v>
      </c>
      <c r="G44" s="13" t="s">
        <v>30</v>
      </c>
      <c r="H44" s="22">
        <v>1</v>
      </c>
      <c r="I44" s="22"/>
      <c r="J44" s="23" t="s">
        <v>74</v>
      </c>
      <c r="K44" s="23" t="s">
        <v>59</v>
      </c>
      <c r="L44" s="18" t="s">
        <v>33</v>
      </c>
      <c r="M44" s="24"/>
    </row>
    <row r="45" spans="1:13" x14ac:dyDescent="0.3">
      <c r="A45" s="33" t="s">
        <v>136</v>
      </c>
      <c r="B45" s="20" t="s">
        <v>137</v>
      </c>
      <c r="C45" s="21" t="s">
        <v>62</v>
      </c>
      <c r="D45" s="36">
        <v>400000</v>
      </c>
      <c r="E45" s="36">
        <f t="shared" si="1"/>
        <v>181818.18181818179</v>
      </c>
      <c r="F45" s="13" t="s">
        <v>106</v>
      </c>
      <c r="G45" s="13" t="s">
        <v>30</v>
      </c>
      <c r="H45" s="22">
        <v>1</v>
      </c>
      <c r="I45" s="22"/>
      <c r="J45" s="23" t="s">
        <v>133</v>
      </c>
      <c r="K45" s="23" t="s">
        <v>38</v>
      </c>
      <c r="L45" s="18" t="s">
        <v>33</v>
      </c>
      <c r="M45" s="24"/>
    </row>
    <row r="46" spans="1:13" ht="26.4" x14ac:dyDescent="0.3">
      <c r="A46" s="33" t="s">
        <v>138</v>
      </c>
      <c r="B46" s="41" t="s">
        <v>139</v>
      </c>
      <c r="C46" s="21" t="s">
        <v>78</v>
      </c>
      <c r="D46" s="36">
        <v>1803000</v>
      </c>
      <c r="E46" s="36">
        <f t="shared" si="1"/>
        <v>819545.45454545447</v>
      </c>
      <c r="F46" s="13" t="s">
        <v>106</v>
      </c>
      <c r="G46" s="13" t="s">
        <v>30</v>
      </c>
      <c r="H46" s="22">
        <v>1</v>
      </c>
      <c r="I46" s="22"/>
      <c r="J46" s="23" t="s">
        <v>32</v>
      </c>
      <c r="K46" s="23" t="s">
        <v>56</v>
      </c>
      <c r="L46" s="18" t="s">
        <v>33</v>
      </c>
      <c r="M46" s="24"/>
    </row>
    <row r="47" spans="1:13" ht="39.6" x14ac:dyDescent="0.3">
      <c r="A47" s="33" t="s">
        <v>140</v>
      </c>
      <c r="B47" s="41" t="s">
        <v>141</v>
      </c>
      <c r="C47" s="21" t="s">
        <v>78</v>
      </c>
      <c r="D47" s="36">
        <v>60000</v>
      </c>
      <c r="E47" s="36">
        <f t="shared" si="1"/>
        <v>27272.727272727272</v>
      </c>
      <c r="F47" s="13" t="s">
        <v>106</v>
      </c>
      <c r="G47" s="13" t="s">
        <v>30</v>
      </c>
      <c r="H47" s="22">
        <v>1</v>
      </c>
      <c r="I47" s="22"/>
      <c r="J47" s="23" t="s">
        <v>32</v>
      </c>
      <c r="K47" s="23" t="s">
        <v>56</v>
      </c>
      <c r="L47" s="18" t="s">
        <v>33</v>
      </c>
      <c r="M47" s="24"/>
    </row>
    <row r="48" spans="1:13" ht="26.4" x14ac:dyDescent="0.3">
      <c r="A48" s="33" t="s">
        <v>142</v>
      </c>
      <c r="B48" s="41" t="s">
        <v>143</v>
      </c>
      <c r="C48" s="21" t="s">
        <v>78</v>
      </c>
      <c r="D48" s="36">
        <v>750000</v>
      </c>
      <c r="E48" s="36">
        <f t="shared" si="1"/>
        <v>340909.09090909088</v>
      </c>
      <c r="F48" s="13" t="s">
        <v>106</v>
      </c>
      <c r="G48" s="13" t="s">
        <v>30</v>
      </c>
      <c r="H48" s="22">
        <v>1</v>
      </c>
      <c r="I48" s="22"/>
      <c r="J48" s="23" t="s">
        <v>32</v>
      </c>
      <c r="K48" s="23" t="s">
        <v>50</v>
      </c>
      <c r="L48" s="18" t="s">
        <v>33</v>
      </c>
      <c r="M48" s="24"/>
    </row>
    <row r="49" spans="1:13" ht="39.6" x14ac:dyDescent="0.3">
      <c r="A49" s="33" t="s">
        <v>144</v>
      </c>
      <c r="B49" s="41" t="s">
        <v>145</v>
      </c>
      <c r="C49" s="21" t="s">
        <v>28</v>
      </c>
      <c r="D49" s="36">
        <v>13000</v>
      </c>
      <c r="E49" s="36">
        <f t="shared" si="1"/>
        <v>5909.090909090909</v>
      </c>
      <c r="F49" s="13" t="s">
        <v>106</v>
      </c>
      <c r="G49" s="13" t="s">
        <v>30</v>
      </c>
      <c r="H49" s="22">
        <v>1</v>
      </c>
      <c r="I49" s="42"/>
      <c r="J49" s="23" t="s">
        <v>146</v>
      </c>
      <c r="K49" s="23" t="s">
        <v>43</v>
      </c>
      <c r="L49" s="18" t="s">
        <v>33</v>
      </c>
      <c r="M49" s="24"/>
    </row>
    <row r="50" spans="1:13" x14ac:dyDescent="0.3">
      <c r="A50" s="33" t="s">
        <v>147</v>
      </c>
      <c r="B50" s="43" t="s">
        <v>148</v>
      </c>
      <c r="C50" s="13" t="s">
        <v>28</v>
      </c>
      <c r="D50" s="14">
        <v>80000</v>
      </c>
      <c r="E50" s="14">
        <f t="shared" si="1"/>
        <v>36363.63636363636</v>
      </c>
      <c r="F50" s="13" t="s">
        <v>106</v>
      </c>
      <c r="G50" s="13" t="s">
        <v>30</v>
      </c>
      <c r="H50" s="22">
        <v>1</v>
      </c>
      <c r="I50" s="42"/>
      <c r="J50" s="23" t="s">
        <v>146</v>
      </c>
      <c r="K50" s="23" t="s">
        <v>43</v>
      </c>
      <c r="L50" s="18" t="s">
        <v>33</v>
      </c>
      <c r="M50" s="24"/>
    </row>
    <row r="51" spans="1:13" ht="27.6" x14ac:dyDescent="0.3">
      <c r="A51" s="33" t="s">
        <v>149</v>
      </c>
      <c r="B51" s="44" t="s">
        <v>150</v>
      </c>
      <c r="C51" s="13" t="s">
        <v>73</v>
      </c>
      <c r="D51" s="14">
        <v>150000</v>
      </c>
      <c r="E51" s="14">
        <f t="shared" si="1"/>
        <v>68181.818181818177</v>
      </c>
      <c r="F51" s="13" t="s">
        <v>106</v>
      </c>
      <c r="G51" s="13" t="s">
        <v>30</v>
      </c>
      <c r="H51" s="22">
        <v>1</v>
      </c>
      <c r="I51" s="22"/>
      <c r="J51" s="23" t="s">
        <v>151</v>
      </c>
      <c r="K51" s="23" t="s">
        <v>152</v>
      </c>
      <c r="L51" s="18" t="s">
        <v>33</v>
      </c>
      <c r="M51" s="24"/>
    </row>
    <row r="52" spans="1:13" ht="27.6" x14ac:dyDescent="0.3">
      <c r="A52" s="33" t="s">
        <v>153</v>
      </c>
      <c r="B52" s="12" t="s">
        <v>154</v>
      </c>
      <c r="C52" s="13" t="s">
        <v>105</v>
      </c>
      <c r="D52" s="14">
        <v>200000</v>
      </c>
      <c r="E52" s="14">
        <f t="shared" si="1"/>
        <v>90909.090909090897</v>
      </c>
      <c r="F52" s="13" t="s">
        <v>106</v>
      </c>
      <c r="G52" s="13" t="s">
        <v>30</v>
      </c>
      <c r="H52" s="22">
        <v>1</v>
      </c>
      <c r="I52" s="22"/>
      <c r="J52" s="23" t="s">
        <v>32</v>
      </c>
      <c r="K52" s="23" t="s">
        <v>56</v>
      </c>
      <c r="L52" s="18" t="s">
        <v>33</v>
      </c>
      <c r="M52" s="24"/>
    </row>
    <row r="53" spans="1:13" ht="41.4" x14ac:dyDescent="0.3">
      <c r="A53" s="33" t="s">
        <v>155</v>
      </c>
      <c r="B53" s="12" t="s">
        <v>156</v>
      </c>
      <c r="C53" s="13" t="s">
        <v>105</v>
      </c>
      <c r="D53" s="14">
        <v>180000</v>
      </c>
      <c r="E53" s="14">
        <f t="shared" si="1"/>
        <v>81818.181818181809</v>
      </c>
      <c r="F53" s="13" t="s">
        <v>106</v>
      </c>
      <c r="G53" s="13" t="s">
        <v>30</v>
      </c>
      <c r="H53" s="22">
        <v>1</v>
      </c>
      <c r="I53" s="42"/>
      <c r="J53" s="23" t="s">
        <v>32</v>
      </c>
      <c r="K53" s="23" t="s">
        <v>56</v>
      </c>
      <c r="L53" s="18" t="s">
        <v>33</v>
      </c>
      <c r="M53" s="24"/>
    </row>
    <row r="54" spans="1:13" x14ac:dyDescent="0.3">
      <c r="A54" s="33" t="s">
        <v>157</v>
      </c>
      <c r="B54" s="43" t="s">
        <v>158</v>
      </c>
      <c r="C54" s="45" t="s">
        <v>73</v>
      </c>
      <c r="D54" s="14">
        <v>20000</v>
      </c>
      <c r="E54" s="14">
        <f t="shared" si="1"/>
        <v>9090.9090909090901</v>
      </c>
      <c r="F54" s="13" t="s">
        <v>95</v>
      </c>
      <c r="G54" s="13" t="s">
        <v>30</v>
      </c>
      <c r="H54" s="22">
        <v>1</v>
      </c>
      <c r="I54" s="42"/>
      <c r="J54" s="23" t="s">
        <v>96</v>
      </c>
      <c r="K54" s="23" t="s">
        <v>97</v>
      </c>
      <c r="L54" s="18" t="s">
        <v>33</v>
      </c>
      <c r="M54" s="24"/>
    </row>
    <row r="55" spans="1:13" ht="13.5" customHeight="1" x14ac:dyDescent="0.3">
      <c r="A55" s="611" t="s">
        <v>159</v>
      </c>
      <c r="B55" s="611"/>
      <c r="C55" s="31"/>
      <c r="D55" s="32">
        <f>SUM(D31:D54)</f>
        <v>7698100</v>
      </c>
      <c r="E55" s="32">
        <f t="shared" si="1"/>
        <v>3499136.3636363633</v>
      </c>
      <c r="F55" s="612"/>
      <c r="G55" s="612"/>
      <c r="H55" s="612"/>
      <c r="I55" s="612"/>
      <c r="J55" s="612"/>
      <c r="K55" s="612"/>
      <c r="L55" s="612"/>
      <c r="M55" s="612"/>
    </row>
    <row r="56" spans="1:13" ht="12.75" customHeight="1" x14ac:dyDescent="0.3">
      <c r="A56" s="608" t="s">
        <v>160</v>
      </c>
      <c r="B56" s="608"/>
      <c r="C56" s="608"/>
      <c r="D56" s="608"/>
      <c r="E56" s="608"/>
      <c r="F56" s="608"/>
      <c r="G56" s="608"/>
      <c r="H56" s="608"/>
      <c r="I56" s="608"/>
      <c r="J56" s="608"/>
      <c r="K56" s="608"/>
      <c r="L56" s="608"/>
      <c r="M56" s="608"/>
    </row>
    <row r="57" spans="1:13" ht="27.6" x14ac:dyDescent="0.3">
      <c r="A57" s="33" t="s">
        <v>161</v>
      </c>
      <c r="B57" s="12" t="s">
        <v>162</v>
      </c>
      <c r="C57" s="34" t="s">
        <v>65</v>
      </c>
      <c r="D57" s="46">
        <v>3150000</v>
      </c>
      <c r="E57" s="46">
        <f>D57/$D$5</f>
        <v>1431818.1818181816</v>
      </c>
      <c r="F57" s="13" t="s">
        <v>48</v>
      </c>
      <c r="G57" s="13" t="s">
        <v>30</v>
      </c>
      <c r="H57" s="22"/>
      <c r="I57" s="22">
        <v>1</v>
      </c>
      <c r="J57" s="23" t="s">
        <v>96</v>
      </c>
      <c r="K57" s="23" t="s">
        <v>32</v>
      </c>
      <c r="L57" s="23" t="s">
        <v>163</v>
      </c>
      <c r="M57" s="24"/>
    </row>
    <row r="58" spans="1:13" x14ac:dyDescent="0.3">
      <c r="A58" s="33"/>
      <c r="B58" s="10" t="s">
        <v>164</v>
      </c>
      <c r="C58" s="47"/>
      <c r="D58" s="48">
        <f>D57</f>
        <v>3150000</v>
      </c>
      <c r="E58" s="48">
        <f>E57</f>
        <v>1431818.1818181816</v>
      </c>
      <c r="F58" s="47"/>
      <c r="G58" s="47"/>
      <c r="H58" s="49"/>
      <c r="I58" s="49"/>
      <c r="J58" s="50"/>
      <c r="K58" s="50"/>
      <c r="L58" s="50" t="s">
        <v>33</v>
      </c>
      <c r="M58" s="51"/>
    </row>
    <row r="59" spans="1:13" ht="12.75" customHeight="1" x14ac:dyDescent="0.3">
      <c r="A59" s="615" t="s">
        <v>165</v>
      </c>
      <c r="B59" s="615"/>
      <c r="C59" s="615"/>
      <c r="D59" s="615"/>
      <c r="E59" s="615"/>
      <c r="F59" s="615"/>
      <c r="G59" s="615"/>
      <c r="H59" s="615"/>
      <c r="I59" s="615"/>
      <c r="J59" s="615"/>
      <c r="K59" s="615"/>
      <c r="L59" s="615"/>
      <c r="M59" s="615"/>
    </row>
    <row r="60" spans="1:13" ht="27.6" x14ac:dyDescent="0.3">
      <c r="A60" s="33" t="s">
        <v>166</v>
      </c>
      <c r="B60" s="12" t="s">
        <v>167</v>
      </c>
      <c r="C60" s="34" t="s">
        <v>65</v>
      </c>
      <c r="D60" s="46">
        <f>534000+72000</f>
        <v>606000</v>
      </c>
      <c r="E60" s="46">
        <f>D60/$D$5</f>
        <v>275454.54545454541</v>
      </c>
      <c r="F60" s="13" t="s">
        <v>48</v>
      </c>
      <c r="G60" s="13" t="s">
        <v>30</v>
      </c>
      <c r="H60" s="22">
        <v>1</v>
      </c>
      <c r="I60" s="22"/>
      <c r="J60" s="23" t="s">
        <v>146</v>
      </c>
      <c r="K60" s="23" t="s">
        <v>97</v>
      </c>
      <c r="L60" s="23" t="s">
        <v>33</v>
      </c>
      <c r="M60" s="24"/>
    </row>
    <row r="61" spans="1:13" ht="13.5" customHeight="1" x14ac:dyDescent="0.3">
      <c r="A61" s="616" t="s">
        <v>168</v>
      </c>
      <c r="B61" s="616"/>
      <c r="C61" s="47"/>
      <c r="D61" s="48">
        <f>D60</f>
        <v>606000</v>
      </c>
      <c r="E61" s="48">
        <f>E60</f>
        <v>275454.54545454541</v>
      </c>
      <c r="F61" s="612"/>
      <c r="G61" s="612"/>
      <c r="H61" s="612"/>
      <c r="I61" s="612"/>
      <c r="J61" s="612"/>
      <c r="K61" s="612"/>
      <c r="L61" s="612"/>
      <c r="M61" s="612"/>
    </row>
    <row r="62" spans="1:13" ht="13.5" customHeight="1" x14ac:dyDescent="0.3">
      <c r="A62" s="613" t="s">
        <v>169</v>
      </c>
      <c r="B62" s="613"/>
      <c r="C62" s="613"/>
      <c r="D62" s="52">
        <f>D24+D28+D55+D57+D60</f>
        <v>11574100</v>
      </c>
      <c r="E62" s="53">
        <f>D62/$D$5</f>
        <v>5260954.5454545449</v>
      </c>
      <c r="F62" s="54"/>
    </row>
    <row r="63" spans="1:13" x14ac:dyDescent="0.3">
      <c r="C63" s="55"/>
      <c r="D63" s="56"/>
      <c r="E63" s="56"/>
      <c r="F63" s="54"/>
    </row>
    <row r="64" spans="1:13" ht="29.25" customHeight="1" x14ac:dyDescent="0.3">
      <c r="A64" s="57" t="s">
        <v>170</v>
      </c>
      <c r="B64" s="614" t="s">
        <v>171</v>
      </c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</row>
    <row r="65" spans="2:13" ht="12.75" customHeight="1" x14ac:dyDescent="0.3">
      <c r="B65" s="614" t="s">
        <v>172</v>
      </c>
      <c r="C65" s="614"/>
      <c r="D65" s="614"/>
      <c r="E65" s="614"/>
      <c r="F65" s="614"/>
      <c r="G65" s="614"/>
      <c r="H65" s="614"/>
      <c r="I65" s="614"/>
      <c r="J65" s="614"/>
      <c r="K65" s="614"/>
      <c r="L65" s="614"/>
      <c r="M65" s="614"/>
    </row>
    <row r="66" spans="2:13" x14ac:dyDescent="0.3">
      <c r="B66" s="58" t="s">
        <v>173</v>
      </c>
      <c r="C66" s="59"/>
      <c r="D66" s="56"/>
      <c r="E66" s="56"/>
      <c r="G66" s="60"/>
      <c r="H66" s="60"/>
    </row>
    <row r="67" spans="2:13" x14ac:dyDescent="0.3">
      <c r="C67" s="59"/>
      <c r="D67" s="56"/>
      <c r="E67" s="56"/>
      <c r="G67" s="60"/>
      <c r="H67" s="60"/>
    </row>
    <row r="68" spans="2:13" x14ac:dyDescent="0.3">
      <c r="C68" s="61"/>
      <c r="D68" s="62"/>
      <c r="E68" s="56"/>
      <c r="G68" s="60"/>
      <c r="H68" s="60"/>
    </row>
    <row r="69" spans="2:13" x14ac:dyDescent="0.3">
      <c r="C69" s="61"/>
      <c r="D69" s="62"/>
      <c r="G69" s="60"/>
      <c r="H69" s="60"/>
    </row>
    <row r="70" spans="2:13" x14ac:dyDescent="0.3">
      <c r="C70" s="61"/>
      <c r="D70" s="62"/>
      <c r="E70" s="56"/>
      <c r="G70" s="60"/>
      <c r="H70" s="60"/>
    </row>
    <row r="71" spans="2:13" x14ac:dyDescent="0.3">
      <c r="C71" s="61"/>
      <c r="D71" s="62"/>
      <c r="G71" s="60"/>
      <c r="H71" s="60"/>
    </row>
    <row r="72" spans="2:13" x14ac:dyDescent="0.3">
      <c r="C72" s="61"/>
      <c r="D72" s="62"/>
      <c r="G72" s="60"/>
      <c r="H72" s="60"/>
    </row>
    <row r="73" spans="2:13" x14ac:dyDescent="0.3">
      <c r="C73" s="63"/>
      <c r="D73" s="56"/>
      <c r="E73" s="56"/>
      <c r="G73" s="60"/>
      <c r="H73" s="60"/>
    </row>
    <row r="74" spans="2:13" x14ac:dyDescent="0.3">
      <c r="C74" s="59"/>
      <c r="E74" s="56"/>
    </row>
    <row r="75" spans="2:13" x14ac:dyDescent="0.3">
      <c r="D75" s="56"/>
    </row>
    <row r="77" spans="2:13" x14ac:dyDescent="0.3">
      <c r="D77" s="56"/>
    </row>
  </sheetData>
  <sheetProtection selectLockedCells="1" selectUnlockedCells="1"/>
  <mergeCells count="27">
    <mergeCell ref="A30:M30"/>
    <mergeCell ref="A62:C62"/>
    <mergeCell ref="B64:M64"/>
    <mergeCell ref="B65:M65"/>
    <mergeCell ref="A55:B55"/>
    <mergeCell ref="F55:M55"/>
    <mergeCell ref="A56:M56"/>
    <mergeCell ref="A59:M59"/>
    <mergeCell ref="A61:B61"/>
    <mergeCell ref="F61:M61"/>
    <mergeCell ref="A25:B25"/>
    <mergeCell ref="F25:M25"/>
    <mergeCell ref="A26:M26"/>
    <mergeCell ref="A29:B29"/>
    <mergeCell ref="F29:M29"/>
    <mergeCell ref="L6:L7"/>
    <mergeCell ref="M6:M7"/>
    <mergeCell ref="A8:M8"/>
    <mergeCell ref="A6:A7"/>
    <mergeCell ref="B6:B7"/>
    <mergeCell ref="C6:C7"/>
    <mergeCell ref="D6:D7"/>
    <mergeCell ref="E6:E7"/>
    <mergeCell ref="F6:F7"/>
    <mergeCell ref="G6:G7"/>
    <mergeCell ref="H6:I6"/>
    <mergeCell ref="J6:K6"/>
  </mergeCells>
  <dataValidations count="4">
    <dataValidation type="list" allowBlank="1" showErrorMessage="1" sqref="G11 G16:G21 G28 G31:G54 G57:G58 G60" xr:uid="{00000000-0002-0000-0000-000000000000}">
      <formula1>"ex-ante,ex-post"</formula1>
      <formula2>0</formula2>
    </dataValidation>
    <dataValidation type="list" allowBlank="1" showErrorMessage="1" sqref="F16 F27:F28 F54 F58 F61" xr:uid="{00000000-0002-0000-0000-000001000000}">
      <formula1>"BID LPI,BID LPN,BID CP,BID CD,BID SBQC,BID SQS,BID SD,8666 CV,8666 TP,8666 C"</formula1>
      <formula2>0</formula2>
    </dataValidation>
    <dataValidation type="list" allowBlank="1" showErrorMessage="1" sqref="G9:G10 G12:G15 G22:G24 G27" xr:uid="{00000000-0002-0000-0000-000002000000}">
      <formula1>"ex-ante,ex-post,N/A"</formula1>
      <formula2>0</formula2>
    </dataValidation>
    <dataValidation type="list" allowBlank="1" showErrorMessage="1" sqref="F10 F12:F15 F17:F24" xr:uid="{00000000-0002-0000-0000-000003000000}">
      <formula1>"BID LPI,BID LPN,BID CP,BID CD,BID SBQC,BID SQC,BID SQS,BID SBMC,BID SBOF,BID SD,BID CI,L8666 CV,L8666 TP,L8666 C,PRE ELE,REG PR"</formula1>
      <formula2>0</formula2>
    </dataValidation>
  </dataValidations>
  <printOptions horizontalCentered="1"/>
  <pageMargins left="0.39374999999999999" right="0.39374999999999999" top="0.39374999999999999" bottom="0.39374999999999999" header="0.51180555555555551" footer="0.51180555555555551"/>
  <pageSetup paperSize="9" scale="79" firstPageNumber="0" orientation="landscape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U148"/>
  <sheetViews>
    <sheetView showGridLines="0" topLeftCell="D53" zoomScale="80" zoomScaleNormal="80" workbookViewId="0">
      <selection activeCell="R65" sqref="R65"/>
    </sheetView>
  </sheetViews>
  <sheetFormatPr defaultColWidth="9.109375" defaultRowHeight="18" x14ac:dyDescent="0.35"/>
  <cols>
    <col min="1" max="1" width="5.6640625" style="449" customWidth="1"/>
    <col min="2" max="2" width="9.5546875" style="449" customWidth="1"/>
    <col min="3" max="3" width="23.33203125" style="449" customWidth="1"/>
    <col min="4" max="4" width="30.6640625" style="449" customWidth="1"/>
    <col min="5" max="5" width="24.109375" style="449" customWidth="1"/>
    <col min="6" max="6" width="10.44140625" style="451" customWidth="1"/>
    <col min="7" max="7" width="12.88671875" style="449" customWidth="1"/>
    <col min="8" max="9" width="15.6640625" style="452" customWidth="1"/>
    <col min="10" max="10" width="11.33203125" style="453" customWidth="1"/>
    <col min="11" max="11" width="12.5546875" style="453" customWidth="1"/>
    <col min="12" max="12" width="12.6640625" style="449" customWidth="1"/>
    <col min="13" max="13" width="15.5546875" style="449" customWidth="1"/>
    <col min="14" max="14" width="14.5546875" style="449" customWidth="1"/>
    <col min="15" max="15" width="12.88671875" style="449" customWidth="1"/>
    <col min="16" max="16" width="18.88671875" style="449" customWidth="1"/>
    <col min="17" max="17" width="10.44140625" style="451" customWidth="1"/>
    <col min="18" max="18" width="18.88671875" style="449" customWidth="1"/>
    <col min="19" max="16384" width="9.109375" style="449"/>
  </cols>
  <sheetData>
    <row r="1" spans="1:21" x14ac:dyDescent="0.35">
      <c r="B1" s="450"/>
      <c r="P1" s="454"/>
      <c r="Q1" s="454"/>
      <c r="R1" s="455"/>
    </row>
    <row r="2" spans="1:21" x14ac:dyDescent="0.35">
      <c r="P2" s="454"/>
      <c r="Q2" s="454"/>
      <c r="R2" s="455"/>
    </row>
    <row r="3" spans="1:21" x14ac:dyDescent="0.35">
      <c r="P3" s="456"/>
      <c r="Q3" s="456"/>
      <c r="R3" s="457"/>
    </row>
    <row r="4" spans="1:21" x14ac:dyDescent="0.35">
      <c r="P4" s="456"/>
      <c r="Q4" s="456"/>
      <c r="R4" s="457"/>
    </row>
    <row r="5" spans="1:21" x14ac:dyDescent="0.35">
      <c r="P5" s="456"/>
      <c r="Q5" s="456"/>
      <c r="R5" s="457"/>
    </row>
    <row r="6" spans="1:21" x14ac:dyDescent="0.35">
      <c r="A6" s="647" t="s">
        <v>567</v>
      </c>
      <c r="B6" s="647"/>
      <c r="C6" s="647"/>
      <c r="Q6" s="458" t="s">
        <v>2</v>
      </c>
    </row>
    <row r="7" spans="1:21" x14ac:dyDescent="0.35">
      <c r="A7" s="459" t="s">
        <v>568</v>
      </c>
      <c r="G7" s="460" t="s">
        <v>719</v>
      </c>
      <c r="Q7" s="458" t="s">
        <v>5</v>
      </c>
    </row>
    <row r="8" spans="1:21" x14ac:dyDescent="0.35">
      <c r="A8" s="459" t="s">
        <v>569</v>
      </c>
      <c r="G8" s="460" t="s">
        <v>718</v>
      </c>
      <c r="Q8" s="458" t="s">
        <v>7</v>
      </c>
    </row>
    <row r="9" spans="1:21" x14ac:dyDescent="0.35">
      <c r="A9" s="460" t="s">
        <v>570</v>
      </c>
      <c r="G9" s="460" t="s">
        <v>516</v>
      </c>
      <c r="Q9" s="461" t="s">
        <v>221</v>
      </c>
    </row>
    <row r="10" spans="1:21" x14ac:dyDescent="0.35">
      <c r="B10" s="462"/>
    </row>
    <row r="11" spans="1:21" ht="36" x14ac:dyDescent="0.35">
      <c r="A11" s="463"/>
      <c r="B11" s="464"/>
      <c r="C11" s="464"/>
      <c r="D11" s="464"/>
      <c r="E11" s="464"/>
      <c r="F11" s="465"/>
      <c r="G11" s="464"/>
      <c r="H11" s="466" t="s">
        <v>571</v>
      </c>
      <c r="I11" s="467">
        <v>3.4</v>
      </c>
      <c r="J11" s="467"/>
      <c r="K11" s="468"/>
      <c r="L11" s="464"/>
      <c r="M11" s="464"/>
      <c r="N11" s="464"/>
      <c r="O11" s="464"/>
      <c r="P11" s="464"/>
      <c r="Q11" s="465"/>
      <c r="R11" s="464"/>
      <c r="S11" s="469"/>
      <c r="T11" s="469"/>
      <c r="U11" s="469"/>
    </row>
    <row r="12" spans="1:21" ht="15.6" customHeight="1" x14ac:dyDescent="0.35">
      <c r="A12" s="648" t="s">
        <v>266</v>
      </c>
      <c r="B12" s="648"/>
      <c r="C12" s="648"/>
      <c r="D12" s="648"/>
      <c r="E12" s="648"/>
      <c r="F12" s="648"/>
      <c r="G12" s="648"/>
      <c r="H12" s="648"/>
      <c r="I12" s="648"/>
      <c r="J12" s="648"/>
      <c r="K12" s="648"/>
      <c r="L12" s="648"/>
      <c r="M12" s="648"/>
      <c r="N12" s="648"/>
      <c r="O12" s="648"/>
      <c r="P12" s="648"/>
      <c r="Q12" s="648"/>
      <c r="R12" s="648"/>
      <c r="S12" s="469"/>
      <c r="T12" s="469"/>
      <c r="U12" s="469"/>
    </row>
    <row r="13" spans="1:21" ht="15" customHeight="1" x14ac:dyDescent="0.35">
      <c r="A13" s="649" t="s">
        <v>268</v>
      </c>
      <c r="B13" s="649" t="s">
        <v>269</v>
      </c>
      <c r="C13" s="649" t="s">
        <v>572</v>
      </c>
      <c r="D13" s="649" t="s">
        <v>271</v>
      </c>
      <c r="E13" s="649" t="s">
        <v>708</v>
      </c>
      <c r="F13" s="649" t="s">
        <v>573</v>
      </c>
      <c r="G13" s="649" t="s">
        <v>452</v>
      </c>
      <c r="H13" s="470"/>
      <c r="I13" s="650" t="s">
        <v>574</v>
      </c>
      <c r="J13" s="650"/>
      <c r="K13" s="650"/>
      <c r="L13" s="649" t="s">
        <v>575</v>
      </c>
      <c r="M13" s="649" t="s">
        <v>576</v>
      </c>
      <c r="N13" s="649" t="s">
        <v>577</v>
      </c>
      <c r="O13" s="649"/>
      <c r="P13" s="649" t="s">
        <v>578</v>
      </c>
      <c r="Q13" s="649" t="s">
        <v>579</v>
      </c>
      <c r="R13" s="649" t="s">
        <v>580</v>
      </c>
      <c r="S13" s="469"/>
      <c r="T13" s="469"/>
      <c r="U13" s="469"/>
    </row>
    <row r="14" spans="1:21" ht="90" x14ac:dyDescent="0.35">
      <c r="A14" s="649"/>
      <c r="B14" s="649"/>
      <c r="C14" s="649"/>
      <c r="D14" s="649"/>
      <c r="E14" s="649"/>
      <c r="F14" s="649"/>
      <c r="G14" s="649"/>
      <c r="H14" s="470" t="s">
        <v>581</v>
      </c>
      <c r="I14" s="470" t="s">
        <v>285</v>
      </c>
      <c r="J14" s="471" t="s">
        <v>286</v>
      </c>
      <c r="K14" s="471" t="s">
        <v>497</v>
      </c>
      <c r="L14" s="649"/>
      <c r="M14" s="649"/>
      <c r="N14" s="472" t="s">
        <v>582</v>
      </c>
      <c r="O14" s="472" t="s">
        <v>289</v>
      </c>
      <c r="P14" s="649"/>
      <c r="Q14" s="649"/>
      <c r="R14" s="649"/>
      <c r="S14" s="469"/>
      <c r="T14" s="469"/>
      <c r="U14" s="469"/>
    </row>
    <row r="15" spans="1:21" ht="72" x14ac:dyDescent="0.35">
      <c r="A15" s="473" t="s">
        <v>161</v>
      </c>
      <c r="B15" s="474" t="s">
        <v>293</v>
      </c>
      <c r="C15" s="474" t="s">
        <v>294</v>
      </c>
      <c r="D15" s="474" t="s">
        <v>295</v>
      </c>
      <c r="E15" s="474" t="s">
        <v>267</v>
      </c>
      <c r="F15" s="530">
        <v>1</v>
      </c>
      <c r="G15" s="476" t="s">
        <v>296</v>
      </c>
      <c r="H15" s="477">
        <v>3583375.98</v>
      </c>
      <c r="I15" s="477">
        <v>1582469</v>
      </c>
      <c r="J15" s="478">
        <v>0</v>
      </c>
      <c r="K15" s="478">
        <v>1</v>
      </c>
      <c r="L15" s="479" t="s">
        <v>297</v>
      </c>
      <c r="M15" s="476" t="s">
        <v>267</v>
      </c>
      <c r="N15" s="541" t="s">
        <v>146</v>
      </c>
      <c r="O15" s="541" t="s">
        <v>96</v>
      </c>
      <c r="P15" s="474" t="s">
        <v>583</v>
      </c>
      <c r="Q15" s="530" t="s">
        <v>298</v>
      </c>
      <c r="R15" s="476" t="s">
        <v>584</v>
      </c>
      <c r="S15" s="469"/>
      <c r="T15" s="469"/>
      <c r="U15" s="469"/>
    </row>
    <row r="16" spans="1:21" ht="72" x14ac:dyDescent="0.35">
      <c r="A16" s="481" t="s">
        <v>301</v>
      </c>
      <c r="B16" s="474" t="s">
        <v>293</v>
      </c>
      <c r="C16" s="474" t="s">
        <v>302</v>
      </c>
      <c r="D16" s="474" t="s">
        <v>585</v>
      </c>
      <c r="E16" s="474" t="s">
        <v>267</v>
      </c>
      <c r="F16" s="530">
        <v>1</v>
      </c>
      <c r="G16" s="476"/>
      <c r="H16" s="477">
        <v>840000</v>
      </c>
      <c r="I16" s="477">
        <f>+H16/$I$11</f>
        <v>247058.82352941178</v>
      </c>
      <c r="J16" s="478">
        <v>0</v>
      </c>
      <c r="K16" s="478">
        <v>1</v>
      </c>
      <c r="L16" s="479" t="s">
        <v>304</v>
      </c>
      <c r="M16" s="476" t="s">
        <v>267</v>
      </c>
      <c r="N16" s="541" t="s">
        <v>56</v>
      </c>
      <c r="O16" s="541" t="s">
        <v>59</v>
      </c>
      <c r="P16" s="474" t="s">
        <v>586</v>
      </c>
      <c r="Q16" s="530" t="s">
        <v>298</v>
      </c>
      <c r="R16" s="476" t="s">
        <v>587</v>
      </c>
      <c r="S16" s="469"/>
      <c r="T16" s="469"/>
      <c r="U16" s="469"/>
    </row>
    <row r="17" spans="1:21" s="552" customFormat="1" ht="72" x14ac:dyDescent="0.35">
      <c r="A17" s="481" t="s">
        <v>588</v>
      </c>
      <c r="B17" s="474" t="s">
        <v>293</v>
      </c>
      <c r="C17" s="474" t="s">
        <v>589</v>
      </c>
      <c r="D17" s="474" t="s">
        <v>589</v>
      </c>
      <c r="E17" s="474" t="s">
        <v>559</v>
      </c>
      <c r="F17" s="530">
        <v>1</v>
      </c>
      <c r="G17" s="476"/>
      <c r="H17" s="477">
        <v>1400000</v>
      </c>
      <c r="I17" s="477">
        <f>+H17/$I$11</f>
        <v>411764.70588235295</v>
      </c>
      <c r="J17" s="478">
        <v>1</v>
      </c>
      <c r="K17" s="478">
        <v>0</v>
      </c>
      <c r="L17" s="476" t="s">
        <v>297</v>
      </c>
      <c r="M17" s="476" t="s">
        <v>284</v>
      </c>
      <c r="N17" s="541" t="s">
        <v>56</v>
      </c>
      <c r="O17" s="541" t="s">
        <v>70</v>
      </c>
      <c r="P17" s="474"/>
      <c r="Q17" s="530"/>
      <c r="R17" s="476" t="s">
        <v>587</v>
      </c>
      <c r="S17" s="469"/>
      <c r="T17" s="469"/>
      <c r="U17" s="469"/>
    </row>
    <row r="18" spans="1:21" s="552" customFormat="1" ht="72" x14ac:dyDescent="0.35">
      <c r="A18" s="481" t="s">
        <v>697</v>
      </c>
      <c r="B18" s="474" t="s">
        <v>293</v>
      </c>
      <c r="C18" s="474" t="s">
        <v>698</v>
      </c>
      <c r="D18" s="474" t="s">
        <v>698</v>
      </c>
      <c r="E18" s="474" t="s">
        <v>267</v>
      </c>
      <c r="F18" s="530">
        <v>1</v>
      </c>
      <c r="G18" s="476"/>
      <c r="H18" s="477">
        <v>205000</v>
      </c>
      <c r="I18" s="477">
        <f>+H18/$I$11</f>
        <v>60294.117647058825</v>
      </c>
      <c r="J18" s="478">
        <v>0</v>
      </c>
      <c r="K18" s="478">
        <v>1</v>
      </c>
      <c r="L18" s="479" t="s">
        <v>297</v>
      </c>
      <c r="M18" s="479" t="s">
        <v>267</v>
      </c>
      <c r="N18" s="541" t="s">
        <v>231</v>
      </c>
      <c r="O18" s="541" t="s">
        <v>70</v>
      </c>
      <c r="P18" s="527" t="s">
        <v>586</v>
      </c>
      <c r="Q18" s="530" t="s">
        <v>298</v>
      </c>
      <c r="R18" s="476" t="s">
        <v>584</v>
      </c>
      <c r="S18" s="469"/>
      <c r="T18" s="469"/>
      <c r="U18" s="469"/>
    </row>
    <row r="19" spans="1:21" x14ac:dyDescent="0.35">
      <c r="B19" s="493"/>
      <c r="C19" s="493"/>
      <c r="D19" s="493"/>
      <c r="E19" s="493"/>
      <c r="F19" s="494"/>
      <c r="G19" s="495" t="s">
        <v>590</v>
      </c>
      <c r="H19" s="496">
        <f>SUM(H15:H18)</f>
        <v>6028375.9800000004</v>
      </c>
      <c r="I19" s="496">
        <f>SUM(I15:I18)</f>
        <v>2301586.6470588236</v>
      </c>
      <c r="J19" s="497"/>
      <c r="K19" s="497"/>
      <c r="L19" s="493"/>
      <c r="M19" s="493"/>
      <c r="N19" s="493"/>
      <c r="O19" s="493"/>
      <c r="P19" s="493"/>
      <c r="Q19" s="494"/>
      <c r="R19" s="493"/>
      <c r="S19" s="469"/>
      <c r="T19" s="469"/>
      <c r="U19" s="469"/>
    </row>
    <row r="21" spans="1:21" ht="15.6" customHeight="1" x14ac:dyDescent="0.35">
      <c r="A21" s="648" t="s">
        <v>307</v>
      </c>
      <c r="B21" s="648"/>
      <c r="C21" s="648"/>
      <c r="D21" s="648"/>
      <c r="E21" s="648"/>
      <c r="F21" s="648"/>
      <c r="G21" s="648"/>
      <c r="H21" s="648"/>
      <c r="I21" s="648"/>
      <c r="J21" s="648"/>
      <c r="K21" s="648"/>
      <c r="L21" s="648"/>
      <c r="M21" s="648"/>
      <c r="N21" s="648"/>
      <c r="O21" s="648"/>
      <c r="P21" s="648"/>
      <c r="Q21" s="648"/>
      <c r="R21" s="648"/>
      <c r="S21" s="469"/>
      <c r="T21" s="469"/>
      <c r="U21" s="469"/>
    </row>
    <row r="22" spans="1:21" ht="15" customHeight="1" x14ac:dyDescent="0.35">
      <c r="A22" s="649" t="s">
        <v>268</v>
      </c>
      <c r="B22" s="649" t="s">
        <v>269</v>
      </c>
      <c r="C22" s="649" t="s">
        <v>591</v>
      </c>
      <c r="D22" s="649" t="s">
        <v>271</v>
      </c>
      <c r="E22" s="649" t="s">
        <v>708</v>
      </c>
      <c r="F22" s="649" t="s">
        <v>573</v>
      </c>
      <c r="G22" s="649" t="s">
        <v>452</v>
      </c>
      <c r="H22" s="470"/>
      <c r="I22" s="650" t="s">
        <v>274</v>
      </c>
      <c r="J22" s="650"/>
      <c r="K22" s="650"/>
      <c r="L22" s="649" t="s">
        <v>275</v>
      </c>
      <c r="M22" s="649" t="s">
        <v>592</v>
      </c>
      <c r="N22" s="649" t="s">
        <v>593</v>
      </c>
      <c r="O22" s="649"/>
      <c r="P22" s="649" t="s">
        <v>578</v>
      </c>
      <c r="Q22" s="649" t="s">
        <v>579</v>
      </c>
      <c r="R22" s="649" t="s">
        <v>580</v>
      </c>
      <c r="S22" s="469"/>
      <c r="T22" s="469"/>
      <c r="U22" s="469"/>
    </row>
    <row r="23" spans="1:21" ht="90" x14ac:dyDescent="0.35">
      <c r="A23" s="649"/>
      <c r="B23" s="649"/>
      <c r="C23" s="649"/>
      <c r="D23" s="649"/>
      <c r="E23" s="649"/>
      <c r="F23" s="649"/>
      <c r="G23" s="649"/>
      <c r="H23" s="470" t="s">
        <v>581</v>
      </c>
      <c r="I23" s="470" t="s">
        <v>285</v>
      </c>
      <c r="J23" s="471" t="s">
        <v>286</v>
      </c>
      <c r="K23" s="471" t="s">
        <v>497</v>
      </c>
      <c r="L23" s="649"/>
      <c r="M23" s="649"/>
      <c r="N23" s="472" t="s">
        <v>582</v>
      </c>
      <c r="O23" s="472" t="s">
        <v>289</v>
      </c>
      <c r="P23" s="649"/>
      <c r="Q23" s="649"/>
      <c r="R23" s="649"/>
      <c r="S23" s="469"/>
      <c r="T23" s="469"/>
      <c r="U23" s="469"/>
    </row>
    <row r="24" spans="1:21" ht="72" hidden="1" x14ac:dyDescent="0.35">
      <c r="A24" s="473" t="s">
        <v>103</v>
      </c>
      <c r="B24" s="474" t="s">
        <v>293</v>
      </c>
      <c r="C24" s="474" t="s">
        <v>312</v>
      </c>
      <c r="D24" s="498" t="s">
        <v>104</v>
      </c>
      <c r="E24" s="498" t="s">
        <v>267</v>
      </c>
      <c r="F24" s="530">
        <v>1</v>
      </c>
      <c r="G24" s="474" t="s">
        <v>313</v>
      </c>
      <c r="H24" s="477">
        <v>280000</v>
      </c>
      <c r="I24" s="477">
        <v>91036.18</v>
      </c>
      <c r="J24" s="478">
        <v>1</v>
      </c>
      <c r="K24" s="478">
        <v>0</v>
      </c>
      <c r="L24" s="479" t="s">
        <v>314</v>
      </c>
      <c r="M24" s="476" t="s">
        <v>267</v>
      </c>
      <c r="N24" s="541" t="s">
        <v>49</v>
      </c>
      <c r="O24" s="541" t="s">
        <v>50</v>
      </c>
      <c r="P24" s="474" t="s">
        <v>316</v>
      </c>
      <c r="Q24" s="541" t="s">
        <v>315</v>
      </c>
      <c r="R24" s="476" t="s">
        <v>311</v>
      </c>
      <c r="S24" s="469"/>
      <c r="T24" s="469"/>
      <c r="U24" s="469"/>
    </row>
    <row r="25" spans="1:21" ht="90" x14ac:dyDescent="0.35">
      <c r="A25" s="473" t="s">
        <v>107</v>
      </c>
      <c r="B25" s="474" t="s">
        <v>293</v>
      </c>
      <c r="C25" s="474" t="s">
        <v>594</v>
      </c>
      <c r="D25" s="474" t="s">
        <v>595</v>
      </c>
      <c r="E25" s="499" t="s">
        <v>540</v>
      </c>
      <c r="F25" s="530">
        <v>1</v>
      </c>
      <c r="G25" s="474"/>
      <c r="H25" s="477">
        <v>3200</v>
      </c>
      <c r="I25" s="477">
        <f>+H25/$I$11</f>
        <v>941.17647058823536</v>
      </c>
      <c r="J25" s="478">
        <v>1</v>
      </c>
      <c r="K25" s="478">
        <v>0</v>
      </c>
      <c r="L25" s="479" t="s">
        <v>318</v>
      </c>
      <c r="M25" s="476" t="s">
        <v>284</v>
      </c>
      <c r="N25" s="541" t="s">
        <v>231</v>
      </c>
      <c r="O25" s="541" t="s">
        <v>59</v>
      </c>
      <c r="P25" s="474" t="s">
        <v>319</v>
      </c>
      <c r="Q25" s="541"/>
      <c r="R25" s="476" t="s">
        <v>311</v>
      </c>
      <c r="S25" s="469"/>
      <c r="T25" s="469"/>
      <c r="U25" s="469"/>
    </row>
    <row r="26" spans="1:21" s="510" customFormat="1" ht="72" x14ac:dyDescent="0.35">
      <c r="A26" s="500" t="s">
        <v>109</v>
      </c>
      <c r="B26" s="501" t="s">
        <v>293</v>
      </c>
      <c r="C26" s="501" t="s">
        <v>321</v>
      </c>
      <c r="D26" s="502" t="s">
        <v>110</v>
      </c>
      <c r="E26" s="502" t="s">
        <v>267</v>
      </c>
      <c r="F26" s="534"/>
      <c r="G26" s="501"/>
      <c r="H26" s="504">
        <v>100000</v>
      </c>
      <c r="I26" s="504">
        <v>45454.545454545449</v>
      </c>
      <c r="J26" s="505">
        <v>1</v>
      </c>
      <c r="K26" s="505">
        <v>0</v>
      </c>
      <c r="L26" s="506" t="s">
        <v>322</v>
      </c>
      <c r="M26" s="507" t="s">
        <v>267</v>
      </c>
      <c r="N26" s="508" t="s">
        <v>49</v>
      </c>
      <c r="O26" s="508" t="s">
        <v>50</v>
      </c>
      <c r="P26" s="501" t="s">
        <v>214</v>
      </c>
      <c r="Q26" s="508"/>
      <c r="R26" s="507" t="s">
        <v>596</v>
      </c>
      <c r="S26" s="509"/>
      <c r="T26" s="509"/>
      <c r="U26" s="509"/>
    </row>
    <row r="27" spans="1:21" s="510" customFormat="1" ht="72" x14ac:dyDescent="0.35">
      <c r="A27" s="500" t="s">
        <v>112</v>
      </c>
      <c r="B27" s="501" t="s">
        <v>293</v>
      </c>
      <c r="C27" s="501" t="s">
        <v>324</v>
      </c>
      <c r="D27" s="502" t="s">
        <v>113</v>
      </c>
      <c r="E27" s="502" t="s">
        <v>267</v>
      </c>
      <c r="F27" s="534"/>
      <c r="G27" s="501"/>
      <c r="H27" s="511">
        <f>250000</f>
        <v>250000</v>
      </c>
      <c r="I27" s="511">
        <v>66666.666666666672</v>
      </c>
      <c r="J27" s="505">
        <v>1</v>
      </c>
      <c r="K27" s="505">
        <v>0</v>
      </c>
      <c r="L27" s="506" t="s">
        <v>325</v>
      </c>
      <c r="M27" s="507" t="s">
        <v>267</v>
      </c>
      <c r="N27" s="508" t="s">
        <v>89</v>
      </c>
      <c r="O27" s="508" t="s">
        <v>38</v>
      </c>
      <c r="P27" s="501" t="s">
        <v>597</v>
      </c>
      <c r="Q27" s="508"/>
      <c r="R27" s="507" t="s">
        <v>596</v>
      </c>
      <c r="S27" s="509"/>
      <c r="T27" s="509"/>
      <c r="U27" s="509"/>
    </row>
    <row r="28" spans="1:21" ht="90" x14ac:dyDescent="0.35">
      <c r="A28" s="473" t="s">
        <v>115</v>
      </c>
      <c r="B28" s="474" t="s">
        <v>293</v>
      </c>
      <c r="C28" s="474" t="s">
        <v>598</v>
      </c>
      <c r="D28" s="474" t="s">
        <v>599</v>
      </c>
      <c r="E28" s="499" t="s">
        <v>267</v>
      </c>
      <c r="F28" s="530">
        <v>3</v>
      </c>
      <c r="G28" s="474"/>
      <c r="H28" s="477">
        <f>400000+100000+350000</f>
        <v>850000</v>
      </c>
      <c r="I28" s="477">
        <f>+H28/$I$11</f>
        <v>250000</v>
      </c>
      <c r="J28" s="478">
        <v>0</v>
      </c>
      <c r="K28" s="478">
        <v>1</v>
      </c>
      <c r="L28" s="479" t="s">
        <v>328</v>
      </c>
      <c r="M28" s="476" t="s">
        <v>267</v>
      </c>
      <c r="N28" s="541" t="s">
        <v>56</v>
      </c>
      <c r="O28" s="541" t="s">
        <v>343</v>
      </c>
      <c r="P28" s="474" t="s">
        <v>319</v>
      </c>
      <c r="Q28" s="541"/>
      <c r="R28" s="476" t="s">
        <v>587</v>
      </c>
      <c r="S28" s="469"/>
      <c r="T28" s="469"/>
      <c r="U28" s="469"/>
    </row>
    <row r="29" spans="1:21" s="510" customFormat="1" ht="72" x14ac:dyDescent="0.35">
      <c r="A29" s="500" t="s">
        <v>117</v>
      </c>
      <c r="B29" s="501" t="s">
        <v>293</v>
      </c>
      <c r="C29" s="501" t="s">
        <v>118</v>
      </c>
      <c r="D29" s="502" t="s">
        <v>118</v>
      </c>
      <c r="E29" s="502" t="s">
        <v>267</v>
      </c>
      <c r="F29" s="534"/>
      <c r="G29" s="501"/>
      <c r="H29" s="504">
        <v>500000</v>
      </c>
      <c r="I29" s="504">
        <v>227272.72727272726</v>
      </c>
      <c r="J29" s="505">
        <v>1</v>
      </c>
      <c r="K29" s="505">
        <v>0</v>
      </c>
      <c r="L29" s="506" t="s">
        <v>328</v>
      </c>
      <c r="M29" s="507" t="s">
        <v>267</v>
      </c>
      <c r="N29" s="508" t="s">
        <v>32</v>
      </c>
      <c r="O29" s="508" t="s">
        <v>44</v>
      </c>
      <c r="P29" s="501" t="s">
        <v>208</v>
      </c>
      <c r="Q29" s="508"/>
      <c r="R29" s="507" t="s">
        <v>596</v>
      </c>
      <c r="S29" s="509"/>
      <c r="T29" s="509"/>
      <c r="U29" s="509"/>
    </row>
    <row r="30" spans="1:21" ht="72" x14ac:dyDescent="0.35">
      <c r="A30" s="473" t="s">
        <v>119</v>
      </c>
      <c r="B30" s="474" t="s">
        <v>293</v>
      </c>
      <c r="C30" s="512" t="s">
        <v>120</v>
      </c>
      <c r="D30" s="512" t="s">
        <v>120</v>
      </c>
      <c r="E30" s="512" t="s">
        <v>267</v>
      </c>
      <c r="F30" s="530">
        <v>1</v>
      </c>
      <c r="G30" s="474" t="s">
        <v>330</v>
      </c>
      <c r="H30" s="477">
        <v>1001000</v>
      </c>
      <c r="I30" s="477">
        <v>454999.99999999994</v>
      </c>
      <c r="J30" s="478">
        <v>1</v>
      </c>
      <c r="K30" s="478">
        <v>0</v>
      </c>
      <c r="L30" s="479" t="s">
        <v>328</v>
      </c>
      <c r="M30" s="476" t="s">
        <v>267</v>
      </c>
      <c r="N30" s="541" t="s">
        <v>43</v>
      </c>
      <c r="O30" s="541" t="s">
        <v>49</v>
      </c>
      <c r="P30" s="474" t="s">
        <v>332</v>
      </c>
      <c r="Q30" s="541" t="s">
        <v>331</v>
      </c>
      <c r="R30" s="476" t="s">
        <v>311</v>
      </c>
      <c r="S30" s="469"/>
      <c r="T30" s="469"/>
      <c r="U30" s="469"/>
    </row>
    <row r="31" spans="1:21" ht="72" x14ac:dyDescent="0.35">
      <c r="A31" s="473" t="s">
        <v>121</v>
      </c>
      <c r="B31" s="474" t="s">
        <v>293</v>
      </c>
      <c r="C31" s="512" t="s">
        <v>122</v>
      </c>
      <c r="D31" s="512" t="s">
        <v>122</v>
      </c>
      <c r="E31" s="512" t="s">
        <v>267</v>
      </c>
      <c r="F31" s="530">
        <v>1</v>
      </c>
      <c r="G31" s="474" t="s">
        <v>333</v>
      </c>
      <c r="H31" s="477">
        <v>107030</v>
      </c>
      <c r="I31" s="477">
        <v>48649.999999999993</v>
      </c>
      <c r="J31" s="478">
        <v>1</v>
      </c>
      <c r="K31" s="478">
        <v>0</v>
      </c>
      <c r="L31" s="479" t="s">
        <v>328</v>
      </c>
      <c r="M31" s="476" t="s">
        <v>267</v>
      </c>
      <c r="N31" s="541" t="s">
        <v>43</v>
      </c>
      <c r="O31" s="541" t="s">
        <v>49</v>
      </c>
      <c r="P31" s="474" t="s">
        <v>332</v>
      </c>
      <c r="Q31" s="541" t="s">
        <v>334</v>
      </c>
      <c r="R31" s="476" t="s">
        <v>311</v>
      </c>
      <c r="S31" s="469"/>
      <c r="T31" s="469"/>
      <c r="U31" s="469"/>
    </row>
    <row r="32" spans="1:21" ht="72" x14ac:dyDescent="0.35">
      <c r="A32" s="473" t="s">
        <v>123</v>
      </c>
      <c r="B32" s="474" t="s">
        <v>293</v>
      </c>
      <c r="C32" s="512" t="s">
        <v>241</v>
      </c>
      <c r="D32" s="512" t="s">
        <v>241</v>
      </c>
      <c r="E32" s="512" t="s">
        <v>267</v>
      </c>
      <c r="F32" s="530">
        <v>1</v>
      </c>
      <c r="G32" s="474" t="s">
        <v>335</v>
      </c>
      <c r="H32" s="477">
        <v>63705</v>
      </c>
      <c r="I32" s="477">
        <v>28956.81818181818</v>
      </c>
      <c r="J32" s="478">
        <v>1</v>
      </c>
      <c r="K32" s="478">
        <v>0</v>
      </c>
      <c r="L32" s="479" t="s">
        <v>328</v>
      </c>
      <c r="M32" s="476" t="s">
        <v>267</v>
      </c>
      <c r="N32" s="541" t="s">
        <v>43</v>
      </c>
      <c r="O32" s="541" t="s">
        <v>49</v>
      </c>
      <c r="P32" s="474" t="s">
        <v>332</v>
      </c>
      <c r="Q32" s="541" t="s">
        <v>336</v>
      </c>
      <c r="R32" s="476" t="s">
        <v>311</v>
      </c>
      <c r="S32" s="469"/>
      <c r="T32" s="469"/>
      <c r="U32" s="469"/>
    </row>
    <row r="33" spans="1:21" s="510" customFormat="1" ht="72" x14ac:dyDescent="0.35">
      <c r="A33" s="500" t="s">
        <v>125</v>
      </c>
      <c r="B33" s="501" t="s">
        <v>293</v>
      </c>
      <c r="C33" s="502" t="s">
        <v>126</v>
      </c>
      <c r="D33" s="502" t="s">
        <v>126</v>
      </c>
      <c r="E33" s="502" t="s">
        <v>267</v>
      </c>
      <c r="F33" s="534"/>
      <c r="G33" s="501"/>
      <c r="H33" s="504">
        <v>15000</v>
      </c>
      <c r="I33" s="504">
        <v>6818.181818181818</v>
      </c>
      <c r="J33" s="505">
        <v>1</v>
      </c>
      <c r="K33" s="505">
        <v>0</v>
      </c>
      <c r="L33" s="506" t="s">
        <v>328</v>
      </c>
      <c r="M33" s="507" t="s">
        <v>267</v>
      </c>
      <c r="N33" s="508" t="s">
        <v>49</v>
      </c>
      <c r="O33" s="508" t="s">
        <v>44</v>
      </c>
      <c r="P33" s="501" t="s">
        <v>243</v>
      </c>
      <c r="Q33" s="508"/>
      <c r="R33" s="507" t="s">
        <v>596</v>
      </c>
      <c r="S33" s="509"/>
      <c r="T33" s="509"/>
      <c r="U33" s="509"/>
    </row>
    <row r="34" spans="1:21" ht="72" x14ac:dyDescent="0.35">
      <c r="A34" s="473" t="s">
        <v>127</v>
      </c>
      <c r="B34" s="474" t="s">
        <v>293</v>
      </c>
      <c r="C34" s="512" t="s">
        <v>128</v>
      </c>
      <c r="D34" s="512" t="s">
        <v>337</v>
      </c>
      <c r="E34" s="512" t="s">
        <v>267</v>
      </c>
      <c r="F34" s="530">
        <v>1</v>
      </c>
      <c r="G34" s="474" t="s">
        <v>338</v>
      </c>
      <c r="H34" s="477">
        <v>156000</v>
      </c>
      <c r="I34" s="477">
        <v>54137.42</v>
      </c>
      <c r="J34" s="478">
        <v>1</v>
      </c>
      <c r="K34" s="478">
        <v>0</v>
      </c>
      <c r="L34" s="479" t="s">
        <v>328</v>
      </c>
      <c r="M34" s="476" t="s">
        <v>267</v>
      </c>
      <c r="N34" s="541" t="s">
        <v>49</v>
      </c>
      <c r="O34" s="541" t="s">
        <v>44</v>
      </c>
      <c r="P34" s="474" t="s">
        <v>600</v>
      </c>
      <c r="Q34" s="541" t="s">
        <v>339</v>
      </c>
      <c r="R34" s="476" t="s">
        <v>311</v>
      </c>
      <c r="S34" s="469"/>
      <c r="T34" s="469"/>
      <c r="U34" s="469"/>
    </row>
    <row r="35" spans="1:21" s="510" customFormat="1" ht="72" x14ac:dyDescent="0.35">
      <c r="A35" s="500" t="s">
        <v>129</v>
      </c>
      <c r="B35" s="501" t="s">
        <v>293</v>
      </c>
      <c r="C35" s="502" t="s">
        <v>130</v>
      </c>
      <c r="D35" s="502" t="s">
        <v>130</v>
      </c>
      <c r="E35" s="502" t="s">
        <v>267</v>
      </c>
      <c r="F35" s="534"/>
      <c r="G35" s="501"/>
      <c r="H35" s="504">
        <v>30000</v>
      </c>
      <c r="I35" s="504">
        <v>13636.363636363636</v>
      </c>
      <c r="J35" s="505">
        <v>1</v>
      </c>
      <c r="K35" s="505">
        <v>0</v>
      </c>
      <c r="L35" s="506" t="s">
        <v>328</v>
      </c>
      <c r="M35" s="507" t="s">
        <v>267</v>
      </c>
      <c r="N35" s="508" t="s">
        <v>49</v>
      </c>
      <c r="O35" s="508" t="s">
        <v>44</v>
      </c>
      <c r="P35" s="501" t="s">
        <v>193</v>
      </c>
      <c r="Q35" s="508"/>
      <c r="R35" s="507" t="s">
        <v>596</v>
      </c>
      <c r="S35" s="509"/>
      <c r="T35" s="509"/>
      <c r="U35" s="509"/>
    </row>
    <row r="36" spans="1:21" ht="108" x14ac:dyDescent="0.35">
      <c r="A36" s="473" t="s">
        <v>131</v>
      </c>
      <c r="B36" s="474" t="s">
        <v>293</v>
      </c>
      <c r="C36" s="474" t="s">
        <v>340</v>
      </c>
      <c r="D36" s="512" t="s">
        <v>132</v>
      </c>
      <c r="E36" s="512" t="s">
        <v>267</v>
      </c>
      <c r="F36" s="530">
        <v>1</v>
      </c>
      <c r="G36" s="474"/>
      <c r="H36" s="477">
        <f>200000</f>
        <v>200000</v>
      </c>
      <c r="I36" s="477">
        <f>+H36/$I$11</f>
        <v>58823.529411764706</v>
      </c>
      <c r="J36" s="478">
        <v>0</v>
      </c>
      <c r="K36" s="478">
        <v>1</v>
      </c>
      <c r="L36" s="479" t="s">
        <v>328</v>
      </c>
      <c r="M36" s="476" t="s">
        <v>267</v>
      </c>
      <c r="N36" s="541" t="s">
        <v>70</v>
      </c>
      <c r="O36" s="541" t="s">
        <v>59</v>
      </c>
      <c r="P36" s="474" t="s">
        <v>601</v>
      </c>
      <c r="Q36" s="541"/>
      <c r="R36" s="476" t="s">
        <v>587</v>
      </c>
      <c r="S36" s="469"/>
      <c r="T36" s="469"/>
      <c r="U36" s="469"/>
    </row>
    <row r="37" spans="1:21" s="510" customFormat="1" ht="72" x14ac:dyDescent="0.35">
      <c r="A37" s="500" t="s">
        <v>134</v>
      </c>
      <c r="B37" s="501" t="s">
        <v>293</v>
      </c>
      <c r="C37" s="513" t="s">
        <v>135</v>
      </c>
      <c r="D37" s="513" t="s">
        <v>135</v>
      </c>
      <c r="E37" s="513" t="s">
        <v>267</v>
      </c>
      <c r="F37" s="534"/>
      <c r="G37" s="501"/>
      <c r="H37" s="511">
        <f>100000</f>
        <v>100000</v>
      </c>
      <c r="I37" s="511">
        <v>26666.666666666668</v>
      </c>
      <c r="J37" s="505">
        <v>1</v>
      </c>
      <c r="K37" s="505">
        <v>0</v>
      </c>
      <c r="L37" s="506" t="s">
        <v>328</v>
      </c>
      <c r="M37" s="507" t="s">
        <v>267</v>
      </c>
      <c r="N37" s="508" t="s">
        <v>56</v>
      </c>
      <c r="O37" s="508" t="s">
        <v>59</v>
      </c>
      <c r="P37" s="501" t="s">
        <v>597</v>
      </c>
      <c r="Q37" s="508"/>
      <c r="R37" s="507" t="s">
        <v>596</v>
      </c>
      <c r="S37" s="509"/>
      <c r="T37" s="509"/>
      <c r="U37" s="509"/>
    </row>
    <row r="38" spans="1:21" ht="72" x14ac:dyDescent="0.35">
      <c r="A38" s="500" t="s">
        <v>136</v>
      </c>
      <c r="B38" s="501" t="s">
        <v>293</v>
      </c>
      <c r="C38" s="502" t="s">
        <v>341</v>
      </c>
      <c r="D38" s="502" t="s">
        <v>137</v>
      </c>
      <c r="E38" s="502" t="s">
        <v>267</v>
      </c>
      <c r="F38" s="534"/>
      <c r="G38" s="501"/>
      <c r="H38" s="511">
        <f>400000</f>
        <v>400000</v>
      </c>
      <c r="I38" s="511">
        <f>+H38/$I$11</f>
        <v>117647.05882352941</v>
      </c>
      <c r="J38" s="505">
        <v>1</v>
      </c>
      <c r="K38" s="505">
        <v>0</v>
      </c>
      <c r="L38" s="506" t="s">
        <v>342</v>
      </c>
      <c r="M38" s="507" t="s">
        <v>267</v>
      </c>
      <c r="N38" s="508" t="s">
        <v>75</v>
      </c>
      <c r="O38" s="508" t="s">
        <v>343</v>
      </c>
      <c r="P38" s="501" t="s">
        <v>701</v>
      </c>
      <c r="Q38" s="508"/>
      <c r="R38" s="507" t="s">
        <v>596</v>
      </c>
      <c r="S38" s="469"/>
      <c r="T38" s="469"/>
      <c r="U38" s="469"/>
    </row>
    <row r="39" spans="1:21" s="510" customFormat="1" ht="90" x14ac:dyDescent="0.35">
      <c r="A39" s="500" t="s">
        <v>138</v>
      </c>
      <c r="B39" s="501" t="s">
        <v>293</v>
      </c>
      <c r="C39" s="502" t="s">
        <v>344</v>
      </c>
      <c r="D39" s="502" t="s">
        <v>139</v>
      </c>
      <c r="E39" s="502" t="s">
        <v>267</v>
      </c>
      <c r="F39" s="534"/>
      <c r="G39" s="501"/>
      <c r="H39" s="511">
        <v>1803000</v>
      </c>
      <c r="I39" s="511">
        <v>819545.45454545447</v>
      </c>
      <c r="J39" s="505">
        <v>1</v>
      </c>
      <c r="K39" s="505">
        <v>0</v>
      </c>
      <c r="L39" s="506" t="s">
        <v>304</v>
      </c>
      <c r="M39" s="507" t="s">
        <v>267</v>
      </c>
      <c r="N39" s="508" t="s">
        <v>231</v>
      </c>
      <c r="O39" s="508" t="s">
        <v>59</v>
      </c>
      <c r="P39" s="501" t="s">
        <v>602</v>
      </c>
      <c r="Q39" s="508"/>
      <c r="R39" s="507" t="s">
        <v>596</v>
      </c>
      <c r="S39" s="509"/>
      <c r="T39" s="509"/>
      <c r="U39" s="509"/>
    </row>
    <row r="40" spans="1:21" s="510" customFormat="1" ht="108" x14ac:dyDescent="0.35">
      <c r="A40" s="500" t="s">
        <v>140</v>
      </c>
      <c r="B40" s="501" t="s">
        <v>293</v>
      </c>
      <c r="C40" s="502" t="s">
        <v>346</v>
      </c>
      <c r="D40" s="502" t="s">
        <v>603</v>
      </c>
      <c r="E40" s="502" t="s">
        <v>267</v>
      </c>
      <c r="F40" s="534"/>
      <c r="G40" s="501"/>
      <c r="H40" s="511">
        <f>60590</f>
        <v>60590</v>
      </c>
      <c r="I40" s="511">
        <v>16157.333333333334</v>
      </c>
      <c r="J40" s="505">
        <v>1</v>
      </c>
      <c r="K40" s="505">
        <v>0</v>
      </c>
      <c r="L40" s="506" t="s">
        <v>304</v>
      </c>
      <c r="M40" s="507" t="s">
        <v>267</v>
      </c>
      <c r="N40" s="508" t="s">
        <v>50</v>
      </c>
      <c r="O40" s="508" t="s">
        <v>56</v>
      </c>
      <c r="P40" s="501" t="s">
        <v>597</v>
      </c>
      <c r="Q40" s="508"/>
      <c r="R40" s="507" t="s">
        <v>596</v>
      </c>
      <c r="S40" s="509"/>
      <c r="T40" s="509"/>
      <c r="U40" s="509"/>
    </row>
    <row r="41" spans="1:21" ht="72" x14ac:dyDescent="0.35">
      <c r="A41" s="473" t="s">
        <v>142</v>
      </c>
      <c r="B41" s="474" t="s">
        <v>293</v>
      </c>
      <c r="C41" s="498" t="s">
        <v>347</v>
      </c>
      <c r="D41" s="498" t="s">
        <v>143</v>
      </c>
      <c r="E41" s="498" t="s">
        <v>267</v>
      </c>
      <c r="F41" s="530">
        <v>1</v>
      </c>
      <c r="G41" s="474" t="s">
        <v>348</v>
      </c>
      <c r="H41" s="477">
        <v>486999.99</v>
      </c>
      <c r="I41" s="477">
        <v>160477.16</v>
      </c>
      <c r="J41" s="478">
        <v>1</v>
      </c>
      <c r="K41" s="478">
        <v>0</v>
      </c>
      <c r="L41" s="479" t="s">
        <v>304</v>
      </c>
      <c r="M41" s="476" t="s">
        <v>267</v>
      </c>
      <c r="N41" s="541" t="s">
        <v>49</v>
      </c>
      <c r="O41" s="541" t="s">
        <v>183</v>
      </c>
      <c r="P41" s="474" t="s">
        <v>350</v>
      </c>
      <c r="Q41" s="541" t="s">
        <v>349</v>
      </c>
      <c r="R41" s="476" t="s">
        <v>311</v>
      </c>
      <c r="S41" s="469"/>
      <c r="T41" s="469"/>
      <c r="U41" s="469"/>
    </row>
    <row r="42" spans="1:21" s="510" customFormat="1" ht="90" x14ac:dyDescent="0.35">
      <c r="A42" s="500" t="s">
        <v>144</v>
      </c>
      <c r="B42" s="501" t="s">
        <v>293</v>
      </c>
      <c r="C42" s="502" t="s">
        <v>351</v>
      </c>
      <c r="D42" s="502" t="s">
        <v>202</v>
      </c>
      <c r="E42" s="502" t="s">
        <v>267</v>
      </c>
      <c r="F42" s="534"/>
      <c r="G42" s="501"/>
      <c r="H42" s="504">
        <v>13000</v>
      </c>
      <c r="I42" s="504">
        <v>5909.090909090909</v>
      </c>
      <c r="J42" s="505">
        <v>1</v>
      </c>
      <c r="K42" s="505">
        <v>0</v>
      </c>
      <c r="L42" s="501" t="s">
        <v>352</v>
      </c>
      <c r="M42" s="507" t="s">
        <v>267</v>
      </c>
      <c r="N42" s="508" t="s">
        <v>43</v>
      </c>
      <c r="O42" s="508" t="s">
        <v>43</v>
      </c>
      <c r="P42" s="501" t="s">
        <v>194</v>
      </c>
      <c r="Q42" s="508"/>
      <c r="R42" s="507" t="s">
        <v>596</v>
      </c>
      <c r="S42" s="509"/>
      <c r="T42" s="509"/>
      <c r="U42" s="509"/>
    </row>
    <row r="43" spans="1:21" s="510" customFormat="1" ht="72" x14ac:dyDescent="0.35">
      <c r="A43" s="500" t="s">
        <v>147</v>
      </c>
      <c r="B43" s="501" t="s">
        <v>293</v>
      </c>
      <c r="C43" s="502" t="s">
        <v>353</v>
      </c>
      <c r="D43" s="502" t="s">
        <v>148</v>
      </c>
      <c r="E43" s="502" t="s">
        <v>267</v>
      </c>
      <c r="F43" s="534"/>
      <c r="G43" s="501"/>
      <c r="H43" s="504">
        <v>80000</v>
      </c>
      <c r="I43" s="504">
        <v>36363.63636363636</v>
      </c>
      <c r="J43" s="505">
        <v>1</v>
      </c>
      <c r="K43" s="505">
        <v>0</v>
      </c>
      <c r="L43" s="501" t="s">
        <v>354</v>
      </c>
      <c r="M43" s="507" t="s">
        <v>267</v>
      </c>
      <c r="N43" s="508" t="s">
        <v>43</v>
      </c>
      <c r="O43" s="508" t="s">
        <v>43</v>
      </c>
      <c r="P43" s="501" t="s">
        <v>195</v>
      </c>
      <c r="Q43" s="508"/>
      <c r="R43" s="507" t="s">
        <v>596</v>
      </c>
      <c r="S43" s="509"/>
      <c r="T43" s="509"/>
      <c r="U43" s="509"/>
    </row>
    <row r="44" spans="1:21" ht="90" x14ac:dyDescent="0.35">
      <c r="A44" s="473" t="s">
        <v>149</v>
      </c>
      <c r="B44" s="474" t="s">
        <v>293</v>
      </c>
      <c r="C44" s="514" t="s">
        <v>355</v>
      </c>
      <c r="D44" s="514" t="s">
        <v>604</v>
      </c>
      <c r="E44" s="514" t="s">
        <v>267</v>
      </c>
      <c r="F44" s="530">
        <v>1</v>
      </c>
      <c r="G44" s="474"/>
      <c r="H44" s="477">
        <f>150000</f>
        <v>150000</v>
      </c>
      <c r="I44" s="477">
        <f>+H44/$I$11</f>
        <v>44117.647058823532</v>
      </c>
      <c r="J44" s="478">
        <v>1</v>
      </c>
      <c r="K44" s="478">
        <v>0</v>
      </c>
      <c r="L44" s="479" t="s">
        <v>356</v>
      </c>
      <c r="M44" s="476" t="s">
        <v>267</v>
      </c>
      <c r="N44" s="541" t="s">
        <v>70</v>
      </c>
      <c r="O44" s="541" t="s">
        <v>59</v>
      </c>
      <c r="P44" s="474" t="s">
        <v>319</v>
      </c>
      <c r="Q44" s="541"/>
      <c r="R44" s="476" t="s">
        <v>587</v>
      </c>
      <c r="S44" s="469"/>
      <c r="T44" s="469"/>
      <c r="U44" s="469"/>
    </row>
    <row r="45" spans="1:21" ht="72" x14ac:dyDescent="0.35">
      <c r="A45" s="473" t="s">
        <v>153</v>
      </c>
      <c r="B45" s="474" t="s">
        <v>293</v>
      </c>
      <c r="C45" s="514" t="s">
        <v>605</v>
      </c>
      <c r="D45" s="514" t="s">
        <v>606</v>
      </c>
      <c r="E45" s="514" t="s">
        <v>267</v>
      </c>
      <c r="F45" s="530"/>
      <c r="G45" s="474" t="s">
        <v>358</v>
      </c>
      <c r="H45" s="477">
        <v>148518.79999999999</v>
      </c>
      <c r="I45" s="477">
        <v>49268.14</v>
      </c>
      <c r="J45" s="478">
        <v>1</v>
      </c>
      <c r="K45" s="478">
        <v>0</v>
      </c>
      <c r="L45" s="479" t="s">
        <v>314</v>
      </c>
      <c r="M45" s="476" t="s">
        <v>267</v>
      </c>
      <c r="N45" s="541" t="s">
        <v>32</v>
      </c>
      <c r="O45" s="541" t="s">
        <v>183</v>
      </c>
      <c r="P45" s="474" t="s">
        <v>360</v>
      </c>
      <c r="Q45" s="541" t="s">
        <v>359</v>
      </c>
      <c r="R45" s="476" t="s">
        <v>311</v>
      </c>
      <c r="S45" s="469"/>
      <c r="T45" s="469"/>
      <c r="U45" s="469"/>
    </row>
    <row r="46" spans="1:21" s="510" customFormat="1" ht="108" x14ac:dyDescent="0.35">
      <c r="A46" s="500" t="s">
        <v>155</v>
      </c>
      <c r="B46" s="501" t="s">
        <v>293</v>
      </c>
      <c r="C46" s="515" t="s">
        <v>361</v>
      </c>
      <c r="D46" s="515" t="s">
        <v>156</v>
      </c>
      <c r="E46" s="515" t="s">
        <v>267</v>
      </c>
      <c r="F46" s="534"/>
      <c r="G46" s="501"/>
      <c r="H46" s="511">
        <f>180000</f>
        <v>180000</v>
      </c>
      <c r="I46" s="511">
        <f>+H46/$I$11</f>
        <v>52941.176470588238</v>
      </c>
      <c r="J46" s="505">
        <v>1</v>
      </c>
      <c r="K46" s="505">
        <v>0</v>
      </c>
      <c r="L46" s="506" t="s">
        <v>297</v>
      </c>
      <c r="M46" s="507" t="s">
        <v>267</v>
      </c>
      <c r="N46" s="508" t="s">
        <v>231</v>
      </c>
      <c r="O46" s="508" t="s">
        <v>343</v>
      </c>
      <c r="P46" s="501" t="s">
        <v>597</v>
      </c>
      <c r="Q46" s="508"/>
      <c r="R46" s="507" t="s">
        <v>596</v>
      </c>
      <c r="S46" s="509"/>
      <c r="T46" s="509"/>
      <c r="U46" s="509"/>
    </row>
    <row r="47" spans="1:21" ht="72" x14ac:dyDescent="0.35">
      <c r="A47" s="473" t="s">
        <v>157</v>
      </c>
      <c r="B47" s="474" t="s">
        <v>293</v>
      </c>
      <c r="C47" s="514" t="s">
        <v>607</v>
      </c>
      <c r="D47" s="514" t="s">
        <v>608</v>
      </c>
      <c r="E47" s="514" t="s">
        <v>326</v>
      </c>
      <c r="F47" s="530">
        <v>1</v>
      </c>
      <c r="G47" s="474"/>
      <c r="H47" s="477">
        <f>20000</f>
        <v>20000</v>
      </c>
      <c r="I47" s="477">
        <f>+H47/$I$11</f>
        <v>5882.3529411764712</v>
      </c>
      <c r="J47" s="478">
        <v>1</v>
      </c>
      <c r="K47" s="478">
        <v>0</v>
      </c>
      <c r="L47" s="479" t="s">
        <v>356</v>
      </c>
      <c r="M47" s="476" t="s">
        <v>284</v>
      </c>
      <c r="N47" s="541" t="s">
        <v>44</v>
      </c>
      <c r="O47" s="541" t="s">
        <v>38</v>
      </c>
      <c r="P47" s="474"/>
      <c r="Q47" s="541"/>
      <c r="R47" s="476" t="s">
        <v>584</v>
      </c>
      <c r="S47" s="469"/>
      <c r="T47" s="469"/>
      <c r="U47" s="469"/>
    </row>
    <row r="48" spans="1:21" ht="72" x14ac:dyDescent="0.35">
      <c r="A48" s="473" t="s">
        <v>216</v>
      </c>
      <c r="B48" s="474" t="s">
        <v>293</v>
      </c>
      <c r="C48" s="514" t="s">
        <v>217</v>
      </c>
      <c r="D48" s="514" t="s">
        <v>217</v>
      </c>
      <c r="E48" s="514" t="s">
        <v>267</v>
      </c>
      <c r="F48" s="530">
        <v>1</v>
      </c>
      <c r="G48" s="474" t="s">
        <v>364</v>
      </c>
      <c r="H48" s="477">
        <v>8999.9699999999993</v>
      </c>
      <c r="I48" s="477">
        <v>2970.78</v>
      </c>
      <c r="J48" s="478">
        <v>1</v>
      </c>
      <c r="K48" s="478">
        <v>0</v>
      </c>
      <c r="L48" s="479" t="s">
        <v>328</v>
      </c>
      <c r="M48" s="476" t="s">
        <v>267</v>
      </c>
      <c r="N48" s="541" t="s">
        <v>74</v>
      </c>
      <c r="O48" s="541" t="s">
        <v>183</v>
      </c>
      <c r="P48" s="474" t="s">
        <v>366</v>
      </c>
      <c r="Q48" s="541" t="s">
        <v>365</v>
      </c>
      <c r="R48" s="476" t="s">
        <v>311</v>
      </c>
      <c r="S48" s="469"/>
      <c r="T48" s="469"/>
      <c r="U48" s="469"/>
    </row>
    <row r="49" spans="1:21" s="510" customFormat="1" ht="72" x14ac:dyDescent="0.35">
      <c r="A49" s="500" t="s">
        <v>246</v>
      </c>
      <c r="B49" s="501" t="s">
        <v>293</v>
      </c>
      <c r="C49" s="502" t="s">
        <v>609</v>
      </c>
      <c r="D49" s="502" t="s">
        <v>247</v>
      </c>
      <c r="E49" s="502" t="s">
        <v>267</v>
      </c>
      <c r="F49" s="534"/>
      <c r="G49" s="501"/>
      <c r="H49" s="511">
        <v>100000</v>
      </c>
      <c r="I49" s="511">
        <v>45454.545454545449</v>
      </c>
      <c r="J49" s="505">
        <v>1</v>
      </c>
      <c r="K49" s="505">
        <v>0</v>
      </c>
      <c r="L49" s="506" t="s">
        <v>328</v>
      </c>
      <c r="M49" s="507" t="s">
        <v>267</v>
      </c>
      <c r="N49" s="508" t="s">
        <v>44</v>
      </c>
      <c r="O49" s="508" t="s">
        <v>44</v>
      </c>
      <c r="P49" s="501" t="s">
        <v>367</v>
      </c>
      <c r="Q49" s="508"/>
      <c r="R49" s="507" t="s">
        <v>596</v>
      </c>
      <c r="S49" s="509"/>
      <c r="T49" s="509"/>
      <c r="U49" s="509"/>
    </row>
    <row r="50" spans="1:21" ht="144" x14ac:dyDescent="0.35">
      <c r="A50" s="481" t="s">
        <v>368</v>
      </c>
      <c r="B50" s="474" t="s">
        <v>293</v>
      </c>
      <c r="C50" s="498" t="s">
        <v>369</v>
      </c>
      <c r="D50" s="498" t="s">
        <v>370</v>
      </c>
      <c r="E50" s="498" t="s">
        <v>267</v>
      </c>
      <c r="F50" s="530">
        <v>1</v>
      </c>
      <c r="G50" s="474"/>
      <c r="H50" s="477">
        <f>5900000</f>
        <v>5900000</v>
      </c>
      <c r="I50" s="477">
        <f t="shared" ref="I50:I56" si="0">+H50/$I$11</f>
        <v>1735294.1176470588</v>
      </c>
      <c r="J50" s="478">
        <v>1</v>
      </c>
      <c r="K50" s="478">
        <v>0</v>
      </c>
      <c r="L50" s="479" t="s">
        <v>707</v>
      </c>
      <c r="M50" s="476" t="s">
        <v>267</v>
      </c>
      <c r="N50" s="541" t="s">
        <v>75</v>
      </c>
      <c r="O50" s="541" t="s">
        <v>70</v>
      </c>
      <c r="P50" s="474" t="s">
        <v>319</v>
      </c>
      <c r="Q50" s="541"/>
      <c r="R50" s="476" t="s">
        <v>300</v>
      </c>
      <c r="S50" s="469"/>
      <c r="T50" s="469"/>
      <c r="U50" s="469"/>
    </row>
    <row r="51" spans="1:21" ht="90" x14ac:dyDescent="0.35">
      <c r="A51" s="481" t="s">
        <v>371</v>
      </c>
      <c r="B51" s="474" t="s">
        <v>293</v>
      </c>
      <c r="C51" s="498" t="s">
        <v>610</v>
      </c>
      <c r="D51" s="498" t="s">
        <v>699</v>
      </c>
      <c r="E51" s="498" t="s">
        <v>267</v>
      </c>
      <c r="F51" s="530">
        <v>1</v>
      </c>
      <c r="G51" s="474"/>
      <c r="H51" s="477">
        <f>110000</f>
        <v>110000</v>
      </c>
      <c r="I51" s="477">
        <f t="shared" si="0"/>
        <v>32352.941176470587</v>
      </c>
      <c r="J51" s="478">
        <v>1</v>
      </c>
      <c r="K51" s="478">
        <v>0</v>
      </c>
      <c r="L51" s="479" t="s">
        <v>328</v>
      </c>
      <c r="M51" s="476" t="s">
        <v>267</v>
      </c>
      <c r="N51" s="541" t="s">
        <v>75</v>
      </c>
      <c r="O51" s="541" t="s">
        <v>70</v>
      </c>
      <c r="P51" s="474" t="s">
        <v>319</v>
      </c>
      <c r="Q51" s="541"/>
      <c r="R51" s="476" t="s">
        <v>300</v>
      </c>
      <c r="S51" s="469"/>
      <c r="T51" s="469"/>
      <c r="U51" s="469"/>
    </row>
    <row r="52" spans="1:21" ht="72" x14ac:dyDescent="0.35">
      <c r="A52" s="481" t="s">
        <v>374</v>
      </c>
      <c r="B52" s="474" t="s">
        <v>293</v>
      </c>
      <c r="C52" s="498" t="s">
        <v>375</v>
      </c>
      <c r="D52" s="498" t="s">
        <v>376</v>
      </c>
      <c r="E52" s="498" t="s">
        <v>267</v>
      </c>
      <c r="F52" s="530">
        <v>1</v>
      </c>
      <c r="G52" s="474"/>
      <c r="H52" s="477">
        <v>540000</v>
      </c>
      <c r="I52" s="477">
        <f t="shared" si="0"/>
        <v>158823.5294117647</v>
      </c>
      <c r="J52" s="478">
        <v>1</v>
      </c>
      <c r="K52" s="478">
        <v>0</v>
      </c>
      <c r="L52" s="479" t="s">
        <v>297</v>
      </c>
      <c r="M52" s="476" t="s">
        <v>267</v>
      </c>
      <c r="N52" s="541" t="s">
        <v>231</v>
      </c>
      <c r="O52" s="541" t="s">
        <v>70</v>
      </c>
      <c r="P52" s="474" t="s">
        <v>332</v>
      </c>
      <c r="Q52" s="541"/>
      <c r="R52" s="476" t="s">
        <v>311</v>
      </c>
      <c r="S52" s="469"/>
      <c r="T52" s="469"/>
      <c r="U52" s="469"/>
    </row>
    <row r="53" spans="1:21" s="510" customFormat="1" ht="72" x14ac:dyDescent="0.35">
      <c r="A53" s="500" t="s">
        <v>377</v>
      </c>
      <c r="B53" s="501" t="s">
        <v>293</v>
      </c>
      <c r="C53" s="502" t="s">
        <v>378</v>
      </c>
      <c r="D53" s="502" t="s">
        <v>379</v>
      </c>
      <c r="E53" s="502" t="s">
        <v>267</v>
      </c>
      <c r="F53" s="534">
        <v>1</v>
      </c>
      <c r="G53" s="501"/>
      <c r="H53" s="511">
        <f>4000</f>
        <v>4000</v>
      </c>
      <c r="I53" s="511">
        <f t="shared" si="0"/>
        <v>1176.4705882352941</v>
      </c>
      <c r="J53" s="505">
        <v>1</v>
      </c>
      <c r="K53" s="505">
        <v>0</v>
      </c>
      <c r="L53" s="506" t="s">
        <v>328</v>
      </c>
      <c r="M53" s="507" t="s">
        <v>267</v>
      </c>
      <c r="N53" s="508" t="s">
        <v>183</v>
      </c>
      <c r="O53" s="508" t="s">
        <v>133</v>
      </c>
      <c r="P53" s="501" t="s">
        <v>702</v>
      </c>
      <c r="Q53" s="508"/>
      <c r="R53" s="507" t="s">
        <v>596</v>
      </c>
      <c r="S53" s="509"/>
      <c r="T53" s="509"/>
      <c r="U53" s="509"/>
    </row>
    <row r="54" spans="1:21" ht="72" x14ac:dyDescent="0.35">
      <c r="A54" s="481" t="s">
        <v>518</v>
      </c>
      <c r="B54" s="474" t="s">
        <v>293</v>
      </c>
      <c r="C54" s="474" t="s">
        <v>519</v>
      </c>
      <c r="D54" s="512" t="s">
        <v>611</v>
      </c>
      <c r="E54" s="498" t="s">
        <v>267</v>
      </c>
      <c r="F54" s="530">
        <v>1</v>
      </c>
      <c r="G54" s="474"/>
      <c r="H54" s="516">
        <f>3015000</f>
        <v>3015000</v>
      </c>
      <c r="I54" s="516">
        <f t="shared" si="0"/>
        <v>886764.70588235301</v>
      </c>
      <c r="J54" s="478">
        <v>1</v>
      </c>
      <c r="K54" s="478">
        <v>0</v>
      </c>
      <c r="L54" s="474" t="s">
        <v>297</v>
      </c>
      <c r="M54" s="476" t="s">
        <v>267</v>
      </c>
      <c r="N54" s="541" t="s">
        <v>50</v>
      </c>
      <c r="O54" s="541" t="s">
        <v>70</v>
      </c>
      <c r="P54" s="474" t="s">
        <v>332</v>
      </c>
      <c r="Q54" s="541"/>
      <c r="R54" s="476" t="s">
        <v>300</v>
      </c>
      <c r="S54" s="469"/>
      <c r="T54" s="469"/>
      <c r="U54" s="469"/>
    </row>
    <row r="55" spans="1:21" ht="90" x14ac:dyDescent="0.35">
      <c r="A55" s="481" t="s">
        <v>521</v>
      </c>
      <c r="B55" s="474" t="s">
        <v>293</v>
      </c>
      <c r="C55" s="474" t="s">
        <v>522</v>
      </c>
      <c r="D55" s="512" t="s">
        <v>523</v>
      </c>
      <c r="E55" s="498" t="s">
        <v>267</v>
      </c>
      <c r="F55" s="530">
        <v>1</v>
      </c>
      <c r="G55" s="474"/>
      <c r="H55" s="516">
        <f>530000</f>
        <v>530000</v>
      </c>
      <c r="I55" s="516">
        <f t="shared" si="0"/>
        <v>155882.35294117648</v>
      </c>
      <c r="J55" s="478">
        <v>1</v>
      </c>
      <c r="K55" s="478">
        <v>0</v>
      </c>
      <c r="L55" s="474" t="s">
        <v>328</v>
      </c>
      <c r="M55" s="476" t="s">
        <v>267</v>
      </c>
      <c r="N55" s="541" t="s">
        <v>50</v>
      </c>
      <c r="O55" s="541" t="s">
        <v>56</v>
      </c>
      <c r="P55" s="474" t="s">
        <v>319</v>
      </c>
      <c r="Q55" s="541"/>
      <c r="R55" s="476" t="s">
        <v>300</v>
      </c>
      <c r="S55" s="469"/>
      <c r="T55" s="469"/>
      <c r="U55" s="469"/>
    </row>
    <row r="56" spans="1:21" s="552" customFormat="1" ht="78" customHeight="1" x14ac:dyDescent="0.35">
      <c r="A56" s="481" t="s">
        <v>542</v>
      </c>
      <c r="B56" s="474" t="s">
        <v>293</v>
      </c>
      <c r="C56" s="474" t="s">
        <v>612</v>
      </c>
      <c r="D56" s="512" t="s">
        <v>705</v>
      </c>
      <c r="E56" s="498" t="s">
        <v>267</v>
      </c>
      <c r="F56" s="530">
        <v>5</v>
      </c>
      <c r="G56" s="474"/>
      <c r="H56" s="516">
        <f>350000+25000+35000+18000+4000</f>
        <v>432000</v>
      </c>
      <c r="I56" s="477">
        <f t="shared" si="0"/>
        <v>127058.82352941176</v>
      </c>
      <c r="J56" s="478">
        <v>1</v>
      </c>
      <c r="K56" s="478">
        <v>0</v>
      </c>
      <c r="L56" s="553" t="s">
        <v>447</v>
      </c>
      <c r="M56" s="476" t="s">
        <v>267</v>
      </c>
      <c r="N56" s="541" t="s">
        <v>56</v>
      </c>
      <c r="O56" s="541" t="s">
        <v>70</v>
      </c>
      <c r="P56" s="474" t="s">
        <v>319</v>
      </c>
      <c r="Q56" s="541"/>
      <c r="R56" s="476" t="s">
        <v>587</v>
      </c>
      <c r="S56" s="469"/>
      <c r="T56" s="469"/>
      <c r="U56" s="469"/>
    </row>
    <row r="57" spans="1:21" ht="15" customHeight="1" x14ac:dyDescent="0.35">
      <c r="B57" s="493"/>
      <c r="C57" s="493"/>
      <c r="D57" s="493"/>
      <c r="E57" s="493"/>
      <c r="F57" s="651" t="s">
        <v>613</v>
      </c>
      <c r="G57" s="651"/>
      <c r="H57" s="496">
        <f>SUM(H24:H56)-SUMIF(R24:R56,$C$123,H24:H56)</f>
        <v>14002453.759999998</v>
      </c>
      <c r="I57" s="496">
        <f>SUM(I24:I56)-SUMIF(R24:R56,$C$123,I24:I56)</f>
        <v>4346437.6746524069</v>
      </c>
      <c r="J57" s="497"/>
      <c r="K57" s="497"/>
      <c r="L57" s="493"/>
      <c r="M57" s="493"/>
      <c r="N57" s="493"/>
      <c r="O57" s="493"/>
      <c r="P57" s="493"/>
      <c r="Q57" s="494"/>
      <c r="R57" s="493"/>
      <c r="S57" s="469"/>
      <c r="T57" s="469"/>
      <c r="U57" s="469"/>
    </row>
    <row r="59" spans="1:21" ht="15.6" customHeight="1" x14ac:dyDescent="0.35">
      <c r="A59" s="648" t="s">
        <v>380</v>
      </c>
      <c r="B59" s="648"/>
      <c r="C59" s="648"/>
      <c r="D59" s="648"/>
      <c r="E59" s="648"/>
      <c r="F59" s="648"/>
      <c r="G59" s="648"/>
      <c r="H59" s="648"/>
      <c r="I59" s="648"/>
      <c r="J59" s="648"/>
      <c r="K59" s="648"/>
      <c r="L59" s="648"/>
      <c r="M59" s="648"/>
      <c r="N59" s="648"/>
      <c r="O59" s="648"/>
      <c r="P59" s="648"/>
      <c r="Q59" s="648"/>
      <c r="R59" s="648"/>
    </row>
    <row r="60" spans="1:21" ht="14.1" customHeight="1" x14ac:dyDescent="0.35">
      <c r="A60" s="649" t="s">
        <v>268</v>
      </c>
      <c r="B60" s="649" t="s">
        <v>269</v>
      </c>
      <c r="C60" s="649" t="s">
        <v>591</v>
      </c>
      <c r="D60" s="649" t="s">
        <v>271</v>
      </c>
      <c r="E60" s="649" t="s">
        <v>708</v>
      </c>
      <c r="F60" s="649" t="s">
        <v>573</v>
      </c>
      <c r="G60" s="649" t="s">
        <v>452</v>
      </c>
      <c r="H60" s="470"/>
      <c r="I60" s="650" t="s">
        <v>274</v>
      </c>
      <c r="J60" s="650"/>
      <c r="K60" s="650"/>
      <c r="L60" s="649" t="s">
        <v>275</v>
      </c>
      <c r="M60" s="649" t="s">
        <v>592</v>
      </c>
      <c r="N60" s="649" t="s">
        <v>593</v>
      </c>
      <c r="O60" s="649"/>
      <c r="P60" s="649" t="s">
        <v>578</v>
      </c>
      <c r="Q60" s="649" t="s">
        <v>579</v>
      </c>
      <c r="R60" s="649" t="s">
        <v>580</v>
      </c>
    </row>
    <row r="61" spans="1:21" ht="90" x14ac:dyDescent="0.35">
      <c r="A61" s="649"/>
      <c r="B61" s="649"/>
      <c r="C61" s="649"/>
      <c r="D61" s="649"/>
      <c r="E61" s="649"/>
      <c r="F61" s="649"/>
      <c r="G61" s="649"/>
      <c r="H61" s="470" t="s">
        <v>581</v>
      </c>
      <c r="I61" s="470" t="s">
        <v>285</v>
      </c>
      <c r="J61" s="471" t="s">
        <v>286</v>
      </c>
      <c r="K61" s="471" t="s">
        <v>497</v>
      </c>
      <c r="L61" s="649"/>
      <c r="M61" s="649"/>
      <c r="N61" s="472" t="s">
        <v>582</v>
      </c>
      <c r="O61" s="472" t="s">
        <v>289</v>
      </c>
      <c r="P61" s="649"/>
      <c r="Q61" s="649"/>
      <c r="R61" s="649"/>
    </row>
    <row r="62" spans="1:21" s="510" customFormat="1" ht="90" x14ac:dyDescent="0.35">
      <c r="A62" s="500" t="s">
        <v>92</v>
      </c>
      <c r="B62" s="501" t="s">
        <v>293</v>
      </c>
      <c r="C62" s="501" t="s">
        <v>385</v>
      </c>
      <c r="D62" s="515" t="s">
        <v>386</v>
      </c>
      <c r="E62" s="507" t="s">
        <v>614</v>
      </c>
      <c r="F62" s="534">
        <v>1</v>
      </c>
      <c r="G62" s="507"/>
      <c r="H62" s="520">
        <v>126000</v>
      </c>
      <c r="I62" s="520">
        <v>92727.272727272721</v>
      </c>
      <c r="J62" s="505">
        <v>1</v>
      </c>
      <c r="K62" s="505">
        <v>0</v>
      </c>
      <c r="L62" s="501" t="s">
        <v>387</v>
      </c>
      <c r="M62" s="507" t="s">
        <v>284</v>
      </c>
      <c r="N62" s="508" t="s">
        <v>44</v>
      </c>
      <c r="O62" s="508" t="s">
        <v>97</v>
      </c>
      <c r="P62" s="507" t="s">
        <v>388</v>
      </c>
      <c r="Q62" s="534"/>
      <c r="R62" s="507" t="s">
        <v>596</v>
      </c>
    </row>
    <row r="63" spans="1:21" ht="72" x14ac:dyDescent="0.35">
      <c r="A63" s="473" t="s">
        <v>98</v>
      </c>
      <c r="B63" s="474" t="s">
        <v>293</v>
      </c>
      <c r="C63" s="514" t="s">
        <v>99</v>
      </c>
      <c r="D63" s="514" t="s">
        <v>389</v>
      </c>
      <c r="E63" s="476" t="s">
        <v>614</v>
      </c>
      <c r="F63" s="530">
        <v>1</v>
      </c>
      <c r="G63" s="476"/>
      <c r="H63" s="521">
        <f>35000</f>
        <v>35000</v>
      </c>
      <c r="I63" s="477">
        <f>+H63/$I$11</f>
        <v>10294.117647058823</v>
      </c>
      <c r="J63" s="478">
        <v>1</v>
      </c>
      <c r="K63" s="478">
        <v>0</v>
      </c>
      <c r="L63" s="479" t="s">
        <v>356</v>
      </c>
      <c r="M63" s="476" t="s">
        <v>284</v>
      </c>
      <c r="N63" s="541" t="s">
        <v>183</v>
      </c>
      <c r="O63" s="541" t="s">
        <v>50</v>
      </c>
      <c r="P63" s="476" t="s">
        <v>559</v>
      </c>
      <c r="Q63" s="530" t="s">
        <v>558</v>
      </c>
      <c r="R63" s="476" t="s">
        <v>584</v>
      </c>
    </row>
    <row r="64" spans="1:21" ht="90" x14ac:dyDescent="0.35">
      <c r="A64" s="473" t="s">
        <v>189</v>
      </c>
      <c r="B64" s="474" t="s">
        <v>293</v>
      </c>
      <c r="C64" s="514" t="s">
        <v>615</v>
      </c>
      <c r="D64" s="514" t="s">
        <v>190</v>
      </c>
      <c r="E64" s="476" t="s">
        <v>614</v>
      </c>
      <c r="F64" s="530">
        <v>1</v>
      </c>
      <c r="G64" s="476"/>
      <c r="H64" s="521">
        <f>30000</f>
        <v>30000</v>
      </c>
      <c r="I64" s="477">
        <f>+H64/$I$11</f>
        <v>8823.5294117647063</v>
      </c>
      <c r="J64" s="478">
        <v>1</v>
      </c>
      <c r="K64" s="478">
        <v>0</v>
      </c>
      <c r="L64" s="474" t="s">
        <v>322</v>
      </c>
      <c r="M64" s="476" t="s">
        <v>284</v>
      </c>
      <c r="N64" s="541" t="s">
        <v>50</v>
      </c>
      <c r="O64" s="541" t="s">
        <v>75</v>
      </c>
      <c r="P64" s="476" t="s">
        <v>559</v>
      </c>
      <c r="Q64" s="530"/>
      <c r="R64" s="476" t="s">
        <v>311</v>
      </c>
    </row>
    <row r="65" spans="1:18" ht="72" x14ac:dyDescent="0.35">
      <c r="A65" s="473" t="s">
        <v>209</v>
      </c>
      <c r="B65" s="474" t="s">
        <v>293</v>
      </c>
      <c r="C65" s="474" t="s">
        <v>616</v>
      </c>
      <c r="D65" s="498" t="s">
        <v>617</v>
      </c>
      <c r="E65" s="476" t="s">
        <v>618</v>
      </c>
      <c r="F65" s="530">
        <v>1</v>
      </c>
      <c r="G65" s="476"/>
      <c r="H65" s="521">
        <f>260000</f>
        <v>260000</v>
      </c>
      <c r="I65" s="477">
        <f>+H65/$I$11</f>
        <v>76470.588235294126</v>
      </c>
      <c r="J65" s="478">
        <v>1</v>
      </c>
      <c r="K65" s="478">
        <v>0</v>
      </c>
      <c r="L65" s="553" t="s">
        <v>396</v>
      </c>
      <c r="M65" s="476" t="s">
        <v>267</v>
      </c>
      <c r="N65" s="541" t="s">
        <v>50</v>
      </c>
      <c r="O65" s="541" t="s">
        <v>56</v>
      </c>
      <c r="P65" s="476" t="s">
        <v>332</v>
      </c>
      <c r="Q65" s="530" t="s">
        <v>619</v>
      </c>
      <c r="R65" s="476" t="s">
        <v>584</v>
      </c>
    </row>
    <row r="66" spans="1:18" ht="72" x14ac:dyDescent="0.35">
      <c r="A66" s="473" t="s">
        <v>235</v>
      </c>
      <c r="B66" s="474" t="s">
        <v>293</v>
      </c>
      <c r="C66" s="474" t="s">
        <v>620</v>
      </c>
      <c r="D66" s="498" t="s">
        <v>236</v>
      </c>
      <c r="E66" s="476" t="s">
        <v>618</v>
      </c>
      <c r="F66" s="530">
        <v>1</v>
      </c>
      <c r="G66" s="474" t="s">
        <v>395</v>
      </c>
      <c r="H66" s="521">
        <v>196928</v>
      </c>
      <c r="I66" s="521">
        <v>59900.62</v>
      </c>
      <c r="J66" s="478">
        <v>1</v>
      </c>
      <c r="K66" s="478">
        <v>0</v>
      </c>
      <c r="L66" s="474" t="s">
        <v>396</v>
      </c>
      <c r="M66" s="476" t="s">
        <v>267</v>
      </c>
      <c r="N66" s="541" t="s">
        <v>32</v>
      </c>
      <c r="O66" s="541" t="s">
        <v>183</v>
      </c>
      <c r="P66" s="476" t="s">
        <v>332</v>
      </c>
      <c r="Q66" s="530" t="s">
        <v>560</v>
      </c>
      <c r="R66" s="476" t="s">
        <v>311</v>
      </c>
    </row>
    <row r="67" spans="1:18" ht="72" x14ac:dyDescent="0.35">
      <c r="A67" s="481" t="s">
        <v>524</v>
      </c>
      <c r="B67" s="474" t="s">
        <v>293</v>
      </c>
      <c r="C67" s="474" t="s">
        <v>621</v>
      </c>
      <c r="D67" s="474" t="s">
        <v>526</v>
      </c>
      <c r="E67" s="476" t="s">
        <v>614</v>
      </c>
      <c r="F67" s="530">
        <v>1</v>
      </c>
      <c r="G67" s="476"/>
      <c r="H67" s="521">
        <f>34000</f>
        <v>34000</v>
      </c>
      <c r="I67" s="477">
        <f>+H67/$I$11</f>
        <v>10000</v>
      </c>
      <c r="J67" s="478">
        <v>1</v>
      </c>
      <c r="K67" s="478">
        <v>0</v>
      </c>
      <c r="L67" s="474" t="s">
        <v>396</v>
      </c>
      <c r="M67" s="476" t="s">
        <v>284</v>
      </c>
      <c r="N67" s="541" t="s">
        <v>50</v>
      </c>
      <c r="O67" s="541" t="s">
        <v>133</v>
      </c>
      <c r="P67" s="476"/>
      <c r="Q67" s="530" t="s">
        <v>561</v>
      </c>
      <c r="R67" s="476" t="s">
        <v>311</v>
      </c>
    </row>
    <row r="68" spans="1:18" ht="72" x14ac:dyDescent="0.35">
      <c r="A68" s="481" t="s">
        <v>527</v>
      </c>
      <c r="B68" s="474" t="s">
        <v>293</v>
      </c>
      <c r="C68" s="474" t="s">
        <v>528</v>
      </c>
      <c r="D68" s="474" t="s">
        <v>529</v>
      </c>
      <c r="E68" s="476" t="s">
        <v>614</v>
      </c>
      <c r="F68" s="530">
        <v>1</v>
      </c>
      <c r="G68" s="476"/>
      <c r="H68" s="521">
        <f>350000</f>
        <v>350000</v>
      </c>
      <c r="I68" s="477">
        <f>+H68/$I$11</f>
        <v>102941.17647058824</v>
      </c>
      <c r="J68" s="478">
        <v>1</v>
      </c>
      <c r="K68" s="478">
        <v>0</v>
      </c>
      <c r="L68" s="474" t="s">
        <v>396</v>
      </c>
      <c r="M68" s="476" t="s">
        <v>284</v>
      </c>
      <c r="N68" s="541" t="s">
        <v>75</v>
      </c>
      <c r="O68" s="541" t="s">
        <v>70</v>
      </c>
      <c r="P68" s="476"/>
      <c r="Q68" s="530"/>
      <c r="R68" s="476" t="s">
        <v>311</v>
      </c>
    </row>
    <row r="69" spans="1:18" s="510" customFormat="1" ht="72" x14ac:dyDescent="0.35">
      <c r="A69" s="500" t="s">
        <v>530</v>
      </c>
      <c r="B69" s="501" t="s">
        <v>293</v>
      </c>
      <c r="C69" s="501" t="s">
        <v>622</v>
      </c>
      <c r="D69" s="515" t="s">
        <v>623</v>
      </c>
      <c r="E69" s="507" t="s">
        <v>618</v>
      </c>
      <c r="F69" s="534"/>
      <c r="G69" s="507"/>
      <c r="H69" s="520">
        <v>1300000</v>
      </c>
      <c r="I69" s="520">
        <f>+H69/$I$11</f>
        <v>382352.9411764706</v>
      </c>
      <c r="J69" s="505">
        <v>1</v>
      </c>
      <c r="K69" s="505">
        <v>0</v>
      </c>
      <c r="L69" s="501" t="s">
        <v>396</v>
      </c>
      <c r="M69" s="507" t="s">
        <v>267</v>
      </c>
      <c r="N69" s="508" t="s">
        <v>133</v>
      </c>
      <c r="O69" s="508" t="s">
        <v>75</v>
      </c>
      <c r="P69" s="507" t="s">
        <v>700</v>
      </c>
      <c r="Q69" s="534"/>
      <c r="R69" s="507" t="s">
        <v>596</v>
      </c>
    </row>
    <row r="70" spans="1:18" ht="90" x14ac:dyDescent="0.35">
      <c r="A70" s="481" t="s">
        <v>624</v>
      </c>
      <c r="B70" s="474" t="s">
        <v>293</v>
      </c>
      <c r="C70" s="514" t="s">
        <v>167</v>
      </c>
      <c r="D70" s="514" t="s">
        <v>399</v>
      </c>
      <c r="E70" s="476" t="s">
        <v>618</v>
      </c>
      <c r="F70" s="530" t="s">
        <v>298</v>
      </c>
      <c r="G70" s="530" t="s">
        <v>298</v>
      </c>
      <c r="H70" s="522">
        <v>606000</v>
      </c>
      <c r="I70" s="523">
        <f>+H70/$I$11</f>
        <v>178235.29411764708</v>
      </c>
      <c r="J70" s="524">
        <v>1</v>
      </c>
      <c r="K70" s="524">
        <v>0</v>
      </c>
      <c r="L70" s="525" t="s">
        <v>297</v>
      </c>
      <c r="M70" s="476" t="s">
        <v>267</v>
      </c>
      <c r="N70" s="526" t="s">
        <v>43</v>
      </c>
      <c r="O70" s="526" t="s">
        <v>43</v>
      </c>
      <c r="P70" s="474" t="s">
        <v>400</v>
      </c>
      <c r="Q70" s="541" t="s">
        <v>298</v>
      </c>
      <c r="R70" s="476" t="s">
        <v>584</v>
      </c>
    </row>
    <row r="71" spans="1:18" ht="72" x14ac:dyDescent="0.35">
      <c r="A71" s="481" t="s">
        <v>625</v>
      </c>
      <c r="B71" s="474" t="s">
        <v>293</v>
      </c>
      <c r="C71" s="498" t="s">
        <v>402</v>
      </c>
      <c r="D71" s="498" t="s">
        <v>402</v>
      </c>
      <c r="E71" s="476" t="s">
        <v>618</v>
      </c>
      <c r="F71" s="530">
        <v>1</v>
      </c>
      <c r="G71" s="527" t="s">
        <v>403</v>
      </c>
      <c r="H71" s="516">
        <v>19902</v>
      </c>
      <c r="I71" s="516">
        <v>9046</v>
      </c>
      <c r="J71" s="478">
        <v>1</v>
      </c>
      <c r="K71" s="478">
        <v>0</v>
      </c>
      <c r="L71" s="474" t="s">
        <v>352</v>
      </c>
      <c r="M71" s="476" t="s">
        <v>267</v>
      </c>
      <c r="N71" s="528" t="s">
        <v>43</v>
      </c>
      <c r="O71" s="528" t="s">
        <v>32</v>
      </c>
      <c r="P71" s="474" t="s">
        <v>405</v>
      </c>
      <c r="Q71" s="541" t="s">
        <v>404</v>
      </c>
      <c r="R71" s="476" t="s">
        <v>311</v>
      </c>
    </row>
    <row r="72" spans="1:18" ht="15" customHeight="1" x14ac:dyDescent="0.35">
      <c r="B72" s="493"/>
      <c r="C72" s="493"/>
      <c r="D72" s="493"/>
      <c r="E72" s="493"/>
      <c r="F72" s="651" t="s">
        <v>613</v>
      </c>
      <c r="G72" s="651"/>
      <c r="H72" s="496">
        <f>SUM(H62:H71)-SUMIF(R62:R71,$C$123,H62:H71)</f>
        <v>1531830</v>
      </c>
      <c r="I72" s="496">
        <f>SUM(I62:I71)-SUMIF(R62:R71,$C$123,I62:I71)</f>
        <v>455711.325882353</v>
      </c>
      <c r="J72" s="497"/>
      <c r="K72" s="497"/>
      <c r="L72" s="493"/>
      <c r="M72" s="493"/>
      <c r="N72" s="493"/>
      <c r="O72" s="493"/>
      <c r="P72" s="493"/>
      <c r="Q72" s="494"/>
      <c r="R72" s="493"/>
    </row>
    <row r="74" spans="1:18" ht="15.6" customHeight="1" x14ac:dyDescent="0.35">
      <c r="A74" s="648" t="s">
        <v>407</v>
      </c>
      <c r="B74" s="648"/>
      <c r="C74" s="648"/>
      <c r="D74" s="648"/>
      <c r="E74" s="648"/>
      <c r="F74" s="648"/>
      <c r="G74" s="648"/>
      <c r="H74" s="648"/>
      <c r="I74" s="648"/>
      <c r="J74" s="648"/>
      <c r="K74" s="648"/>
      <c r="L74" s="648"/>
      <c r="M74" s="648"/>
      <c r="N74" s="648"/>
      <c r="O74" s="648"/>
      <c r="P74" s="648"/>
      <c r="Q74" s="648"/>
      <c r="R74" s="648"/>
    </row>
    <row r="75" spans="1:18" ht="15.15" customHeight="1" x14ac:dyDescent="0.35">
      <c r="A75" s="649" t="s">
        <v>268</v>
      </c>
      <c r="B75" s="649" t="s">
        <v>269</v>
      </c>
      <c r="C75" s="649" t="s">
        <v>591</v>
      </c>
      <c r="D75" s="649" t="s">
        <v>271</v>
      </c>
      <c r="E75" s="649" t="s">
        <v>708</v>
      </c>
      <c r="F75" s="648"/>
      <c r="G75" s="648"/>
      <c r="H75" s="529"/>
      <c r="I75" s="650" t="s">
        <v>274</v>
      </c>
      <c r="J75" s="650"/>
      <c r="K75" s="650"/>
      <c r="L75" s="649" t="s">
        <v>275</v>
      </c>
      <c r="M75" s="649" t="s">
        <v>592</v>
      </c>
      <c r="N75" s="649" t="s">
        <v>593</v>
      </c>
      <c r="O75" s="649"/>
      <c r="P75" s="649" t="s">
        <v>578</v>
      </c>
      <c r="Q75" s="649" t="s">
        <v>579</v>
      </c>
      <c r="R75" s="649" t="s">
        <v>580</v>
      </c>
    </row>
    <row r="76" spans="1:18" ht="35.1" customHeight="1" x14ac:dyDescent="0.35">
      <c r="A76" s="649"/>
      <c r="B76" s="649"/>
      <c r="C76" s="649"/>
      <c r="D76" s="649"/>
      <c r="E76" s="649"/>
      <c r="F76" s="649" t="s">
        <v>273</v>
      </c>
      <c r="G76" s="649"/>
      <c r="H76" s="470" t="s">
        <v>581</v>
      </c>
      <c r="I76" s="470" t="s">
        <v>285</v>
      </c>
      <c r="J76" s="471" t="s">
        <v>286</v>
      </c>
      <c r="K76" s="471" t="s">
        <v>497</v>
      </c>
      <c r="L76" s="649"/>
      <c r="M76" s="649"/>
      <c r="N76" s="472" t="s">
        <v>627</v>
      </c>
      <c r="O76" s="472" t="s">
        <v>289</v>
      </c>
      <c r="P76" s="649"/>
      <c r="Q76" s="649"/>
      <c r="R76" s="649"/>
    </row>
    <row r="77" spans="1:18" ht="72" x14ac:dyDescent="0.35">
      <c r="A77" s="473" t="s">
        <v>34</v>
      </c>
      <c r="B77" s="474" t="s">
        <v>293</v>
      </c>
      <c r="C77" s="474" t="s">
        <v>35</v>
      </c>
      <c r="D77" s="527" t="s">
        <v>412</v>
      </c>
      <c r="E77" s="476" t="s">
        <v>413</v>
      </c>
      <c r="F77" s="652"/>
      <c r="G77" s="652"/>
      <c r="H77" s="516">
        <v>173960</v>
      </c>
      <c r="I77" s="531">
        <v>64698.01</v>
      </c>
      <c r="J77" s="532">
        <v>0.8</v>
      </c>
      <c r="K77" s="532">
        <v>0.2</v>
      </c>
      <c r="L77" s="479" t="s">
        <v>354</v>
      </c>
      <c r="M77" s="476" t="s">
        <v>292</v>
      </c>
      <c r="N77" s="528" t="s">
        <v>43</v>
      </c>
      <c r="O77" s="528" t="s">
        <v>74</v>
      </c>
      <c r="P77" s="474"/>
      <c r="Q77" s="474" t="s">
        <v>415</v>
      </c>
      <c r="R77" s="476" t="s">
        <v>584</v>
      </c>
    </row>
    <row r="78" spans="1:18" s="510" customFormat="1" ht="72" x14ac:dyDescent="0.35">
      <c r="A78" s="500" t="s">
        <v>39</v>
      </c>
      <c r="B78" s="501" t="s">
        <v>293</v>
      </c>
      <c r="C78" s="501" t="s">
        <v>417</v>
      </c>
      <c r="D78" s="533" t="s">
        <v>418</v>
      </c>
      <c r="E78" s="507" t="s">
        <v>408</v>
      </c>
      <c r="F78" s="653"/>
      <c r="G78" s="653"/>
      <c r="H78" s="535">
        <v>25000</v>
      </c>
      <c r="I78" s="511">
        <v>6666.666666666667</v>
      </c>
      <c r="J78" s="536">
        <v>1</v>
      </c>
      <c r="K78" s="536">
        <v>0</v>
      </c>
      <c r="L78" s="506" t="s">
        <v>419</v>
      </c>
      <c r="M78" s="507" t="s">
        <v>284</v>
      </c>
      <c r="N78" s="537" t="s">
        <v>75</v>
      </c>
      <c r="O78" s="537" t="s">
        <v>56</v>
      </c>
      <c r="P78" s="501" t="s">
        <v>597</v>
      </c>
      <c r="Q78" s="501"/>
      <c r="R78" s="507" t="s">
        <v>596</v>
      </c>
    </row>
    <row r="79" spans="1:18" ht="108" x14ac:dyDescent="0.35">
      <c r="A79" s="473" t="s">
        <v>45</v>
      </c>
      <c r="B79" s="474" t="s">
        <v>293</v>
      </c>
      <c r="C79" s="474" t="s">
        <v>420</v>
      </c>
      <c r="D79" s="498" t="s">
        <v>628</v>
      </c>
      <c r="E79" s="476" t="s">
        <v>618</v>
      </c>
      <c r="F79" s="652"/>
      <c r="G79" s="652"/>
      <c r="H79" s="516">
        <v>203730</v>
      </c>
      <c r="I79" s="531">
        <v>68333</v>
      </c>
      <c r="J79" s="532">
        <v>0</v>
      </c>
      <c r="K79" s="532">
        <v>1</v>
      </c>
      <c r="L79" s="479" t="s">
        <v>422</v>
      </c>
      <c r="M79" s="476" t="s">
        <v>267</v>
      </c>
      <c r="N79" s="528" t="s">
        <v>74</v>
      </c>
      <c r="O79" s="528" t="s">
        <v>44</v>
      </c>
      <c r="P79" s="474" t="s">
        <v>629</v>
      </c>
      <c r="Q79" s="474" t="s">
        <v>298</v>
      </c>
      <c r="R79" s="476" t="s">
        <v>311</v>
      </c>
    </row>
    <row r="80" spans="1:18" ht="72" x14ac:dyDescent="0.35">
      <c r="A80" s="473" t="s">
        <v>51</v>
      </c>
      <c r="B80" s="474" t="s">
        <v>293</v>
      </c>
      <c r="C80" s="474" t="s">
        <v>694</v>
      </c>
      <c r="D80" s="538" t="s">
        <v>630</v>
      </c>
      <c r="E80" s="476" t="s">
        <v>692</v>
      </c>
      <c r="F80" s="652"/>
      <c r="G80" s="652"/>
      <c r="H80" s="516">
        <f>1500000+427800</f>
        <v>1927800</v>
      </c>
      <c r="I80" s="477">
        <f>+H80/$I$11</f>
        <v>567000</v>
      </c>
      <c r="J80" s="532">
        <v>1</v>
      </c>
      <c r="K80" s="532">
        <v>0</v>
      </c>
      <c r="L80" s="479" t="s">
        <v>695</v>
      </c>
      <c r="M80" s="476" t="s">
        <v>284</v>
      </c>
      <c r="N80" s="528" t="s">
        <v>231</v>
      </c>
      <c r="O80" s="528" t="s">
        <v>70</v>
      </c>
      <c r="P80" s="474"/>
      <c r="Q80" s="474"/>
      <c r="R80" s="476" t="s">
        <v>584</v>
      </c>
    </row>
    <row r="81" spans="1:18" ht="108" x14ac:dyDescent="0.35">
      <c r="A81" s="473" t="s">
        <v>53</v>
      </c>
      <c r="B81" s="474" t="s">
        <v>293</v>
      </c>
      <c r="C81" s="474" t="s">
        <v>426</v>
      </c>
      <c r="D81" s="498" t="s">
        <v>54</v>
      </c>
      <c r="E81" s="476" t="s">
        <v>409</v>
      </c>
      <c r="F81" s="652"/>
      <c r="G81" s="652"/>
      <c r="H81" s="516">
        <v>196795</v>
      </c>
      <c r="I81" s="531">
        <v>68691.759999999995</v>
      </c>
      <c r="J81" s="532">
        <v>1</v>
      </c>
      <c r="K81" s="532">
        <v>0</v>
      </c>
      <c r="L81" s="479" t="s">
        <v>318</v>
      </c>
      <c r="M81" s="476" t="s">
        <v>292</v>
      </c>
      <c r="N81" s="528" t="s">
        <v>32</v>
      </c>
      <c r="O81" s="528" t="s">
        <v>74</v>
      </c>
      <c r="P81" s="474"/>
      <c r="Q81" s="474" t="s">
        <v>427</v>
      </c>
      <c r="R81" s="476" t="s">
        <v>311</v>
      </c>
    </row>
    <row r="82" spans="1:18" s="510" customFormat="1" ht="72" x14ac:dyDescent="0.35">
      <c r="A82" s="500" t="s">
        <v>57</v>
      </c>
      <c r="B82" s="501" t="s">
        <v>293</v>
      </c>
      <c r="C82" s="501" t="s">
        <v>428</v>
      </c>
      <c r="D82" s="502" t="s">
        <v>58</v>
      </c>
      <c r="E82" s="507" t="s">
        <v>408</v>
      </c>
      <c r="F82" s="653"/>
      <c r="G82" s="653"/>
      <c r="H82" s="535">
        <v>60900</v>
      </c>
      <c r="I82" s="539">
        <v>27681.81818181818</v>
      </c>
      <c r="J82" s="536">
        <v>1</v>
      </c>
      <c r="K82" s="536">
        <v>0</v>
      </c>
      <c r="L82" s="506" t="s">
        <v>318</v>
      </c>
      <c r="M82" s="507" t="s">
        <v>284</v>
      </c>
      <c r="N82" s="537" t="s">
        <v>227</v>
      </c>
      <c r="O82" s="537" t="s">
        <v>59</v>
      </c>
      <c r="P82" s="501" t="s">
        <v>429</v>
      </c>
      <c r="Q82" s="501"/>
      <c r="R82" s="507" t="s">
        <v>596</v>
      </c>
    </row>
    <row r="83" spans="1:18" ht="90" x14ac:dyDescent="0.35">
      <c r="A83" s="500" t="s">
        <v>60</v>
      </c>
      <c r="B83" s="501" t="s">
        <v>293</v>
      </c>
      <c r="C83" s="501" t="s">
        <v>430</v>
      </c>
      <c r="D83" s="540" t="s">
        <v>61</v>
      </c>
      <c r="E83" s="507" t="s">
        <v>408</v>
      </c>
      <c r="F83" s="653"/>
      <c r="G83" s="653"/>
      <c r="H83" s="535">
        <v>500000</v>
      </c>
      <c r="I83" s="511">
        <f>+H83/$I$11</f>
        <v>147058.82352941178</v>
      </c>
      <c r="J83" s="536">
        <v>1</v>
      </c>
      <c r="K83" s="536">
        <v>0</v>
      </c>
      <c r="L83" s="506" t="s">
        <v>342</v>
      </c>
      <c r="M83" s="507" t="s">
        <v>284</v>
      </c>
      <c r="N83" s="537" t="s">
        <v>133</v>
      </c>
      <c r="O83" s="537" t="s">
        <v>70</v>
      </c>
      <c r="P83" s="501"/>
      <c r="Q83" s="501"/>
      <c r="R83" s="507" t="s">
        <v>596</v>
      </c>
    </row>
    <row r="84" spans="1:18" s="510" customFormat="1" ht="126" x14ac:dyDescent="0.35">
      <c r="A84" s="500" t="s">
        <v>63</v>
      </c>
      <c r="B84" s="501" t="s">
        <v>293</v>
      </c>
      <c r="C84" s="501" t="s">
        <v>431</v>
      </c>
      <c r="D84" s="502" t="s">
        <v>432</v>
      </c>
      <c r="E84" s="507" t="s">
        <v>408</v>
      </c>
      <c r="F84" s="653"/>
      <c r="G84" s="653"/>
      <c r="H84" s="535">
        <v>400000</v>
      </c>
      <c r="I84" s="539">
        <v>181818.18181818179</v>
      </c>
      <c r="J84" s="536">
        <v>1</v>
      </c>
      <c r="K84" s="536">
        <v>0</v>
      </c>
      <c r="L84" s="506" t="s">
        <v>297</v>
      </c>
      <c r="M84" s="507" t="s">
        <v>284</v>
      </c>
      <c r="N84" s="537" t="s">
        <v>183</v>
      </c>
      <c r="O84" s="537" t="s">
        <v>38</v>
      </c>
      <c r="P84" s="501" t="s">
        <v>433</v>
      </c>
      <c r="Q84" s="501"/>
      <c r="R84" s="507" t="s">
        <v>596</v>
      </c>
    </row>
    <row r="85" spans="1:18" ht="83.7" customHeight="1" x14ac:dyDescent="0.35">
      <c r="A85" s="473" t="s">
        <v>66</v>
      </c>
      <c r="B85" s="474" t="s">
        <v>293</v>
      </c>
      <c r="C85" s="474" t="s">
        <v>434</v>
      </c>
      <c r="D85" s="474" t="s">
        <v>435</v>
      </c>
      <c r="E85" s="476" t="s">
        <v>631</v>
      </c>
      <c r="F85" s="652"/>
      <c r="G85" s="652"/>
      <c r="H85" s="516">
        <v>1465077</v>
      </c>
      <c r="I85" s="477">
        <f>+H85/$I$11</f>
        <v>430905</v>
      </c>
      <c r="J85" s="532">
        <v>1</v>
      </c>
      <c r="K85" s="532">
        <v>0</v>
      </c>
      <c r="L85" s="479" t="s">
        <v>436</v>
      </c>
      <c r="M85" s="476" t="s">
        <v>284</v>
      </c>
      <c r="N85" s="528" t="s">
        <v>183</v>
      </c>
      <c r="O85" s="528" t="s">
        <v>133</v>
      </c>
      <c r="P85" s="474"/>
      <c r="Q85" s="474" t="s">
        <v>632</v>
      </c>
      <c r="R85" s="476" t="s">
        <v>584</v>
      </c>
    </row>
    <row r="86" spans="1:18" ht="72" x14ac:dyDescent="0.35">
      <c r="A86" s="473" t="s">
        <v>71</v>
      </c>
      <c r="B86" s="474" t="s">
        <v>293</v>
      </c>
      <c r="C86" s="474" t="s">
        <v>437</v>
      </c>
      <c r="D86" s="498" t="s">
        <v>633</v>
      </c>
      <c r="E86" s="476" t="s">
        <v>408</v>
      </c>
      <c r="F86" s="652"/>
      <c r="G86" s="652"/>
      <c r="H86" s="516">
        <v>360000</v>
      </c>
      <c r="I86" s="531">
        <v>115994.34</v>
      </c>
      <c r="J86" s="532">
        <v>1</v>
      </c>
      <c r="K86" s="532">
        <v>0</v>
      </c>
      <c r="L86" s="479" t="s">
        <v>356</v>
      </c>
      <c r="M86" s="476" t="s">
        <v>284</v>
      </c>
      <c r="N86" s="528" t="s">
        <v>74</v>
      </c>
      <c r="O86" s="528" t="s">
        <v>44</v>
      </c>
      <c r="P86" s="474"/>
      <c r="Q86" s="474" t="s">
        <v>440</v>
      </c>
      <c r="R86" s="476" t="s">
        <v>584</v>
      </c>
    </row>
    <row r="87" spans="1:18" s="510" customFormat="1" ht="108" x14ac:dyDescent="0.35">
      <c r="A87" s="500" t="s">
        <v>76</v>
      </c>
      <c r="B87" s="501" t="s">
        <v>293</v>
      </c>
      <c r="C87" s="501" t="s">
        <v>441</v>
      </c>
      <c r="D87" s="502" t="s">
        <v>442</v>
      </c>
      <c r="E87" s="507" t="s">
        <v>408</v>
      </c>
      <c r="F87" s="653"/>
      <c r="G87" s="653"/>
      <c r="H87" s="535">
        <v>249000</v>
      </c>
      <c r="I87" s="539">
        <v>113181.81818181818</v>
      </c>
      <c r="J87" s="536">
        <v>1</v>
      </c>
      <c r="K87" s="536">
        <v>0</v>
      </c>
      <c r="L87" s="506" t="s">
        <v>304</v>
      </c>
      <c r="M87" s="507" t="s">
        <v>284</v>
      </c>
      <c r="N87" s="537" t="s">
        <v>231</v>
      </c>
      <c r="O87" s="537" t="s">
        <v>59</v>
      </c>
      <c r="P87" s="501" t="s">
        <v>345</v>
      </c>
      <c r="Q87" s="501"/>
      <c r="R87" s="507" t="s">
        <v>596</v>
      </c>
    </row>
    <row r="88" spans="1:18" s="510" customFormat="1" ht="72" x14ac:dyDescent="0.35">
      <c r="A88" s="500" t="s">
        <v>79</v>
      </c>
      <c r="B88" s="501" t="s">
        <v>293</v>
      </c>
      <c r="C88" s="501" t="s">
        <v>443</v>
      </c>
      <c r="D88" s="502" t="s">
        <v>80</v>
      </c>
      <c r="E88" s="507" t="s">
        <v>408</v>
      </c>
      <c r="F88" s="653"/>
      <c r="G88" s="653"/>
      <c r="H88" s="535">
        <v>427800</v>
      </c>
      <c r="I88" s="539">
        <f>+H88/$I$11</f>
        <v>125823.52941176471</v>
      </c>
      <c r="J88" s="536">
        <v>1</v>
      </c>
      <c r="K88" s="536">
        <v>0</v>
      </c>
      <c r="L88" s="506" t="s">
        <v>297</v>
      </c>
      <c r="M88" s="507" t="s">
        <v>284</v>
      </c>
      <c r="N88" s="537"/>
      <c r="O88" s="537"/>
      <c r="P88" s="501" t="s">
        <v>693</v>
      </c>
      <c r="Q88" s="501"/>
      <c r="R88" s="507" t="s">
        <v>596</v>
      </c>
    </row>
    <row r="89" spans="1:18" ht="70.5" customHeight="1" x14ac:dyDescent="0.35">
      <c r="A89" s="473" t="s">
        <v>81</v>
      </c>
      <c r="B89" s="474" t="s">
        <v>293</v>
      </c>
      <c r="C89" s="474" t="s">
        <v>691</v>
      </c>
      <c r="D89" s="498" t="s">
        <v>82</v>
      </c>
      <c r="E89" s="476" t="s">
        <v>409</v>
      </c>
      <c r="F89" s="654"/>
      <c r="G89" s="654"/>
      <c r="H89" s="516">
        <v>135600</v>
      </c>
      <c r="I89" s="516">
        <f>+H89/$I$11</f>
        <v>39882.352941176468</v>
      </c>
      <c r="J89" s="478">
        <v>1</v>
      </c>
      <c r="K89" s="478">
        <v>0</v>
      </c>
      <c r="L89" s="542" t="s">
        <v>297</v>
      </c>
      <c r="M89" s="476" t="s">
        <v>292</v>
      </c>
      <c r="N89" s="528" t="s">
        <v>56</v>
      </c>
      <c r="O89" s="528" t="s">
        <v>70</v>
      </c>
      <c r="P89" s="543" t="s">
        <v>696</v>
      </c>
      <c r="Q89" s="474"/>
      <c r="R89" s="476" t="s">
        <v>587</v>
      </c>
    </row>
    <row r="90" spans="1:18" s="510" customFormat="1" ht="101.4" customHeight="1" x14ac:dyDescent="0.35">
      <c r="A90" s="500" t="s">
        <v>83</v>
      </c>
      <c r="B90" s="501" t="s">
        <v>293</v>
      </c>
      <c r="C90" s="501" t="s">
        <v>445</v>
      </c>
      <c r="D90" s="502" t="s">
        <v>446</v>
      </c>
      <c r="E90" s="507" t="s">
        <v>408</v>
      </c>
      <c r="F90" s="653"/>
      <c r="G90" s="653"/>
      <c r="H90" s="535">
        <v>400000</v>
      </c>
      <c r="I90" s="539">
        <v>181818.18181818179</v>
      </c>
      <c r="J90" s="536">
        <v>1</v>
      </c>
      <c r="K90" s="536">
        <v>0</v>
      </c>
      <c r="L90" s="506" t="s">
        <v>447</v>
      </c>
      <c r="M90" s="507" t="s">
        <v>284</v>
      </c>
      <c r="N90" s="537" t="s">
        <v>183</v>
      </c>
      <c r="O90" s="537" t="s">
        <v>38</v>
      </c>
      <c r="P90" s="501" t="s">
        <v>562</v>
      </c>
      <c r="Q90" s="501"/>
      <c r="R90" s="507" t="s">
        <v>596</v>
      </c>
    </row>
    <row r="91" spans="1:18" s="510" customFormat="1" ht="72" x14ac:dyDescent="0.35">
      <c r="A91" s="500" t="s">
        <v>86</v>
      </c>
      <c r="B91" s="501" t="s">
        <v>293</v>
      </c>
      <c r="C91" s="501" t="s">
        <v>87</v>
      </c>
      <c r="D91" s="515" t="s">
        <v>626</v>
      </c>
      <c r="E91" s="507" t="s">
        <v>408</v>
      </c>
      <c r="F91" s="653"/>
      <c r="G91" s="653"/>
      <c r="H91" s="535">
        <v>120000</v>
      </c>
      <c r="I91" s="511">
        <f>+H91/$I$11</f>
        <v>35294.117647058825</v>
      </c>
      <c r="J91" s="536">
        <v>1</v>
      </c>
      <c r="K91" s="536">
        <v>0</v>
      </c>
      <c r="L91" s="506" t="s">
        <v>328</v>
      </c>
      <c r="M91" s="507" t="s">
        <v>284</v>
      </c>
      <c r="N91" s="537" t="s">
        <v>50</v>
      </c>
      <c r="O91" s="537" t="s">
        <v>231</v>
      </c>
      <c r="P91" s="501" t="s">
        <v>634</v>
      </c>
      <c r="Q91" s="501"/>
      <c r="R91" s="507" t="s">
        <v>596</v>
      </c>
    </row>
    <row r="92" spans="1:18" s="510" customFormat="1" ht="108" x14ac:dyDescent="0.35">
      <c r="A92" s="500" t="s">
        <v>187</v>
      </c>
      <c r="B92" s="501" t="s">
        <v>293</v>
      </c>
      <c r="C92" s="501" t="s">
        <v>533</v>
      </c>
      <c r="D92" s="515" t="s">
        <v>534</v>
      </c>
      <c r="E92" s="507" t="s">
        <v>408</v>
      </c>
      <c r="F92" s="653"/>
      <c r="G92" s="653"/>
      <c r="H92" s="535">
        <v>100000</v>
      </c>
      <c r="I92" s="511">
        <f>+H92/$I$11</f>
        <v>29411.764705882353</v>
      </c>
      <c r="J92" s="536">
        <v>1</v>
      </c>
      <c r="K92" s="536">
        <v>0</v>
      </c>
      <c r="L92" s="506" t="s">
        <v>328</v>
      </c>
      <c r="M92" s="507" t="s">
        <v>284</v>
      </c>
      <c r="N92" s="537" t="s">
        <v>50</v>
      </c>
      <c r="O92" s="537" t="s">
        <v>56</v>
      </c>
      <c r="P92" s="501" t="s">
        <v>635</v>
      </c>
      <c r="Q92" s="501"/>
      <c r="R92" s="507" t="s">
        <v>596</v>
      </c>
    </row>
    <row r="93" spans="1:18" s="510" customFormat="1" ht="72" x14ac:dyDescent="0.35">
      <c r="A93" s="500" t="s">
        <v>535</v>
      </c>
      <c r="B93" s="501" t="s">
        <v>293</v>
      </c>
      <c r="C93" s="501" t="s">
        <v>536</v>
      </c>
      <c r="D93" s="515" t="s">
        <v>537</v>
      </c>
      <c r="E93" s="507" t="s">
        <v>408</v>
      </c>
      <c r="F93" s="653"/>
      <c r="G93" s="653"/>
      <c r="H93" s="535">
        <v>135000</v>
      </c>
      <c r="I93" s="511">
        <f>+H93/$I$11</f>
        <v>39705.882352941175</v>
      </c>
      <c r="J93" s="536">
        <v>1</v>
      </c>
      <c r="K93" s="536">
        <v>0</v>
      </c>
      <c r="L93" s="506" t="s">
        <v>328</v>
      </c>
      <c r="M93" s="507" t="s">
        <v>284</v>
      </c>
      <c r="N93" s="537" t="s">
        <v>50</v>
      </c>
      <c r="O93" s="537" t="s">
        <v>75</v>
      </c>
      <c r="P93" s="501" t="s">
        <v>636</v>
      </c>
      <c r="Q93" s="501"/>
      <c r="R93" s="507" t="s">
        <v>596</v>
      </c>
    </row>
    <row r="94" spans="1:18" ht="14.1" customHeight="1" x14ac:dyDescent="0.35">
      <c r="B94" s="493"/>
      <c r="C94" s="493"/>
      <c r="D94" s="493"/>
      <c r="E94" s="493"/>
      <c r="F94" s="651" t="s">
        <v>613</v>
      </c>
      <c r="G94" s="651"/>
      <c r="H94" s="496">
        <f>SUM(H77:H93)-SUMIF(R77:R93,$C$123,H77:H93)</f>
        <v>4462962</v>
      </c>
      <c r="I94" s="496">
        <f>SUM(I77:I93)-SUMIF(R77:R93,$C$123,I77:I93)</f>
        <v>1355504.4629411765</v>
      </c>
      <c r="J94" s="497"/>
      <c r="K94" s="497"/>
      <c r="L94" s="544"/>
      <c r="M94" s="493"/>
      <c r="N94" s="493"/>
      <c r="O94" s="493"/>
      <c r="P94" s="493"/>
      <c r="Q94" s="494"/>
      <c r="R94" s="493"/>
    </row>
    <row r="96" spans="1:18" ht="15.6" customHeight="1" x14ac:dyDescent="0.35">
      <c r="A96" s="648" t="s">
        <v>450</v>
      </c>
      <c r="B96" s="648"/>
      <c r="C96" s="648"/>
      <c r="D96" s="648"/>
      <c r="E96" s="648"/>
      <c r="F96" s="648"/>
      <c r="G96" s="648"/>
      <c r="H96" s="648"/>
      <c r="I96" s="648"/>
      <c r="J96" s="648"/>
      <c r="K96" s="648"/>
      <c r="L96" s="648"/>
      <c r="M96" s="648"/>
      <c r="N96" s="648"/>
      <c r="O96" s="648"/>
      <c r="P96" s="648"/>
      <c r="Q96" s="648"/>
      <c r="R96" s="648"/>
    </row>
    <row r="97" spans="1:18" ht="14.1" customHeight="1" x14ac:dyDescent="0.35">
      <c r="A97" s="649" t="s">
        <v>268</v>
      </c>
      <c r="B97" s="649" t="s">
        <v>269</v>
      </c>
      <c r="C97" s="649" t="s">
        <v>591</v>
      </c>
      <c r="D97" s="649" t="s">
        <v>271</v>
      </c>
      <c r="E97" s="649" t="s">
        <v>708</v>
      </c>
      <c r="F97" s="649" t="s">
        <v>452</v>
      </c>
      <c r="G97" s="649"/>
      <c r="H97" s="650" t="s">
        <v>274</v>
      </c>
      <c r="I97" s="650"/>
      <c r="J97" s="650"/>
      <c r="K97" s="650"/>
      <c r="L97" s="649" t="s">
        <v>275</v>
      </c>
      <c r="M97" s="649" t="s">
        <v>592</v>
      </c>
      <c r="N97" s="649" t="s">
        <v>593</v>
      </c>
      <c r="O97" s="649"/>
      <c r="P97" s="649" t="s">
        <v>578</v>
      </c>
      <c r="Q97" s="649" t="s">
        <v>579</v>
      </c>
      <c r="R97" s="649" t="s">
        <v>580</v>
      </c>
    </row>
    <row r="98" spans="1:18" ht="90" x14ac:dyDescent="0.35">
      <c r="A98" s="649"/>
      <c r="B98" s="649"/>
      <c r="C98" s="649"/>
      <c r="D98" s="649"/>
      <c r="E98" s="649"/>
      <c r="F98" s="649"/>
      <c r="G98" s="649"/>
      <c r="H98" s="470" t="s">
        <v>581</v>
      </c>
      <c r="I98" s="470" t="s">
        <v>285</v>
      </c>
      <c r="J98" s="471" t="s">
        <v>286</v>
      </c>
      <c r="K98" s="471" t="s">
        <v>497</v>
      </c>
      <c r="L98" s="649"/>
      <c r="M98" s="649"/>
      <c r="N98" s="472" t="s">
        <v>455</v>
      </c>
      <c r="O98" s="472" t="s">
        <v>637</v>
      </c>
      <c r="P98" s="649"/>
      <c r="Q98" s="649"/>
      <c r="R98" s="649"/>
    </row>
    <row r="99" spans="1:18" ht="54" x14ac:dyDescent="0.35">
      <c r="A99" s="473" t="s">
        <v>26</v>
      </c>
      <c r="B99" s="474" t="s">
        <v>293</v>
      </c>
      <c r="C99" s="474" t="s">
        <v>457</v>
      </c>
      <c r="D99" s="498" t="s">
        <v>458</v>
      </c>
      <c r="E99" s="476" t="s">
        <v>638</v>
      </c>
      <c r="F99" s="654" t="s">
        <v>460</v>
      </c>
      <c r="G99" s="654"/>
      <c r="H99" s="516">
        <f>+I99*2.2</f>
        <v>102264</v>
      </c>
      <c r="I99" s="516">
        <v>46483.63636363636</v>
      </c>
      <c r="J99" s="478">
        <v>1</v>
      </c>
      <c r="K99" s="478">
        <v>0</v>
      </c>
      <c r="L99" s="542" t="s">
        <v>352</v>
      </c>
      <c r="M99" s="476" t="s">
        <v>284</v>
      </c>
      <c r="N99" s="528" t="s">
        <v>43</v>
      </c>
      <c r="O99" s="528" t="s">
        <v>32</v>
      </c>
      <c r="P99" s="530"/>
      <c r="Q99" s="474" t="s">
        <v>461</v>
      </c>
      <c r="R99" s="476" t="s">
        <v>584</v>
      </c>
    </row>
    <row r="100" spans="1:18" ht="41.85" customHeight="1" x14ac:dyDescent="0.35">
      <c r="A100" s="473" t="s">
        <v>187</v>
      </c>
      <c r="B100" s="474" t="s">
        <v>293</v>
      </c>
      <c r="C100" s="474" t="s">
        <v>465</v>
      </c>
      <c r="D100" s="474" t="s">
        <v>466</v>
      </c>
      <c r="E100" s="476" t="s">
        <v>638</v>
      </c>
      <c r="F100" s="654" t="s">
        <v>467</v>
      </c>
      <c r="G100" s="654"/>
      <c r="H100" s="516">
        <f>+I100*3</f>
        <v>252272.72727272726</v>
      </c>
      <c r="I100" s="516">
        <v>84090.909090909088</v>
      </c>
      <c r="J100" s="478">
        <v>1</v>
      </c>
      <c r="K100" s="478">
        <v>0</v>
      </c>
      <c r="L100" s="542" t="s">
        <v>352</v>
      </c>
      <c r="M100" s="476" t="s">
        <v>284</v>
      </c>
      <c r="N100" s="541" t="s">
        <v>43</v>
      </c>
      <c r="O100" s="541" t="s">
        <v>74</v>
      </c>
      <c r="P100" s="530"/>
      <c r="Q100" s="474" t="s">
        <v>397</v>
      </c>
      <c r="R100" s="476" t="s">
        <v>311</v>
      </c>
    </row>
    <row r="101" spans="1:18" s="552" customFormat="1" ht="90" x14ac:dyDescent="0.35">
      <c r="A101" s="481" t="s">
        <v>563</v>
      </c>
      <c r="B101" s="474" t="s">
        <v>293</v>
      </c>
      <c r="C101" s="474" t="s">
        <v>703</v>
      </c>
      <c r="D101" s="474" t="s">
        <v>704</v>
      </c>
      <c r="E101" s="476" t="s">
        <v>638</v>
      </c>
      <c r="F101" s="654"/>
      <c r="G101" s="654"/>
      <c r="H101" s="554">
        <v>84000</v>
      </c>
      <c r="I101" s="516">
        <f>+H101/$I$11</f>
        <v>24705.882352941178</v>
      </c>
      <c r="J101" s="478">
        <v>1</v>
      </c>
      <c r="K101" s="478">
        <v>0</v>
      </c>
      <c r="L101" s="476" t="s">
        <v>297</v>
      </c>
      <c r="M101" s="476" t="s">
        <v>284</v>
      </c>
      <c r="N101" s="556" t="s">
        <v>231</v>
      </c>
      <c r="O101" s="556" t="s">
        <v>70</v>
      </c>
      <c r="P101" s="555"/>
      <c r="Q101" s="474"/>
      <c r="R101" s="476" t="s">
        <v>587</v>
      </c>
    </row>
    <row r="102" spans="1:18" s="552" customFormat="1" ht="90" x14ac:dyDescent="0.35">
      <c r="A102" s="561" t="s">
        <v>709</v>
      </c>
      <c r="B102" s="562" t="s">
        <v>293</v>
      </c>
      <c r="C102" s="562" t="s">
        <v>710</v>
      </c>
      <c r="D102" s="562" t="s">
        <v>711</v>
      </c>
      <c r="E102" s="563" t="s">
        <v>638</v>
      </c>
      <c r="F102" s="660"/>
      <c r="G102" s="660"/>
      <c r="H102" s="564">
        <v>95000</v>
      </c>
      <c r="I102" s="564">
        <f>+H102/$I$11</f>
        <v>27941.176470588234</v>
      </c>
      <c r="J102" s="565">
        <v>1</v>
      </c>
      <c r="K102" s="565">
        <v>0</v>
      </c>
      <c r="L102" s="563" t="s">
        <v>297</v>
      </c>
      <c r="M102" s="563" t="s">
        <v>284</v>
      </c>
      <c r="N102" s="566" t="s">
        <v>56</v>
      </c>
      <c r="O102" s="566" t="s">
        <v>70</v>
      </c>
      <c r="P102" s="567"/>
      <c r="Q102" s="562"/>
      <c r="R102" s="563" t="s">
        <v>587</v>
      </c>
    </row>
    <row r="103" spans="1:18" x14ac:dyDescent="0.35">
      <c r="B103" s="493"/>
      <c r="C103" s="493"/>
      <c r="D103" s="493"/>
      <c r="E103" s="493"/>
      <c r="F103" s="494"/>
      <c r="G103" s="495" t="s">
        <v>590</v>
      </c>
      <c r="H103" s="496">
        <f>SUM(H99:H102)</f>
        <v>533536.72727272729</v>
      </c>
      <c r="I103" s="496">
        <f>SUM(I99:I102)</f>
        <v>183221.60427807484</v>
      </c>
      <c r="J103" s="497"/>
      <c r="K103" s="497"/>
      <c r="L103" s="493"/>
      <c r="M103" s="493"/>
      <c r="N103" s="493"/>
      <c r="O103" s="493"/>
      <c r="P103" s="493"/>
      <c r="Q103" s="494"/>
      <c r="R103" s="493"/>
    </row>
    <row r="105" spans="1:18" ht="15.6" customHeight="1" x14ac:dyDescent="0.35">
      <c r="A105" s="648" t="s">
        <v>471</v>
      </c>
      <c r="B105" s="648"/>
      <c r="C105" s="648"/>
      <c r="D105" s="648"/>
      <c r="E105" s="648"/>
      <c r="F105" s="648"/>
      <c r="G105" s="648"/>
      <c r="H105" s="648"/>
      <c r="I105" s="648"/>
      <c r="J105" s="648"/>
      <c r="K105" s="648"/>
      <c r="L105" s="648"/>
      <c r="M105" s="648"/>
      <c r="N105" s="648"/>
      <c r="O105" s="648"/>
      <c r="P105" s="648"/>
      <c r="Q105" s="648"/>
      <c r="R105" s="648"/>
    </row>
    <row r="106" spans="1:18" ht="14.1" customHeight="1" x14ac:dyDescent="0.35">
      <c r="A106" s="649" t="s">
        <v>268</v>
      </c>
      <c r="B106" s="649" t="s">
        <v>269</v>
      </c>
      <c r="C106" s="649" t="s">
        <v>591</v>
      </c>
      <c r="D106" s="649" t="s">
        <v>271</v>
      </c>
      <c r="E106" s="649" t="s">
        <v>708</v>
      </c>
      <c r="F106" s="649" t="s">
        <v>452</v>
      </c>
      <c r="G106" s="649"/>
      <c r="H106" s="470"/>
      <c r="I106" s="650" t="s">
        <v>274</v>
      </c>
      <c r="J106" s="650"/>
      <c r="K106" s="650"/>
      <c r="L106" s="649" t="s">
        <v>275</v>
      </c>
      <c r="M106" s="649" t="s">
        <v>592</v>
      </c>
      <c r="N106" s="649" t="s">
        <v>593</v>
      </c>
      <c r="O106" s="649"/>
      <c r="P106" s="649" t="s">
        <v>578</v>
      </c>
      <c r="Q106" s="649" t="s">
        <v>579</v>
      </c>
      <c r="R106" s="649" t="s">
        <v>580</v>
      </c>
    </row>
    <row r="107" spans="1:18" ht="90" x14ac:dyDescent="0.35">
      <c r="A107" s="649"/>
      <c r="B107" s="649"/>
      <c r="C107" s="649"/>
      <c r="D107" s="649"/>
      <c r="E107" s="649"/>
      <c r="F107" s="649"/>
      <c r="G107" s="649"/>
      <c r="H107" s="470" t="s">
        <v>581</v>
      </c>
      <c r="I107" s="470" t="s">
        <v>285</v>
      </c>
      <c r="J107" s="471" t="s">
        <v>286</v>
      </c>
      <c r="K107" s="471" t="s">
        <v>497</v>
      </c>
      <c r="L107" s="649"/>
      <c r="M107" s="649"/>
      <c r="N107" s="472" t="s">
        <v>639</v>
      </c>
      <c r="O107" s="472" t="s">
        <v>289</v>
      </c>
      <c r="P107" s="649"/>
      <c r="Q107" s="649"/>
      <c r="R107" s="649"/>
    </row>
    <row r="108" spans="1:18" s="510" customFormat="1" ht="72" x14ac:dyDescent="0.35">
      <c r="A108" s="500" t="s">
        <v>475</v>
      </c>
      <c r="B108" s="507" t="s">
        <v>293</v>
      </c>
      <c r="C108" s="507" t="s">
        <v>476</v>
      </c>
      <c r="D108" s="507" t="s">
        <v>640</v>
      </c>
      <c r="E108" s="507" t="s">
        <v>618</v>
      </c>
      <c r="F108" s="653"/>
      <c r="G108" s="653"/>
      <c r="H108" s="539">
        <f>48000</f>
        <v>48000</v>
      </c>
      <c r="I108" s="511">
        <f>+H108/$I$11</f>
        <v>14117.64705882353</v>
      </c>
      <c r="J108" s="505">
        <v>1</v>
      </c>
      <c r="K108" s="505">
        <v>0</v>
      </c>
      <c r="L108" s="545" t="s">
        <v>419</v>
      </c>
      <c r="M108" s="507" t="s">
        <v>267</v>
      </c>
      <c r="N108" s="507" t="s">
        <v>70</v>
      </c>
      <c r="O108" s="507" t="s">
        <v>343</v>
      </c>
      <c r="P108" s="507" t="s">
        <v>641</v>
      </c>
      <c r="Q108" s="534"/>
      <c r="R108" s="507" t="s">
        <v>596</v>
      </c>
    </row>
    <row r="109" spans="1:18" s="510" customFormat="1" ht="72" x14ac:dyDescent="0.35">
      <c r="A109" s="500" t="s">
        <v>479</v>
      </c>
      <c r="B109" s="507" t="s">
        <v>293</v>
      </c>
      <c r="C109" s="507" t="s">
        <v>480</v>
      </c>
      <c r="D109" s="507" t="s">
        <v>481</v>
      </c>
      <c r="E109" s="507" t="s">
        <v>618</v>
      </c>
      <c r="F109" s="653"/>
      <c r="G109" s="653"/>
      <c r="H109" s="539">
        <f>30000</f>
        <v>30000</v>
      </c>
      <c r="I109" s="511">
        <f>+H109/$I$11</f>
        <v>8823.5294117647063</v>
      </c>
      <c r="J109" s="505">
        <v>1</v>
      </c>
      <c r="K109" s="505">
        <v>0</v>
      </c>
      <c r="L109" s="545" t="s">
        <v>318</v>
      </c>
      <c r="M109" s="507" t="s">
        <v>267</v>
      </c>
      <c r="N109" s="507" t="s">
        <v>133</v>
      </c>
      <c r="O109" s="507" t="s">
        <v>56</v>
      </c>
      <c r="P109" s="507" t="s">
        <v>642</v>
      </c>
      <c r="Q109" s="534"/>
      <c r="R109" s="507" t="s">
        <v>596</v>
      </c>
    </row>
    <row r="110" spans="1:18" ht="72" x14ac:dyDescent="0.35">
      <c r="A110" s="473" t="s">
        <v>482</v>
      </c>
      <c r="B110" s="476" t="s">
        <v>293</v>
      </c>
      <c r="C110" s="476" t="s">
        <v>483</v>
      </c>
      <c r="D110" s="476" t="s">
        <v>484</v>
      </c>
      <c r="E110" s="476" t="s">
        <v>618</v>
      </c>
      <c r="F110" s="652"/>
      <c r="G110" s="652"/>
      <c r="H110" s="531">
        <f>24000</f>
        <v>24000</v>
      </c>
      <c r="I110" s="477">
        <f>+H110/$I$11</f>
        <v>7058.8235294117649</v>
      </c>
      <c r="J110" s="478">
        <v>0</v>
      </c>
      <c r="K110" s="478">
        <v>1</v>
      </c>
      <c r="L110" s="542" t="s">
        <v>354</v>
      </c>
      <c r="M110" s="476" t="s">
        <v>267</v>
      </c>
      <c r="N110" s="476" t="s">
        <v>70</v>
      </c>
      <c r="O110" s="476" t="s">
        <v>343</v>
      </c>
      <c r="P110" s="543" t="s">
        <v>643</v>
      </c>
      <c r="Q110" s="530"/>
      <c r="R110" s="476" t="s">
        <v>587</v>
      </c>
    </row>
    <row r="111" spans="1:18" ht="72" x14ac:dyDescent="0.35">
      <c r="A111" s="473" t="s">
        <v>486</v>
      </c>
      <c r="B111" s="476" t="s">
        <v>293</v>
      </c>
      <c r="C111" s="476" t="s">
        <v>487</v>
      </c>
      <c r="D111" s="476" t="s">
        <v>488</v>
      </c>
      <c r="E111" s="476" t="s">
        <v>618</v>
      </c>
      <c r="F111" s="652"/>
      <c r="G111" s="652"/>
      <c r="H111" s="531">
        <f>24000</f>
        <v>24000</v>
      </c>
      <c r="I111" s="477">
        <f>+H111/$I$11</f>
        <v>7058.8235294117649</v>
      </c>
      <c r="J111" s="478">
        <v>0</v>
      </c>
      <c r="K111" s="478">
        <v>1</v>
      </c>
      <c r="L111" s="542" t="s">
        <v>354</v>
      </c>
      <c r="M111" s="476" t="s">
        <v>267</v>
      </c>
      <c r="N111" s="476" t="s">
        <v>70</v>
      </c>
      <c r="O111" s="476" t="s">
        <v>343</v>
      </c>
      <c r="P111" s="476" t="s">
        <v>643</v>
      </c>
      <c r="Q111" s="530"/>
      <c r="R111" s="476" t="s">
        <v>587</v>
      </c>
    </row>
    <row r="112" spans="1:18" x14ac:dyDescent="0.35">
      <c r="B112" s="493"/>
      <c r="C112" s="493"/>
      <c r="D112" s="493"/>
      <c r="E112" s="493"/>
      <c r="F112" s="494"/>
      <c r="G112" s="495" t="s">
        <v>590</v>
      </c>
      <c r="H112" s="496">
        <f>SUM(H108:H111)</f>
        <v>126000</v>
      </c>
      <c r="I112" s="496">
        <f>SUM(I108:I111)</f>
        <v>37058.823529411769</v>
      </c>
      <c r="J112" s="497"/>
      <c r="K112" s="497"/>
      <c r="L112" s="544"/>
      <c r="M112" s="493"/>
      <c r="N112" s="493"/>
      <c r="O112" s="493"/>
      <c r="P112" s="493"/>
      <c r="Q112" s="494"/>
      <c r="R112" s="493"/>
    </row>
    <row r="115" spans="2:17" x14ac:dyDescent="0.35">
      <c r="E115" s="546"/>
      <c r="F115" s="547"/>
      <c r="G115" s="548" t="s">
        <v>644</v>
      </c>
      <c r="H115" s="549">
        <f>+H19+H57+H72+H94+H103+H112</f>
        <v>26685158.467272725</v>
      </c>
      <c r="I115" s="549">
        <f>+I19+I57+I72+I94+I103+I112</f>
        <v>8679520.5383422468</v>
      </c>
    </row>
    <row r="116" spans="2:17" ht="19.5" customHeight="1" x14ac:dyDescent="0.35">
      <c r="B116" s="656" t="s">
        <v>645</v>
      </c>
      <c r="C116" s="550" t="s">
        <v>267</v>
      </c>
    </row>
    <row r="117" spans="2:17" x14ac:dyDescent="0.35">
      <c r="B117" s="656"/>
      <c r="C117" s="550" t="s">
        <v>284</v>
      </c>
    </row>
    <row r="118" spans="2:17" x14ac:dyDescent="0.35">
      <c r="B118" s="656"/>
      <c r="C118" s="551" t="s">
        <v>292</v>
      </c>
    </row>
    <row r="120" spans="2:17" ht="14.1" customHeight="1" x14ac:dyDescent="0.35">
      <c r="B120" s="656" t="s">
        <v>580</v>
      </c>
      <c r="C120" s="550" t="s">
        <v>587</v>
      </c>
    </row>
    <row r="121" spans="2:17" x14ac:dyDescent="0.35">
      <c r="B121" s="656"/>
      <c r="C121" s="550" t="s">
        <v>300</v>
      </c>
    </row>
    <row r="122" spans="2:17" x14ac:dyDescent="0.35">
      <c r="B122" s="656"/>
      <c r="C122" s="550" t="s">
        <v>646</v>
      </c>
    </row>
    <row r="123" spans="2:17" x14ac:dyDescent="0.35">
      <c r="B123" s="656"/>
      <c r="C123" s="550" t="s">
        <v>596</v>
      </c>
    </row>
    <row r="124" spans="2:17" ht="36" x14ac:dyDescent="0.35">
      <c r="B124" s="656"/>
      <c r="C124" s="550" t="s">
        <v>647</v>
      </c>
    </row>
    <row r="125" spans="2:17" x14ac:dyDescent="0.35">
      <c r="B125" s="656"/>
      <c r="C125" s="550" t="s">
        <v>306</v>
      </c>
    </row>
    <row r="126" spans="2:17" ht="36" x14ac:dyDescent="0.35">
      <c r="B126" s="656"/>
      <c r="C126" s="550" t="s">
        <v>584</v>
      </c>
    </row>
    <row r="127" spans="2:17" x14ac:dyDescent="0.35">
      <c r="B127" s="656"/>
      <c r="C127" s="550" t="s">
        <v>311</v>
      </c>
      <c r="F127" s="449"/>
      <c r="H127" s="449"/>
      <c r="I127" s="449"/>
      <c r="J127" s="451"/>
      <c r="K127" s="451"/>
      <c r="Q127" s="449"/>
    </row>
    <row r="128" spans="2:17" x14ac:dyDescent="0.35">
      <c r="F128" s="449"/>
      <c r="H128" s="449"/>
      <c r="I128" s="449"/>
      <c r="J128" s="451"/>
      <c r="K128" s="451"/>
      <c r="Q128" s="449"/>
    </row>
    <row r="129" spans="2:17" ht="20.85" customHeight="1" x14ac:dyDescent="0.35">
      <c r="B129" s="657" t="s">
        <v>648</v>
      </c>
      <c r="C129" s="658" t="s">
        <v>649</v>
      </c>
      <c r="D129" s="550" t="s">
        <v>413</v>
      </c>
      <c r="F129" s="449"/>
      <c r="H129" s="449"/>
      <c r="I129" s="449"/>
      <c r="J129" s="451"/>
      <c r="K129" s="451"/>
      <c r="Q129" s="449"/>
    </row>
    <row r="130" spans="2:17" ht="36" x14ac:dyDescent="0.35">
      <c r="B130" s="657"/>
      <c r="C130" s="658"/>
      <c r="D130" s="550" t="s">
        <v>631</v>
      </c>
      <c r="F130" s="449"/>
      <c r="H130" s="449"/>
      <c r="I130" s="449"/>
      <c r="J130" s="451"/>
      <c r="K130" s="451"/>
      <c r="Q130" s="449"/>
    </row>
    <row r="131" spans="2:17" ht="54" x14ac:dyDescent="0.35">
      <c r="B131" s="657"/>
      <c r="C131" s="658"/>
      <c r="D131" s="550" t="s">
        <v>408</v>
      </c>
      <c r="F131" s="449"/>
      <c r="H131" s="449"/>
      <c r="I131" s="449"/>
      <c r="J131" s="451"/>
      <c r="K131" s="451"/>
      <c r="Q131" s="449"/>
    </row>
    <row r="132" spans="2:17" x14ac:dyDescent="0.35">
      <c r="B132" s="657"/>
      <c r="C132" s="658"/>
      <c r="D132" s="550" t="s">
        <v>409</v>
      </c>
      <c r="F132" s="449"/>
      <c r="H132" s="449"/>
      <c r="I132" s="449"/>
      <c r="J132" s="451"/>
      <c r="K132" s="451"/>
      <c r="Q132" s="449"/>
    </row>
    <row r="133" spans="2:17" x14ac:dyDescent="0.35">
      <c r="B133" s="657"/>
      <c r="C133" s="658"/>
      <c r="D133" s="550" t="s">
        <v>618</v>
      </c>
      <c r="F133" s="449"/>
      <c r="H133" s="449"/>
      <c r="I133" s="449"/>
      <c r="J133" s="451"/>
      <c r="K133" s="451"/>
      <c r="Q133" s="449"/>
    </row>
    <row r="134" spans="2:17" ht="36" x14ac:dyDescent="0.35">
      <c r="B134" s="657"/>
      <c r="C134" s="658"/>
      <c r="D134" s="550" t="s">
        <v>650</v>
      </c>
      <c r="F134" s="449"/>
      <c r="H134" s="449"/>
      <c r="I134" s="449"/>
      <c r="J134" s="451"/>
      <c r="K134" s="451"/>
      <c r="Q134" s="449"/>
    </row>
    <row r="135" spans="2:17" ht="36" x14ac:dyDescent="0.35">
      <c r="B135" s="657"/>
      <c r="C135" s="658"/>
      <c r="D135" s="550" t="s">
        <v>651</v>
      </c>
      <c r="F135" s="449"/>
      <c r="H135" s="449"/>
      <c r="I135" s="449"/>
      <c r="J135" s="451"/>
      <c r="K135" s="451"/>
      <c r="Q135" s="449"/>
    </row>
    <row r="136" spans="2:17" ht="14.1" customHeight="1" x14ac:dyDescent="0.35">
      <c r="B136" s="657"/>
      <c r="C136" s="659" t="s">
        <v>652</v>
      </c>
      <c r="D136" s="550" t="s">
        <v>653</v>
      </c>
      <c r="F136" s="449"/>
      <c r="H136" s="449"/>
      <c r="I136" s="449"/>
      <c r="J136" s="451"/>
      <c r="K136" s="451"/>
      <c r="Q136" s="449"/>
    </row>
    <row r="137" spans="2:17" x14ac:dyDescent="0.35">
      <c r="B137" s="657"/>
      <c r="C137" s="659"/>
      <c r="D137" s="550" t="s">
        <v>323</v>
      </c>
      <c r="F137" s="449"/>
      <c r="H137" s="449"/>
      <c r="I137" s="449"/>
      <c r="J137" s="451"/>
      <c r="K137" s="451"/>
      <c r="Q137" s="449"/>
    </row>
    <row r="138" spans="2:17" x14ac:dyDescent="0.35">
      <c r="B138" s="657"/>
      <c r="C138" s="659"/>
      <c r="D138" s="550" t="s">
        <v>614</v>
      </c>
      <c r="F138" s="449"/>
      <c r="H138" s="449"/>
      <c r="I138" s="449"/>
      <c r="J138" s="451"/>
      <c r="K138" s="451"/>
      <c r="Q138" s="449"/>
    </row>
    <row r="139" spans="2:17" x14ac:dyDescent="0.35">
      <c r="B139" s="657"/>
      <c r="C139" s="659"/>
      <c r="D139" s="550" t="s">
        <v>409</v>
      </c>
      <c r="F139" s="449"/>
      <c r="H139" s="449"/>
      <c r="I139" s="449"/>
      <c r="J139" s="451"/>
      <c r="K139" s="451"/>
      <c r="Q139" s="449"/>
    </row>
    <row r="140" spans="2:17" x14ac:dyDescent="0.35">
      <c r="B140" s="657"/>
      <c r="C140" s="659"/>
      <c r="D140" s="550" t="s">
        <v>618</v>
      </c>
      <c r="F140" s="449"/>
      <c r="H140" s="449"/>
      <c r="I140" s="449"/>
      <c r="J140" s="451"/>
      <c r="K140" s="451"/>
      <c r="Q140" s="449"/>
    </row>
    <row r="141" spans="2:17" ht="36" x14ac:dyDescent="0.35">
      <c r="B141" s="657"/>
      <c r="C141" s="659"/>
      <c r="D141" s="550" t="s">
        <v>654</v>
      </c>
      <c r="F141" s="449"/>
      <c r="H141" s="449"/>
      <c r="I141" s="449"/>
      <c r="J141" s="451"/>
      <c r="K141" s="451"/>
      <c r="Q141" s="449"/>
    </row>
    <row r="142" spans="2:17" ht="54" x14ac:dyDescent="0.35">
      <c r="B142" s="657"/>
      <c r="C142" s="659"/>
      <c r="D142" s="550" t="s">
        <v>655</v>
      </c>
      <c r="F142" s="449"/>
      <c r="H142" s="449"/>
      <c r="I142" s="449"/>
      <c r="J142" s="451"/>
      <c r="K142" s="451"/>
      <c r="Q142" s="449"/>
    </row>
    <row r="143" spans="2:17" ht="36" x14ac:dyDescent="0.35">
      <c r="B143" s="657"/>
      <c r="C143" s="659"/>
      <c r="D143" s="550" t="s">
        <v>384</v>
      </c>
      <c r="F143" s="449"/>
      <c r="H143" s="449"/>
      <c r="I143" s="449"/>
      <c r="J143" s="451"/>
      <c r="K143" s="451"/>
      <c r="Q143" s="449"/>
    </row>
    <row r="144" spans="2:17" ht="36" x14ac:dyDescent="0.35">
      <c r="B144" s="657"/>
      <c r="C144" s="659"/>
      <c r="D144" s="550" t="s">
        <v>401</v>
      </c>
      <c r="F144" s="449"/>
      <c r="H144" s="449"/>
      <c r="I144" s="449"/>
      <c r="J144" s="451"/>
      <c r="K144" s="451"/>
      <c r="Q144" s="449"/>
    </row>
    <row r="145" spans="2:17" ht="54" x14ac:dyDescent="0.35">
      <c r="B145" s="657"/>
      <c r="C145" s="659"/>
      <c r="D145" s="550" t="s">
        <v>656</v>
      </c>
      <c r="F145" s="449"/>
      <c r="H145" s="449"/>
      <c r="I145" s="449"/>
      <c r="J145" s="451"/>
      <c r="K145" s="451"/>
      <c r="Q145" s="449"/>
    </row>
    <row r="146" spans="2:17" ht="14.1" customHeight="1" x14ac:dyDescent="0.35">
      <c r="B146" s="657"/>
      <c r="C146" s="659" t="s">
        <v>657</v>
      </c>
      <c r="D146" s="550" t="s">
        <v>638</v>
      </c>
      <c r="F146" s="449"/>
      <c r="H146" s="449"/>
      <c r="I146" s="449"/>
      <c r="J146" s="451"/>
      <c r="K146" s="451"/>
      <c r="Q146" s="449"/>
    </row>
    <row r="147" spans="2:17" x14ac:dyDescent="0.35">
      <c r="B147" s="657"/>
      <c r="C147" s="659"/>
      <c r="D147" s="550" t="s">
        <v>409</v>
      </c>
      <c r="F147" s="449"/>
      <c r="H147" s="449"/>
      <c r="I147" s="449"/>
      <c r="J147" s="451"/>
      <c r="K147" s="451"/>
      <c r="Q147" s="449"/>
    </row>
    <row r="148" spans="2:17" x14ac:dyDescent="0.35">
      <c r="B148" s="657"/>
      <c r="C148" s="659"/>
      <c r="D148" s="550" t="s">
        <v>618</v>
      </c>
      <c r="F148" s="449"/>
      <c r="H148" s="449"/>
      <c r="I148" s="449"/>
      <c r="J148" s="451"/>
      <c r="K148" s="451"/>
      <c r="Q148" s="449"/>
    </row>
  </sheetData>
  <sheetProtection selectLockedCells="1" selectUnlockedCells="1"/>
  <mergeCells count="123">
    <mergeCell ref="L13:L14"/>
    <mergeCell ref="M13:M14"/>
    <mergeCell ref="N13:O13"/>
    <mergeCell ref="P13:P14"/>
    <mergeCell ref="Q13:Q14"/>
    <mergeCell ref="R13:R14"/>
    <mergeCell ref="A6:C6"/>
    <mergeCell ref="A12:R12"/>
    <mergeCell ref="A13:A14"/>
    <mergeCell ref="B13:B14"/>
    <mergeCell ref="C13:C14"/>
    <mergeCell ref="D13:D14"/>
    <mergeCell ref="E13:E14"/>
    <mergeCell ref="F13:F14"/>
    <mergeCell ref="G13:G14"/>
    <mergeCell ref="I13:K13"/>
    <mergeCell ref="M22:M23"/>
    <mergeCell ref="N22:O22"/>
    <mergeCell ref="P22:P23"/>
    <mergeCell ref="Q22:Q23"/>
    <mergeCell ref="R22:R23"/>
    <mergeCell ref="F57:G57"/>
    <mergeCell ref="A21:R21"/>
    <mergeCell ref="A22:A23"/>
    <mergeCell ref="B22:B23"/>
    <mergeCell ref="C22:C23"/>
    <mergeCell ref="D22:D23"/>
    <mergeCell ref="E22:E23"/>
    <mergeCell ref="F22:F23"/>
    <mergeCell ref="G22:G23"/>
    <mergeCell ref="I22:K22"/>
    <mergeCell ref="L22:L23"/>
    <mergeCell ref="M60:M61"/>
    <mergeCell ref="N60:O60"/>
    <mergeCell ref="P60:P61"/>
    <mergeCell ref="Q60:Q61"/>
    <mergeCell ref="R60:R61"/>
    <mergeCell ref="F72:G72"/>
    <mergeCell ref="A59:R59"/>
    <mergeCell ref="A60:A61"/>
    <mergeCell ref="B60:B61"/>
    <mergeCell ref="C60:C61"/>
    <mergeCell ref="D60:D61"/>
    <mergeCell ref="E60:E61"/>
    <mergeCell ref="F60:F61"/>
    <mergeCell ref="G60:G61"/>
    <mergeCell ref="I60:K60"/>
    <mergeCell ref="L60:L61"/>
    <mergeCell ref="R75:R76"/>
    <mergeCell ref="F76:G76"/>
    <mergeCell ref="F77:G77"/>
    <mergeCell ref="A74:R74"/>
    <mergeCell ref="A75:A76"/>
    <mergeCell ref="B75:B76"/>
    <mergeCell ref="C75:C76"/>
    <mergeCell ref="D75:D76"/>
    <mergeCell ref="E75:E76"/>
    <mergeCell ref="F75:G75"/>
    <mergeCell ref="I75:K75"/>
    <mergeCell ref="L75:L76"/>
    <mergeCell ref="M75:M76"/>
    <mergeCell ref="F78:G78"/>
    <mergeCell ref="F79:G79"/>
    <mergeCell ref="F80:G80"/>
    <mergeCell ref="F81:G81"/>
    <mergeCell ref="F82:G82"/>
    <mergeCell ref="F83:G83"/>
    <mergeCell ref="N75:O75"/>
    <mergeCell ref="P75:P76"/>
    <mergeCell ref="Q75:Q76"/>
    <mergeCell ref="F90:G90"/>
    <mergeCell ref="F91:G91"/>
    <mergeCell ref="F92:G92"/>
    <mergeCell ref="F93:G93"/>
    <mergeCell ref="F94:G94"/>
    <mergeCell ref="A96:R96"/>
    <mergeCell ref="F84:G84"/>
    <mergeCell ref="F85:G85"/>
    <mergeCell ref="F86:G86"/>
    <mergeCell ref="F87:G87"/>
    <mergeCell ref="F88:G88"/>
    <mergeCell ref="F89:G89"/>
    <mergeCell ref="R97:R98"/>
    <mergeCell ref="F99:G99"/>
    <mergeCell ref="F100:G100"/>
    <mergeCell ref="F102:G102"/>
    <mergeCell ref="A105:R105"/>
    <mergeCell ref="A106:A107"/>
    <mergeCell ref="B106:B107"/>
    <mergeCell ref="C106:C107"/>
    <mergeCell ref="D106:D107"/>
    <mergeCell ref="E106:E107"/>
    <mergeCell ref="H97:K97"/>
    <mergeCell ref="L97:L98"/>
    <mergeCell ref="M97:M98"/>
    <mergeCell ref="N97:O97"/>
    <mergeCell ref="P97:P98"/>
    <mergeCell ref="Q97:Q98"/>
    <mergeCell ref="A97:A98"/>
    <mergeCell ref="B97:B98"/>
    <mergeCell ref="C97:C98"/>
    <mergeCell ref="D97:D98"/>
    <mergeCell ref="E97:E98"/>
    <mergeCell ref="F97:G98"/>
    <mergeCell ref="F101:G101"/>
    <mergeCell ref="B116:B118"/>
    <mergeCell ref="B120:B127"/>
    <mergeCell ref="B129:B148"/>
    <mergeCell ref="C129:C135"/>
    <mergeCell ref="C136:C145"/>
    <mergeCell ref="C146:C148"/>
    <mergeCell ref="Q106:Q107"/>
    <mergeCell ref="R106:R107"/>
    <mergeCell ref="F108:G108"/>
    <mergeCell ref="F109:G109"/>
    <mergeCell ref="F110:G110"/>
    <mergeCell ref="F111:G111"/>
    <mergeCell ref="F106:G107"/>
    <mergeCell ref="I106:K106"/>
    <mergeCell ref="L106:L107"/>
    <mergeCell ref="M106:M107"/>
    <mergeCell ref="N106:O106"/>
    <mergeCell ref="P106:P107"/>
  </mergeCells>
  <dataValidations count="8">
    <dataValidation type="list" allowBlank="1" showErrorMessage="1" sqref="E15:E16" xr:uid="{00000000-0002-0000-0900-000000000000}">
      <formula1>$X$81:$X$114</formula1>
      <formula2>0</formula2>
    </dataValidation>
    <dataValidation type="list" allowBlank="1" showErrorMessage="1" sqref="E24 E26:E56" xr:uid="{00000000-0002-0000-0900-000001000000}">
      <formula1>$X$20:$X$24</formula1>
      <formula2>0</formula2>
    </dataValidation>
    <dataValidation type="list" allowBlank="1" showErrorMessage="1" sqref="M108:M111 M77:M94 M62:M72 M15:M19 M24:M57 M99:M103" xr:uid="{00000000-0002-0000-0900-000002000000}">
      <formula1>$C$124:$C$126</formula1>
      <formula2>0</formula2>
    </dataValidation>
    <dataValidation type="list" allowBlank="1" showErrorMessage="1" sqref="R108:R111 R62:R72 R24:R57 R99:R103 R15:R19 R77:R94" xr:uid="{00000000-0002-0000-0900-000003000000}">
      <formula1>$C$128:$C$135</formula1>
      <formula2>0</formula2>
    </dataValidation>
    <dataValidation type="list" allowBlank="1" showErrorMessage="1" sqref="E112 M112" xr:uid="{00000000-0002-0000-0900-000004000000}">
      <formula1>#REF!</formula1>
      <formula2>0</formula2>
    </dataValidation>
    <dataValidation type="list" allowBlank="1" showErrorMessage="1" sqref="E108:E111 E77:E79 E81:E94" xr:uid="{00000000-0002-0000-0900-000005000000}">
      <formula1>$D$137:$D$143</formula1>
      <formula2>0</formula2>
    </dataValidation>
    <dataValidation type="list" allowBlank="1" showErrorMessage="1" sqref="E99:E103" xr:uid="{00000000-0002-0000-0900-000006000000}">
      <formula1>$D$154:$D$156</formula1>
      <formula2>0</formula2>
    </dataValidation>
    <dataValidation type="list" allowBlank="1" showErrorMessage="1" sqref="E19 E62:E72 E57" xr:uid="{00000000-0002-0000-0900-000007000000}">
      <formula1>$D$144:$D$153</formula1>
      <formula2>0</formula2>
    </dataValidation>
  </dataValidations>
  <pageMargins left="0" right="0" top="0.74803149606299213" bottom="0.74803149606299213" header="0.51181102362204722" footer="0.51181102362204722"/>
  <pageSetup scale="48" firstPageNumber="0" fitToHeight="18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U154"/>
  <sheetViews>
    <sheetView showGridLines="0" topLeftCell="A55" zoomScale="80" zoomScaleNormal="80" workbookViewId="0">
      <selection activeCell="F160" sqref="F160"/>
    </sheetView>
  </sheetViews>
  <sheetFormatPr defaultColWidth="9.109375" defaultRowHeight="18" x14ac:dyDescent="0.35"/>
  <cols>
    <col min="1" max="1" width="5.6640625" style="449" customWidth="1"/>
    <col min="2" max="2" width="9.5546875" style="449" customWidth="1"/>
    <col min="3" max="3" width="23.33203125" style="449" customWidth="1"/>
    <col min="4" max="4" width="30.6640625" style="449" customWidth="1"/>
    <col min="5" max="5" width="24.109375" style="449" customWidth="1"/>
    <col min="6" max="6" width="10.44140625" style="451" customWidth="1"/>
    <col min="7" max="7" width="12.88671875" style="449" customWidth="1"/>
    <col min="8" max="9" width="15.6640625" style="452" customWidth="1"/>
    <col min="10" max="10" width="11.33203125" style="453" customWidth="1"/>
    <col min="11" max="11" width="12.5546875" style="453" customWidth="1"/>
    <col min="12" max="12" width="12.6640625" style="449" customWidth="1"/>
    <col min="13" max="13" width="15.5546875" style="449" customWidth="1"/>
    <col min="14" max="14" width="14.5546875" style="449" customWidth="1"/>
    <col min="15" max="15" width="12.88671875" style="449" customWidth="1"/>
    <col min="16" max="16" width="18.88671875" style="449" customWidth="1"/>
    <col min="17" max="17" width="10.44140625" style="451" customWidth="1"/>
    <col min="18" max="18" width="18.88671875" style="449" customWidth="1"/>
    <col min="19" max="16384" width="9.109375" style="449"/>
  </cols>
  <sheetData>
    <row r="1" spans="1:21" x14ac:dyDescent="0.35">
      <c r="B1" s="450"/>
      <c r="P1" s="454"/>
      <c r="Q1" s="454"/>
      <c r="R1" s="455"/>
    </row>
    <row r="2" spans="1:21" x14ac:dyDescent="0.35">
      <c r="P2" s="454"/>
      <c r="Q2" s="454"/>
      <c r="R2" s="455"/>
    </row>
    <row r="3" spans="1:21" x14ac:dyDescent="0.35">
      <c r="P3" s="456"/>
      <c r="Q3" s="456"/>
      <c r="R3" s="457"/>
    </row>
    <row r="4" spans="1:21" x14ac:dyDescent="0.35">
      <c r="P4" s="456"/>
      <c r="Q4" s="456"/>
      <c r="R4" s="457"/>
    </row>
    <row r="5" spans="1:21" x14ac:dyDescent="0.35">
      <c r="P5" s="456"/>
      <c r="Q5" s="456"/>
      <c r="R5" s="457"/>
    </row>
    <row r="6" spans="1:21" x14ac:dyDescent="0.35">
      <c r="A6" s="647" t="s">
        <v>567</v>
      </c>
      <c r="B6" s="647"/>
      <c r="C6" s="647"/>
      <c r="Q6" s="458" t="s">
        <v>2</v>
      </c>
    </row>
    <row r="7" spans="1:21" x14ac:dyDescent="0.35">
      <c r="A7" s="459" t="s">
        <v>568</v>
      </c>
      <c r="G7" s="460" t="s">
        <v>732</v>
      </c>
      <c r="Q7" s="458" t="s">
        <v>5</v>
      </c>
    </row>
    <row r="8" spans="1:21" x14ac:dyDescent="0.35">
      <c r="A8" s="459" t="s">
        <v>569</v>
      </c>
      <c r="G8" s="460" t="s">
        <v>720</v>
      </c>
      <c r="Q8" s="458" t="s">
        <v>7</v>
      </c>
    </row>
    <row r="9" spans="1:21" x14ac:dyDescent="0.35">
      <c r="A9" s="460" t="s">
        <v>570</v>
      </c>
      <c r="G9" s="460" t="s">
        <v>516</v>
      </c>
      <c r="Q9" s="461" t="s">
        <v>221</v>
      </c>
    </row>
    <row r="10" spans="1:21" x14ac:dyDescent="0.35">
      <c r="B10" s="462"/>
    </row>
    <row r="11" spans="1:21" x14ac:dyDescent="0.35">
      <c r="A11" s="463"/>
      <c r="B11" s="464"/>
      <c r="C11" s="464"/>
      <c r="D11" s="464"/>
      <c r="E11" s="464"/>
      <c r="F11" s="465"/>
      <c r="G11" s="664" t="s">
        <v>571</v>
      </c>
      <c r="H11" s="664"/>
      <c r="I11" s="590">
        <v>3.2</v>
      </c>
      <c r="J11" s="467"/>
      <c r="K11" s="468"/>
      <c r="L11" s="464"/>
      <c r="M11" s="464"/>
      <c r="N11" s="464"/>
      <c r="O11" s="464"/>
      <c r="P11" s="464"/>
      <c r="Q11" s="465"/>
      <c r="R11" s="464"/>
      <c r="S11" s="469"/>
      <c r="T11" s="469"/>
      <c r="U11" s="469"/>
    </row>
    <row r="12" spans="1:21" ht="15.6" customHeight="1" x14ac:dyDescent="0.35">
      <c r="A12" s="648" t="s">
        <v>266</v>
      </c>
      <c r="B12" s="648"/>
      <c r="C12" s="648"/>
      <c r="D12" s="648"/>
      <c r="E12" s="648"/>
      <c r="F12" s="648"/>
      <c r="G12" s="648"/>
      <c r="H12" s="648"/>
      <c r="I12" s="648"/>
      <c r="J12" s="648"/>
      <c r="K12" s="648"/>
      <c r="L12" s="648"/>
      <c r="M12" s="648"/>
      <c r="N12" s="648"/>
      <c r="O12" s="648"/>
      <c r="P12" s="648"/>
      <c r="Q12" s="648"/>
      <c r="R12" s="648"/>
      <c r="S12" s="469"/>
      <c r="T12" s="469"/>
      <c r="U12" s="469"/>
    </row>
    <row r="13" spans="1:21" ht="15" customHeight="1" x14ac:dyDescent="0.35">
      <c r="A13" s="649" t="s">
        <v>268</v>
      </c>
      <c r="B13" s="649" t="s">
        <v>269</v>
      </c>
      <c r="C13" s="649" t="s">
        <v>572</v>
      </c>
      <c r="D13" s="649" t="s">
        <v>271</v>
      </c>
      <c r="E13" s="649" t="s">
        <v>708</v>
      </c>
      <c r="F13" s="649" t="s">
        <v>573</v>
      </c>
      <c r="G13" s="649" t="s">
        <v>452</v>
      </c>
      <c r="H13" s="470"/>
      <c r="I13" s="650" t="s">
        <v>574</v>
      </c>
      <c r="J13" s="650"/>
      <c r="K13" s="650"/>
      <c r="L13" s="649" t="s">
        <v>575</v>
      </c>
      <c r="M13" s="649" t="s">
        <v>576</v>
      </c>
      <c r="N13" s="649" t="s">
        <v>577</v>
      </c>
      <c r="O13" s="649"/>
      <c r="P13" s="649" t="s">
        <v>578</v>
      </c>
      <c r="Q13" s="649" t="s">
        <v>579</v>
      </c>
      <c r="R13" s="649" t="s">
        <v>580</v>
      </c>
      <c r="S13" s="469"/>
      <c r="T13" s="469"/>
      <c r="U13" s="469"/>
    </row>
    <row r="14" spans="1:21" ht="90" x14ac:dyDescent="0.35">
      <c r="A14" s="649"/>
      <c r="B14" s="649"/>
      <c r="C14" s="649"/>
      <c r="D14" s="649"/>
      <c r="E14" s="649"/>
      <c r="F14" s="649"/>
      <c r="G14" s="649"/>
      <c r="H14" s="470" t="s">
        <v>581</v>
      </c>
      <c r="I14" s="470" t="s">
        <v>285</v>
      </c>
      <c r="J14" s="471" t="s">
        <v>286</v>
      </c>
      <c r="K14" s="471" t="s">
        <v>497</v>
      </c>
      <c r="L14" s="649"/>
      <c r="M14" s="649"/>
      <c r="N14" s="557" t="s">
        <v>582</v>
      </c>
      <c r="O14" s="557" t="s">
        <v>289</v>
      </c>
      <c r="P14" s="649"/>
      <c r="Q14" s="649"/>
      <c r="R14" s="649"/>
      <c r="S14" s="469"/>
      <c r="T14" s="469"/>
      <c r="U14" s="469"/>
    </row>
    <row r="15" spans="1:21" ht="72" x14ac:dyDescent="0.35">
      <c r="A15" s="473" t="s">
        <v>161</v>
      </c>
      <c r="B15" s="474" t="s">
        <v>293</v>
      </c>
      <c r="C15" s="474" t="s">
        <v>294</v>
      </c>
      <c r="D15" s="474" t="s">
        <v>295</v>
      </c>
      <c r="E15" s="474" t="s">
        <v>267</v>
      </c>
      <c r="F15" s="558">
        <v>1</v>
      </c>
      <c r="G15" s="476" t="s">
        <v>296</v>
      </c>
      <c r="H15" s="477">
        <v>3583375.98</v>
      </c>
      <c r="I15" s="579">
        <v>1300000</v>
      </c>
      <c r="J15" s="478">
        <v>0</v>
      </c>
      <c r="K15" s="478">
        <v>1</v>
      </c>
      <c r="L15" s="479" t="s">
        <v>297</v>
      </c>
      <c r="M15" s="476" t="s">
        <v>267</v>
      </c>
      <c r="N15" s="560" t="s">
        <v>146</v>
      </c>
      <c r="O15" s="560" t="s">
        <v>96</v>
      </c>
      <c r="P15" s="474" t="s">
        <v>583</v>
      </c>
      <c r="Q15" s="558" t="s">
        <v>298</v>
      </c>
      <c r="R15" s="476" t="s">
        <v>584</v>
      </c>
      <c r="S15" s="469"/>
      <c r="T15" s="469"/>
      <c r="U15" s="469"/>
    </row>
    <row r="16" spans="1:21" ht="72" x14ac:dyDescent="0.35">
      <c r="A16" s="481" t="s">
        <v>301</v>
      </c>
      <c r="B16" s="474" t="s">
        <v>293</v>
      </c>
      <c r="C16" s="474" t="s">
        <v>302</v>
      </c>
      <c r="D16" s="474" t="s">
        <v>585</v>
      </c>
      <c r="E16" s="474" t="s">
        <v>267</v>
      </c>
      <c r="F16" s="558">
        <v>1</v>
      </c>
      <c r="G16" s="476"/>
      <c r="H16" s="579">
        <v>440000</v>
      </c>
      <c r="I16" s="579">
        <f>+H16/$I$11</f>
        <v>137500</v>
      </c>
      <c r="J16" s="478">
        <v>0</v>
      </c>
      <c r="K16" s="478">
        <v>1</v>
      </c>
      <c r="L16" s="479" t="s">
        <v>304</v>
      </c>
      <c r="M16" s="476" t="s">
        <v>267</v>
      </c>
      <c r="N16" s="584" t="s">
        <v>89</v>
      </c>
      <c r="O16" s="584" t="s">
        <v>717</v>
      </c>
      <c r="P16" s="474" t="s">
        <v>586</v>
      </c>
      <c r="Q16" s="558" t="s">
        <v>298</v>
      </c>
      <c r="R16" s="476" t="s">
        <v>587</v>
      </c>
      <c r="S16" s="469"/>
      <c r="T16" s="469"/>
      <c r="U16" s="469"/>
    </row>
    <row r="17" spans="1:21" s="552" customFormat="1" ht="72" x14ac:dyDescent="0.35">
      <c r="A17" s="481" t="s">
        <v>588</v>
      </c>
      <c r="B17" s="474" t="s">
        <v>293</v>
      </c>
      <c r="C17" s="474" t="s">
        <v>589</v>
      </c>
      <c r="D17" s="474" t="s">
        <v>589</v>
      </c>
      <c r="E17" s="553" t="s">
        <v>267</v>
      </c>
      <c r="F17" s="558">
        <v>1</v>
      </c>
      <c r="G17" s="476"/>
      <c r="H17" s="477">
        <v>1400000</v>
      </c>
      <c r="I17" s="579">
        <f>+H17/$I$11</f>
        <v>437500</v>
      </c>
      <c r="J17" s="596">
        <v>0</v>
      </c>
      <c r="K17" s="596">
        <v>1</v>
      </c>
      <c r="L17" s="580" t="s">
        <v>328</v>
      </c>
      <c r="M17" s="578" t="s">
        <v>267</v>
      </c>
      <c r="N17" s="584" t="s">
        <v>343</v>
      </c>
      <c r="O17" s="584" t="s">
        <v>59</v>
      </c>
      <c r="P17" s="553" t="s">
        <v>586</v>
      </c>
      <c r="Q17" s="597" t="s">
        <v>298</v>
      </c>
      <c r="R17" s="476" t="s">
        <v>587</v>
      </c>
      <c r="S17" s="469"/>
      <c r="T17" s="469"/>
      <c r="U17" s="469"/>
    </row>
    <row r="18" spans="1:21" s="552" customFormat="1" ht="72" x14ac:dyDescent="0.35">
      <c r="A18" s="481" t="s">
        <v>697</v>
      </c>
      <c r="B18" s="474" t="s">
        <v>293</v>
      </c>
      <c r="C18" s="474" t="s">
        <v>698</v>
      </c>
      <c r="D18" s="474" t="s">
        <v>698</v>
      </c>
      <c r="E18" s="474" t="s">
        <v>267</v>
      </c>
      <c r="F18" s="558">
        <v>1</v>
      </c>
      <c r="G18" s="476"/>
      <c r="H18" s="477">
        <v>206000</v>
      </c>
      <c r="I18" s="579">
        <f>+H18/$I$11</f>
        <v>64375</v>
      </c>
      <c r="J18" s="478">
        <v>0</v>
      </c>
      <c r="K18" s="478">
        <v>1</v>
      </c>
      <c r="L18" s="479" t="s">
        <v>297</v>
      </c>
      <c r="M18" s="479" t="s">
        <v>267</v>
      </c>
      <c r="N18" s="560" t="s">
        <v>231</v>
      </c>
      <c r="O18" s="560" t="s">
        <v>70</v>
      </c>
      <c r="P18" s="527" t="s">
        <v>586</v>
      </c>
      <c r="Q18" s="558" t="s">
        <v>298</v>
      </c>
      <c r="R18" s="578" t="s">
        <v>311</v>
      </c>
      <c r="S18" s="469"/>
      <c r="T18" s="469"/>
      <c r="U18" s="469"/>
    </row>
    <row r="19" spans="1:21" x14ac:dyDescent="0.35">
      <c r="B19" s="493"/>
      <c r="C19" s="493"/>
      <c r="D19" s="493"/>
      <c r="E19" s="493"/>
      <c r="F19" s="494"/>
      <c r="G19" s="495" t="s">
        <v>590</v>
      </c>
      <c r="H19" s="496">
        <f>SUM(H15:H18)</f>
        <v>5629375.9800000004</v>
      </c>
      <c r="I19" s="496">
        <f>SUM(I15:I18)</f>
        <v>1939375</v>
      </c>
      <c r="J19" s="497"/>
      <c r="K19" s="497"/>
      <c r="L19" s="493"/>
      <c r="M19" s="493"/>
      <c r="N19" s="493"/>
      <c r="O19" s="493"/>
      <c r="P19" s="493"/>
      <c r="Q19" s="494"/>
      <c r="R19" s="493"/>
      <c r="S19" s="469"/>
      <c r="T19" s="469"/>
      <c r="U19" s="469"/>
    </row>
    <row r="21" spans="1:21" ht="15.6" customHeight="1" x14ac:dyDescent="0.35">
      <c r="A21" s="648" t="s">
        <v>307</v>
      </c>
      <c r="B21" s="648"/>
      <c r="C21" s="648"/>
      <c r="D21" s="648"/>
      <c r="E21" s="648"/>
      <c r="F21" s="648"/>
      <c r="G21" s="648"/>
      <c r="H21" s="648"/>
      <c r="I21" s="648"/>
      <c r="J21" s="648"/>
      <c r="K21" s="648"/>
      <c r="L21" s="648"/>
      <c r="M21" s="648"/>
      <c r="N21" s="648"/>
      <c r="O21" s="648"/>
      <c r="P21" s="648"/>
      <c r="Q21" s="648"/>
      <c r="R21" s="648"/>
      <c r="S21" s="469"/>
      <c r="T21" s="469"/>
      <c r="U21" s="469"/>
    </row>
    <row r="22" spans="1:21" ht="15" customHeight="1" x14ac:dyDescent="0.35">
      <c r="A22" s="649" t="s">
        <v>268</v>
      </c>
      <c r="B22" s="649" t="s">
        <v>269</v>
      </c>
      <c r="C22" s="649" t="s">
        <v>591</v>
      </c>
      <c r="D22" s="649" t="s">
        <v>271</v>
      </c>
      <c r="E22" s="649" t="s">
        <v>708</v>
      </c>
      <c r="F22" s="649" t="s">
        <v>573</v>
      </c>
      <c r="G22" s="649" t="s">
        <v>452</v>
      </c>
      <c r="H22" s="470"/>
      <c r="I22" s="650" t="s">
        <v>274</v>
      </c>
      <c r="J22" s="650"/>
      <c r="K22" s="650"/>
      <c r="L22" s="649" t="s">
        <v>275</v>
      </c>
      <c r="M22" s="649" t="s">
        <v>592</v>
      </c>
      <c r="N22" s="649" t="s">
        <v>593</v>
      </c>
      <c r="O22" s="649"/>
      <c r="P22" s="649" t="s">
        <v>578</v>
      </c>
      <c r="Q22" s="649" t="s">
        <v>579</v>
      </c>
      <c r="R22" s="649" t="s">
        <v>580</v>
      </c>
      <c r="S22" s="469"/>
      <c r="T22" s="469"/>
      <c r="U22" s="469"/>
    </row>
    <row r="23" spans="1:21" ht="90" x14ac:dyDescent="0.35">
      <c r="A23" s="649"/>
      <c r="B23" s="649"/>
      <c r="C23" s="649"/>
      <c r="D23" s="649"/>
      <c r="E23" s="649"/>
      <c r="F23" s="649"/>
      <c r="G23" s="649"/>
      <c r="H23" s="470" t="s">
        <v>581</v>
      </c>
      <c r="I23" s="470" t="s">
        <v>285</v>
      </c>
      <c r="J23" s="471" t="s">
        <v>286</v>
      </c>
      <c r="K23" s="471" t="s">
        <v>497</v>
      </c>
      <c r="L23" s="649"/>
      <c r="M23" s="649"/>
      <c r="N23" s="557" t="s">
        <v>582</v>
      </c>
      <c r="O23" s="557" t="s">
        <v>289</v>
      </c>
      <c r="P23" s="649"/>
      <c r="Q23" s="649"/>
      <c r="R23" s="649"/>
      <c r="S23" s="469"/>
      <c r="T23" s="469"/>
      <c r="U23" s="469"/>
    </row>
    <row r="24" spans="1:21" ht="72" x14ac:dyDescent="0.35">
      <c r="A24" s="473" t="s">
        <v>103</v>
      </c>
      <c r="B24" s="474" t="s">
        <v>293</v>
      </c>
      <c r="C24" s="474" t="s">
        <v>312</v>
      </c>
      <c r="D24" s="498" t="s">
        <v>104</v>
      </c>
      <c r="E24" s="498" t="s">
        <v>267</v>
      </c>
      <c r="F24" s="558">
        <v>1</v>
      </c>
      <c r="G24" s="474" t="s">
        <v>313</v>
      </c>
      <c r="H24" s="477">
        <v>280000</v>
      </c>
      <c r="I24" s="477">
        <v>91036.18</v>
      </c>
      <c r="J24" s="478">
        <v>1</v>
      </c>
      <c r="K24" s="478">
        <v>0</v>
      </c>
      <c r="L24" s="479" t="s">
        <v>314</v>
      </c>
      <c r="M24" s="476" t="s">
        <v>267</v>
      </c>
      <c r="N24" s="560" t="s">
        <v>49</v>
      </c>
      <c r="O24" s="560" t="s">
        <v>50</v>
      </c>
      <c r="P24" s="474" t="s">
        <v>316</v>
      </c>
      <c r="Q24" s="560" t="s">
        <v>315</v>
      </c>
      <c r="R24" s="476" t="s">
        <v>311</v>
      </c>
      <c r="S24" s="469"/>
      <c r="T24" s="469"/>
      <c r="U24" s="469"/>
    </row>
    <row r="25" spans="1:21" ht="90" x14ac:dyDescent="0.35">
      <c r="A25" s="473" t="s">
        <v>107</v>
      </c>
      <c r="B25" s="474" t="s">
        <v>293</v>
      </c>
      <c r="C25" s="474" t="s">
        <v>594</v>
      </c>
      <c r="D25" s="498" t="s">
        <v>595</v>
      </c>
      <c r="E25" s="498" t="s">
        <v>540</v>
      </c>
      <c r="F25" s="581">
        <v>1</v>
      </c>
      <c r="G25" s="474"/>
      <c r="H25" s="477">
        <v>2800</v>
      </c>
      <c r="I25" s="477">
        <v>867</v>
      </c>
      <c r="J25" s="478">
        <v>1</v>
      </c>
      <c r="K25" s="478">
        <v>0</v>
      </c>
      <c r="L25" s="553" t="s">
        <v>328</v>
      </c>
      <c r="M25" s="476" t="s">
        <v>284</v>
      </c>
      <c r="N25" s="583" t="s">
        <v>231</v>
      </c>
      <c r="O25" s="583" t="s">
        <v>59</v>
      </c>
      <c r="P25" s="474" t="s">
        <v>319</v>
      </c>
      <c r="Q25" s="583" t="s">
        <v>721</v>
      </c>
      <c r="R25" s="476" t="s">
        <v>311</v>
      </c>
      <c r="S25" s="469"/>
      <c r="T25" s="469"/>
      <c r="U25" s="469"/>
    </row>
    <row r="26" spans="1:21" s="510" customFormat="1" ht="72" x14ac:dyDescent="0.35">
      <c r="A26" s="500" t="s">
        <v>109</v>
      </c>
      <c r="B26" s="501" t="s">
        <v>293</v>
      </c>
      <c r="C26" s="501" t="s">
        <v>321</v>
      </c>
      <c r="D26" s="502" t="s">
        <v>110</v>
      </c>
      <c r="E26" s="502" t="s">
        <v>267</v>
      </c>
      <c r="F26" s="559"/>
      <c r="G26" s="501"/>
      <c r="H26" s="504">
        <v>100000</v>
      </c>
      <c r="I26" s="504">
        <v>45454.545454545449</v>
      </c>
      <c r="J26" s="505">
        <v>1</v>
      </c>
      <c r="K26" s="505">
        <v>0</v>
      </c>
      <c r="L26" s="506" t="s">
        <v>322</v>
      </c>
      <c r="M26" s="507" t="s">
        <v>267</v>
      </c>
      <c r="N26" s="508" t="s">
        <v>49</v>
      </c>
      <c r="O26" s="508" t="s">
        <v>50</v>
      </c>
      <c r="P26" s="501" t="s">
        <v>214</v>
      </c>
      <c r="Q26" s="508"/>
      <c r="R26" s="507" t="s">
        <v>596</v>
      </c>
      <c r="S26" s="509"/>
      <c r="T26" s="509"/>
      <c r="U26" s="509"/>
    </row>
    <row r="27" spans="1:21" s="510" customFormat="1" ht="72" x14ac:dyDescent="0.35">
      <c r="A27" s="500" t="s">
        <v>112</v>
      </c>
      <c r="B27" s="501" t="s">
        <v>293</v>
      </c>
      <c r="C27" s="501" t="s">
        <v>324</v>
      </c>
      <c r="D27" s="502" t="s">
        <v>113</v>
      </c>
      <c r="E27" s="502" t="s">
        <v>267</v>
      </c>
      <c r="F27" s="559"/>
      <c r="G27" s="501"/>
      <c r="H27" s="511">
        <f>250000</f>
        <v>250000</v>
      </c>
      <c r="I27" s="511">
        <v>66666.666666666672</v>
      </c>
      <c r="J27" s="505">
        <v>1</v>
      </c>
      <c r="K27" s="505">
        <v>0</v>
      </c>
      <c r="L27" s="506" t="s">
        <v>325</v>
      </c>
      <c r="M27" s="507" t="s">
        <v>267</v>
      </c>
      <c r="N27" s="508" t="s">
        <v>89</v>
      </c>
      <c r="O27" s="508" t="s">
        <v>38</v>
      </c>
      <c r="P27" s="501" t="s">
        <v>597</v>
      </c>
      <c r="Q27" s="508"/>
      <c r="R27" s="507" t="s">
        <v>596</v>
      </c>
      <c r="S27" s="509"/>
      <c r="T27" s="509"/>
      <c r="U27" s="509"/>
    </row>
    <row r="28" spans="1:21" ht="90" x14ac:dyDescent="0.35">
      <c r="A28" s="473" t="s">
        <v>115</v>
      </c>
      <c r="B28" s="474" t="s">
        <v>293</v>
      </c>
      <c r="C28" s="474" t="s">
        <v>598</v>
      </c>
      <c r="D28" s="474" t="s">
        <v>599</v>
      </c>
      <c r="E28" s="499" t="s">
        <v>267</v>
      </c>
      <c r="F28" s="558">
        <v>3</v>
      </c>
      <c r="G28" s="474"/>
      <c r="H28" s="579">
        <v>900000</v>
      </c>
      <c r="I28" s="579">
        <f>+H28/$I$11</f>
        <v>281250</v>
      </c>
      <c r="J28" s="478">
        <v>0</v>
      </c>
      <c r="K28" s="478">
        <v>1</v>
      </c>
      <c r="L28" s="479" t="s">
        <v>328</v>
      </c>
      <c r="M28" s="476" t="s">
        <v>267</v>
      </c>
      <c r="N28" s="560" t="s">
        <v>56</v>
      </c>
      <c r="O28" s="560" t="s">
        <v>343</v>
      </c>
      <c r="P28" s="474" t="s">
        <v>319</v>
      </c>
      <c r="Q28" s="560"/>
      <c r="R28" s="476" t="s">
        <v>584</v>
      </c>
      <c r="S28" s="469"/>
      <c r="T28" s="469"/>
      <c r="U28" s="469"/>
    </row>
    <row r="29" spans="1:21" s="510" customFormat="1" ht="72" x14ac:dyDescent="0.35">
      <c r="A29" s="500" t="s">
        <v>117</v>
      </c>
      <c r="B29" s="501" t="s">
        <v>293</v>
      </c>
      <c r="C29" s="501" t="s">
        <v>118</v>
      </c>
      <c r="D29" s="502" t="s">
        <v>118</v>
      </c>
      <c r="E29" s="502" t="s">
        <v>267</v>
      </c>
      <c r="F29" s="559"/>
      <c r="G29" s="501"/>
      <c r="H29" s="504">
        <v>500000</v>
      </c>
      <c r="I29" s="504">
        <v>227272.72727272726</v>
      </c>
      <c r="J29" s="505">
        <v>1</v>
      </c>
      <c r="K29" s="505">
        <v>0</v>
      </c>
      <c r="L29" s="506" t="s">
        <v>328</v>
      </c>
      <c r="M29" s="507" t="s">
        <v>267</v>
      </c>
      <c r="N29" s="508" t="s">
        <v>32</v>
      </c>
      <c r="O29" s="508" t="s">
        <v>44</v>
      </c>
      <c r="P29" s="501" t="s">
        <v>208</v>
      </c>
      <c r="Q29" s="508"/>
      <c r="R29" s="507" t="s">
        <v>596</v>
      </c>
      <c r="S29" s="509"/>
      <c r="T29" s="509"/>
      <c r="U29" s="509"/>
    </row>
    <row r="30" spans="1:21" ht="72" x14ac:dyDescent="0.35">
      <c r="A30" s="473" t="s">
        <v>119</v>
      </c>
      <c r="B30" s="474" t="s">
        <v>293</v>
      </c>
      <c r="C30" s="512" t="s">
        <v>120</v>
      </c>
      <c r="D30" s="512" t="s">
        <v>120</v>
      </c>
      <c r="E30" s="512" t="s">
        <v>267</v>
      </c>
      <c r="F30" s="558">
        <v>1</v>
      </c>
      <c r="G30" s="474" t="s">
        <v>330</v>
      </c>
      <c r="H30" s="477">
        <v>1001000</v>
      </c>
      <c r="I30" s="477">
        <v>454999.99999999994</v>
      </c>
      <c r="J30" s="478">
        <v>1</v>
      </c>
      <c r="K30" s="478">
        <v>0</v>
      </c>
      <c r="L30" s="479" t="s">
        <v>328</v>
      </c>
      <c r="M30" s="476" t="s">
        <v>267</v>
      </c>
      <c r="N30" s="560" t="s">
        <v>43</v>
      </c>
      <c r="O30" s="560" t="s">
        <v>49</v>
      </c>
      <c r="P30" s="474" t="s">
        <v>332</v>
      </c>
      <c r="Q30" s="560" t="s">
        <v>331</v>
      </c>
      <c r="R30" s="476" t="s">
        <v>311</v>
      </c>
      <c r="S30" s="469"/>
      <c r="T30" s="469"/>
      <c r="U30" s="469"/>
    </row>
    <row r="31" spans="1:21" ht="72" x14ac:dyDescent="0.35">
      <c r="A31" s="473" t="s">
        <v>121</v>
      </c>
      <c r="B31" s="474" t="s">
        <v>293</v>
      </c>
      <c r="C31" s="512" t="s">
        <v>122</v>
      </c>
      <c r="D31" s="512" t="s">
        <v>122</v>
      </c>
      <c r="E31" s="512" t="s">
        <v>267</v>
      </c>
      <c r="F31" s="558">
        <v>1</v>
      </c>
      <c r="G31" s="474" t="s">
        <v>333</v>
      </c>
      <c r="H31" s="477">
        <v>107030</v>
      </c>
      <c r="I31" s="477">
        <v>48649.999999999993</v>
      </c>
      <c r="J31" s="478">
        <v>1</v>
      </c>
      <c r="K31" s="478">
        <v>0</v>
      </c>
      <c r="L31" s="479" t="s">
        <v>328</v>
      </c>
      <c r="M31" s="476" t="s">
        <v>267</v>
      </c>
      <c r="N31" s="560" t="s">
        <v>43</v>
      </c>
      <c r="O31" s="560" t="s">
        <v>49</v>
      </c>
      <c r="P31" s="474" t="s">
        <v>332</v>
      </c>
      <c r="Q31" s="560" t="s">
        <v>334</v>
      </c>
      <c r="R31" s="476" t="s">
        <v>311</v>
      </c>
      <c r="S31" s="469"/>
      <c r="T31" s="469"/>
      <c r="U31" s="469"/>
    </row>
    <row r="32" spans="1:21" ht="72" x14ac:dyDescent="0.35">
      <c r="A32" s="473" t="s">
        <v>123</v>
      </c>
      <c r="B32" s="474" t="s">
        <v>293</v>
      </c>
      <c r="C32" s="512" t="s">
        <v>241</v>
      </c>
      <c r="D32" s="512" t="s">
        <v>241</v>
      </c>
      <c r="E32" s="512" t="s">
        <v>267</v>
      </c>
      <c r="F32" s="558">
        <v>1</v>
      </c>
      <c r="G32" s="474" t="s">
        <v>335</v>
      </c>
      <c r="H32" s="477">
        <v>63705</v>
      </c>
      <c r="I32" s="477">
        <v>28956.81818181818</v>
      </c>
      <c r="J32" s="478">
        <v>1</v>
      </c>
      <c r="K32" s="478">
        <v>0</v>
      </c>
      <c r="L32" s="479" t="s">
        <v>328</v>
      </c>
      <c r="M32" s="476" t="s">
        <v>267</v>
      </c>
      <c r="N32" s="560" t="s">
        <v>43</v>
      </c>
      <c r="O32" s="560" t="s">
        <v>49</v>
      </c>
      <c r="P32" s="474" t="s">
        <v>332</v>
      </c>
      <c r="Q32" s="560" t="s">
        <v>336</v>
      </c>
      <c r="R32" s="476" t="s">
        <v>311</v>
      </c>
      <c r="S32" s="469"/>
      <c r="T32" s="469"/>
      <c r="U32" s="469"/>
    </row>
    <row r="33" spans="1:21" s="510" customFormat="1" ht="72" x14ac:dyDescent="0.35">
      <c r="A33" s="500" t="s">
        <v>125</v>
      </c>
      <c r="B33" s="501" t="s">
        <v>293</v>
      </c>
      <c r="C33" s="502" t="s">
        <v>126</v>
      </c>
      <c r="D33" s="502" t="s">
        <v>126</v>
      </c>
      <c r="E33" s="502" t="s">
        <v>267</v>
      </c>
      <c r="F33" s="559"/>
      <c r="G33" s="501"/>
      <c r="H33" s="504">
        <v>15000</v>
      </c>
      <c r="I33" s="504">
        <v>6818.181818181818</v>
      </c>
      <c r="J33" s="505">
        <v>1</v>
      </c>
      <c r="K33" s="505">
        <v>0</v>
      </c>
      <c r="L33" s="506" t="s">
        <v>328</v>
      </c>
      <c r="M33" s="507" t="s">
        <v>267</v>
      </c>
      <c r="N33" s="508" t="s">
        <v>49</v>
      </c>
      <c r="O33" s="508" t="s">
        <v>44</v>
      </c>
      <c r="P33" s="501" t="s">
        <v>243</v>
      </c>
      <c r="Q33" s="508"/>
      <c r="R33" s="507" t="s">
        <v>596</v>
      </c>
      <c r="S33" s="509"/>
      <c r="T33" s="509"/>
      <c r="U33" s="509"/>
    </row>
    <row r="34" spans="1:21" ht="72" x14ac:dyDescent="0.35">
      <c r="A34" s="473" t="s">
        <v>127</v>
      </c>
      <c r="B34" s="474" t="s">
        <v>293</v>
      </c>
      <c r="C34" s="512" t="s">
        <v>128</v>
      </c>
      <c r="D34" s="512" t="s">
        <v>337</v>
      </c>
      <c r="E34" s="512" t="s">
        <v>267</v>
      </c>
      <c r="F34" s="558">
        <v>1</v>
      </c>
      <c r="G34" s="474" t="s">
        <v>338</v>
      </c>
      <c r="H34" s="477">
        <v>156000</v>
      </c>
      <c r="I34" s="477">
        <v>54137.42</v>
      </c>
      <c r="J34" s="478">
        <v>1</v>
      </c>
      <c r="K34" s="478">
        <v>0</v>
      </c>
      <c r="L34" s="479" t="s">
        <v>328</v>
      </c>
      <c r="M34" s="476" t="s">
        <v>267</v>
      </c>
      <c r="N34" s="560" t="s">
        <v>49</v>
      </c>
      <c r="O34" s="560" t="s">
        <v>44</v>
      </c>
      <c r="P34" s="474" t="s">
        <v>600</v>
      </c>
      <c r="Q34" s="560" t="s">
        <v>339</v>
      </c>
      <c r="R34" s="476" t="s">
        <v>311</v>
      </c>
      <c r="S34" s="469"/>
      <c r="T34" s="469"/>
      <c r="U34" s="469"/>
    </row>
    <row r="35" spans="1:21" s="510" customFormat="1" ht="72" x14ac:dyDescent="0.35">
      <c r="A35" s="500" t="s">
        <v>129</v>
      </c>
      <c r="B35" s="501" t="s">
        <v>293</v>
      </c>
      <c r="C35" s="502" t="s">
        <v>130</v>
      </c>
      <c r="D35" s="502" t="s">
        <v>130</v>
      </c>
      <c r="E35" s="502" t="s">
        <v>267</v>
      </c>
      <c r="F35" s="559"/>
      <c r="G35" s="501"/>
      <c r="H35" s="504">
        <v>30000</v>
      </c>
      <c r="I35" s="504">
        <v>13636.363636363636</v>
      </c>
      <c r="J35" s="505">
        <v>1</v>
      </c>
      <c r="K35" s="505">
        <v>0</v>
      </c>
      <c r="L35" s="506" t="s">
        <v>328</v>
      </c>
      <c r="M35" s="507" t="s">
        <v>267</v>
      </c>
      <c r="N35" s="508" t="s">
        <v>49</v>
      </c>
      <c r="O35" s="508" t="s">
        <v>44</v>
      </c>
      <c r="P35" s="501" t="s">
        <v>193</v>
      </c>
      <c r="Q35" s="508"/>
      <c r="R35" s="507" t="s">
        <v>596</v>
      </c>
      <c r="S35" s="509"/>
      <c r="T35" s="509"/>
      <c r="U35" s="509"/>
    </row>
    <row r="36" spans="1:21" ht="108" x14ac:dyDescent="0.35">
      <c r="A36" s="473" t="s">
        <v>131</v>
      </c>
      <c r="B36" s="474" t="s">
        <v>293</v>
      </c>
      <c r="C36" s="474" t="s">
        <v>340</v>
      </c>
      <c r="D36" s="512" t="s">
        <v>132</v>
      </c>
      <c r="E36" s="512" t="s">
        <v>267</v>
      </c>
      <c r="F36" s="558">
        <v>1</v>
      </c>
      <c r="G36" s="474"/>
      <c r="H36" s="477">
        <f>200000</f>
        <v>200000</v>
      </c>
      <c r="I36" s="579">
        <f>+H36/$I$11</f>
        <v>62500</v>
      </c>
      <c r="J36" s="478">
        <v>0</v>
      </c>
      <c r="K36" s="478">
        <v>1</v>
      </c>
      <c r="L36" s="580" t="s">
        <v>447</v>
      </c>
      <c r="M36" s="476" t="s">
        <v>267</v>
      </c>
      <c r="N36" s="560" t="s">
        <v>70</v>
      </c>
      <c r="O36" s="560" t="s">
        <v>59</v>
      </c>
      <c r="P36" s="474" t="s">
        <v>601</v>
      </c>
      <c r="Q36" s="560"/>
      <c r="R36" s="476" t="s">
        <v>587</v>
      </c>
      <c r="S36" s="469"/>
      <c r="T36" s="469"/>
      <c r="U36" s="469"/>
    </row>
    <row r="37" spans="1:21" s="510" customFormat="1" ht="72" x14ac:dyDescent="0.35">
      <c r="A37" s="500" t="s">
        <v>134</v>
      </c>
      <c r="B37" s="501" t="s">
        <v>293</v>
      </c>
      <c r="C37" s="513" t="s">
        <v>135</v>
      </c>
      <c r="D37" s="513" t="s">
        <v>135</v>
      </c>
      <c r="E37" s="513" t="s">
        <v>267</v>
      </c>
      <c r="F37" s="559"/>
      <c r="G37" s="501"/>
      <c r="H37" s="511">
        <f>100000</f>
        <v>100000</v>
      </c>
      <c r="I37" s="511">
        <v>26666.666666666668</v>
      </c>
      <c r="J37" s="505">
        <v>1</v>
      </c>
      <c r="K37" s="505">
        <v>0</v>
      </c>
      <c r="L37" s="506" t="s">
        <v>328</v>
      </c>
      <c r="M37" s="507" t="s">
        <v>267</v>
      </c>
      <c r="N37" s="508" t="s">
        <v>56</v>
      </c>
      <c r="O37" s="508" t="s">
        <v>59</v>
      </c>
      <c r="P37" s="501" t="s">
        <v>597</v>
      </c>
      <c r="Q37" s="508"/>
      <c r="R37" s="507" t="s">
        <v>596</v>
      </c>
      <c r="S37" s="509"/>
      <c r="T37" s="509"/>
      <c r="U37" s="509"/>
    </row>
    <row r="38" spans="1:21" ht="72" x14ac:dyDescent="0.35">
      <c r="A38" s="500" t="s">
        <v>136</v>
      </c>
      <c r="B38" s="501" t="s">
        <v>293</v>
      </c>
      <c r="C38" s="502" t="s">
        <v>341</v>
      </c>
      <c r="D38" s="502" t="s">
        <v>137</v>
      </c>
      <c r="E38" s="502" t="s">
        <v>267</v>
      </c>
      <c r="F38" s="559"/>
      <c r="G38" s="501"/>
      <c r="H38" s="511">
        <f>400000</f>
        <v>400000</v>
      </c>
      <c r="I38" s="511">
        <f>+H38/$I$11</f>
        <v>125000</v>
      </c>
      <c r="J38" s="505">
        <v>1</v>
      </c>
      <c r="K38" s="505">
        <v>0</v>
      </c>
      <c r="L38" s="506" t="s">
        <v>342</v>
      </c>
      <c r="M38" s="507" t="s">
        <v>267</v>
      </c>
      <c r="N38" s="508" t="s">
        <v>75</v>
      </c>
      <c r="O38" s="508" t="s">
        <v>343</v>
      </c>
      <c r="P38" s="501" t="s">
        <v>701</v>
      </c>
      <c r="Q38" s="508"/>
      <c r="R38" s="507" t="s">
        <v>596</v>
      </c>
      <c r="S38" s="469"/>
      <c r="T38" s="469"/>
      <c r="U38" s="469"/>
    </row>
    <row r="39" spans="1:21" s="510" customFormat="1" ht="90" x14ac:dyDescent="0.35">
      <c r="A39" s="500" t="s">
        <v>138</v>
      </c>
      <c r="B39" s="501" t="s">
        <v>293</v>
      </c>
      <c r="C39" s="502" t="s">
        <v>344</v>
      </c>
      <c r="D39" s="502" t="s">
        <v>139</v>
      </c>
      <c r="E39" s="502" t="s">
        <v>267</v>
      </c>
      <c r="F39" s="559"/>
      <c r="G39" s="501"/>
      <c r="H39" s="511">
        <v>1803000</v>
      </c>
      <c r="I39" s="511">
        <v>819545.45454545447</v>
      </c>
      <c r="J39" s="505">
        <v>1</v>
      </c>
      <c r="K39" s="505">
        <v>0</v>
      </c>
      <c r="L39" s="506" t="s">
        <v>304</v>
      </c>
      <c r="M39" s="507" t="s">
        <v>267</v>
      </c>
      <c r="N39" s="508" t="s">
        <v>231</v>
      </c>
      <c r="O39" s="508" t="s">
        <v>59</v>
      </c>
      <c r="P39" s="501" t="s">
        <v>602</v>
      </c>
      <c r="Q39" s="508"/>
      <c r="R39" s="507" t="s">
        <v>596</v>
      </c>
      <c r="S39" s="509"/>
      <c r="T39" s="509"/>
      <c r="U39" s="509"/>
    </row>
    <row r="40" spans="1:21" s="510" customFormat="1" ht="108" x14ac:dyDescent="0.35">
      <c r="A40" s="500" t="s">
        <v>140</v>
      </c>
      <c r="B40" s="501" t="s">
        <v>293</v>
      </c>
      <c r="C40" s="502" t="s">
        <v>346</v>
      </c>
      <c r="D40" s="502" t="s">
        <v>603</v>
      </c>
      <c r="E40" s="502" t="s">
        <v>267</v>
      </c>
      <c r="F40" s="559"/>
      <c r="G40" s="501"/>
      <c r="H40" s="511">
        <f>60590</f>
        <v>60590</v>
      </c>
      <c r="I40" s="511">
        <v>16157.333333333334</v>
      </c>
      <c r="J40" s="505">
        <v>1</v>
      </c>
      <c r="K40" s="505">
        <v>0</v>
      </c>
      <c r="L40" s="506" t="s">
        <v>304</v>
      </c>
      <c r="M40" s="507" t="s">
        <v>267</v>
      </c>
      <c r="N40" s="508" t="s">
        <v>50</v>
      </c>
      <c r="O40" s="508" t="s">
        <v>56</v>
      </c>
      <c r="P40" s="501" t="s">
        <v>597</v>
      </c>
      <c r="Q40" s="508"/>
      <c r="R40" s="507" t="s">
        <v>596</v>
      </c>
      <c r="S40" s="509"/>
      <c r="T40" s="509"/>
      <c r="U40" s="509"/>
    </row>
    <row r="41" spans="1:21" ht="72" x14ac:dyDescent="0.35">
      <c r="A41" s="473" t="s">
        <v>142</v>
      </c>
      <c r="B41" s="474" t="s">
        <v>293</v>
      </c>
      <c r="C41" s="498" t="s">
        <v>347</v>
      </c>
      <c r="D41" s="498" t="s">
        <v>143</v>
      </c>
      <c r="E41" s="498" t="s">
        <v>267</v>
      </c>
      <c r="F41" s="558">
        <v>1</v>
      </c>
      <c r="G41" s="474" t="s">
        <v>348</v>
      </c>
      <c r="H41" s="477">
        <v>486999.99</v>
      </c>
      <c r="I41" s="477">
        <v>160477.16</v>
      </c>
      <c r="J41" s="478">
        <v>1</v>
      </c>
      <c r="K41" s="478">
        <v>0</v>
      </c>
      <c r="L41" s="479" t="s">
        <v>304</v>
      </c>
      <c r="M41" s="476" t="s">
        <v>267</v>
      </c>
      <c r="N41" s="560" t="s">
        <v>49</v>
      </c>
      <c r="O41" s="560" t="s">
        <v>183</v>
      </c>
      <c r="P41" s="474" t="s">
        <v>350</v>
      </c>
      <c r="Q41" s="560" t="s">
        <v>349</v>
      </c>
      <c r="R41" s="476" t="s">
        <v>311</v>
      </c>
      <c r="S41" s="469"/>
      <c r="T41" s="469"/>
      <c r="U41" s="469"/>
    </row>
    <row r="42" spans="1:21" s="510" customFormat="1" ht="90" x14ac:dyDescent="0.35">
      <c r="A42" s="500" t="s">
        <v>144</v>
      </c>
      <c r="B42" s="501" t="s">
        <v>293</v>
      </c>
      <c r="C42" s="502" t="s">
        <v>351</v>
      </c>
      <c r="D42" s="502" t="s">
        <v>202</v>
      </c>
      <c r="E42" s="502" t="s">
        <v>267</v>
      </c>
      <c r="F42" s="559"/>
      <c r="G42" s="501"/>
      <c r="H42" s="504">
        <v>13000</v>
      </c>
      <c r="I42" s="504">
        <v>5909.090909090909</v>
      </c>
      <c r="J42" s="505">
        <v>1</v>
      </c>
      <c r="K42" s="505">
        <v>0</v>
      </c>
      <c r="L42" s="501" t="s">
        <v>352</v>
      </c>
      <c r="M42" s="507" t="s">
        <v>267</v>
      </c>
      <c r="N42" s="508" t="s">
        <v>43</v>
      </c>
      <c r="O42" s="508" t="s">
        <v>43</v>
      </c>
      <c r="P42" s="501" t="s">
        <v>194</v>
      </c>
      <c r="Q42" s="508"/>
      <c r="R42" s="507" t="s">
        <v>596</v>
      </c>
      <c r="S42" s="509"/>
      <c r="T42" s="509"/>
      <c r="U42" s="509"/>
    </row>
    <row r="43" spans="1:21" s="510" customFormat="1" ht="72" x14ac:dyDescent="0.35">
      <c r="A43" s="500" t="s">
        <v>147</v>
      </c>
      <c r="B43" s="501" t="s">
        <v>293</v>
      </c>
      <c r="C43" s="502" t="s">
        <v>353</v>
      </c>
      <c r="D43" s="502" t="s">
        <v>148</v>
      </c>
      <c r="E43" s="502" t="s">
        <v>267</v>
      </c>
      <c r="F43" s="559"/>
      <c r="G43" s="501"/>
      <c r="H43" s="504">
        <v>80000</v>
      </c>
      <c r="I43" s="504">
        <v>36363.63636363636</v>
      </c>
      <c r="J43" s="505">
        <v>1</v>
      </c>
      <c r="K43" s="505">
        <v>0</v>
      </c>
      <c r="L43" s="501" t="s">
        <v>354</v>
      </c>
      <c r="M43" s="507" t="s">
        <v>267</v>
      </c>
      <c r="N43" s="508" t="s">
        <v>43</v>
      </c>
      <c r="O43" s="508" t="s">
        <v>43</v>
      </c>
      <c r="P43" s="501" t="s">
        <v>195</v>
      </c>
      <c r="Q43" s="508"/>
      <c r="R43" s="507" t="s">
        <v>596</v>
      </c>
      <c r="S43" s="509"/>
      <c r="T43" s="509"/>
      <c r="U43" s="509"/>
    </row>
    <row r="44" spans="1:21" s="510" customFormat="1" ht="90" x14ac:dyDescent="0.35">
      <c r="A44" s="500" t="s">
        <v>149</v>
      </c>
      <c r="B44" s="501" t="s">
        <v>293</v>
      </c>
      <c r="C44" s="515" t="s">
        <v>355</v>
      </c>
      <c r="D44" s="515" t="s">
        <v>604</v>
      </c>
      <c r="E44" s="515" t="s">
        <v>267</v>
      </c>
      <c r="F44" s="582">
        <v>1</v>
      </c>
      <c r="G44" s="501"/>
      <c r="H44" s="511">
        <f>150000</f>
        <v>150000</v>
      </c>
      <c r="I44" s="511">
        <f>+H44/$I$11</f>
        <v>46875</v>
      </c>
      <c r="J44" s="505">
        <v>1</v>
      </c>
      <c r="K44" s="505">
        <v>0</v>
      </c>
      <c r="L44" s="506" t="s">
        <v>356</v>
      </c>
      <c r="M44" s="507" t="s">
        <v>267</v>
      </c>
      <c r="N44" s="508" t="s">
        <v>70</v>
      </c>
      <c r="O44" s="508" t="s">
        <v>59</v>
      </c>
      <c r="P44" s="501" t="s">
        <v>319</v>
      </c>
      <c r="Q44" s="508"/>
      <c r="R44" s="507" t="s">
        <v>596</v>
      </c>
      <c r="S44" s="509"/>
      <c r="T44" s="509"/>
      <c r="U44" s="509"/>
    </row>
    <row r="45" spans="1:21" ht="72" x14ac:dyDescent="0.35">
      <c r="A45" s="473" t="s">
        <v>153</v>
      </c>
      <c r="B45" s="474" t="s">
        <v>293</v>
      </c>
      <c r="C45" s="514" t="s">
        <v>605</v>
      </c>
      <c r="D45" s="514" t="s">
        <v>606</v>
      </c>
      <c r="E45" s="514" t="s">
        <v>267</v>
      </c>
      <c r="F45" s="558"/>
      <c r="G45" s="474" t="s">
        <v>358</v>
      </c>
      <c r="H45" s="477">
        <v>148518.79999999999</v>
      </c>
      <c r="I45" s="477">
        <v>49268.14</v>
      </c>
      <c r="J45" s="478">
        <v>1</v>
      </c>
      <c r="K45" s="478">
        <v>0</v>
      </c>
      <c r="L45" s="479" t="s">
        <v>314</v>
      </c>
      <c r="M45" s="476" t="s">
        <v>267</v>
      </c>
      <c r="N45" s="560" t="s">
        <v>32</v>
      </c>
      <c r="O45" s="560" t="s">
        <v>183</v>
      </c>
      <c r="P45" s="474" t="s">
        <v>360</v>
      </c>
      <c r="Q45" s="560" t="s">
        <v>359</v>
      </c>
      <c r="R45" s="476" t="s">
        <v>311</v>
      </c>
      <c r="S45" s="469"/>
      <c r="T45" s="469"/>
      <c r="U45" s="469"/>
    </row>
    <row r="46" spans="1:21" s="510" customFormat="1" ht="108" x14ac:dyDescent="0.35">
      <c r="A46" s="500" t="s">
        <v>155</v>
      </c>
      <c r="B46" s="501" t="s">
        <v>293</v>
      </c>
      <c r="C46" s="515" t="s">
        <v>361</v>
      </c>
      <c r="D46" s="515" t="s">
        <v>156</v>
      </c>
      <c r="E46" s="515" t="s">
        <v>267</v>
      </c>
      <c r="F46" s="559"/>
      <c r="G46" s="501"/>
      <c r="H46" s="511">
        <f>180000</f>
        <v>180000</v>
      </c>
      <c r="I46" s="511">
        <f>+H46/$I$11</f>
        <v>56250</v>
      </c>
      <c r="J46" s="505">
        <v>1</v>
      </c>
      <c r="K46" s="505">
        <v>0</v>
      </c>
      <c r="L46" s="506" t="s">
        <v>297</v>
      </c>
      <c r="M46" s="507" t="s">
        <v>267</v>
      </c>
      <c r="N46" s="508" t="s">
        <v>231</v>
      </c>
      <c r="O46" s="508" t="s">
        <v>343</v>
      </c>
      <c r="P46" s="501" t="s">
        <v>597</v>
      </c>
      <c r="Q46" s="508"/>
      <c r="R46" s="507" t="s">
        <v>596</v>
      </c>
      <c r="S46" s="509"/>
      <c r="T46" s="509"/>
      <c r="U46" s="509"/>
    </row>
    <row r="47" spans="1:21" s="510" customFormat="1" ht="72" x14ac:dyDescent="0.35">
      <c r="A47" s="500" t="s">
        <v>157</v>
      </c>
      <c r="B47" s="501" t="s">
        <v>293</v>
      </c>
      <c r="C47" s="515" t="s">
        <v>607</v>
      </c>
      <c r="D47" s="515" t="s">
        <v>608</v>
      </c>
      <c r="E47" s="515" t="s">
        <v>326</v>
      </c>
      <c r="F47" s="582">
        <v>1</v>
      </c>
      <c r="G47" s="501"/>
      <c r="H47" s="511">
        <f>20000</f>
        <v>20000</v>
      </c>
      <c r="I47" s="511">
        <f>+H47/$I$11</f>
        <v>6250</v>
      </c>
      <c r="J47" s="505">
        <v>1</v>
      </c>
      <c r="K47" s="505">
        <v>0</v>
      </c>
      <c r="L47" s="506" t="s">
        <v>356</v>
      </c>
      <c r="M47" s="507" t="s">
        <v>284</v>
      </c>
      <c r="N47" s="508" t="s">
        <v>44</v>
      </c>
      <c r="O47" s="508" t="s">
        <v>38</v>
      </c>
      <c r="P47" s="501"/>
      <c r="Q47" s="508"/>
      <c r="R47" s="507" t="s">
        <v>596</v>
      </c>
      <c r="S47" s="509"/>
      <c r="T47" s="509"/>
      <c r="U47" s="509"/>
    </row>
    <row r="48" spans="1:21" ht="72" x14ac:dyDescent="0.35">
      <c r="A48" s="473" t="s">
        <v>216</v>
      </c>
      <c r="B48" s="474" t="s">
        <v>293</v>
      </c>
      <c r="C48" s="514" t="s">
        <v>217</v>
      </c>
      <c r="D48" s="514" t="s">
        <v>217</v>
      </c>
      <c r="E48" s="514" t="s">
        <v>267</v>
      </c>
      <c r="F48" s="558">
        <v>1</v>
      </c>
      <c r="G48" s="474" t="s">
        <v>364</v>
      </c>
      <c r="H48" s="477">
        <v>8999.9699999999993</v>
      </c>
      <c r="I48" s="477">
        <v>2970.78</v>
      </c>
      <c r="J48" s="478">
        <v>1</v>
      </c>
      <c r="K48" s="478">
        <v>0</v>
      </c>
      <c r="L48" s="479" t="s">
        <v>328</v>
      </c>
      <c r="M48" s="476" t="s">
        <v>267</v>
      </c>
      <c r="N48" s="560" t="s">
        <v>74</v>
      </c>
      <c r="O48" s="560" t="s">
        <v>183</v>
      </c>
      <c r="P48" s="474" t="s">
        <v>366</v>
      </c>
      <c r="Q48" s="560" t="s">
        <v>365</v>
      </c>
      <c r="R48" s="476" t="s">
        <v>311</v>
      </c>
      <c r="S48" s="469"/>
      <c r="T48" s="469"/>
      <c r="U48" s="469"/>
    </row>
    <row r="49" spans="1:21" s="510" customFormat="1" ht="72" x14ac:dyDescent="0.35">
      <c r="A49" s="500" t="s">
        <v>246</v>
      </c>
      <c r="B49" s="501" t="s">
        <v>293</v>
      </c>
      <c r="C49" s="502" t="s">
        <v>609</v>
      </c>
      <c r="D49" s="502" t="s">
        <v>247</v>
      </c>
      <c r="E49" s="502" t="s">
        <v>267</v>
      </c>
      <c r="F49" s="559"/>
      <c r="G49" s="501"/>
      <c r="H49" s="511">
        <v>100000</v>
      </c>
      <c r="I49" s="511">
        <v>45454.545454545449</v>
      </c>
      <c r="J49" s="505">
        <v>1</v>
      </c>
      <c r="K49" s="505">
        <v>0</v>
      </c>
      <c r="L49" s="506" t="s">
        <v>328</v>
      </c>
      <c r="M49" s="507" t="s">
        <v>267</v>
      </c>
      <c r="N49" s="508" t="s">
        <v>44</v>
      </c>
      <c r="O49" s="508" t="s">
        <v>44</v>
      </c>
      <c r="P49" s="501" t="s">
        <v>367</v>
      </c>
      <c r="Q49" s="508"/>
      <c r="R49" s="507" t="s">
        <v>596</v>
      </c>
      <c r="S49" s="509"/>
      <c r="T49" s="509"/>
      <c r="U49" s="509"/>
    </row>
    <row r="50" spans="1:21" ht="144" x14ac:dyDescent="0.35">
      <c r="A50" s="481" t="s">
        <v>368</v>
      </c>
      <c r="B50" s="474" t="s">
        <v>293</v>
      </c>
      <c r="C50" s="498" t="s">
        <v>369</v>
      </c>
      <c r="D50" s="498" t="s">
        <v>370</v>
      </c>
      <c r="E50" s="498" t="s">
        <v>267</v>
      </c>
      <c r="F50" s="558">
        <v>1</v>
      </c>
      <c r="G50" s="474"/>
      <c r="H50" s="579">
        <v>6498000</v>
      </c>
      <c r="I50" s="579">
        <f t="shared" ref="I50:I58" si="0">+H50/$I$11</f>
        <v>2030625</v>
      </c>
      <c r="J50" s="478">
        <v>1</v>
      </c>
      <c r="K50" s="478">
        <v>0</v>
      </c>
      <c r="L50" s="580" t="s">
        <v>733</v>
      </c>
      <c r="M50" s="476" t="s">
        <v>284</v>
      </c>
      <c r="N50" s="560" t="s">
        <v>75</v>
      </c>
      <c r="O50" s="584" t="s">
        <v>343</v>
      </c>
      <c r="P50" s="474" t="s">
        <v>319</v>
      </c>
      <c r="Q50" s="560"/>
      <c r="R50" s="476" t="s">
        <v>300</v>
      </c>
      <c r="S50" s="469"/>
      <c r="T50" s="469"/>
      <c r="U50" s="469"/>
    </row>
    <row r="51" spans="1:21" ht="90" x14ac:dyDescent="0.35">
      <c r="A51" s="481" t="s">
        <v>371</v>
      </c>
      <c r="B51" s="474" t="s">
        <v>293</v>
      </c>
      <c r="C51" s="498" t="s">
        <v>610</v>
      </c>
      <c r="D51" s="498" t="s">
        <v>699</v>
      </c>
      <c r="E51" s="498" t="s">
        <v>267</v>
      </c>
      <c r="F51" s="558">
        <v>1</v>
      </c>
      <c r="G51" s="474"/>
      <c r="H51" s="579">
        <v>106000</v>
      </c>
      <c r="I51" s="579">
        <v>30000</v>
      </c>
      <c r="J51" s="478">
        <v>1</v>
      </c>
      <c r="K51" s="478">
        <v>0</v>
      </c>
      <c r="L51" s="479" t="s">
        <v>328</v>
      </c>
      <c r="M51" s="476" t="s">
        <v>267</v>
      </c>
      <c r="N51" s="560" t="s">
        <v>75</v>
      </c>
      <c r="O51" s="560" t="s">
        <v>70</v>
      </c>
      <c r="P51" s="474" t="s">
        <v>319</v>
      </c>
      <c r="Q51" s="560"/>
      <c r="R51" s="578" t="s">
        <v>311</v>
      </c>
      <c r="S51" s="469"/>
      <c r="T51" s="469"/>
      <c r="U51" s="469"/>
    </row>
    <row r="52" spans="1:21" ht="72" x14ac:dyDescent="0.35">
      <c r="A52" s="481" t="s">
        <v>374</v>
      </c>
      <c r="B52" s="474" t="s">
        <v>293</v>
      </c>
      <c r="C52" s="498" t="s">
        <v>375</v>
      </c>
      <c r="D52" s="498" t="s">
        <v>376</v>
      </c>
      <c r="E52" s="498" t="s">
        <v>267</v>
      </c>
      <c r="F52" s="558">
        <v>1</v>
      </c>
      <c r="G52" s="474"/>
      <c r="H52" s="579">
        <v>338206.9</v>
      </c>
      <c r="I52" s="579">
        <f>338206.9/3.1155</f>
        <v>108556.21890547265</v>
      </c>
      <c r="J52" s="478">
        <v>1</v>
      </c>
      <c r="K52" s="478">
        <v>0</v>
      </c>
      <c r="L52" s="479" t="s">
        <v>297</v>
      </c>
      <c r="M52" s="476" t="s">
        <v>267</v>
      </c>
      <c r="N52" s="560" t="s">
        <v>231</v>
      </c>
      <c r="O52" s="560" t="s">
        <v>70</v>
      </c>
      <c r="P52" s="474" t="s">
        <v>332</v>
      </c>
      <c r="Q52" s="560"/>
      <c r="R52" s="578" t="s">
        <v>311</v>
      </c>
      <c r="S52" s="469"/>
      <c r="T52" s="469"/>
      <c r="U52" s="469"/>
    </row>
    <row r="53" spans="1:21" s="510" customFormat="1" ht="72" x14ac:dyDescent="0.35">
      <c r="A53" s="500" t="s">
        <v>377</v>
      </c>
      <c r="B53" s="501" t="s">
        <v>293</v>
      </c>
      <c r="C53" s="502" t="s">
        <v>378</v>
      </c>
      <c r="D53" s="502" t="s">
        <v>379</v>
      </c>
      <c r="E53" s="502" t="s">
        <v>267</v>
      </c>
      <c r="F53" s="559">
        <v>1</v>
      </c>
      <c r="G53" s="501"/>
      <c r="H53" s="511">
        <f>4000</f>
        <v>4000</v>
      </c>
      <c r="I53" s="511">
        <f t="shared" si="0"/>
        <v>1250</v>
      </c>
      <c r="J53" s="505">
        <v>1</v>
      </c>
      <c r="K53" s="505">
        <v>0</v>
      </c>
      <c r="L53" s="506" t="s">
        <v>328</v>
      </c>
      <c r="M53" s="507" t="s">
        <v>267</v>
      </c>
      <c r="N53" s="508" t="s">
        <v>183</v>
      </c>
      <c r="O53" s="508" t="s">
        <v>133</v>
      </c>
      <c r="P53" s="501" t="s">
        <v>702</v>
      </c>
      <c r="Q53" s="508"/>
      <c r="R53" s="507" t="s">
        <v>596</v>
      </c>
      <c r="S53" s="509"/>
      <c r="T53" s="509"/>
      <c r="U53" s="509"/>
    </row>
    <row r="54" spans="1:21" ht="72" x14ac:dyDescent="0.35">
      <c r="A54" s="481" t="s">
        <v>518</v>
      </c>
      <c r="B54" s="474" t="s">
        <v>293</v>
      </c>
      <c r="C54" s="474" t="s">
        <v>519</v>
      </c>
      <c r="D54" s="512" t="s">
        <v>611</v>
      </c>
      <c r="E54" s="498" t="s">
        <v>267</v>
      </c>
      <c r="F54" s="558">
        <v>1</v>
      </c>
      <c r="G54" s="474"/>
      <c r="H54" s="554">
        <v>3215000</v>
      </c>
      <c r="I54" s="554">
        <v>1030000</v>
      </c>
      <c r="J54" s="478">
        <v>1</v>
      </c>
      <c r="K54" s="478">
        <v>0</v>
      </c>
      <c r="L54" s="474" t="s">
        <v>297</v>
      </c>
      <c r="M54" s="476" t="s">
        <v>267</v>
      </c>
      <c r="N54" s="560" t="s">
        <v>50</v>
      </c>
      <c r="O54" s="560" t="s">
        <v>70</v>
      </c>
      <c r="P54" s="474" t="s">
        <v>332</v>
      </c>
      <c r="Q54" s="560"/>
      <c r="R54" s="578" t="s">
        <v>584</v>
      </c>
      <c r="S54" s="469"/>
      <c r="T54" s="469"/>
      <c r="U54" s="469"/>
    </row>
    <row r="55" spans="1:21" ht="90" x14ac:dyDescent="0.35">
      <c r="A55" s="481" t="s">
        <v>521</v>
      </c>
      <c r="B55" s="474" t="s">
        <v>293</v>
      </c>
      <c r="C55" s="474" t="s">
        <v>522</v>
      </c>
      <c r="D55" s="512" t="s">
        <v>523</v>
      </c>
      <c r="E55" s="498" t="s">
        <v>267</v>
      </c>
      <c r="F55" s="558">
        <v>1</v>
      </c>
      <c r="G55" s="474"/>
      <c r="H55" s="554">
        <v>567000</v>
      </c>
      <c r="I55" s="554">
        <v>176000</v>
      </c>
      <c r="J55" s="478">
        <v>1</v>
      </c>
      <c r="K55" s="478">
        <v>0</v>
      </c>
      <c r="L55" s="474" t="s">
        <v>328</v>
      </c>
      <c r="M55" s="476" t="s">
        <v>267</v>
      </c>
      <c r="N55" s="560" t="s">
        <v>50</v>
      </c>
      <c r="O55" s="560" t="s">
        <v>56</v>
      </c>
      <c r="P55" s="474" t="s">
        <v>319</v>
      </c>
      <c r="Q55" s="560"/>
      <c r="R55" s="476" t="s">
        <v>311</v>
      </c>
      <c r="S55" s="469"/>
      <c r="T55" s="469"/>
      <c r="U55" s="469"/>
    </row>
    <row r="56" spans="1:21" s="552" customFormat="1" ht="78" customHeight="1" x14ac:dyDescent="0.35">
      <c r="A56" s="481" t="s">
        <v>542</v>
      </c>
      <c r="B56" s="474" t="s">
        <v>293</v>
      </c>
      <c r="C56" s="595" t="s">
        <v>713</v>
      </c>
      <c r="D56" s="594" t="s">
        <v>714</v>
      </c>
      <c r="E56" s="498" t="s">
        <v>267</v>
      </c>
      <c r="F56" s="592">
        <v>1</v>
      </c>
      <c r="G56" s="474"/>
      <c r="H56" s="554">
        <v>13000</v>
      </c>
      <c r="I56" s="579">
        <v>3800</v>
      </c>
      <c r="J56" s="478">
        <v>1</v>
      </c>
      <c r="K56" s="478">
        <v>0</v>
      </c>
      <c r="L56" s="580" t="s">
        <v>328</v>
      </c>
      <c r="M56" s="476" t="s">
        <v>267</v>
      </c>
      <c r="N56" s="593" t="s">
        <v>56</v>
      </c>
      <c r="O56" s="593" t="s">
        <v>70</v>
      </c>
      <c r="P56" s="474" t="s">
        <v>319</v>
      </c>
      <c r="Q56" s="593" t="s">
        <v>722</v>
      </c>
      <c r="R56" s="476" t="s">
        <v>311</v>
      </c>
      <c r="S56" s="469"/>
      <c r="T56" s="469"/>
      <c r="U56" s="469"/>
    </row>
    <row r="57" spans="1:21" s="552" customFormat="1" ht="78" customHeight="1" x14ac:dyDescent="0.35">
      <c r="A57" s="569" t="s">
        <v>543</v>
      </c>
      <c r="B57" s="568" t="s">
        <v>293</v>
      </c>
      <c r="C57" s="568" t="s">
        <v>731</v>
      </c>
      <c r="D57" s="570" t="s">
        <v>726</v>
      </c>
      <c r="E57" s="571" t="s">
        <v>267</v>
      </c>
      <c r="F57" s="572">
        <v>3</v>
      </c>
      <c r="G57" s="568"/>
      <c r="H57" s="573">
        <v>60000</v>
      </c>
      <c r="I57" s="574">
        <f t="shared" ref="I57" si="1">+H57/$I$11</f>
        <v>18750</v>
      </c>
      <c r="J57" s="575">
        <v>1</v>
      </c>
      <c r="K57" s="575">
        <v>0</v>
      </c>
      <c r="L57" s="568" t="s">
        <v>352</v>
      </c>
      <c r="M57" s="576" t="s">
        <v>267</v>
      </c>
      <c r="N57" s="577" t="s">
        <v>56</v>
      </c>
      <c r="O57" s="577" t="s">
        <v>343</v>
      </c>
      <c r="P57" s="568" t="s">
        <v>319</v>
      </c>
      <c r="Q57" s="577"/>
      <c r="R57" s="568" t="s">
        <v>300</v>
      </c>
      <c r="S57" s="469"/>
      <c r="T57" s="469"/>
      <c r="U57" s="469"/>
    </row>
    <row r="58" spans="1:21" s="552" customFormat="1" ht="78" customHeight="1" x14ac:dyDescent="0.35">
      <c r="A58" s="569" t="s">
        <v>546</v>
      </c>
      <c r="B58" s="568" t="s">
        <v>293</v>
      </c>
      <c r="C58" s="568" t="s">
        <v>715</v>
      </c>
      <c r="D58" s="570" t="s">
        <v>712</v>
      </c>
      <c r="E58" s="571" t="s">
        <v>267</v>
      </c>
      <c r="F58" s="572">
        <v>1</v>
      </c>
      <c r="G58" s="568"/>
      <c r="H58" s="573">
        <v>322000</v>
      </c>
      <c r="I58" s="574">
        <f t="shared" si="0"/>
        <v>100625</v>
      </c>
      <c r="J58" s="575">
        <v>1</v>
      </c>
      <c r="K58" s="575">
        <v>0</v>
      </c>
      <c r="L58" s="568" t="s">
        <v>727</v>
      </c>
      <c r="M58" s="576" t="s">
        <v>267</v>
      </c>
      <c r="N58" s="577" t="s">
        <v>56</v>
      </c>
      <c r="O58" s="577" t="s">
        <v>343</v>
      </c>
      <c r="P58" s="568" t="s">
        <v>319</v>
      </c>
      <c r="Q58" s="577"/>
      <c r="R58" s="568" t="s">
        <v>311</v>
      </c>
      <c r="S58" s="469"/>
      <c r="T58" s="469"/>
      <c r="U58" s="469"/>
    </row>
    <row r="59" spans="1:21" ht="15" customHeight="1" x14ac:dyDescent="0.35">
      <c r="B59" s="493"/>
      <c r="C59" s="493"/>
      <c r="D59" s="493"/>
      <c r="E59" s="493"/>
      <c r="F59" s="651" t="s">
        <v>613</v>
      </c>
      <c r="G59" s="651"/>
      <c r="H59" s="496">
        <f>SUM(H24:H58)-SUMIF(R24:R58,$C$126,H24:H58)</f>
        <v>14474260.66</v>
      </c>
      <c r="I59" s="496">
        <f>SUM(I24:I58)-SUMIF(R24:R58,$C$126,I24:I58)</f>
        <v>4733469.7170872902</v>
      </c>
      <c r="J59" s="497"/>
      <c r="K59" s="497"/>
      <c r="L59" s="493"/>
      <c r="M59" s="493"/>
      <c r="N59" s="493"/>
      <c r="O59" s="493"/>
      <c r="P59" s="493"/>
      <c r="Q59" s="494"/>
      <c r="R59" s="493"/>
      <c r="S59" s="469"/>
      <c r="T59" s="469"/>
      <c r="U59" s="469"/>
    </row>
    <row r="61" spans="1:21" ht="15.6" customHeight="1" x14ac:dyDescent="0.35">
      <c r="A61" s="661" t="s">
        <v>380</v>
      </c>
      <c r="B61" s="662"/>
      <c r="C61" s="662"/>
      <c r="D61" s="662"/>
      <c r="E61" s="662"/>
      <c r="F61" s="662"/>
      <c r="G61" s="662"/>
      <c r="H61" s="662"/>
      <c r="I61" s="662"/>
      <c r="J61" s="662"/>
      <c r="K61" s="662"/>
      <c r="L61" s="662"/>
      <c r="M61" s="662"/>
      <c r="N61" s="662"/>
      <c r="O61" s="662"/>
      <c r="P61" s="662"/>
      <c r="Q61" s="662"/>
      <c r="R61" s="663"/>
    </row>
    <row r="62" spans="1:21" ht="14.1" customHeight="1" x14ac:dyDescent="0.35">
      <c r="A62" s="649" t="s">
        <v>268</v>
      </c>
      <c r="B62" s="649" t="s">
        <v>269</v>
      </c>
      <c r="C62" s="649" t="s">
        <v>591</v>
      </c>
      <c r="D62" s="649" t="s">
        <v>271</v>
      </c>
      <c r="E62" s="649" t="s">
        <v>708</v>
      </c>
      <c r="F62" s="649" t="s">
        <v>573</v>
      </c>
      <c r="G62" s="649" t="s">
        <v>452</v>
      </c>
      <c r="H62" s="470"/>
      <c r="I62" s="650" t="s">
        <v>274</v>
      </c>
      <c r="J62" s="650"/>
      <c r="K62" s="650"/>
      <c r="L62" s="649" t="s">
        <v>275</v>
      </c>
      <c r="M62" s="649" t="s">
        <v>592</v>
      </c>
      <c r="N62" s="649" t="s">
        <v>593</v>
      </c>
      <c r="O62" s="649"/>
      <c r="P62" s="649" t="s">
        <v>578</v>
      </c>
      <c r="Q62" s="649" t="s">
        <v>579</v>
      </c>
      <c r="R62" s="649" t="s">
        <v>580</v>
      </c>
    </row>
    <row r="63" spans="1:21" ht="90" x14ac:dyDescent="0.35">
      <c r="A63" s="649"/>
      <c r="B63" s="649"/>
      <c r="C63" s="649"/>
      <c r="D63" s="649"/>
      <c r="E63" s="649"/>
      <c r="F63" s="649"/>
      <c r="G63" s="649"/>
      <c r="H63" s="470" t="s">
        <v>581</v>
      </c>
      <c r="I63" s="470" t="s">
        <v>285</v>
      </c>
      <c r="J63" s="471" t="s">
        <v>286</v>
      </c>
      <c r="K63" s="471" t="s">
        <v>497</v>
      </c>
      <c r="L63" s="649"/>
      <c r="M63" s="649"/>
      <c r="N63" s="557" t="s">
        <v>582</v>
      </c>
      <c r="O63" s="557" t="s">
        <v>289</v>
      </c>
      <c r="P63" s="649"/>
      <c r="Q63" s="649"/>
      <c r="R63" s="649"/>
    </row>
    <row r="64" spans="1:21" s="510" customFormat="1" ht="90" x14ac:dyDescent="0.35">
      <c r="A64" s="500" t="s">
        <v>92</v>
      </c>
      <c r="B64" s="501" t="s">
        <v>293</v>
      </c>
      <c r="C64" s="501" t="s">
        <v>385</v>
      </c>
      <c r="D64" s="515" t="s">
        <v>386</v>
      </c>
      <c r="E64" s="507" t="s">
        <v>614</v>
      </c>
      <c r="F64" s="559">
        <v>1</v>
      </c>
      <c r="G64" s="507"/>
      <c r="H64" s="520">
        <v>126000</v>
      </c>
      <c r="I64" s="520">
        <v>92727.272727272721</v>
      </c>
      <c r="J64" s="505">
        <v>1</v>
      </c>
      <c r="K64" s="505">
        <v>0</v>
      </c>
      <c r="L64" s="501" t="s">
        <v>387</v>
      </c>
      <c r="M64" s="507" t="s">
        <v>284</v>
      </c>
      <c r="N64" s="508" t="s">
        <v>44</v>
      </c>
      <c r="O64" s="508" t="s">
        <v>97</v>
      </c>
      <c r="P64" s="507" t="s">
        <v>388</v>
      </c>
      <c r="Q64" s="559"/>
      <c r="R64" s="507" t="s">
        <v>596</v>
      </c>
    </row>
    <row r="65" spans="1:18" ht="72" x14ac:dyDescent="0.35">
      <c r="A65" s="473" t="s">
        <v>98</v>
      </c>
      <c r="B65" s="474" t="s">
        <v>293</v>
      </c>
      <c r="C65" s="514" t="s">
        <v>99</v>
      </c>
      <c r="D65" s="514" t="s">
        <v>389</v>
      </c>
      <c r="E65" s="476" t="s">
        <v>614</v>
      </c>
      <c r="F65" s="558">
        <v>1</v>
      </c>
      <c r="G65" s="476"/>
      <c r="H65" s="585">
        <v>25370</v>
      </c>
      <c r="I65" s="579">
        <f>+H65/$I$11</f>
        <v>7928.125</v>
      </c>
      <c r="J65" s="478">
        <v>1</v>
      </c>
      <c r="K65" s="478">
        <v>0</v>
      </c>
      <c r="L65" s="479" t="s">
        <v>356</v>
      </c>
      <c r="M65" s="476" t="s">
        <v>284</v>
      </c>
      <c r="N65" s="560" t="s">
        <v>183</v>
      </c>
      <c r="O65" s="560" t="s">
        <v>50</v>
      </c>
      <c r="P65" s="476" t="s">
        <v>559</v>
      </c>
      <c r="Q65" s="558" t="s">
        <v>558</v>
      </c>
      <c r="R65" s="476" t="s">
        <v>584</v>
      </c>
    </row>
    <row r="66" spans="1:18" ht="90" x14ac:dyDescent="0.35">
      <c r="A66" s="473" t="s">
        <v>189</v>
      </c>
      <c r="B66" s="474" t="s">
        <v>293</v>
      </c>
      <c r="C66" s="514" t="s">
        <v>615</v>
      </c>
      <c r="D66" s="514" t="s">
        <v>190</v>
      </c>
      <c r="E66" s="476" t="s">
        <v>614</v>
      </c>
      <c r="F66" s="558">
        <v>1</v>
      </c>
      <c r="G66" s="476"/>
      <c r="H66" s="585">
        <v>26400</v>
      </c>
      <c r="I66" s="579">
        <v>8000</v>
      </c>
      <c r="J66" s="478">
        <v>1</v>
      </c>
      <c r="K66" s="478">
        <v>0</v>
      </c>
      <c r="L66" s="474" t="s">
        <v>322</v>
      </c>
      <c r="M66" s="476" t="s">
        <v>284</v>
      </c>
      <c r="N66" s="560" t="s">
        <v>50</v>
      </c>
      <c r="O66" s="560" t="s">
        <v>75</v>
      </c>
      <c r="P66" s="476" t="s">
        <v>559</v>
      </c>
      <c r="Q66" s="581" t="s">
        <v>723</v>
      </c>
      <c r="R66" s="578" t="s">
        <v>311</v>
      </c>
    </row>
    <row r="67" spans="1:18" ht="72" x14ac:dyDescent="0.35">
      <c r="A67" s="473" t="s">
        <v>209</v>
      </c>
      <c r="B67" s="474" t="s">
        <v>293</v>
      </c>
      <c r="C67" s="474" t="s">
        <v>616</v>
      </c>
      <c r="D67" s="498" t="s">
        <v>617</v>
      </c>
      <c r="E67" s="476" t="s">
        <v>618</v>
      </c>
      <c r="F67" s="558">
        <v>1</v>
      </c>
      <c r="G67" s="476"/>
      <c r="H67" s="585">
        <v>196929</v>
      </c>
      <c r="I67" s="579">
        <v>60429.255000000005</v>
      </c>
      <c r="J67" s="478">
        <v>1</v>
      </c>
      <c r="K67" s="478">
        <v>0</v>
      </c>
      <c r="L67" s="474" t="s">
        <v>396</v>
      </c>
      <c r="M67" s="476" t="s">
        <v>267</v>
      </c>
      <c r="N67" s="560" t="s">
        <v>50</v>
      </c>
      <c r="O67" s="560" t="s">
        <v>56</v>
      </c>
      <c r="P67" s="476" t="s">
        <v>332</v>
      </c>
      <c r="Q67" s="558" t="s">
        <v>619</v>
      </c>
      <c r="R67" s="476" t="s">
        <v>311</v>
      </c>
    </row>
    <row r="68" spans="1:18" ht="72" x14ac:dyDescent="0.35">
      <c r="A68" s="473" t="s">
        <v>235</v>
      </c>
      <c r="B68" s="474" t="s">
        <v>293</v>
      </c>
      <c r="C68" s="474" t="s">
        <v>620</v>
      </c>
      <c r="D68" s="498" t="s">
        <v>236</v>
      </c>
      <c r="E68" s="476" t="s">
        <v>618</v>
      </c>
      <c r="F68" s="558">
        <v>1</v>
      </c>
      <c r="G68" s="474" t="s">
        <v>395</v>
      </c>
      <c r="H68" s="585">
        <v>154489.70000000001</v>
      </c>
      <c r="I68" s="585">
        <v>59900.62</v>
      </c>
      <c r="J68" s="478">
        <v>1</v>
      </c>
      <c r="K68" s="478">
        <v>0</v>
      </c>
      <c r="L68" s="474" t="s">
        <v>396</v>
      </c>
      <c r="M68" s="476" t="s">
        <v>267</v>
      </c>
      <c r="N68" s="560" t="s">
        <v>32</v>
      </c>
      <c r="O68" s="560" t="s">
        <v>183</v>
      </c>
      <c r="P68" s="476" t="s">
        <v>332</v>
      </c>
      <c r="Q68" s="558" t="s">
        <v>560</v>
      </c>
      <c r="R68" s="476" t="s">
        <v>311</v>
      </c>
    </row>
    <row r="69" spans="1:18" ht="72" x14ac:dyDescent="0.35">
      <c r="A69" s="481" t="s">
        <v>524</v>
      </c>
      <c r="B69" s="474" t="s">
        <v>293</v>
      </c>
      <c r="C69" s="474" t="s">
        <v>621</v>
      </c>
      <c r="D69" s="474" t="s">
        <v>526</v>
      </c>
      <c r="E69" s="476" t="s">
        <v>614</v>
      </c>
      <c r="F69" s="558">
        <v>1</v>
      </c>
      <c r="G69" s="476"/>
      <c r="H69" s="585">
        <v>46000</v>
      </c>
      <c r="I69" s="579">
        <v>11068.87</v>
      </c>
      <c r="J69" s="478">
        <v>1</v>
      </c>
      <c r="K69" s="478">
        <v>0</v>
      </c>
      <c r="L69" s="580" t="s">
        <v>716</v>
      </c>
      <c r="M69" s="476" t="s">
        <v>284</v>
      </c>
      <c r="N69" s="560" t="s">
        <v>50</v>
      </c>
      <c r="O69" s="560" t="s">
        <v>133</v>
      </c>
      <c r="P69" s="476"/>
      <c r="Q69" s="558" t="s">
        <v>561</v>
      </c>
      <c r="R69" s="476" t="s">
        <v>311</v>
      </c>
    </row>
    <row r="70" spans="1:18" ht="72" x14ac:dyDescent="0.35">
      <c r="A70" s="481" t="s">
        <v>527</v>
      </c>
      <c r="B70" s="474" t="s">
        <v>293</v>
      </c>
      <c r="C70" s="474" t="s">
        <v>528</v>
      </c>
      <c r="D70" s="474" t="s">
        <v>529</v>
      </c>
      <c r="E70" s="476" t="s">
        <v>614</v>
      </c>
      <c r="F70" s="558">
        <v>1</v>
      </c>
      <c r="G70" s="476"/>
      <c r="H70" s="585">
        <v>264385.07</v>
      </c>
      <c r="I70" s="579">
        <v>82150.55</v>
      </c>
      <c r="J70" s="478">
        <v>1</v>
      </c>
      <c r="K70" s="478">
        <v>0</v>
      </c>
      <c r="L70" s="474" t="s">
        <v>396</v>
      </c>
      <c r="M70" s="476" t="s">
        <v>284</v>
      </c>
      <c r="N70" s="560" t="s">
        <v>75</v>
      </c>
      <c r="O70" s="560" t="s">
        <v>70</v>
      </c>
      <c r="P70" s="476"/>
      <c r="Q70" s="581" t="s">
        <v>724</v>
      </c>
      <c r="R70" s="476" t="s">
        <v>311</v>
      </c>
    </row>
    <row r="71" spans="1:18" s="510" customFormat="1" ht="72" x14ac:dyDescent="0.35">
      <c r="A71" s="500" t="s">
        <v>530</v>
      </c>
      <c r="B71" s="501" t="s">
        <v>293</v>
      </c>
      <c r="C71" s="501" t="s">
        <v>622</v>
      </c>
      <c r="D71" s="515" t="s">
        <v>623</v>
      </c>
      <c r="E71" s="507" t="s">
        <v>618</v>
      </c>
      <c r="F71" s="559"/>
      <c r="G71" s="507"/>
      <c r="H71" s="520">
        <v>1300000</v>
      </c>
      <c r="I71" s="520">
        <f>+H71/$I$11</f>
        <v>406250</v>
      </c>
      <c r="J71" s="505">
        <v>1</v>
      </c>
      <c r="K71" s="505">
        <v>0</v>
      </c>
      <c r="L71" s="501" t="s">
        <v>396</v>
      </c>
      <c r="M71" s="507" t="s">
        <v>267</v>
      </c>
      <c r="N71" s="508" t="s">
        <v>133</v>
      </c>
      <c r="O71" s="508" t="s">
        <v>75</v>
      </c>
      <c r="P71" s="507" t="s">
        <v>700</v>
      </c>
      <c r="Q71" s="559"/>
      <c r="R71" s="507" t="s">
        <v>596</v>
      </c>
    </row>
    <row r="72" spans="1:18" ht="90" x14ac:dyDescent="0.35">
      <c r="A72" s="481" t="s">
        <v>624</v>
      </c>
      <c r="B72" s="474" t="s">
        <v>293</v>
      </c>
      <c r="C72" s="514" t="s">
        <v>167</v>
      </c>
      <c r="D72" s="514" t="s">
        <v>399</v>
      </c>
      <c r="E72" s="476" t="s">
        <v>618</v>
      </c>
      <c r="F72" s="558" t="s">
        <v>298</v>
      </c>
      <c r="G72" s="558" t="s">
        <v>298</v>
      </c>
      <c r="H72" s="586">
        <v>80000</v>
      </c>
      <c r="I72" s="587">
        <f>+H72/$I$11</f>
        <v>25000</v>
      </c>
      <c r="J72" s="524">
        <v>1</v>
      </c>
      <c r="K72" s="524">
        <v>0</v>
      </c>
      <c r="L72" s="525" t="s">
        <v>297</v>
      </c>
      <c r="M72" s="476" t="s">
        <v>267</v>
      </c>
      <c r="N72" s="526" t="s">
        <v>43</v>
      </c>
      <c r="O72" s="526" t="s">
        <v>43</v>
      </c>
      <c r="P72" s="474" t="s">
        <v>400</v>
      </c>
      <c r="Q72" s="560" t="s">
        <v>298</v>
      </c>
      <c r="R72" s="476" t="s">
        <v>584</v>
      </c>
    </row>
    <row r="73" spans="1:18" ht="72" x14ac:dyDescent="0.35">
      <c r="A73" s="481" t="s">
        <v>625</v>
      </c>
      <c r="B73" s="474" t="s">
        <v>293</v>
      </c>
      <c r="C73" s="498" t="s">
        <v>402</v>
      </c>
      <c r="D73" s="498" t="s">
        <v>402</v>
      </c>
      <c r="E73" s="476" t="s">
        <v>618</v>
      </c>
      <c r="F73" s="558">
        <v>1</v>
      </c>
      <c r="G73" s="527" t="s">
        <v>403</v>
      </c>
      <c r="H73" s="516">
        <v>19902</v>
      </c>
      <c r="I73" s="516">
        <v>9046</v>
      </c>
      <c r="J73" s="478">
        <v>1</v>
      </c>
      <c r="K73" s="478">
        <v>0</v>
      </c>
      <c r="L73" s="474" t="s">
        <v>352</v>
      </c>
      <c r="M73" s="476" t="s">
        <v>267</v>
      </c>
      <c r="N73" s="528" t="s">
        <v>43</v>
      </c>
      <c r="O73" s="528" t="s">
        <v>32</v>
      </c>
      <c r="P73" s="474" t="s">
        <v>405</v>
      </c>
      <c r="Q73" s="560" t="s">
        <v>404</v>
      </c>
      <c r="R73" s="476" t="s">
        <v>311</v>
      </c>
    </row>
    <row r="74" spans="1:18" ht="15" customHeight="1" x14ac:dyDescent="0.35">
      <c r="B74" s="493"/>
      <c r="C74" s="493"/>
      <c r="D74" s="493"/>
      <c r="E74" s="493"/>
      <c r="F74" s="651" t="s">
        <v>613</v>
      </c>
      <c r="G74" s="651"/>
      <c r="H74" s="496">
        <f>SUM(H64:H73)-SUMIF(R64:R73,$C$126,H64:H73)</f>
        <v>813475.77</v>
      </c>
      <c r="I74" s="496">
        <f>SUM(I64:I73)-SUMIF(R64:R73,$C$126,I64:I73)</f>
        <v>263523.41999999993</v>
      </c>
      <c r="J74" s="497"/>
      <c r="K74" s="497"/>
      <c r="L74" s="493"/>
      <c r="M74" s="493"/>
      <c r="N74" s="493"/>
      <c r="O74" s="493"/>
      <c r="P74" s="493"/>
      <c r="Q74" s="494"/>
      <c r="R74" s="493"/>
    </row>
    <row r="76" spans="1:18" ht="15.6" customHeight="1" x14ac:dyDescent="0.35">
      <c r="A76" s="661" t="s">
        <v>407</v>
      </c>
      <c r="B76" s="662"/>
      <c r="C76" s="662"/>
      <c r="D76" s="662"/>
      <c r="E76" s="662"/>
      <c r="F76" s="662"/>
      <c r="G76" s="662"/>
      <c r="H76" s="662"/>
      <c r="I76" s="662"/>
      <c r="J76" s="662"/>
      <c r="K76" s="662"/>
      <c r="L76" s="662"/>
      <c r="M76" s="662"/>
      <c r="N76" s="662"/>
      <c r="O76" s="662"/>
      <c r="P76" s="662"/>
      <c r="Q76" s="662"/>
      <c r="R76" s="663"/>
    </row>
    <row r="77" spans="1:18" ht="15.15" customHeight="1" x14ac:dyDescent="0.35">
      <c r="A77" s="649" t="s">
        <v>268</v>
      </c>
      <c r="B77" s="649" t="s">
        <v>269</v>
      </c>
      <c r="C77" s="649" t="s">
        <v>591</v>
      </c>
      <c r="D77" s="649" t="s">
        <v>271</v>
      </c>
      <c r="E77" s="649" t="s">
        <v>708</v>
      </c>
      <c r="F77" s="648"/>
      <c r="G77" s="648"/>
      <c r="H77" s="529"/>
      <c r="I77" s="650" t="s">
        <v>274</v>
      </c>
      <c r="J77" s="650"/>
      <c r="K77" s="650"/>
      <c r="L77" s="649" t="s">
        <v>275</v>
      </c>
      <c r="M77" s="649" t="s">
        <v>592</v>
      </c>
      <c r="N77" s="649" t="s">
        <v>593</v>
      </c>
      <c r="O77" s="649"/>
      <c r="P77" s="649" t="s">
        <v>578</v>
      </c>
      <c r="Q77" s="649" t="s">
        <v>579</v>
      </c>
      <c r="R77" s="649" t="s">
        <v>580</v>
      </c>
    </row>
    <row r="78" spans="1:18" ht="63" customHeight="1" x14ac:dyDescent="0.35">
      <c r="A78" s="649"/>
      <c r="B78" s="649"/>
      <c r="C78" s="649"/>
      <c r="D78" s="649"/>
      <c r="E78" s="649"/>
      <c r="F78" s="649" t="s">
        <v>273</v>
      </c>
      <c r="G78" s="649"/>
      <c r="H78" s="470" t="s">
        <v>581</v>
      </c>
      <c r="I78" s="470" t="s">
        <v>285</v>
      </c>
      <c r="J78" s="471" t="s">
        <v>286</v>
      </c>
      <c r="K78" s="471" t="s">
        <v>497</v>
      </c>
      <c r="L78" s="649"/>
      <c r="M78" s="649"/>
      <c r="N78" s="557" t="s">
        <v>627</v>
      </c>
      <c r="O78" s="557" t="s">
        <v>289</v>
      </c>
      <c r="P78" s="649"/>
      <c r="Q78" s="649"/>
      <c r="R78" s="649"/>
    </row>
    <row r="79" spans="1:18" ht="54" x14ac:dyDescent="0.35">
      <c r="A79" s="473" t="s">
        <v>34</v>
      </c>
      <c r="B79" s="474" t="s">
        <v>293</v>
      </c>
      <c r="C79" s="474" t="s">
        <v>35</v>
      </c>
      <c r="D79" s="527" t="s">
        <v>412</v>
      </c>
      <c r="E79" s="476" t="s">
        <v>413</v>
      </c>
      <c r="F79" s="652"/>
      <c r="G79" s="652"/>
      <c r="H79" s="554">
        <v>173960</v>
      </c>
      <c r="I79" s="588">
        <v>55000</v>
      </c>
      <c r="J79" s="532">
        <v>0.8</v>
      </c>
      <c r="K79" s="532">
        <v>0.2</v>
      </c>
      <c r="L79" s="479" t="s">
        <v>725</v>
      </c>
      <c r="M79" s="476" t="s">
        <v>292</v>
      </c>
      <c r="N79" s="528" t="s">
        <v>43</v>
      </c>
      <c r="O79" s="528" t="s">
        <v>74</v>
      </c>
      <c r="P79" s="474"/>
      <c r="Q79" s="474" t="s">
        <v>415</v>
      </c>
      <c r="R79" s="476" t="s">
        <v>584</v>
      </c>
    </row>
    <row r="80" spans="1:18" s="510" customFormat="1" ht="72" x14ac:dyDescent="0.35">
      <c r="A80" s="500" t="s">
        <v>39</v>
      </c>
      <c r="B80" s="501" t="s">
        <v>293</v>
      </c>
      <c r="C80" s="501" t="s">
        <v>417</v>
      </c>
      <c r="D80" s="533" t="s">
        <v>418</v>
      </c>
      <c r="E80" s="507" t="s">
        <v>408</v>
      </c>
      <c r="F80" s="653"/>
      <c r="G80" s="653"/>
      <c r="H80" s="535">
        <v>25000</v>
      </c>
      <c r="I80" s="511">
        <v>6666.666666666667</v>
      </c>
      <c r="J80" s="536">
        <v>1</v>
      </c>
      <c r="K80" s="536">
        <v>0</v>
      </c>
      <c r="L80" s="506" t="s">
        <v>419</v>
      </c>
      <c r="M80" s="507" t="s">
        <v>284</v>
      </c>
      <c r="N80" s="537" t="s">
        <v>75</v>
      </c>
      <c r="O80" s="537" t="s">
        <v>56</v>
      </c>
      <c r="P80" s="501" t="s">
        <v>597</v>
      </c>
      <c r="Q80" s="501"/>
      <c r="R80" s="507" t="s">
        <v>596</v>
      </c>
    </row>
    <row r="81" spans="1:18" ht="108" x14ac:dyDescent="0.35">
      <c r="A81" s="473" t="s">
        <v>45</v>
      </c>
      <c r="B81" s="474" t="s">
        <v>293</v>
      </c>
      <c r="C81" s="474" t="s">
        <v>420</v>
      </c>
      <c r="D81" s="498" t="s">
        <v>628</v>
      </c>
      <c r="E81" s="476" t="s">
        <v>618</v>
      </c>
      <c r="F81" s="652"/>
      <c r="G81" s="652"/>
      <c r="H81" s="554">
        <v>203730</v>
      </c>
      <c r="I81" s="588">
        <v>62200</v>
      </c>
      <c r="J81" s="532">
        <v>0</v>
      </c>
      <c r="K81" s="532">
        <v>1</v>
      </c>
      <c r="L81" s="479" t="s">
        <v>422</v>
      </c>
      <c r="M81" s="476" t="s">
        <v>267</v>
      </c>
      <c r="N81" s="528" t="s">
        <v>74</v>
      </c>
      <c r="O81" s="528" t="s">
        <v>44</v>
      </c>
      <c r="P81" s="474" t="s">
        <v>629</v>
      </c>
      <c r="Q81" s="474" t="s">
        <v>298</v>
      </c>
      <c r="R81" s="476" t="s">
        <v>311</v>
      </c>
    </row>
    <row r="82" spans="1:18" ht="72" x14ac:dyDescent="0.35">
      <c r="A82" s="473" t="s">
        <v>51</v>
      </c>
      <c r="B82" s="474" t="s">
        <v>293</v>
      </c>
      <c r="C82" s="474" t="s">
        <v>694</v>
      </c>
      <c r="D82" s="538" t="s">
        <v>630</v>
      </c>
      <c r="E82" s="476" t="s">
        <v>692</v>
      </c>
      <c r="F82" s="652"/>
      <c r="G82" s="652"/>
      <c r="H82" s="554">
        <v>2250000</v>
      </c>
      <c r="I82" s="579">
        <f>+H82/$I$11</f>
        <v>703125</v>
      </c>
      <c r="J82" s="532">
        <v>1</v>
      </c>
      <c r="K82" s="532">
        <v>0</v>
      </c>
      <c r="L82" s="479" t="s">
        <v>695</v>
      </c>
      <c r="M82" s="476" t="s">
        <v>284</v>
      </c>
      <c r="N82" s="528" t="s">
        <v>231</v>
      </c>
      <c r="O82" s="528" t="s">
        <v>70</v>
      </c>
      <c r="P82" s="474"/>
      <c r="Q82" s="474"/>
      <c r="R82" s="578" t="s">
        <v>584</v>
      </c>
    </row>
    <row r="83" spans="1:18" ht="108" x14ac:dyDescent="0.35">
      <c r="A83" s="473" t="s">
        <v>53</v>
      </c>
      <c r="B83" s="474" t="s">
        <v>293</v>
      </c>
      <c r="C83" s="474" t="s">
        <v>426</v>
      </c>
      <c r="D83" s="498" t="s">
        <v>54</v>
      </c>
      <c r="E83" s="476" t="s">
        <v>409</v>
      </c>
      <c r="F83" s="652"/>
      <c r="G83" s="652"/>
      <c r="H83" s="554">
        <v>196795.04</v>
      </c>
      <c r="I83" s="588">
        <v>60383.839999999997</v>
      </c>
      <c r="J83" s="532">
        <v>1</v>
      </c>
      <c r="K83" s="532">
        <v>0</v>
      </c>
      <c r="L83" s="479" t="s">
        <v>318</v>
      </c>
      <c r="M83" s="476" t="s">
        <v>292</v>
      </c>
      <c r="N83" s="528" t="s">
        <v>32</v>
      </c>
      <c r="O83" s="528" t="s">
        <v>74</v>
      </c>
      <c r="P83" s="474"/>
      <c r="Q83" s="474" t="s">
        <v>427</v>
      </c>
      <c r="R83" s="476" t="s">
        <v>311</v>
      </c>
    </row>
    <row r="84" spans="1:18" s="510" customFormat="1" ht="72" x14ac:dyDescent="0.35">
      <c r="A84" s="500" t="s">
        <v>57</v>
      </c>
      <c r="B84" s="501" t="s">
        <v>293</v>
      </c>
      <c r="C84" s="501" t="s">
        <v>428</v>
      </c>
      <c r="D84" s="502" t="s">
        <v>58</v>
      </c>
      <c r="E84" s="507" t="s">
        <v>408</v>
      </c>
      <c r="F84" s="653"/>
      <c r="G84" s="653"/>
      <c r="H84" s="535">
        <v>60900</v>
      </c>
      <c r="I84" s="539">
        <v>27681.81818181818</v>
      </c>
      <c r="J84" s="536">
        <v>1</v>
      </c>
      <c r="K84" s="536">
        <v>0</v>
      </c>
      <c r="L84" s="506" t="s">
        <v>318</v>
      </c>
      <c r="M84" s="507" t="s">
        <v>284</v>
      </c>
      <c r="N84" s="537" t="s">
        <v>227</v>
      </c>
      <c r="O84" s="537" t="s">
        <v>59</v>
      </c>
      <c r="P84" s="501" t="s">
        <v>429</v>
      </c>
      <c r="Q84" s="501"/>
      <c r="R84" s="507" t="s">
        <v>596</v>
      </c>
    </row>
    <row r="85" spans="1:18" ht="90" x14ac:dyDescent="0.35">
      <c r="A85" s="500" t="s">
        <v>60</v>
      </c>
      <c r="B85" s="501" t="s">
        <v>293</v>
      </c>
      <c r="C85" s="501" t="s">
        <v>430</v>
      </c>
      <c r="D85" s="540" t="s">
        <v>61</v>
      </c>
      <c r="E85" s="507" t="s">
        <v>408</v>
      </c>
      <c r="F85" s="653"/>
      <c r="G85" s="653"/>
      <c r="H85" s="535">
        <v>500000</v>
      </c>
      <c r="I85" s="511">
        <f>+H85/$I$11</f>
        <v>156250</v>
      </c>
      <c r="J85" s="536">
        <v>1</v>
      </c>
      <c r="K85" s="536">
        <v>0</v>
      </c>
      <c r="L85" s="506" t="s">
        <v>342</v>
      </c>
      <c r="M85" s="507" t="s">
        <v>284</v>
      </c>
      <c r="N85" s="537" t="s">
        <v>133</v>
      </c>
      <c r="O85" s="537" t="s">
        <v>70</v>
      </c>
      <c r="P85" s="501"/>
      <c r="Q85" s="501"/>
      <c r="R85" s="507" t="s">
        <v>596</v>
      </c>
    </row>
    <row r="86" spans="1:18" s="510" customFormat="1" ht="126" x14ac:dyDescent="0.35">
      <c r="A86" s="500" t="s">
        <v>63</v>
      </c>
      <c r="B86" s="501" t="s">
        <v>293</v>
      </c>
      <c r="C86" s="501" t="s">
        <v>431</v>
      </c>
      <c r="D86" s="502" t="s">
        <v>432</v>
      </c>
      <c r="E86" s="507" t="s">
        <v>408</v>
      </c>
      <c r="F86" s="653"/>
      <c r="G86" s="653"/>
      <c r="H86" s="535">
        <v>400000</v>
      </c>
      <c r="I86" s="539">
        <v>181818.18181818179</v>
      </c>
      <c r="J86" s="536">
        <v>1</v>
      </c>
      <c r="K86" s="536">
        <v>0</v>
      </c>
      <c r="L86" s="506" t="s">
        <v>297</v>
      </c>
      <c r="M86" s="507" t="s">
        <v>284</v>
      </c>
      <c r="N86" s="537" t="s">
        <v>183</v>
      </c>
      <c r="O86" s="537" t="s">
        <v>38</v>
      </c>
      <c r="P86" s="501" t="s">
        <v>433</v>
      </c>
      <c r="Q86" s="501"/>
      <c r="R86" s="507" t="s">
        <v>596</v>
      </c>
    </row>
    <row r="87" spans="1:18" ht="83.7" customHeight="1" x14ac:dyDescent="0.35">
      <c r="A87" s="473" t="s">
        <v>66</v>
      </c>
      <c r="B87" s="474" t="s">
        <v>293</v>
      </c>
      <c r="C87" s="474" t="s">
        <v>434</v>
      </c>
      <c r="D87" s="474" t="s">
        <v>435</v>
      </c>
      <c r="E87" s="476" t="s">
        <v>631</v>
      </c>
      <c r="F87" s="652"/>
      <c r="G87" s="652"/>
      <c r="H87" s="516">
        <v>1465077</v>
      </c>
      <c r="I87" s="579">
        <f>+H87/$I$11</f>
        <v>457836.5625</v>
      </c>
      <c r="J87" s="532">
        <v>1</v>
      </c>
      <c r="K87" s="532">
        <v>0</v>
      </c>
      <c r="L87" s="479" t="s">
        <v>436</v>
      </c>
      <c r="M87" s="476" t="s">
        <v>284</v>
      </c>
      <c r="N87" s="528" t="s">
        <v>183</v>
      </c>
      <c r="O87" s="528" t="s">
        <v>133</v>
      </c>
      <c r="P87" s="474"/>
      <c r="Q87" s="474" t="s">
        <v>632</v>
      </c>
      <c r="R87" s="476" t="s">
        <v>584</v>
      </c>
    </row>
    <row r="88" spans="1:18" ht="72" x14ac:dyDescent="0.35">
      <c r="A88" s="473" t="s">
        <v>71</v>
      </c>
      <c r="B88" s="474" t="s">
        <v>293</v>
      </c>
      <c r="C88" s="474" t="s">
        <v>437</v>
      </c>
      <c r="D88" s="498" t="s">
        <v>633</v>
      </c>
      <c r="E88" s="476" t="s">
        <v>408</v>
      </c>
      <c r="F88" s="652"/>
      <c r="G88" s="652"/>
      <c r="H88" s="516">
        <v>360000</v>
      </c>
      <c r="I88" s="588">
        <v>100000</v>
      </c>
      <c r="J88" s="532">
        <v>1</v>
      </c>
      <c r="K88" s="532">
        <v>0</v>
      </c>
      <c r="L88" s="479" t="s">
        <v>356</v>
      </c>
      <c r="M88" s="476" t="s">
        <v>284</v>
      </c>
      <c r="N88" s="528" t="s">
        <v>74</v>
      </c>
      <c r="O88" s="528" t="s">
        <v>44</v>
      </c>
      <c r="P88" s="474"/>
      <c r="Q88" s="474" t="s">
        <v>440</v>
      </c>
      <c r="R88" s="476" t="s">
        <v>311</v>
      </c>
    </row>
    <row r="89" spans="1:18" s="510" customFormat="1" ht="108" x14ac:dyDescent="0.35">
      <c r="A89" s="500" t="s">
        <v>76</v>
      </c>
      <c r="B89" s="501" t="s">
        <v>293</v>
      </c>
      <c r="C89" s="501" t="s">
        <v>441</v>
      </c>
      <c r="D89" s="502" t="s">
        <v>442</v>
      </c>
      <c r="E89" s="507" t="s">
        <v>408</v>
      </c>
      <c r="F89" s="653"/>
      <c r="G89" s="653"/>
      <c r="H89" s="535">
        <v>249000</v>
      </c>
      <c r="I89" s="539">
        <v>113181.81818181818</v>
      </c>
      <c r="J89" s="536">
        <v>1</v>
      </c>
      <c r="K89" s="536">
        <v>0</v>
      </c>
      <c r="L89" s="506" t="s">
        <v>304</v>
      </c>
      <c r="M89" s="507" t="s">
        <v>284</v>
      </c>
      <c r="N89" s="537" t="s">
        <v>231</v>
      </c>
      <c r="O89" s="537" t="s">
        <v>59</v>
      </c>
      <c r="P89" s="501" t="s">
        <v>345</v>
      </c>
      <c r="Q89" s="501"/>
      <c r="R89" s="507" t="s">
        <v>596</v>
      </c>
    </row>
    <row r="90" spans="1:18" s="510" customFormat="1" ht="72" x14ac:dyDescent="0.35">
      <c r="A90" s="500" t="s">
        <v>79</v>
      </c>
      <c r="B90" s="501" t="s">
        <v>293</v>
      </c>
      <c r="C90" s="501" t="s">
        <v>443</v>
      </c>
      <c r="D90" s="502" t="s">
        <v>80</v>
      </c>
      <c r="E90" s="507" t="s">
        <v>408</v>
      </c>
      <c r="F90" s="653"/>
      <c r="G90" s="653"/>
      <c r="H90" s="535">
        <v>427800</v>
      </c>
      <c r="I90" s="539">
        <f>+H90/$I$11</f>
        <v>133687.5</v>
      </c>
      <c r="J90" s="536">
        <v>1</v>
      </c>
      <c r="K90" s="536">
        <v>0</v>
      </c>
      <c r="L90" s="506" t="s">
        <v>297</v>
      </c>
      <c r="M90" s="507" t="s">
        <v>284</v>
      </c>
      <c r="N90" s="537"/>
      <c r="O90" s="537"/>
      <c r="P90" s="501" t="s">
        <v>693</v>
      </c>
      <c r="Q90" s="501"/>
      <c r="R90" s="507" t="s">
        <v>596</v>
      </c>
    </row>
    <row r="91" spans="1:18" s="510" customFormat="1" ht="90" x14ac:dyDescent="0.35">
      <c r="A91" s="500" t="s">
        <v>81</v>
      </c>
      <c r="B91" s="501" t="s">
        <v>293</v>
      </c>
      <c r="C91" s="501" t="s">
        <v>691</v>
      </c>
      <c r="D91" s="502" t="s">
        <v>82</v>
      </c>
      <c r="E91" s="507" t="s">
        <v>409</v>
      </c>
      <c r="F91" s="653"/>
      <c r="G91" s="653"/>
      <c r="H91" s="535">
        <v>135600</v>
      </c>
      <c r="I91" s="539">
        <f>+H91/$I$11</f>
        <v>42375</v>
      </c>
      <c r="J91" s="536">
        <v>1</v>
      </c>
      <c r="K91" s="536">
        <v>0</v>
      </c>
      <c r="L91" s="506" t="s">
        <v>297</v>
      </c>
      <c r="M91" s="507" t="s">
        <v>292</v>
      </c>
      <c r="N91" s="537" t="s">
        <v>56</v>
      </c>
      <c r="O91" s="537" t="s">
        <v>70</v>
      </c>
      <c r="P91" s="501" t="s">
        <v>696</v>
      </c>
      <c r="Q91" s="501"/>
      <c r="R91" s="507" t="s">
        <v>596</v>
      </c>
    </row>
    <row r="92" spans="1:18" s="510" customFormat="1" ht="101.4" customHeight="1" x14ac:dyDescent="0.35">
      <c r="A92" s="500" t="s">
        <v>83</v>
      </c>
      <c r="B92" s="501" t="s">
        <v>293</v>
      </c>
      <c r="C92" s="501" t="s">
        <v>445</v>
      </c>
      <c r="D92" s="502" t="s">
        <v>446</v>
      </c>
      <c r="E92" s="507" t="s">
        <v>408</v>
      </c>
      <c r="F92" s="653"/>
      <c r="G92" s="653"/>
      <c r="H92" s="535">
        <v>400000</v>
      </c>
      <c r="I92" s="539">
        <v>181818.18181818179</v>
      </c>
      <c r="J92" s="536">
        <v>1</v>
      </c>
      <c r="K92" s="536">
        <v>0</v>
      </c>
      <c r="L92" s="506" t="s">
        <v>447</v>
      </c>
      <c r="M92" s="507" t="s">
        <v>284</v>
      </c>
      <c r="N92" s="537" t="s">
        <v>183</v>
      </c>
      <c r="O92" s="537" t="s">
        <v>38</v>
      </c>
      <c r="P92" s="501" t="s">
        <v>562</v>
      </c>
      <c r="Q92" s="501"/>
      <c r="R92" s="507" t="s">
        <v>596</v>
      </c>
    </row>
    <row r="93" spans="1:18" s="510" customFormat="1" ht="72" x14ac:dyDescent="0.35">
      <c r="A93" s="500" t="s">
        <v>86</v>
      </c>
      <c r="B93" s="501" t="s">
        <v>293</v>
      </c>
      <c r="C93" s="501" t="s">
        <v>87</v>
      </c>
      <c r="D93" s="515" t="s">
        <v>626</v>
      </c>
      <c r="E93" s="507" t="s">
        <v>408</v>
      </c>
      <c r="F93" s="653"/>
      <c r="G93" s="653"/>
      <c r="H93" s="535">
        <v>120000</v>
      </c>
      <c r="I93" s="511">
        <f>+H93/$I$11</f>
        <v>37500</v>
      </c>
      <c r="J93" s="536">
        <v>1</v>
      </c>
      <c r="K93" s="536">
        <v>0</v>
      </c>
      <c r="L93" s="506" t="s">
        <v>328</v>
      </c>
      <c r="M93" s="507" t="s">
        <v>284</v>
      </c>
      <c r="N93" s="537" t="s">
        <v>50</v>
      </c>
      <c r="O93" s="537" t="s">
        <v>231</v>
      </c>
      <c r="P93" s="501" t="s">
        <v>634</v>
      </c>
      <c r="Q93" s="501"/>
      <c r="R93" s="507" t="s">
        <v>596</v>
      </c>
    </row>
    <row r="94" spans="1:18" s="510" customFormat="1" ht="108" x14ac:dyDescent="0.35">
      <c r="A94" s="500" t="s">
        <v>187</v>
      </c>
      <c r="B94" s="501" t="s">
        <v>293</v>
      </c>
      <c r="C94" s="501" t="s">
        <v>533</v>
      </c>
      <c r="D94" s="515" t="s">
        <v>534</v>
      </c>
      <c r="E94" s="507" t="s">
        <v>408</v>
      </c>
      <c r="F94" s="653"/>
      <c r="G94" s="653"/>
      <c r="H94" s="535">
        <v>100000</v>
      </c>
      <c r="I94" s="511">
        <f>+H94/$I$11</f>
        <v>31250</v>
      </c>
      <c r="J94" s="536">
        <v>1</v>
      </c>
      <c r="K94" s="536">
        <v>0</v>
      </c>
      <c r="L94" s="506" t="s">
        <v>328</v>
      </c>
      <c r="M94" s="507" t="s">
        <v>284</v>
      </c>
      <c r="N94" s="537" t="s">
        <v>50</v>
      </c>
      <c r="O94" s="537" t="s">
        <v>56</v>
      </c>
      <c r="P94" s="501" t="s">
        <v>635</v>
      </c>
      <c r="Q94" s="501"/>
      <c r="R94" s="507" t="s">
        <v>596</v>
      </c>
    </row>
    <row r="95" spans="1:18" s="510" customFormat="1" ht="72" x14ac:dyDescent="0.35">
      <c r="A95" s="500" t="s">
        <v>535</v>
      </c>
      <c r="B95" s="501" t="s">
        <v>293</v>
      </c>
      <c r="C95" s="501" t="s">
        <v>536</v>
      </c>
      <c r="D95" s="515" t="s">
        <v>537</v>
      </c>
      <c r="E95" s="507" t="s">
        <v>408</v>
      </c>
      <c r="F95" s="653"/>
      <c r="G95" s="653"/>
      <c r="H95" s="535">
        <v>135000</v>
      </c>
      <c r="I95" s="511">
        <f>+H95/$I$11</f>
        <v>42187.5</v>
      </c>
      <c r="J95" s="536">
        <v>1</v>
      </c>
      <c r="K95" s="536">
        <v>0</v>
      </c>
      <c r="L95" s="506" t="s">
        <v>328</v>
      </c>
      <c r="M95" s="507" t="s">
        <v>284</v>
      </c>
      <c r="N95" s="537" t="s">
        <v>50</v>
      </c>
      <c r="O95" s="537" t="s">
        <v>75</v>
      </c>
      <c r="P95" s="501" t="s">
        <v>636</v>
      </c>
      <c r="Q95" s="501"/>
      <c r="R95" s="507" t="s">
        <v>596</v>
      </c>
    </row>
    <row r="96" spans="1:18" x14ac:dyDescent="0.35">
      <c r="B96" s="493"/>
      <c r="C96" s="493"/>
      <c r="D96" s="493"/>
      <c r="E96" s="493"/>
      <c r="F96" s="651" t="s">
        <v>613</v>
      </c>
      <c r="G96" s="651"/>
      <c r="H96" s="496">
        <f>SUM(H79:H95)-SUMIF(R79:R95,$C$126,H79:H95)</f>
        <v>4649562.04</v>
      </c>
      <c r="I96" s="496">
        <f>SUM(I79:I95)-SUMIF(R79:R95,$C$126,I79:I95)</f>
        <v>1438545.4024999999</v>
      </c>
      <c r="J96" s="497"/>
      <c r="K96" s="497"/>
      <c r="L96" s="544"/>
      <c r="M96" s="493"/>
      <c r="N96" s="493"/>
      <c r="O96" s="493"/>
      <c r="P96" s="493"/>
      <c r="Q96" s="494"/>
      <c r="R96" s="493"/>
    </row>
    <row r="98" spans="1:18" ht="15.6" customHeight="1" x14ac:dyDescent="0.35">
      <c r="A98" s="661" t="s">
        <v>450</v>
      </c>
      <c r="B98" s="662"/>
      <c r="C98" s="662"/>
      <c r="D98" s="662"/>
      <c r="E98" s="662"/>
      <c r="F98" s="662"/>
      <c r="G98" s="662"/>
      <c r="H98" s="662"/>
      <c r="I98" s="662"/>
      <c r="J98" s="662"/>
      <c r="K98" s="662"/>
      <c r="L98" s="662"/>
      <c r="M98" s="662"/>
      <c r="N98" s="662"/>
      <c r="O98" s="662"/>
      <c r="P98" s="662"/>
      <c r="Q98" s="662"/>
      <c r="R98" s="663"/>
    </row>
    <row r="99" spans="1:18" ht="14.1" customHeight="1" x14ac:dyDescent="0.35">
      <c r="A99" s="649" t="s">
        <v>268</v>
      </c>
      <c r="B99" s="649" t="s">
        <v>269</v>
      </c>
      <c r="C99" s="649" t="s">
        <v>591</v>
      </c>
      <c r="D99" s="649" t="s">
        <v>271</v>
      </c>
      <c r="E99" s="649" t="s">
        <v>708</v>
      </c>
      <c r="F99" s="649" t="s">
        <v>452</v>
      </c>
      <c r="G99" s="649"/>
      <c r="H99" s="650" t="s">
        <v>274</v>
      </c>
      <c r="I99" s="650"/>
      <c r="J99" s="650"/>
      <c r="K99" s="650"/>
      <c r="L99" s="649" t="s">
        <v>275</v>
      </c>
      <c r="M99" s="649" t="s">
        <v>592</v>
      </c>
      <c r="N99" s="649" t="s">
        <v>593</v>
      </c>
      <c r="O99" s="649"/>
      <c r="P99" s="649" t="s">
        <v>578</v>
      </c>
      <c r="Q99" s="649" t="s">
        <v>579</v>
      </c>
      <c r="R99" s="649" t="s">
        <v>580</v>
      </c>
    </row>
    <row r="100" spans="1:18" ht="90" x14ac:dyDescent="0.35">
      <c r="A100" s="649"/>
      <c r="B100" s="649"/>
      <c r="C100" s="649"/>
      <c r="D100" s="649"/>
      <c r="E100" s="649"/>
      <c r="F100" s="649"/>
      <c r="G100" s="649"/>
      <c r="H100" s="470" t="s">
        <v>581</v>
      </c>
      <c r="I100" s="470" t="s">
        <v>285</v>
      </c>
      <c r="J100" s="471" t="s">
        <v>286</v>
      </c>
      <c r="K100" s="471" t="s">
        <v>497</v>
      </c>
      <c r="L100" s="649"/>
      <c r="M100" s="649"/>
      <c r="N100" s="557" t="s">
        <v>455</v>
      </c>
      <c r="O100" s="557" t="s">
        <v>637</v>
      </c>
      <c r="P100" s="649"/>
      <c r="Q100" s="649"/>
      <c r="R100" s="649"/>
    </row>
    <row r="101" spans="1:18" ht="54" x14ac:dyDescent="0.35">
      <c r="A101" s="473" t="s">
        <v>26</v>
      </c>
      <c r="B101" s="474" t="s">
        <v>293</v>
      </c>
      <c r="C101" s="474" t="s">
        <v>457</v>
      </c>
      <c r="D101" s="498" t="s">
        <v>458</v>
      </c>
      <c r="E101" s="476" t="s">
        <v>638</v>
      </c>
      <c r="F101" s="654" t="s">
        <v>460</v>
      </c>
      <c r="G101" s="654"/>
      <c r="H101" s="554">
        <v>93000</v>
      </c>
      <c r="I101" s="554">
        <v>30000</v>
      </c>
      <c r="J101" s="478">
        <v>1</v>
      </c>
      <c r="K101" s="478">
        <v>0</v>
      </c>
      <c r="L101" s="542" t="s">
        <v>352</v>
      </c>
      <c r="M101" s="476" t="s">
        <v>284</v>
      </c>
      <c r="N101" s="528" t="s">
        <v>43</v>
      </c>
      <c r="O101" s="528" t="s">
        <v>32</v>
      </c>
      <c r="P101" s="558"/>
      <c r="Q101" s="474" t="s">
        <v>461</v>
      </c>
      <c r="R101" s="476" t="s">
        <v>584</v>
      </c>
    </row>
    <row r="102" spans="1:18" ht="41.85" customHeight="1" x14ac:dyDescent="0.35">
      <c r="A102" s="473" t="s">
        <v>187</v>
      </c>
      <c r="B102" s="474" t="s">
        <v>293</v>
      </c>
      <c r="C102" s="474" t="s">
        <v>465</v>
      </c>
      <c r="D102" s="474" t="s">
        <v>466</v>
      </c>
      <c r="E102" s="476" t="s">
        <v>638</v>
      </c>
      <c r="F102" s="654" t="s">
        <v>467</v>
      </c>
      <c r="G102" s="654"/>
      <c r="H102" s="554">
        <v>229380.53</v>
      </c>
      <c r="I102" s="554">
        <v>81720.240000000005</v>
      </c>
      <c r="J102" s="478">
        <v>1</v>
      </c>
      <c r="K102" s="478">
        <v>0</v>
      </c>
      <c r="L102" s="542" t="s">
        <v>352</v>
      </c>
      <c r="M102" s="476" t="s">
        <v>284</v>
      </c>
      <c r="N102" s="560" t="s">
        <v>43</v>
      </c>
      <c r="O102" s="560" t="s">
        <v>74</v>
      </c>
      <c r="P102" s="558"/>
      <c r="Q102" s="474" t="s">
        <v>397</v>
      </c>
      <c r="R102" s="476" t="s">
        <v>311</v>
      </c>
    </row>
    <row r="103" spans="1:18" ht="90" x14ac:dyDescent="0.35">
      <c r="A103" s="473" t="s">
        <v>563</v>
      </c>
      <c r="B103" s="474" t="s">
        <v>293</v>
      </c>
      <c r="C103" s="474" t="s">
        <v>703</v>
      </c>
      <c r="D103" s="474" t="s">
        <v>704</v>
      </c>
      <c r="E103" s="476" t="s">
        <v>638</v>
      </c>
      <c r="F103" s="654"/>
      <c r="G103" s="654"/>
      <c r="H103" s="516">
        <v>84000</v>
      </c>
      <c r="I103" s="554">
        <f>+H103/$I$11</f>
        <v>26250</v>
      </c>
      <c r="J103" s="478">
        <v>1</v>
      </c>
      <c r="K103" s="478">
        <v>0</v>
      </c>
      <c r="L103" s="542" t="s">
        <v>297</v>
      </c>
      <c r="M103" s="476" t="s">
        <v>284</v>
      </c>
      <c r="N103" s="560" t="s">
        <v>231</v>
      </c>
      <c r="O103" s="560" t="s">
        <v>70</v>
      </c>
      <c r="P103" s="558"/>
      <c r="Q103" s="474"/>
      <c r="R103" s="578" t="s">
        <v>584</v>
      </c>
    </row>
    <row r="104" spans="1:18" ht="90" x14ac:dyDescent="0.35">
      <c r="A104" s="473" t="s">
        <v>709</v>
      </c>
      <c r="B104" s="474" t="s">
        <v>293</v>
      </c>
      <c r="C104" s="474" t="s">
        <v>710</v>
      </c>
      <c r="D104" s="474" t="s">
        <v>711</v>
      </c>
      <c r="E104" s="476" t="s">
        <v>638</v>
      </c>
      <c r="F104" s="654"/>
      <c r="G104" s="654"/>
      <c r="H104" s="554">
        <v>108000</v>
      </c>
      <c r="I104" s="554">
        <f>+H104/$I$11</f>
        <v>33750</v>
      </c>
      <c r="J104" s="478">
        <v>1</v>
      </c>
      <c r="K104" s="478">
        <v>0</v>
      </c>
      <c r="L104" s="589" t="s">
        <v>352</v>
      </c>
      <c r="M104" s="476" t="s">
        <v>284</v>
      </c>
      <c r="N104" s="560" t="s">
        <v>56</v>
      </c>
      <c r="O104" s="560" t="s">
        <v>70</v>
      </c>
      <c r="P104" s="558"/>
      <c r="Q104" s="474"/>
      <c r="R104" s="568" t="s">
        <v>300</v>
      </c>
    </row>
    <row r="105" spans="1:18" x14ac:dyDescent="0.35">
      <c r="B105" s="493"/>
      <c r="C105" s="493"/>
      <c r="D105" s="493"/>
      <c r="E105" s="493"/>
      <c r="F105" s="494"/>
      <c r="G105" s="495" t="s">
        <v>590</v>
      </c>
      <c r="H105" s="496">
        <f>SUM(H101:H104)</f>
        <v>514380.53</v>
      </c>
      <c r="I105" s="496">
        <f>SUM(I101:I104)</f>
        <v>171720.24</v>
      </c>
      <c r="J105" s="497"/>
      <c r="K105" s="497"/>
      <c r="L105" s="493"/>
      <c r="M105" s="493"/>
      <c r="N105" s="493"/>
      <c r="O105" s="493"/>
      <c r="P105" s="493"/>
      <c r="Q105" s="494"/>
      <c r="R105" s="493"/>
    </row>
    <row r="107" spans="1:18" ht="15.6" customHeight="1" x14ac:dyDescent="0.35">
      <c r="A107" s="661" t="s">
        <v>471</v>
      </c>
      <c r="B107" s="662"/>
      <c r="C107" s="662"/>
      <c r="D107" s="662"/>
      <c r="E107" s="662"/>
      <c r="F107" s="662"/>
      <c r="G107" s="662"/>
      <c r="H107" s="662"/>
      <c r="I107" s="662"/>
      <c r="J107" s="662"/>
      <c r="K107" s="662"/>
      <c r="L107" s="662"/>
      <c r="M107" s="662"/>
      <c r="N107" s="662"/>
      <c r="O107" s="662"/>
      <c r="P107" s="662"/>
      <c r="Q107" s="662"/>
      <c r="R107" s="663"/>
    </row>
    <row r="108" spans="1:18" ht="14.1" customHeight="1" x14ac:dyDescent="0.35">
      <c r="A108" s="649" t="s">
        <v>268</v>
      </c>
      <c r="B108" s="649" t="s">
        <v>269</v>
      </c>
      <c r="C108" s="649" t="s">
        <v>591</v>
      </c>
      <c r="D108" s="649" t="s">
        <v>271</v>
      </c>
      <c r="E108" s="649" t="s">
        <v>708</v>
      </c>
      <c r="F108" s="649" t="s">
        <v>452</v>
      </c>
      <c r="G108" s="649"/>
      <c r="H108" s="470"/>
      <c r="I108" s="650" t="s">
        <v>274</v>
      </c>
      <c r="J108" s="650"/>
      <c r="K108" s="650"/>
      <c r="L108" s="649" t="s">
        <v>275</v>
      </c>
      <c r="M108" s="649" t="s">
        <v>592</v>
      </c>
      <c r="N108" s="649" t="s">
        <v>593</v>
      </c>
      <c r="O108" s="649"/>
      <c r="P108" s="649" t="s">
        <v>578</v>
      </c>
      <c r="Q108" s="649" t="s">
        <v>579</v>
      </c>
      <c r="R108" s="649" t="s">
        <v>580</v>
      </c>
    </row>
    <row r="109" spans="1:18" ht="90" x14ac:dyDescent="0.35">
      <c r="A109" s="649"/>
      <c r="B109" s="649"/>
      <c r="C109" s="649"/>
      <c r="D109" s="649"/>
      <c r="E109" s="649"/>
      <c r="F109" s="649"/>
      <c r="G109" s="649"/>
      <c r="H109" s="470" t="s">
        <v>581</v>
      </c>
      <c r="I109" s="470" t="s">
        <v>285</v>
      </c>
      <c r="J109" s="471" t="s">
        <v>286</v>
      </c>
      <c r="K109" s="471" t="s">
        <v>497</v>
      </c>
      <c r="L109" s="649"/>
      <c r="M109" s="649"/>
      <c r="N109" s="557" t="s">
        <v>639</v>
      </c>
      <c r="O109" s="557" t="s">
        <v>289</v>
      </c>
      <c r="P109" s="649"/>
      <c r="Q109" s="649"/>
      <c r="R109" s="649"/>
    </row>
    <row r="110" spans="1:18" s="510" customFormat="1" ht="72" x14ac:dyDescent="0.35">
      <c r="A110" s="500" t="s">
        <v>475</v>
      </c>
      <c r="B110" s="507" t="s">
        <v>293</v>
      </c>
      <c r="C110" s="507" t="s">
        <v>476</v>
      </c>
      <c r="D110" s="507" t="s">
        <v>640</v>
      </c>
      <c r="E110" s="507" t="s">
        <v>618</v>
      </c>
      <c r="F110" s="653"/>
      <c r="G110" s="653"/>
      <c r="H110" s="539">
        <f>48000</f>
        <v>48000</v>
      </c>
      <c r="I110" s="511">
        <f>+H110/$I$11</f>
        <v>15000</v>
      </c>
      <c r="J110" s="505">
        <v>1</v>
      </c>
      <c r="K110" s="505">
        <v>0</v>
      </c>
      <c r="L110" s="545" t="s">
        <v>419</v>
      </c>
      <c r="M110" s="507" t="s">
        <v>267</v>
      </c>
      <c r="N110" s="507" t="s">
        <v>70</v>
      </c>
      <c r="O110" s="507" t="s">
        <v>343</v>
      </c>
      <c r="P110" s="507" t="s">
        <v>641</v>
      </c>
      <c r="Q110" s="559"/>
      <c r="R110" s="507" t="s">
        <v>596</v>
      </c>
    </row>
    <row r="111" spans="1:18" s="510" customFormat="1" ht="72" x14ac:dyDescent="0.35">
      <c r="A111" s="500" t="s">
        <v>479</v>
      </c>
      <c r="B111" s="507" t="s">
        <v>293</v>
      </c>
      <c r="C111" s="507" t="s">
        <v>480</v>
      </c>
      <c r="D111" s="507" t="s">
        <v>481</v>
      </c>
      <c r="E111" s="507" t="s">
        <v>618</v>
      </c>
      <c r="F111" s="653"/>
      <c r="G111" s="653"/>
      <c r="H111" s="539">
        <f>30000</f>
        <v>30000</v>
      </c>
      <c r="I111" s="511">
        <f>+H111/$I$11</f>
        <v>9375</v>
      </c>
      <c r="J111" s="505">
        <v>1</v>
      </c>
      <c r="K111" s="505">
        <v>0</v>
      </c>
      <c r="L111" s="545" t="s">
        <v>318</v>
      </c>
      <c r="M111" s="507" t="s">
        <v>267</v>
      </c>
      <c r="N111" s="507" t="s">
        <v>133</v>
      </c>
      <c r="O111" s="507" t="s">
        <v>56</v>
      </c>
      <c r="P111" s="507" t="s">
        <v>642</v>
      </c>
      <c r="Q111" s="559"/>
      <c r="R111" s="507" t="s">
        <v>596</v>
      </c>
    </row>
    <row r="112" spans="1:18" s="510" customFormat="1" ht="72" x14ac:dyDescent="0.35">
      <c r="A112" s="500" t="s">
        <v>482</v>
      </c>
      <c r="B112" s="507" t="s">
        <v>293</v>
      </c>
      <c r="C112" s="507" t="s">
        <v>483</v>
      </c>
      <c r="D112" s="507" t="s">
        <v>484</v>
      </c>
      <c r="E112" s="507" t="s">
        <v>618</v>
      </c>
      <c r="F112" s="653"/>
      <c r="G112" s="653"/>
      <c r="H112" s="539">
        <f>24000</f>
        <v>24000</v>
      </c>
      <c r="I112" s="511">
        <f>+H112/$I$11</f>
        <v>7500</v>
      </c>
      <c r="J112" s="505">
        <v>0</v>
      </c>
      <c r="K112" s="505">
        <v>1</v>
      </c>
      <c r="L112" s="545" t="s">
        <v>354</v>
      </c>
      <c r="M112" s="507" t="s">
        <v>267</v>
      </c>
      <c r="N112" s="507" t="s">
        <v>70</v>
      </c>
      <c r="O112" s="507" t="s">
        <v>343</v>
      </c>
      <c r="P112" s="507" t="s">
        <v>643</v>
      </c>
      <c r="Q112" s="582"/>
      <c r="R112" s="507" t="s">
        <v>596</v>
      </c>
    </row>
    <row r="113" spans="1:21" s="510" customFormat="1" ht="72" x14ac:dyDescent="0.35">
      <c r="A113" s="500" t="s">
        <v>486</v>
      </c>
      <c r="B113" s="507" t="s">
        <v>293</v>
      </c>
      <c r="C113" s="507" t="s">
        <v>487</v>
      </c>
      <c r="D113" s="507" t="s">
        <v>488</v>
      </c>
      <c r="E113" s="507" t="s">
        <v>618</v>
      </c>
      <c r="F113" s="653"/>
      <c r="G113" s="653"/>
      <c r="H113" s="539">
        <f>24000</f>
        <v>24000</v>
      </c>
      <c r="I113" s="511">
        <f>+H113/$I$11</f>
        <v>7500</v>
      </c>
      <c r="J113" s="505">
        <v>0</v>
      </c>
      <c r="K113" s="505">
        <v>1</v>
      </c>
      <c r="L113" s="545" t="s">
        <v>354</v>
      </c>
      <c r="M113" s="507" t="s">
        <v>267</v>
      </c>
      <c r="N113" s="507" t="s">
        <v>70</v>
      </c>
      <c r="O113" s="507" t="s">
        <v>343</v>
      </c>
      <c r="P113" s="507" t="s">
        <v>643</v>
      </c>
      <c r="Q113" s="591"/>
      <c r="R113" s="507" t="s">
        <v>596</v>
      </c>
    </row>
    <row r="114" spans="1:21" s="552" customFormat="1" ht="78" customHeight="1" x14ac:dyDescent="0.35">
      <c r="A114" s="569" t="s">
        <v>728</v>
      </c>
      <c r="B114" s="568" t="s">
        <v>293</v>
      </c>
      <c r="C114" s="568" t="s">
        <v>729</v>
      </c>
      <c r="D114" s="570" t="s">
        <v>730</v>
      </c>
      <c r="E114" s="571" t="s">
        <v>618</v>
      </c>
      <c r="F114" s="653"/>
      <c r="G114" s="653"/>
      <c r="H114" s="573">
        <v>340000</v>
      </c>
      <c r="I114" s="574">
        <f>+H114/$I$11</f>
        <v>106250</v>
      </c>
      <c r="J114" s="575">
        <v>0</v>
      </c>
      <c r="K114" s="575">
        <v>1</v>
      </c>
      <c r="L114" s="568" t="s">
        <v>352</v>
      </c>
      <c r="M114" s="576" t="s">
        <v>267</v>
      </c>
      <c r="N114" s="577" t="s">
        <v>343</v>
      </c>
      <c r="O114" s="577" t="s">
        <v>89</v>
      </c>
      <c r="P114" s="576" t="s">
        <v>643</v>
      </c>
      <c r="Q114" s="576"/>
      <c r="R114" s="576" t="s">
        <v>587</v>
      </c>
      <c r="S114" s="469"/>
      <c r="T114" s="469"/>
      <c r="U114" s="469"/>
    </row>
    <row r="115" spans="1:21" x14ac:dyDescent="0.35">
      <c r="B115" s="493"/>
      <c r="C115" s="493"/>
      <c r="D115" s="493"/>
      <c r="E115" s="493"/>
      <c r="F115" s="494"/>
      <c r="G115" s="495" t="s">
        <v>590</v>
      </c>
      <c r="H115" s="496">
        <f>SUM(H110:H114)</f>
        <v>466000</v>
      </c>
      <c r="I115" s="496">
        <f>SUM(I110:I114)</f>
        <v>145625</v>
      </c>
      <c r="J115" s="497"/>
      <c r="K115" s="497"/>
      <c r="L115" s="544"/>
      <c r="M115" s="493"/>
      <c r="N115" s="493"/>
      <c r="O115" s="493"/>
      <c r="P115" s="493"/>
      <c r="Q115" s="494"/>
      <c r="R115" s="493"/>
    </row>
    <row r="118" spans="1:21" x14ac:dyDescent="0.35">
      <c r="E118" s="546"/>
      <c r="F118" s="547"/>
      <c r="G118" s="548" t="s">
        <v>644</v>
      </c>
      <c r="H118" s="549">
        <f>+H19+H59+H74+H96+H105+H115</f>
        <v>26547054.98</v>
      </c>
      <c r="I118" s="549">
        <f>+I19+I59+I74+I96+I105+I115</f>
        <v>8692258.7795872893</v>
      </c>
    </row>
    <row r="119" spans="1:21" ht="14.1" hidden="1" customHeight="1" x14ac:dyDescent="0.35">
      <c r="B119" s="656" t="s">
        <v>645</v>
      </c>
      <c r="C119" s="550" t="s">
        <v>267</v>
      </c>
    </row>
    <row r="120" spans="1:21" hidden="1" x14ac:dyDescent="0.35">
      <c r="B120" s="656"/>
      <c r="C120" s="550" t="s">
        <v>284</v>
      </c>
    </row>
    <row r="121" spans="1:21" hidden="1" x14ac:dyDescent="0.35">
      <c r="B121" s="656"/>
      <c r="C121" s="551" t="s">
        <v>292</v>
      </c>
    </row>
    <row r="122" spans="1:21" hidden="1" x14ac:dyDescent="0.35"/>
    <row r="123" spans="1:21" ht="14.1" hidden="1" customHeight="1" x14ac:dyDescent="0.35">
      <c r="B123" s="656" t="s">
        <v>580</v>
      </c>
      <c r="C123" s="550" t="s">
        <v>587</v>
      </c>
    </row>
    <row r="124" spans="1:21" hidden="1" x14ac:dyDescent="0.35">
      <c r="B124" s="656"/>
      <c r="C124" s="550" t="s">
        <v>300</v>
      </c>
    </row>
    <row r="125" spans="1:21" hidden="1" x14ac:dyDescent="0.35">
      <c r="B125" s="656"/>
      <c r="C125" s="550" t="s">
        <v>646</v>
      </c>
    </row>
    <row r="126" spans="1:21" hidden="1" x14ac:dyDescent="0.35">
      <c r="B126" s="656"/>
      <c r="C126" s="550" t="s">
        <v>596</v>
      </c>
    </row>
    <row r="127" spans="1:21" ht="36" hidden="1" x14ac:dyDescent="0.35">
      <c r="B127" s="656"/>
      <c r="C127" s="550" t="s">
        <v>647</v>
      </c>
    </row>
    <row r="128" spans="1:21" hidden="1" x14ac:dyDescent="0.35">
      <c r="B128" s="656"/>
      <c r="C128" s="550" t="s">
        <v>306</v>
      </c>
    </row>
    <row r="129" spans="2:17" ht="36" hidden="1" x14ac:dyDescent="0.35">
      <c r="B129" s="656"/>
      <c r="C129" s="550" t="s">
        <v>584</v>
      </c>
    </row>
    <row r="130" spans="2:17" hidden="1" x14ac:dyDescent="0.35">
      <c r="B130" s="656"/>
      <c r="C130" s="550" t="s">
        <v>311</v>
      </c>
      <c r="F130" s="449"/>
      <c r="H130" s="449"/>
      <c r="I130" s="449"/>
      <c r="J130" s="451"/>
      <c r="K130" s="451"/>
      <c r="Q130" s="449"/>
    </row>
    <row r="131" spans="2:17" hidden="1" x14ac:dyDescent="0.35">
      <c r="F131" s="449"/>
      <c r="H131" s="449"/>
      <c r="I131" s="449"/>
      <c r="J131" s="451"/>
      <c r="K131" s="451"/>
      <c r="Q131" s="449"/>
    </row>
    <row r="132" spans="2:17" ht="20.85" hidden="1" customHeight="1" x14ac:dyDescent="0.35">
      <c r="B132" s="657" t="s">
        <v>648</v>
      </c>
      <c r="C132" s="658" t="s">
        <v>649</v>
      </c>
      <c r="D132" s="550" t="s">
        <v>413</v>
      </c>
      <c r="F132" s="449"/>
      <c r="H132" s="449"/>
      <c r="I132" s="449"/>
      <c r="J132" s="451"/>
      <c r="K132" s="451"/>
      <c r="Q132" s="449"/>
    </row>
    <row r="133" spans="2:17" ht="36" hidden="1" x14ac:dyDescent="0.35">
      <c r="B133" s="657"/>
      <c r="C133" s="658"/>
      <c r="D133" s="550" t="s">
        <v>631</v>
      </c>
      <c r="F133" s="449"/>
      <c r="H133" s="449"/>
      <c r="I133" s="449"/>
      <c r="J133" s="451"/>
      <c r="K133" s="451"/>
      <c r="Q133" s="449"/>
    </row>
    <row r="134" spans="2:17" ht="54" hidden="1" x14ac:dyDescent="0.35">
      <c r="B134" s="657"/>
      <c r="C134" s="658"/>
      <c r="D134" s="550" t="s">
        <v>408</v>
      </c>
      <c r="F134" s="449"/>
      <c r="H134" s="449"/>
      <c r="I134" s="449"/>
      <c r="J134" s="451"/>
      <c r="K134" s="451"/>
      <c r="Q134" s="449"/>
    </row>
    <row r="135" spans="2:17" hidden="1" x14ac:dyDescent="0.35">
      <c r="B135" s="657"/>
      <c r="C135" s="658"/>
      <c r="D135" s="550" t="s">
        <v>409</v>
      </c>
      <c r="F135" s="449"/>
      <c r="H135" s="449"/>
      <c r="I135" s="449"/>
      <c r="J135" s="451"/>
      <c r="K135" s="451"/>
      <c r="Q135" s="449"/>
    </row>
    <row r="136" spans="2:17" hidden="1" x14ac:dyDescent="0.35">
      <c r="B136" s="657"/>
      <c r="C136" s="658"/>
      <c r="D136" s="550" t="s">
        <v>618</v>
      </c>
      <c r="F136" s="449"/>
      <c r="H136" s="449"/>
      <c r="I136" s="449"/>
      <c r="J136" s="451"/>
      <c r="K136" s="451"/>
      <c r="Q136" s="449"/>
    </row>
    <row r="137" spans="2:17" ht="36" hidden="1" x14ac:dyDescent="0.35">
      <c r="B137" s="657"/>
      <c r="C137" s="658"/>
      <c r="D137" s="550" t="s">
        <v>650</v>
      </c>
      <c r="F137" s="449"/>
      <c r="H137" s="449"/>
      <c r="I137" s="449"/>
      <c r="J137" s="451"/>
      <c r="K137" s="451"/>
      <c r="Q137" s="449"/>
    </row>
    <row r="138" spans="2:17" ht="36" hidden="1" x14ac:dyDescent="0.35">
      <c r="B138" s="657"/>
      <c r="C138" s="658"/>
      <c r="D138" s="550" t="s">
        <v>651</v>
      </c>
      <c r="F138" s="449"/>
      <c r="H138" s="449"/>
      <c r="I138" s="449"/>
      <c r="J138" s="451"/>
      <c r="K138" s="451"/>
      <c r="Q138" s="449"/>
    </row>
    <row r="139" spans="2:17" ht="14.1" hidden="1" customHeight="1" x14ac:dyDescent="0.35">
      <c r="B139" s="657"/>
      <c r="C139" s="659" t="s">
        <v>652</v>
      </c>
      <c r="D139" s="550" t="s">
        <v>653</v>
      </c>
      <c r="F139" s="449"/>
      <c r="H139" s="449"/>
      <c r="I139" s="449"/>
      <c r="J139" s="451"/>
      <c r="K139" s="451"/>
      <c r="Q139" s="449"/>
    </row>
    <row r="140" spans="2:17" hidden="1" x14ac:dyDescent="0.35">
      <c r="B140" s="657"/>
      <c r="C140" s="659"/>
      <c r="D140" s="550" t="s">
        <v>323</v>
      </c>
      <c r="F140" s="449"/>
      <c r="H140" s="449"/>
      <c r="I140" s="449"/>
      <c r="J140" s="451"/>
      <c r="K140" s="451"/>
      <c r="Q140" s="449"/>
    </row>
    <row r="141" spans="2:17" hidden="1" x14ac:dyDescent="0.35">
      <c r="B141" s="657"/>
      <c r="C141" s="659"/>
      <c r="D141" s="550" t="s">
        <v>614</v>
      </c>
      <c r="F141" s="449"/>
      <c r="H141" s="449"/>
      <c r="I141" s="449"/>
      <c r="J141" s="451"/>
      <c r="K141" s="451"/>
      <c r="Q141" s="449"/>
    </row>
    <row r="142" spans="2:17" hidden="1" x14ac:dyDescent="0.35">
      <c r="B142" s="657"/>
      <c r="C142" s="659"/>
      <c r="D142" s="550" t="s">
        <v>409</v>
      </c>
      <c r="F142" s="449"/>
      <c r="H142" s="449"/>
      <c r="I142" s="449"/>
      <c r="J142" s="451"/>
      <c r="K142" s="451"/>
      <c r="Q142" s="449"/>
    </row>
    <row r="143" spans="2:17" hidden="1" x14ac:dyDescent="0.35">
      <c r="B143" s="657"/>
      <c r="C143" s="659"/>
      <c r="D143" s="550" t="s">
        <v>618</v>
      </c>
      <c r="F143" s="449"/>
      <c r="H143" s="449"/>
      <c r="I143" s="449"/>
      <c r="J143" s="451"/>
      <c r="K143" s="451"/>
      <c r="Q143" s="449"/>
    </row>
    <row r="144" spans="2:17" ht="36" hidden="1" x14ac:dyDescent="0.35">
      <c r="B144" s="657"/>
      <c r="C144" s="659"/>
      <c r="D144" s="550" t="s">
        <v>654</v>
      </c>
      <c r="F144" s="449"/>
      <c r="H144" s="449"/>
      <c r="I144" s="449"/>
      <c r="J144" s="451"/>
      <c r="K144" s="451"/>
      <c r="Q144" s="449"/>
    </row>
    <row r="145" spans="2:17" ht="54" hidden="1" x14ac:dyDescent="0.35">
      <c r="B145" s="657"/>
      <c r="C145" s="659"/>
      <c r="D145" s="550" t="s">
        <v>655</v>
      </c>
      <c r="F145" s="449"/>
      <c r="H145" s="449"/>
      <c r="I145" s="449"/>
      <c r="J145" s="451"/>
      <c r="K145" s="451"/>
      <c r="Q145" s="449"/>
    </row>
    <row r="146" spans="2:17" ht="36" hidden="1" x14ac:dyDescent="0.35">
      <c r="B146" s="657"/>
      <c r="C146" s="659"/>
      <c r="D146" s="550" t="s">
        <v>384</v>
      </c>
      <c r="F146" s="449"/>
      <c r="H146" s="449"/>
      <c r="I146" s="449"/>
      <c r="J146" s="451"/>
      <c r="K146" s="451"/>
      <c r="Q146" s="449"/>
    </row>
    <row r="147" spans="2:17" ht="36" hidden="1" x14ac:dyDescent="0.35">
      <c r="B147" s="657"/>
      <c r="C147" s="659"/>
      <c r="D147" s="550" t="s">
        <v>401</v>
      </c>
      <c r="F147" s="449"/>
      <c r="H147" s="449"/>
      <c r="I147" s="449"/>
      <c r="J147" s="451"/>
      <c r="K147" s="451"/>
      <c r="Q147" s="449"/>
    </row>
    <row r="148" spans="2:17" ht="54" hidden="1" x14ac:dyDescent="0.35">
      <c r="B148" s="657"/>
      <c r="C148" s="659"/>
      <c r="D148" s="550" t="s">
        <v>656</v>
      </c>
      <c r="F148" s="449"/>
      <c r="H148" s="449"/>
      <c r="I148" s="449"/>
      <c r="J148" s="451"/>
      <c r="K148" s="451"/>
      <c r="Q148" s="449"/>
    </row>
    <row r="149" spans="2:17" ht="14.1" hidden="1" customHeight="1" x14ac:dyDescent="0.35">
      <c r="B149" s="657"/>
      <c r="C149" s="659" t="s">
        <v>657</v>
      </c>
      <c r="D149" s="550" t="s">
        <v>638</v>
      </c>
      <c r="F149" s="449"/>
      <c r="H149" s="449"/>
      <c r="I149" s="449"/>
      <c r="J149" s="451"/>
      <c r="K149" s="451"/>
      <c r="Q149" s="449"/>
    </row>
    <row r="150" spans="2:17" hidden="1" x14ac:dyDescent="0.35">
      <c r="B150" s="657"/>
      <c r="C150" s="659"/>
      <c r="D150" s="550" t="s">
        <v>409</v>
      </c>
      <c r="F150" s="449"/>
      <c r="H150" s="449"/>
      <c r="I150" s="449"/>
      <c r="J150" s="451"/>
      <c r="K150" s="451"/>
      <c r="Q150" s="449"/>
    </row>
    <row r="151" spans="2:17" hidden="1" x14ac:dyDescent="0.35">
      <c r="B151" s="657"/>
      <c r="C151" s="659"/>
      <c r="D151" s="550" t="s">
        <v>618</v>
      </c>
      <c r="F151" s="449"/>
      <c r="H151" s="449"/>
      <c r="I151" s="449"/>
      <c r="J151" s="451"/>
      <c r="K151" s="451"/>
      <c r="Q151" s="449"/>
    </row>
    <row r="152" spans="2:17" hidden="1" x14ac:dyDescent="0.35"/>
    <row r="153" spans="2:17" hidden="1" x14ac:dyDescent="0.35"/>
    <row r="154" spans="2:17" hidden="1" x14ac:dyDescent="0.35"/>
  </sheetData>
  <sheetProtection selectLockedCells="1" selectUnlockedCells="1"/>
  <mergeCells count="125">
    <mergeCell ref="L13:L14"/>
    <mergeCell ref="M13:M14"/>
    <mergeCell ref="N13:O13"/>
    <mergeCell ref="P13:P14"/>
    <mergeCell ref="Q13:Q14"/>
    <mergeCell ref="R13:R14"/>
    <mergeCell ref="A6:C6"/>
    <mergeCell ref="A12:R12"/>
    <mergeCell ref="A13:A14"/>
    <mergeCell ref="B13:B14"/>
    <mergeCell ref="C13:C14"/>
    <mergeCell ref="D13:D14"/>
    <mergeCell ref="E13:E14"/>
    <mergeCell ref="F13:F14"/>
    <mergeCell ref="G13:G14"/>
    <mergeCell ref="I13:K13"/>
    <mergeCell ref="G11:H11"/>
    <mergeCell ref="M22:M23"/>
    <mergeCell ref="N22:O22"/>
    <mergeCell ref="P22:P23"/>
    <mergeCell ref="Q22:Q23"/>
    <mergeCell ref="R22:R23"/>
    <mergeCell ref="F59:G59"/>
    <mergeCell ref="A21:R21"/>
    <mergeCell ref="A22:A23"/>
    <mergeCell ref="B22:B23"/>
    <mergeCell ref="C22:C23"/>
    <mergeCell ref="D22:D23"/>
    <mergeCell ref="E22:E23"/>
    <mergeCell ref="F22:F23"/>
    <mergeCell ref="G22:G23"/>
    <mergeCell ref="I22:K22"/>
    <mergeCell ref="L22:L23"/>
    <mergeCell ref="M62:M63"/>
    <mergeCell ref="N62:O62"/>
    <mergeCell ref="P62:P63"/>
    <mergeCell ref="Q62:Q63"/>
    <mergeCell ref="R62:R63"/>
    <mergeCell ref="F74:G74"/>
    <mergeCell ref="A61:R61"/>
    <mergeCell ref="A62:A63"/>
    <mergeCell ref="B62:B63"/>
    <mergeCell ref="C62:C63"/>
    <mergeCell ref="D62:D63"/>
    <mergeCell ref="E62:E63"/>
    <mergeCell ref="F62:F63"/>
    <mergeCell ref="G62:G63"/>
    <mergeCell ref="I62:K62"/>
    <mergeCell ref="L62:L63"/>
    <mergeCell ref="N77:O77"/>
    <mergeCell ref="P77:P78"/>
    <mergeCell ref="Q77:Q78"/>
    <mergeCell ref="R77:R78"/>
    <mergeCell ref="F78:G78"/>
    <mergeCell ref="F79:G79"/>
    <mergeCell ref="A76:R76"/>
    <mergeCell ref="A77:A78"/>
    <mergeCell ref="B77:B78"/>
    <mergeCell ref="C77:C78"/>
    <mergeCell ref="D77:D78"/>
    <mergeCell ref="E77:E78"/>
    <mergeCell ref="F77:G77"/>
    <mergeCell ref="I77:K77"/>
    <mergeCell ref="L77:L78"/>
    <mergeCell ref="M77:M78"/>
    <mergeCell ref="F86:G86"/>
    <mergeCell ref="F87:G87"/>
    <mergeCell ref="F88:G88"/>
    <mergeCell ref="F89:G89"/>
    <mergeCell ref="F90:G90"/>
    <mergeCell ref="F91:G91"/>
    <mergeCell ref="F80:G80"/>
    <mergeCell ref="F81:G81"/>
    <mergeCell ref="F82:G82"/>
    <mergeCell ref="F83:G83"/>
    <mergeCell ref="F84:G84"/>
    <mergeCell ref="F85:G85"/>
    <mergeCell ref="P99:P100"/>
    <mergeCell ref="A99:A100"/>
    <mergeCell ref="B99:B100"/>
    <mergeCell ref="C99:C100"/>
    <mergeCell ref="D99:D100"/>
    <mergeCell ref="E99:E100"/>
    <mergeCell ref="F99:G100"/>
    <mergeCell ref="F92:G92"/>
    <mergeCell ref="F93:G93"/>
    <mergeCell ref="F94:G94"/>
    <mergeCell ref="F95:G95"/>
    <mergeCell ref="F96:G96"/>
    <mergeCell ref="A98:R98"/>
    <mergeCell ref="R99:R100"/>
    <mergeCell ref="Q99:Q100"/>
    <mergeCell ref="F108:G109"/>
    <mergeCell ref="F101:G101"/>
    <mergeCell ref="F102:G102"/>
    <mergeCell ref="F103:G103"/>
    <mergeCell ref="F104:G104"/>
    <mergeCell ref="H99:K99"/>
    <mergeCell ref="L99:L100"/>
    <mergeCell ref="M99:M100"/>
    <mergeCell ref="N99:O99"/>
    <mergeCell ref="F113:G113"/>
    <mergeCell ref="B123:B130"/>
    <mergeCell ref="B132:B151"/>
    <mergeCell ref="C132:C138"/>
    <mergeCell ref="C139:C148"/>
    <mergeCell ref="C149:C151"/>
    <mergeCell ref="A107:R107"/>
    <mergeCell ref="R108:R109"/>
    <mergeCell ref="F110:G110"/>
    <mergeCell ref="F111:G111"/>
    <mergeCell ref="F112:G112"/>
    <mergeCell ref="F114:G114"/>
    <mergeCell ref="B119:B121"/>
    <mergeCell ref="I108:K108"/>
    <mergeCell ref="L108:L109"/>
    <mergeCell ref="M108:M109"/>
    <mergeCell ref="N108:O108"/>
    <mergeCell ref="P108:P109"/>
    <mergeCell ref="Q108:Q109"/>
    <mergeCell ref="A108:A109"/>
    <mergeCell ref="B108:B109"/>
    <mergeCell ref="C108:C109"/>
    <mergeCell ref="D108:D109"/>
    <mergeCell ref="E108:E109"/>
  </mergeCells>
  <dataValidations count="8">
    <dataValidation type="list" allowBlank="1" showErrorMessage="1" sqref="E64:E74 E59 E19" xr:uid="{00000000-0002-0000-0A00-000000000000}">
      <formula1>$D$144:$D$153</formula1>
      <formula2>0</formula2>
    </dataValidation>
    <dataValidation type="list" allowBlank="1" showErrorMessage="1" sqref="E101:E105" xr:uid="{00000000-0002-0000-0A00-000001000000}">
      <formula1>$D$154:$D$156</formula1>
      <formula2>0</formula2>
    </dataValidation>
    <dataValidation type="list" allowBlank="1" showErrorMessage="1" sqref="E79:E81 E110:E114 E83:E96" xr:uid="{00000000-0002-0000-0A00-000002000000}">
      <formula1>$D$137:$D$143</formula1>
      <formula2>0</formula2>
    </dataValidation>
    <dataValidation type="list" allowBlank="1" showErrorMessage="1" sqref="E115 M115" xr:uid="{00000000-0002-0000-0A00-000003000000}">
      <formula1>#REF!</formula1>
      <formula2>0</formula2>
    </dataValidation>
    <dataValidation type="list" allowBlank="1" showErrorMessage="1" sqref="R110:R114 R64:R74 R24:R59 R79:R96 R15:R19 R101:R105" xr:uid="{00000000-0002-0000-0A00-000004000000}">
      <formula1>$C$128:$C$135</formula1>
      <formula2>0</formula2>
    </dataValidation>
    <dataValidation type="list" allowBlank="1" showErrorMessage="1" sqref="M79:M96 M64:M74 M101:M105 M110:M114 M15:M19 M24:M49 M51:M59" xr:uid="{00000000-0002-0000-0A00-000005000000}">
      <formula1>$C$124:$C$126</formula1>
      <formula2>0</formula2>
    </dataValidation>
    <dataValidation type="list" allowBlank="1" showErrorMessage="1" sqref="E26:E58 E24" xr:uid="{00000000-0002-0000-0A00-000006000000}">
      <formula1>$X$20:$X$24</formula1>
      <formula2>0</formula2>
    </dataValidation>
    <dataValidation type="list" allowBlank="1" showErrorMessage="1" sqref="E15:E17" xr:uid="{00000000-0002-0000-0A00-000007000000}">
      <formula1>$X$81:$X$114</formula1>
      <formula2>0</formula2>
    </dataValidation>
  </dataValidations>
  <pageMargins left="0" right="0" top="0.74803149606299213" bottom="0.74803149606299213" header="0.51181102362204722" footer="0.51181102362204722"/>
  <pageSetup scale="48" firstPageNumber="0" fitToHeight="18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  <pageSetUpPr fitToPage="1"/>
  </sheetPr>
  <dimension ref="A1:U158"/>
  <sheetViews>
    <sheetView showGridLines="0" tabSelected="1" zoomScale="80" zoomScaleNormal="80" workbookViewId="0">
      <selection activeCell="I167" sqref="I167"/>
    </sheetView>
  </sheetViews>
  <sheetFormatPr defaultColWidth="9.109375" defaultRowHeight="18" x14ac:dyDescent="0.35"/>
  <cols>
    <col min="1" max="1" width="5.6640625" style="449" customWidth="1"/>
    <col min="2" max="2" width="9.5546875" style="449" customWidth="1"/>
    <col min="3" max="3" width="23.33203125" style="449" customWidth="1"/>
    <col min="4" max="4" width="30.6640625" style="449" customWidth="1"/>
    <col min="5" max="5" width="24.109375" style="449" customWidth="1"/>
    <col min="6" max="6" width="10.44140625" style="451" customWidth="1"/>
    <col min="7" max="7" width="12.88671875" style="449" customWidth="1"/>
    <col min="8" max="8" width="16.6640625" style="452" bestFit="1" customWidth="1"/>
    <col min="9" max="9" width="15.6640625" style="452" customWidth="1"/>
    <col min="10" max="10" width="11.33203125" style="453" customWidth="1"/>
    <col min="11" max="11" width="12.5546875" style="453" customWidth="1"/>
    <col min="12" max="12" width="12.6640625" style="449" customWidth="1"/>
    <col min="13" max="13" width="15.5546875" style="449" customWidth="1"/>
    <col min="14" max="14" width="14.5546875" style="449" customWidth="1"/>
    <col min="15" max="15" width="12.88671875" style="449" customWidth="1"/>
    <col min="16" max="16" width="18.88671875" style="449" customWidth="1"/>
    <col min="17" max="17" width="10.44140625" style="451" customWidth="1"/>
    <col min="18" max="18" width="18.88671875" style="449" customWidth="1"/>
    <col min="19" max="16384" width="9.109375" style="449"/>
  </cols>
  <sheetData>
    <row r="1" spans="1:21" x14ac:dyDescent="0.35">
      <c r="B1" s="450"/>
      <c r="P1" s="454"/>
      <c r="Q1" s="454"/>
      <c r="R1" s="455"/>
    </row>
    <row r="2" spans="1:21" x14ac:dyDescent="0.35">
      <c r="P2" s="454"/>
      <c r="Q2" s="454"/>
      <c r="R2" s="455"/>
    </row>
    <row r="3" spans="1:21" x14ac:dyDescent="0.35">
      <c r="P3" s="456"/>
      <c r="Q3" s="456"/>
      <c r="R3" s="457"/>
    </row>
    <row r="4" spans="1:21" x14ac:dyDescent="0.35">
      <c r="P4" s="456"/>
      <c r="Q4" s="456"/>
      <c r="R4" s="457"/>
    </row>
    <row r="5" spans="1:21" x14ac:dyDescent="0.35">
      <c r="P5" s="456"/>
      <c r="Q5" s="456"/>
      <c r="R5" s="457"/>
    </row>
    <row r="6" spans="1:21" x14ac:dyDescent="0.35">
      <c r="A6" s="647" t="s">
        <v>567</v>
      </c>
      <c r="B6" s="647"/>
      <c r="C6" s="647"/>
      <c r="Q6" s="458" t="s">
        <v>2</v>
      </c>
    </row>
    <row r="7" spans="1:21" x14ac:dyDescent="0.35">
      <c r="A7" s="459" t="s">
        <v>568</v>
      </c>
      <c r="G7" s="460" t="s">
        <v>734</v>
      </c>
      <c r="Q7" s="458" t="s">
        <v>5</v>
      </c>
    </row>
    <row r="8" spans="1:21" x14ac:dyDescent="0.35">
      <c r="A8" s="459" t="s">
        <v>569</v>
      </c>
      <c r="G8" s="460" t="s">
        <v>735</v>
      </c>
      <c r="Q8" s="458" t="s">
        <v>7</v>
      </c>
    </row>
    <row r="9" spans="1:21" x14ac:dyDescent="0.35">
      <c r="A9" s="460" t="s">
        <v>570</v>
      </c>
      <c r="G9" s="460" t="s">
        <v>516</v>
      </c>
      <c r="Q9" s="461" t="s">
        <v>221</v>
      </c>
    </row>
    <row r="10" spans="1:21" x14ac:dyDescent="0.35">
      <c r="B10" s="462"/>
    </row>
    <row r="11" spans="1:21" x14ac:dyDescent="0.35">
      <c r="A11" s="463"/>
      <c r="B11" s="464"/>
      <c r="C11" s="464"/>
      <c r="D11" s="464"/>
      <c r="E11" s="464"/>
      <c r="F11" s="465"/>
      <c r="G11" s="664" t="s">
        <v>571</v>
      </c>
      <c r="H11" s="664"/>
      <c r="I11" s="467">
        <v>3.2</v>
      </c>
      <c r="J11" s="467"/>
      <c r="K11" s="468"/>
      <c r="L11" s="464"/>
      <c r="M11" s="464"/>
      <c r="N11" s="464"/>
      <c r="O11" s="464"/>
      <c r="P11" s="464"/>
      <c r="Q11" s="465"/>
      <c r="R11" s="464"/>
      <c r="S11" s="469"/>
      <c r="T11" s="469"/>
      <c r="U11" s="469"/>
    </row>
    <row r="12" spans="1:21" ht="15.6" customHeight="1" x14ac:dyDescent="0.35">
      <c r="A12" s="648" t="s">
        <v>266</v>
      </c>
      <c r="B12" s="648"/>
      <c r="C12" s="648"/>
      <c r="D12" s="648"/>
      <c r="E12" s="648"/>
      <c r="F12" s="648"/>
      <c r="G12" s="648"/>
      <c r="H12" s="648"/>
      <c r="I12" s="648"/>
      <c r="J12" s="648"/>
      <c r="K12" s="648"/>
      <c r="L12" s="648"/>
      <c r="M12" s="648"/>
      <c r="N12" s="648"/>
      <c r="O12" s="648"/>
      <c r="P12" s="648"/>
      <c r="Q12" s="648"/>
      <c r="R12" s="648"/>
      <c r="S12" s="469"/>
      <c r="T12" s="469"/>
      <c r="U12" s="469"/>
    </row>
    <row r="13" spans="1:21" ht="15" customHeight="1" x14ac:dyDescent="0.35">
      <c r="A13" s="649" t="s">
        <v>268</v>
      </c>
      <c r="B13" s="649" t="s">
        <v>269</v>
      </c>
      <c r="C13" s="649" t="s">
        <v>572</v>
      </c>
      <c r="D13" s="649" t="s">
        <v>271</v>
      </c>
      <c r="E13" s="649" t="s">
        <v>708</v>
      </c>
      <c r="F13" s="649" t="s">
        <v>573</v>
      </c>
      <c r="G13" s="649" t="s">
        <v>452</v>
      </c>
      <c r="H13" s="470"/>
      <c r="I13" s="650" t="s">
        <v>574</v>
      </c>
      <c r="J13" s="650"/>
      <c r="K13" s="650"/>
      <c r="L13" s="649" t="s">
        <v>575</v>
      </c>
      <c r="M13" s="649" t="s">
        <v>576</v>
      </c>
      <c r="N13" s="649" t="s">
        <v>577</v>
      </c>
      <c r="O13" s="649"/>
      <c r="P13" s="649" t="s">
        <v>578</v>
      </c>
      <c r="Q13" s="649" t="s">
        <v>579</v>
      </c>
      <c r="R13" s="649" t="s">
        <v>580</v>
      </c>
      <c r="S13" s="469"/>
      <c r="T13" s="469"/>
      <c r="U13" s="469"/>
    </row>
    <row r="14" spans="1:21" ht="90" x14ac:dyDescent="0.35">
      <c r="A14" s="649"/>
      <c r="B14" s="649"/>
      <c r="C14" s="649"/>
      <c r="D14" s="649"/>
      <c r="E14" s="649"/>
      <c r="F14" s="649"/>
      <c r="G14" s="649"/>
      <c r="H14" s="470" t="s">
        <v>581</v>
      </c>
      <c r="I14" s="470" t="s">
        <v>285</v>
      </c>
      <c r="J14" s="471" t="s">
        <v>286</v>
      </c>
      <c r="K14" s="471" t="s">
        <v>497</v>
      </c>
      <c r="L14" s="649"/>
      <c r="M14" s="649"/>
      <c r="N14" s="598" t="s">
        <v>582</v>
      </c>
      <c r="O14" s="598" t="s">
        <v>289</v>
      </c>
      <c r="P14" s="649"/>
      <c r="Q14" s="649"/>
      <c r="R14" s="649"/>
      <c r="S14" s="469"/>
      <c r="T14" s="469"/>
      <c r="U14" s="469"/>
    </row>
    <row r="15" spans="1:21" ht="72" x14ac:dyDescent="0.35">
      <c r="A15" s="481" t="s">
        <v>161</v>
      </c>
      <c r="B15" s="474" t="s">
        <v>293</v>
      </c>
      <c r="C15" s="474" t="s">
        <v>294</v>
      </c>
      <c r="D15" s="474" t="s">
        <v>295</v>
      </c>
      <c r="E15" s="474" t="s">
        <v>267</v>
      </c>
      <c r="F15" s="600">
        <v>1</v>
      </c>
      <c r="G15" s="476" t="s">
        <v>296</v>
      </c>
      <c r="H15" s="477">
        <v>3583375.98</v>
      </c>
      <c r="I15" s="477">
        <v>1300000</v>
      </c>
      <c r="J15" s="478">
        <v>0</v>
      </c>
      <c r="K15" s="478">
        <v>1</v>
      </c>
      <c r="L15" s="479" t="s">
        <v>297</v>
      </c>
      <c r="M15" s="476" t="s">
        <v>267</v>
      </c>
      <c r="N15" s="601" t="s">
        <v>146</v>
      </c>
      <c r="O15" s="601" t="s">
        <v>96</v>
      </c>
      <c r="P15" s="474" t="s">
        <v>583</v>
      </c>
      <c r="Q15" s="600" t="s">
        <v>298</v>
      </c>
      <c r="R15" s="578" t="s">
        <v>311</v>
      </c>
      <c r="S15" s="469"/>
      <c r="T15" s="469"/>
      <c r="U15" s="469"/>
    </row>
    <row r="16" spans="1:21" ht="72" x14ac:dyDescent="0.35">
      <c r="A16" s="481" t="s">
        <v>301</v>
      </c>
      <c r="B16" s="474" t="s">
        <v>293</v>
      </c>
      <c r="C16" s="474" t="s">
        <v>302</v>
      </c>
      <c r="D16" s="474" t="s">
        <v>585</v>
      </c>
      <c r="E16" s="474" t="s">
        <v>267</v>
      </c>
      <c r="F16" s="600">
        <v>1</v>
      </c>
      <c r="G16" s="476"/>
      <c r="H16" s="477">
        <v>440000</v>
      </c>
      <c r="I16" s="477">
        <f>+H16/$I$11</f>
        <v>137500</v>
      </c>
      <c r="J16" s="478">
        <v>0</v>
      </c>
      <c r="K16" s="478">
        <v>1</v>
      </c>
      <c r="L16" s="479" t="s">
        <v>304</v>
      </c>
      <c r="M16" s="476" t="s">
        <v>267</v>
      </c>
      <c r="N16" s="601" t="s">
        <v>89</v>
      </c>
      <c r="O16" s="601" t="s">
        <v>717</v>
      </c>
      <c r="P16" s="474" t="s">
        <v>586</v>
      </c>
      <c r="Q16" s="600" t="s">
        <v>298</v>
      </c>
      <c r="R16" s="476" t="s">
        <v>587</v>
      </c>
      <c r="S16" s="469"/>
      <c r="T16" s="469"/>
      <c r="U16" s="469"/>
    </row>
    <row r="17" spans="1:21" s="552" customFormat="1" ht="72" x14ac:dyDescent="0.35">
      <c r="A17" s="481" t="s">
        <v>588</v>
      </c>
      <c r="B17" s="474" t="s">
        <v>293</v>
      </c>
      <c r="C17" s="474" t="s">
        <v>589</v>
      </c>
      <c r="D17" s="474" t="s">
        <v>589</v>
      </c>
      <c r="E17" s="474" t="s">
        <v>267</v>
      </c>
      <c r="F17" s="600">
        <v>1</v>
      </c>
      <c r="G17" s="476"/>
      <c r="H17" s="477">
        <v>1400000</v>
      </c>
      <c r="I17" s="477">
        <f>+H17/$I$11</f>
        <v>437500</v>
      </c>
      <c r="J17" s="478">
        <v>0</v>
      </c>
      <c r="K17" s="478">
        <v>1</v>
      </c>
      <c r="L17" s="479" t="s">
        <v>328</v>
      </c>
      <c r="M17" s="476" t="s">
        <v>267</v>
      </c>
      <c r="N17" s="601" t="s">
        <v>343</v>
      </c>
      <c r="O17" s="601" t="s">
        <v>59</v>
      </c>
      <c r="P17" s="474" t="s">
        <v>586</v>
      </c>
      <c r="Q17" s="600" t="s">
        <v>298</v>
      </c>
      <c r="R17" s="476" t="s">
        <v>587</v>
      </c>
      <c r="S17" s="469"/>
      <c r="T17" s="469"/>
      <c r="U17" s="469"/>
    </row>
    <row r="18" spans="1:21" s="552" customFormat="1" ht="72" x14ac:dyDescent="0.35">
      <c r="A18" s="481" t="s">
        <v>697</v>
      </c>
      <c r="B18" s="474" t="s">
        <v>293</v>
      </c>
      <c r="C18" s="474" t="s">
        <v>698</v>
      </c>
      <c r="D18" s="474" t="s">
        <v>698</v>
      </c>
      <c r="E18" s="474" t="s">
        <v>267</v>
      </c>
      <c r="F18" s="600">
        <v>1</v>
      </c>
      <c r="G18" s="476"/>
      <c r="H18" s="477">
        <v>206000</v>
      </c>
      <c r="I18" s="477">
        <f>+H18/$I$11</f>
        <v>64375</v>
      </c>
      <c r="J18" s="478">
        <v>0</v>
      </c>
      <c r="K18" s="478">
        <v>1</v>
      </c>
      <c r="L18" s="479" t="s">
        <v>297</v>
      </c>
      <c r="M18" s="479" t="s">
        <v>267</v>
      </c>
      <c r="N18" s="601" t="s">
        <v>231</v>
      </c>
      <c r="O18" s="601" t="s">
        <v>70</v>
      </c>
      <c r="P18" s="527" t="s">
        <v>586</v>
      </c>
      <c r="Q18" s="600" t="s">
        <v>298</v>
      </c>
      <c r="R18" s="476" t="s">
        <v>311</v>
      </c>
      <c r="S18" s="469"/>
      <c r="T18" s="469"/>
      <c r="U18" s="469"/>
    </row>
    <row r="19" spans="1:21" x14ac:dyDescent="0.35">
      <c r="B19" s="493"/>
      <c r="C19" s="493"/>
      <c r="D19" s="493"/>
      <c r="E19" s="493"/>
      <c r="F19" s="494"/>
      <c r="G19" s="495" t="s">
        <v>590</v>
      </c>
      <c r="H19" s="496">
        <f>SUM(H15:H18)</f>
        <v>5629375.9800000004</v>
      </c>
      <c r="I19" s="496">
        <f>SUM(I15:I18)</f>
        <v>1939375</v>
      </c>
      <c r="J19" s="497"/>
      <c r="K19" s="497"/>
      <c r="L19" s="493"/>
      <c r="M19" s="493"/>
      <c r="N19" s="493"/>
      <c r="O19" s="493"/>
      <c r="P19" s="493"/>
      <c r="Q19" s="494"/>
      <c r="R19" s="493"/>
      <c r="S19" s="469"/>
      <c r="T19" s="469"/>
      <c r="U19" s="469"/>
    </row>
    <row r="21" spans="1:21" ht="15.6" customHeight="1" x14ac:dyDescent="0.35">
      <c r="A21" s="648" t="s">
        <v>307</v>
      </c>
      <c r="B21" s="648"/>
      <c r="C21" s="648"/>
      <c r="D21" s="648"/>
      <c r="E21" s="648"/>
      <c r="F21" s="648"/>
      <c r="G21" s="648"/>
      <c r="H21" s="648"/>
      <c r="I21" s="648"/>
      <c r="J21" s="648"/>
      <c r="K21" s="648"/>
      <c r="L21" s="648"/>
      <c r="M21" s="648"/>
      <c r="N21" s="648"/>
      <c r="O21" s="648"/>
      <c r="P21" s="648"/>
      <c r="Q21" s="648"/>
      <c r="R21" s="648"/>
      <c r="S21" s="469"/>
      <c r="T21" s="469"/>
      <c r="U21" s="469"/>
    </row>
    <row r="22" spans="1:21" ht="15" customHeight="1" x14ac:dyDescent="0.35">
      <c r="A22" s="649" t="s">
        <v>268</v>
      </c>
      <c r="B22" s="649" t="s">
        <v>269</v>
      </c>
      <c r="C22" s="649" t="s">
        <v>591</v>
      </c>
      <c r="D22" s="649" t="s">
        <v>271</v>
      </c>
      <c r="E22" s="649" t="s">
        <v>708</v>
      </c>
      <c r="F22" s="649" t="s">
        <v>573</v>
      </c>
      <c r="G22" s="649" t="s">
        <v>452</v>
      </c>
      <c r="H22" s="470"/>
      <c r="I22" s="650" t="s">
        <v>274</v>
      </c>
      <c r="J22" s="650"/>
      <c r="K22" s="650"/>
      <c r="L22" s="649" t="s">
        <v>275</v>
      </c>
      <c r="M22" s="649" t="s">
        <v>592</v>
      </c>
      <c r="N22" s="649" t="s">
        <v>593</v>
      </c>
      <c r="O22" s="649"/>
      <c r="P22" s="649" t="s">
        <v>578</v>
      </c>
      <c r="Q22" s="649" t="s">
        <v>579</v>
      </c>
      <c r="R22" s="649" t="s">
        <v>580</v>
      </c>
      <c r="S22" s="469"/>
      <c r="T22" s="469"/>
      <c r="U22" s="469"/>
    </row>
    <row r="23" spans="1:21" ht="90" x14ac:dyDescent="0.35">
      <c r="A23" s="649"/>
      <c r="B23" s="649"/>
      <c r="C23" s="649"/>
      <c r="D23" s="649"/>
      <c r="E23" s="649"/>
      <c r="F23" s="649"/>
      <c r="G23" s="649"/>
      <c r="H23" s="470" t="s">
        <v>581</v>
      </c>
      <c r="I23" s="470" t="s">
        <v>285</v>
      </c>
      <c r="J23" s="471" t="s">
        <v>286</v>
      </c>
      <c r="K23" s="471" t="s">
        <v>497</v>
      </c>
      <c r="L23" s="649"/>
      <c r="M23" s="649"/>
      <c r="N23" s="598" t="s">
        <v>582</v>
      </c>
      <c r="O23" s="598" t="s">
        <v>289</v>
      </c>
      <c r="P23" s="649"/>
      <c r="Q23" s="649"/>
      <c r="R23" s="649"/>
      <c r="S23" s="469"/>
      <c r="T23" s="469"/>
      <c r="U23" s="469"/>
    </row>
    <row r="24" spans="1:21" ht="72" x14ac:dyDescent="0.35">
      <c r="A24" s="473" t="s">
        <v>103</v>
      </c>
      <c r="B24" s="474" t="s">
        <v>293</v>
      </c>
      <c r="C24" s="474" t="s">
        <v>312</v>
      </c>
      <c r="D24" s="498" t="s">
        <v>104</v>
      </c>
      <c r="E24" s="498" t="s">
        <v>267</v>
      </c>
      <c r="F24" s="600">
        <v>1</v>
      </c>
      <c r="G24" s="474" t="s">
        <v>313</v>
      </c>
      <c r="H24" s="477">
        <v>280000</v>
      </c>
      <c r="I24" s="477">
        <v>91036.18</v>
      </c>
      <c r="J24" s="478">
        <v>1</v>
      </c>
      <c r="K24" s="478">
        <v>0</v>
      </c>
      <c r="L24" s="479" t="s">
        <v>314</v>
      </c>
      <c r="M24" s="476" t="s">
        <v>267</v>
      </c>
      <c r="N24" s="601" t="s">
        <v>49</v>
      </c>
      <c r="O24" s="601" t="s">
        <v>50</v>
      </c>
      <c r="P24" s="474" t="s">
        <v>316</v>
      </c>
      <c r="Q24" s="601" t="s">
        <v>315</v>
      </c>
      <c r="R24" s="476" t="s">
        <v>311</v>
      </c>
      <c r="S24" s="469"/>
      <c r="T24" s="469"/>
      <c r="U24" s="469"/>
    </row>
    <row r="25" spans="1:21" ht="90" x14ac:dyDescent="0.35">
      <c r="A25" s="473" t="s">
        <v>107</v>
      </c>
      <c r="B25" s="474" t="s">
        <v>293</v>
      </c>
      <c r="C25" s="474" t="s">
        <v>594</v>
      </c>
      <c r="D25" s="498" t="s">
        <v>595</v>
      </c>
      <c r="E25" s="498" t="s">
        <v>540</v>
      </c>
      <c r="F25" s="600">
        <v>1</v>
      </c>
      <c r="G25" s="474"/>
      <c r="H25" s="477">
        <v>2800</v>
      </c>
      <c r="I25" s="477">
        <v>867</v>
      </c>
      <c r="J25" s="478">
        <v>1</v>
      </c>
      <c r="K25" s="478">
        <v>0</v>
      </c>
      <c r="L25" s="479" t="s">
        <v>328</v>
      </c>
      <c r="M25" s="476" t="s">
        <v>284</v>
      </c>
      <c r="N25" s="601" t="s">
        <v>231</v>
      </c>
      <c r="O25" s="601" t="s">
        <v>59</v>
      </c>
      <c r="P25" s="474" t="s">
        <v>319</v>
      </c>
      <c r="Q25" s="601" t="s">
        <v>721</v>
      </c>
      <c r="R25" s="476" t="s">
        <v>311</v>
      </c>
      <c r="S25" s="469"/>
      <c r="T25" s="469"/>
      <c r="U25" s="469"/>
    </row>
    <row r="26" spans="1:21" s="510" customFormat="1" ht="72" x14ac:dyDescent="0.35">
      <c r="A26" s="500" t="s">
        <v>109</v>
      </c>
      <c r="B26" s="501" t="s">
        <v>293</v>
      </c>
      <c r="C26" s="501" t="s">
        <v>321</v>
      </c>
      <c r="D26" s="502" t="s">
        <v>110</v>
      </c>
      <c r="E26" s="502" t="s">
        <v>267</v>
      </c>
      <c r="F26" s="599"/>
      <c r="G26" s="501"/>
      <c r="H26" s="504">
        <v>100000</v>
      </c>
      <c r="I26" s="504">
        <v>45454.545454545449</v>
      </c>
      <c r="J26" s="505">
        <v>1</v>
      </c>
      <c r="K26" s="505">
        <v>0</v>
      </c>
      <c r="L26" s="506" t="s">
        <v>322</v>
      </c>
      <c r="M26" s="507" t="s">
        <v>267</v>
      </c>
      <c r="N26" s="508" t="s">
        <v>49</v>
      </c>
      <c r="O26" s="508" t="s">
        <v>50</v>
      </c>
      <c r="P26" s="501" t="s">
        <v>214</v>
      </c>
      <c r="Q26" s="508"/>
      <c r="R26" s="507" t="s">
        <v>596</v>
      </c>
      <c r="S26" s="509"/>
      <c r="T26" s="509"/>
      <c r="U26" s="509"/>
    </row>
    <row r="27" spans="1:21" s="510" customFormat="1" ht="72" x14ac:dyDescent="0.35">
      <c r="A27" s="500" t="s">
        <v>112</v>
      </c>
      <c r="B27" s="501" t="s">
        <v>293</v>
      </c>
      <c r="C27" s="501" t="s">
        <v>324</v>
      </c>
      <c r="D27" s="502" t="s">
        <v>113</v>
      </c>
      <c r="E27" s="502" t="s">
        <v>267</v>
      </c>
      <c r="F27" s="599"/>
      <c r="G27" s="501"/>
      <c r="H27" s="511">
        <f>250000</f>
        <v>250000</v>
      </c>
      <c r="I27" s="511">
        <v>66666.666666666672</v>
      </c>
      <c r="J27" s="505">
        <v>1</v>
      </c>
      <c r="K27" s="505">
        <v>0</v>
      </c>
      <c r="L27" s="506" t="s">
        <v>325</v>
      </c>
      <c r="M27" s="507" t="s">
        <v>267</v>
      </c>
      <c r="N27" s="508" t="s">
        <v>89</v>
      </c>
      <c r="O27" s="508" t="s">
        <v>38</v>
      </c>
      <c r="P27" s="501" t="s">
        <v>597</v>
      </c>
      <c r="Q27" s="508"/>
      <c r="R27" s="507" t="s">
        <v>596</v>
      </c>
      <c r="S27" s="509"/>
      <c r="T27" s="509"/>
      <c r="U27" s="509"/>
    </row>
    <row r="28" spans="1:21" ht="90" x14ac:dyDescent="0.35">
      <c r="A28" s="473" t="s">
        <v>115</v>
      </c>
      <c r="B28" s="474" t="s">
        <v>293</v>
      </c>
      <c r="C28" s="474" t="s">
        <v>598</v>
      </c>
      <c r="D28" s="498" t="s">
        <v>599</v>
      </c>
      <c r="E28" s="498" t="s">
        <v>267</v>
      </c>
      <c r="F28" s="600">
        <v>3</v>
      </c>
      <c r="G28" s="474"/>
      <c r="H28" s="477">
        <v>900000</v>
      </c>
      <c r="I28" s="477">
        <f>+H28/$I$11</f>
        <v>281250</v>
      </c>
      <c r="J28" s="478">
        <v>0</v>
      </c>
      <c r="K28" s="478">
        <v>1</v>
      </c>
      <c r="L28" s="479" t="s">
        <v>328</v>
      </c>
      <c r="M28" s="476" t="s">
        <v>267</v>
      </c>
      <c r="N28" s="601" t="s">
        <v>56</v>
      </c>
      <c r="O28" s="601" t="s">
        <v>343</v>
      </c>
      <c r="P28" s="474" t="s">
        <v>319</v>
      </c>
      <c r="Q28" s="601"/>
      <c r="R28" s="476" t="s">
        <v>584</v>
      </c>
      <c r="S28" s="469"/>
      <c r="T28" s="469"/>
      <c r="U28" s="469"/>
    </row>
    <row r="29" spans="1:21" s="510" customFormat="1" ht="72" x14ac:dyDescent="0.35">
      <c r="A29" s="500" t="s">
        <v>117</v>
      </c>
      <c r="B29" s="501" t="s">
        <v>293</v>
      </c>
      <c r="C29" s="501" t="s">
        <v>118</v>
      </c>
      <c r="D29" s="502" t="s">
        <v>118</v>
      </c>
      <c r="E29" s="502" t="s">
        <v>267</v>
      </c>
      <c r="F29" s="599"/>
      <c r="G29" s="501"/>
      <c r="H29" s="504">
        <v>500000</v>
      </c>
      <c r="I29" s="504">
        <v>227272.72727272726</v>
      </c>
      <c r="J29" s="505">
        <v>1</v>
      </c>
      <c r="K29" s="505">
        <v>0</v>
      </c>
      <c r="L29" s="506" t="s">
        <v>328</v>
      </c>
      <c r="M29" s="507" t="s">
        <v>267</v>
      </c>
      <c r="N29" s="508" t="s">
        <v>32</v>
      </c>
      <c r="O29" s="508" t="s">
        <v>44</v>
      </c>
      <c r="P29" s="501" t="s">
        <v>208</v>
      </c>
      <c r="Q29" s="508"/>
      <c r="R29" s="507" t="s">
        <v>596</v>
      </c>
      <c r="S29" s="509"/>
      <c r="T29" s="509"/>
      <c r="U29" s="509"/>
    </row>
    <row r="30" spans="1:21" ht="72" x14ac:dyDescent="0.35">
      <c r="A30" s="473" t="s">
        <v>119</v>
      </c>
      <c r="B30" s="474" t="s">
        <v>293</v>
      </c>
      <c r="C30" s="512" t="s">
        <v>120</v>
      </c>
      <c r="D30" s="512" t="s">
        <v>120</v>
      </c>
      <c r="E30" s="512" t="s">
        <v>267</v>
      </c>
      <c r="F30" s="600">
        <v>1</v>
      </c>
      <c r="G30" s="474" t="s">
        <v>330</v>
      </c>
      <c r="H30" s="477">
        <v>1001000</v>
      </c>
      <c r="I30" s="477">
        <v>454999.99999999994</v>
      </c>
      <c r="J30" s="478">
        <v>1</v>
      </c>
      <c r="K30" s="478">
        <v>0</v>
      </c>
      <c r="L30" s="479" t="s">
        <v>328</v>
      </c>
      <c r="M30" s="476" t="s">
        <v>267</v>
      </c>
      <c r="N30" s="601" t="s">
        <v>43</v>
      </c>
      <c r="O30" s="601" t="s">
        <v>49</v>
      </c>
      <c r="P30" s="474" t="s">
        <v>332</v>
      </c>
      <c r="Q30" s="601" t="s">
        <v>331</v>
      </c>
      <c r="R30" s="476" t="s">
        <v>311</v>
      </c>
      <c r="S30" s="469"/>
      <c r="T30" s="469"/>
      <c r="U30" s="469"/>
    </row>
    <row r="31" spans="1:21" ht="72" x14ac:dyDescent="0.35">
      <c r="A31" s="473" t="s">
        <v>121</v>
      </c>
      <c r="B31" s="474" t="s">
        <v>293</v>
      </c>
      <c r="C31" s="512" t="s">
        <v>122</v>
      </c>
      <c r="D31" s="512" t="s">
        <v>122</v>
      </c>
      <c r="E31" s="512" t="s">
        <v>267</v>
      </c>
      <c r="F31" s="600">
        <v>1</v>
      </c>
      <c r="G31" s="474" t="s">
        <v>333</v>
      </c>
      <c r="H31" s="477">
        <v>107030</v>
      </c>
      <c r="I31" s="477">
        <v>48649.999999999993</v>
      </c>
      <c r="J31" s="478">
        <v>1</v>
      </c>
      <c r="K31" s="478">
        <v>0</v>
      </c>
      <c r="L31" s="479" t="s">
        <v>328</v>
      </c>
      <c r="M31" s="476" t="s">
        <v>267</v>
      </c>
      <c r="N31" s="601" t="s">
        <v>43</v>
      </c>
      <c r="O31" s="601" t="s">
        <v>49</v>
      </c>
      <c r="P31" s="474" t="s">
        <v>332</v>
      </c>
      <c r="Q31" s="601" t="s">
        <v>334</v>
      </c>
      <c r="R31" s="476" t="s">
        <v>311</v>
      </c>
      <c r="S31" s="469"/>
      <c r="T31" s="469"/>
      <c r="U31" s="469"/>
    </row>
    <row r="32" spans="1:21" ht="72" x14ac:dyDescent="0.35">
      <c r="A32" s="473" t="s">
        <v>123</v>
      </c>
      <c r="B32" s="474" t="s">
        <v>293</v>
      </c>
      <c r="C32" s="512" t="s">
        <v>241</v>
      </c>
      <c r="D32" s="512" t="s">
        <v>241</v>
      </c>
      <c r="E32" s="512" t="s">
        <v>267</v>
      </c>
      <c r="F32" s="600">
        <v>1</v>
      </c>
      <c r="G32" s="474" t="s">
        <v>335</v>
      </c>
      <c r="H32" s="477">
        <v>63705</v>
      </c>
      <c r="I32" s="477">
        <v>28956.81818181818</v>
      </c>
      <c r="J32" s="478">
        <v>1</v>
      </c>
      <c r="K32" s="478">
        <v>0</v>
      </c>
      <c r="L32" s="479" t="s">
        <v>328</v>
      </c>
      <c r="M32" s="476" t="s">
        <v>267</v>
      </c>
      <c r="N32" s="601" t="s">
        <v>43</v>
      </c>
      <c r="O32" s="601" t="s">
        <v>49</v>
      </c>
      <c r="P32" s="474" t="s">
        <v>332</v>
      </c>
      <c r="Q32" s="601" t="s">
        <v>336</v>
      </c>
      <c r="R32" s="476" t="s">
        <v>311</v>
      </c>
      <c r="S32" s="469"/>
      <c r="T32" s="469"/>
      <c r="U32" s="469"/>
    </row>
    <row r="33" spans="1:21" s="510" customFormat="1" ht="72" x14ac:dyDescent="0.35">
      <c r="A33" s="500" t="s">
        <v>125</v>
      </c>
      <c r="B33" s="501" t="s">
        <v>293</v>
      </c>
      <c r="C33" s="502" t="s">
        <v>126</v>
      </c>
      <c r="D33" s="502" t="s">
        <v>126</v>
      </c>
      <c r="E33" s="502" t="s">
        <v>267</v>
      </c>
      <c r="F33" s="599"/>
      <c r="G33" s="501"/>
      <c r="H33" s="504">
        <v>15000</v>
      </c>
      <c r="I33" s="504">
        <v>6818.181818181818</v>
      </c>
      <c r="J33" s="505">
        <v>1</v>
      </c>
      <c r="K33" s="505">
        <v>0</v>
      </c>
      <c r="L33" s="506" t="s">
        <v>328</v>
      </c>
      <c r="M33" s="507" t="s">
        <v>267</v>
      </c>
      <c r="N33" s="508" t="s">
        <v>49</v>
      </c>
      <c r="O33" s="508" t="s">
        <v>44</v>
      </c>
      <c r="P33" s="501" t="s">
        <v>243</v>
      </c>
      <c r="Q33" s="508"/>
      <c r="R33" s="507" t="s">
        <v>596</v>
      </c>
      <c r="S33" s="509"/>
      <c r="T33" s="509"/>
      <c r="U33" s="509"/>
    </row>
    <row r="34" spans="1:21" ht="72" x14ac:dyDescent="0.35">
      <c r="A34" s="473" t="s">
        <v>127</v>
      </c>
      <c r="B34" s="474" t="s">
        <v>293</v>
      </c>
      <c r="C34" s="512" t="s">
        <v>128</v>
      </c>
      <c r="D34" s="512" t="s">
        <v>337</v>
      </c>
      <c r="E34" s="512" t="s">
        <v>267</v>
      </c>
      <c r="F34" s="600">
        <v>1</v>
      </c>
      <c r="G34" s="474" t="s">
        <v>338</v>
      </c>
      <c r="H34" s="477">
        <v>156000</v>
      </c>
      <c r="I34" s="477">
        <v>54137.42</v>
      </c>
      <c r="J34" s="478">
        <v>1</v>
      </c>
      <c r="K34" s="478">
        <v>0</v>
      </c>
      <c r="L34" s="479" t="s">
        <v>328</v>
      </c>
      <c r="M34" s="476" t="s">
        <v>267</v>
      </c>
      <c r="N34" s="601" t="s">
        <v>49</v>
      </c>
      <c r="O34" s="601" t="s">
        <v>44</v>
      </c>
      <c r="P34" s="474" t="s">
        <v>600</v>
      </c>
      <c r="Q34" s="601" t="s">
        <v>339</v>
      </c>
      <c r="R34" s="476" t="s">
        <v>311</v>
      </c>
      <c r="S34" s="469"/>
      <c r="T34" s="469"/>
      <c r="U34" s="469"/>
    </row>
    <row r="35" spans="1:21" s="510" customFormat="1" ht="72" x14ac:dyDescent="0.35">
      <c r="A35" s="500" t="s">
        <v>129</v>
      </c>
      <c r="B35" s="501" t="s">
        <v>293</v>
      </c>
      <c r="C35" s="502" t="s">
        <v>130</v>
      </c>
      <c r="D35" s="502" t="s">
        <v>130</v>
      </c>
      <c r="E35" s="502" t="s">
        <v>267</v>
      </c>
      <c r="F35" s="599"/>
      <c r="G35" s="501"/>
      <c r="H35" s="504">
        <v>30000</v>
      </c>
      <c r="I35" s="504">
        <v>13636.363636363636</v>
      </c>
      <c r="J35" s="505">
        <v>1</v>
      </c>
      <c r="K35" s="505">
        <v>0</v>
      </c>
      <c r="L35" s="506" t="s">
        <v>328</v>
      </c>
      <c r="M35" s="507" t="s">
        <v>267</v>
      </c>
      <c r="N35" s="508" t="s">
        <v>49</v>
      </c>
      <c r="O35" s="508" t="s">
        <v>44</v>
      </c>
      <c r="P35" s="501" t="s">
        <v>193</v>
      </c>
      <c r="Q35" s="508"/>
      <c r="R35" s="507" t="s">
        <v>596</v>
      </c>
      <c r="S35" s="509"/>
      <c r="T35" s="509"/>
      <c r="U35" s="509"/>
    </row>
    <row r="36" spans="1:21" ht="108" x14ac:dyDescent="0.35">
      <c r="A36" s="473" t="s">
        <v>131</v>
      </c>
      <c r="B36" s="474" t="s">
        <v>293</v>
      </c>
      <c r="C36" s="474" t="s">
        <v>340</v>
      </c>
      <c r="D36" s="498" t="s">
        <v>132</v>
      </c>
      <c r="E36" s="498" t="s">
        <v>267</v>
      </c>
      <c r="F36" s="600">
        <v>1</v>
      </c>
      <c r="G36" s="474"/>
      <c r="H36" s="477">
        <f>200000</f>
        <v>200000</v>
      </c>
      <c r="I36" s="477">
        <f>+H36/$I$11</f>
        <v>62500</v>
      </c>
      <c r="J36" s="478">
        <v>0</v>
      </c>
      <c r="K36" s="478">
        <v>1</v>
      </c>
      <c r="L36" s="479" t="s">
        <v>447</v>
      </c>
      <c r="M36" s="476" t="s">
        <v>267</v>
      </c>
      <c r="N36" s="601" t="s">
        <v>70</v>
      </c>
      <c r="O36" s="601" t="s">
        <v>59</v>
      </c>
      <c r="P36" s="474" t="s">
        <v>601</v>
      </c>
      <c r="Q36" s="601"/>
      <c r="R36" s="476" t="s">
        <v>587</v>
      </c>
      <c r="S36" s="469"/>
      <c r="T36" s="469"/>
      <c r="U36" s="469"/>
    </row>
    <row r="37" spans="1:21" s="510" customFormat="1" ht="72" x14ac:dyDescent="0.35">
      <c r="A37" s="500" t="s">
        <v>134</v>
      </c>
      <c r="B37" s="501" t="s">
        <v>293</v>
      </c>
      <c r="C37" s="513" t="s">
        <v>135</v>
      </c>
      <c r="D37" s="513" t="s">
        <v>135</v>
      </c>
      <c r="E37" s="513" t="s">
        <v>267</v>
      </c>
      <c r="F37" s="599"/>
      <c r="G37" s="501"/>
      <c r="H37" s="511">
        <f>100000</f>
        <v>100000</v>
      </c>
      <c r="I37" s="511">
        <v>26666.666666666668</v>
      </c>
      <c r="J37" s="505">
        <v>1</v>
      </c>
      <c r="K37" s="505">
        <v>0</v>
      </c>
      <c r="L37" s="506" t="s">
        <v>328</v>
      </c>
      <c r="M37" s="507" t="s">
        <v>267</v>
      </c>
      <c r="N37" s="508" t="s">
        <v>56</v>
      </c>
      <c r="O37" s="508" t="s">
        <v>59</v>
      </c>
      <c r="P37" s="501" t="s">
        <v>597</v>
      </c>
      <c r="Q37" s="508"/>
      <c r="R37" s="507" t="s">
        <v>596</v>
      </c>
      <c r="S37" s="509"/>
      <c r="T37" s="509"/>
      <c r="U37" s="509"/>
    </row>
    <row r="38" spans="1:21" ht="72" x14ac:dyDescent="0.35">
      <c r="A38" s="500" t="s">
        <v>136</v>
      </c>
      <c r="B38" s="501" t="s">
        <v>293</v>
      </c>
      <c r="C38" s="502" t="s">
        <v>341</v>
      </c>
      <c r="D38" s="502" t="s">
        <v>137</v>
      </c>
      <c r="E38" s="502" t="s">
        <v>267</v>
      </c>
      <c r="F38" s="599"/>
      <c r="G38" s="501"/>
      <c r="H38" s="511">
        <f>400000</f>
        <v>400000</v>
      </c>
      <c r="I38" s="511">
        <f>+H38/$I$11</f>
        <v>125000</v>
      </c>
      <c r="J38" s="505">
        <v>1</v>
      </c>
      <c r="K38" s="505">
        <v>0</v>
      </c>
      <c r="L38" s="506" t="s">
        <v>342</v>
      </c>
      <c r="M38" s="507" t="s">
        <v>267</v>
      </c>
      <c r="N38" s="508" t="s">
        <v>75</v>
      </c>
      <c r="O38" s="508" t="s">
        <v>343</v>
      </c>
      <c r="P38" s="501" t="s">
        <v>701</v>
      </c>
      <c r="Q38" s="508"/>
      <c r="R38" s="507" t="s">
        <v>596</v>
      </c>
      <c r="S38" s="469"/>
      <c r="T38" s="469"/>
      <c r="U38" s="469"/>
    </row>
    <row r="39" spans="1:21" s="510" customFormat="1" ht="90" x14ac:dyDescent="0.35">
      <c r="A39" s="500" t="s">
        <v>138</v>
      </c>
      <c r="B39" s="501" t="s">
        <v>293</v>
      </c>
      <c r="C39" s="502" t="s">
        <v>344</v>
      </c>
      <c r="D39" s="502" t="s">
        <v>139</v>
      </c>
      <c r="E39" s="502" t="s">
        <v>267</v>
      </c>
      <c r="F39" s="599"/>
      <c r="G39" s="501"/>
      <c r="H39" s="511">
        <v>1803000</v>
      </c>
      <c r="I39" s="511">
        <v>819545.45454545447</v>
      </c>
      <c r="J39" s="505">
        <v>1</v>
      </c>
      <c r="K39" s="505">
        <v>0</v>
      </c>
      <c r="L39" s="506" t="s">
        <v>304</v>
      </c>
      <c r="M39" s="507" t="s">
        <v>267</v>
      </c>
      <c r="N39" s="508" t="s">
        <v>231</v>
      </c>
      <c r="O39" s="508" t="s">
        <v>59</v>
      </c>
      <c r="P39" s="501" t="s">
        <v>602</v>
      </c>
      <c r="Q39" s="508"/>
      <c r="R39" s="507" t="s">
        <v>596</v>
      </c>
      <c r="S39" s="509"/>
      <c r="T39" s="509"/>
      <c r="U39" s="509"/>
    </row>
    <row r="40" spans="1:21" s="510" customFormat="1" ht="108" x14ac:dyDescent="0.35">
      <c r="A40" s="500" t="s">
        <v>140</v>
      </c>
      <c r="B40" s="501" t="s">
        <v>293</v>
      </c>
      <c r="C40" s="502" t="s">
        <v>346</v>
      </c>
      <c r="D40" s="502" t="s">
        <v>603</v>
      </c>
      <c r="E40" s="502" t="s">
        <v>267</v>
      </c>
      <c r="F40" s="599"/>
      <c r="G40" s="501"/>
      <c r="H40" s="511">
        <f>60590</f>
        <v>60590</v>
      </c>
      <c r="I40" s="511">
        <v>16157.333333333334</v>
      </c>
      <c r="J40" s="505">
        <v>1</v>
      </c>
      <c r="K40" s="505">
        <v>0</v>
      </c>
      <c r="L40" s="506" t="s">
        <v>304</v>
      </c>
      <c r="M40" s="507" t="s">
        <v>267</v>
      </c>
      <c r="N40" s="508" t="s">
        <v>50</v>
      </c>
      <c r="O40" s="508" t="s">
        <v>56</v>
      </c>
      <c r="P40" s="501" t="s">
        <v>597</v>
      </c>
      <c r="Q40" s="508"/>
      <c r="R40" s="507" t="s">
        <v>596</v>
      </c>
      <c r="S40" s="509"/>
      <c r="T40" s="509"/>
      <c r="U40" s="509"/>
    </row>
    <row r="41" spans="1:21" ht="72" x14ac:dyDescent="0.35">
      <c r="A41" s="473" t="s">
        <v>142</v>
      </c>
      <c r="B41" s="474" t="s">
        <v>293</v>
      </c>
      <c r="C41" s="498" t="s">
        <v>347</v>
      </c>
      <c r="D41" s="498" t="s">
        <v>143</v>
      </c>
      <c r="E41" s="498" t="s">
        <v>267</v>
      </c>
      <c r="F41" s="600">
        <v>1</v>
      </c>
      <c r="G41" s="474" t="s">
        <v>348</v>
      </c>
      <c r="H41" s="477">
        <v>486999.99</v>
      </c>
      <c r="I41" s="477">
        <v>160477.16</v>
      </c>
      <c r="J41" s="478">
        <v>1</v>
      </c>
      <c r="K41" s="478">
        <v>0</v>
      </c>
      <c r="L41" s="479" t="s">
        <v>304</v>
      </c>
      <c r="M41" s="476" t="s">
        <v>267</v>
      </c>
      <c r="N41" s="601" t="s">
        <v>49</v>
      </c>
      <c r="O41" s="601" t="s">
        <v>183</v>
      </c>
      <c r="P41" s="474" t="s">
        <v>350</v>
      </c>
      <c r="Q41" s="601" t="s">
        <v>349</v>
      </c>
      <c r="R41" s="476" t="s">
        <v>311</v>
      </c>
      <c r="S41" s="469"/>
      <c r="T41" s="469"/>
      <c r="U41" s="469"/>
    </row>
    <row r="42" spans="1:21" s="510" customFormat="1" ht="90" x14ac:dyDescent="0.35">
      <c r="A42" s="500" t="s">
        <v>144</v>
      </c>
      <c r="B42" s="501" t="s">
        <v>293</v>
      </c>
      <c r="C42" s="502" t="s">
        <v>351</v>
      </c>
      <c r="D42" s="502" t="s">
        <v>202</v>
      </c>
      <c r="E42" s="502" t="s">
        <v>267</v>
      </c>
      <c r="F42" s="599"/>
      <c r="G42" s="501"/>
      <c r="H42" s="504">
        <v>13000</v>
      </c>
      <c r="I42" s="504">
        <v>5909.090909090909</v>
      </c>
      <c r="J42" s="505">
        <v>1</v>
      </c>
      <c r="K42" s="505">
        <v>0</v>
      </c>
      <c r="L42" s="501" t="s">
        <v>352</v>
      </c>
      <c r="M42" s="507" t="s">
        <v>267</v>
      </c>
      <c r="N42" s="508" t="s">
        <v>43</v>
      </c>
      <c r="O42" s="508" t="s">
        <v>43</v>
      </c>
      <c r="P42" s="501" t="s">
        <v>194</v>
      </c>
      <c r="Q42" s="508"/>
      <c r="R42" s="507" t="s">
        <v>596</v>
      </c>
      <c r="S42" s="509"/>
      <c r="T42" s="509"/>
      <c r="U42" s="509"/>
    </row>
    <row r="43" spans="1:21" s="510" customFormat="1" ht="72" x14ac:dyDescent="0.35">
      <c r="A43" s="500" t="s">
        <v>147</v>
      </c>
      <c r="B43" s="501" t="s">
        <v>293</v>
      </c>
      <c r="C43" s="502" t="s">
        <v>353</v>
      </c>
      <c r="D43" s="502" t="s">
        <v>148</v>
      </c>
      <c r="E43" s="502" t="s">
        <v>267</v>
      </c>
      <c r="F43" s="599"/>
      <c r="G43" s="501"/>
      <c r="H43" s="504">
        <v>80000</v>
      </c>
      <c r="I43" s="504">
        <v>36363.63636363636</v>
      </c>
      <c r="J43" s="505">
        <v>1</v>
      </c>
      <c r="K43" s="505">
        <v>0</v>
      </c>
      <c r="L43" s="501" t="s">
        <v>354</v>
      </c>
      <c r="M43" s="507" t="s">
        <v>267</v>
      </c>
      <c r="N43" s="508" t="s">
        <v>43</v>
      </c>
      <c r="O43" s="508" t="s">
        <v>43</v>
      </c>
      <c r="P43" s="501" t="s">
        <v>195</v>
      </c>
      <c r="Q43" s="508"/>
      <c r="R43" s="507" t="s">
        <v>596</v>
      </c>
      <c r="S43" s="509"/>
      <c r="T43" s="509"/>
      <c r="U43" s="509"/>
    </row>
    <row r="44" spans="1:21" s="510" customFormat="1" ht="90" x14ac:dyDescent="0.35">
      <c r="A44" s="500" t="s">
        <v>149</v>
      </c>
      <c r="B44" s="501" t="s">
        <v>293</v>
      </c>
      <c r="C44" s="515" t="s">
        <v>355</v>
      </c>
      <c r="D44" s="515" t="s">
        <v>604</v>
      </c>
      <c r="E44" s="515" t="s">
        <v>267</v>
      </c>
      <c r="F44" s="599">
        <v>1</v>
      </c>
      <c r="G44" s="501"/>
      <c r="H44" s="511">
        <f>150000</f>
        <v>150000</v>
      </c>
      <c r="I44" s="511">
        <f>+H44/$I$11</f>
        <v>46875</v>
      </c>
      <c r="J44" s="505">
        <v>1</v>
      </c>
      <c r="K44" s="505">
        <v>0</v>
      </c>
      <c r="L44" s="506" t="s">
        <v>356</v>
      </c>
      <c r="M44" s="507" t="s">
        <v>267</v>
      </c>
      <c r="N44" s="508" t="s">
        <v>70</v>
      </c>
      <c r="O44" s="508" t="s">
        <v>59</v>
      </c>
      <c r="P44" s="501" t="s">
        <v>319</v>
      </c>
      <c r="Q44" s="508"/>
      <c r="R44" s="507" t="s">
        <v>596</v>
      </c>
      <c r="S44" s="509"/>
      <c r="T44" s="509"/>
      <c r="U44" s="509"/>
    </row>
    <row r="45" spans="1:21" ht="72" x14ac:dyDescent="0.35">
      <c r="A45" s="473" t="s">
        <v>153</v>
      </c>
      <c r="B45" s="474" t="s">
        <v>293</v>
      </c>
      <c r="C45" s="514" t="s">
        <v>605</v>
      </c>
      <c r="D45" s="514" t="s">
        <v>606</v>
      </c>
      <c r="E45" s="514" t="s">
        <v>267</v>
      </c>
      <c r="F45" s="600"/>
      <c r="G45" s="474" t="s">
        <v>358</v>
      </c>
      <c r="H45" s="477">
        <v>148518.79999999999</v>
      </c>
      <c r="I45" s="477">
        <v>49268.14</v>
      </c>
      <c r="J45" s="478">
        <v>1</v>
      </c>
      <c r="K45" s="478">
        <v>0</v>
      </c>
      <c r="L45" s="479" t="s">
        <v>314</v>
      </c>
      <c r="M45" s="476" t="s">
        <v>267</v>
      </c>
      <c r="N45" s="601" t="s">
        <v>32</v>
      </c>
      <c r="O45" s="601" t="s">
        <v>183</v>
      </c>
      <c r="P45" s="474" t="s">
        <v>360</v>
      </c>
      <c r="Q45" s="601" t="s">
        <v>359</v>
      </c>
      <c r="R45" s="476" t="s">
        <v>311</v>
      </c>
      <c r="S45" s="469"/>
      <c r="T45" s="469"/>
      <c r="U45" s="469"/>
    </row>
    <row r="46" spans="1:21" s="510" customFormat="1" ht="108" x14ac:dyDescent="0.35">
      <c r="A46" s="500" t="s">
        <v>155</v>
      </c>
      <c r="B46" s="501" t="s">
        <v>293</v>
      </c>
      <c r="C46" s="515" t="s">
        <v>361</v>
      </c>
      <c r="D46" s="515" t="s">
        <v>156</v>
      </c>
      <c r="E46" s="515" t="s">
        <v>267</v>
      </c>
      <c r="F46" s="599"/>
      <c r="G46" s="501"/>
      <c r="H46" s="511">
        <f>180000</f>
        <v>180000</v>
      </c>
      <c r="I46" s="511">
        <f>+H46/$I$11</f>
        <v>56250</v>
      </c>
      <c r="J46" s="505">
        <v>1</v>
      </c>
      <c r="K46" s="505">
        <v>0</v>
      </c>
      <c r="L46" s="506" t="s">
        <v>297</v>
      </c>
      <c r="M46" s="507" t="s">
        <v>267</v>
      </c>
      <c r="N46" s="508" t="s">
        <v>231</v>
      </c>
      <c r="O46" s="508" t="s">
        <v>343</v>
      </c>
      <c r="P46" s="501" t="s">
        <v>597</v>
      </c>
      <c r="Q46" s="508"/>
      <c r="R46" s="507" t="s">
        <v>596</v>
      </c>
      <c r="S46" s="509"/>
      <c r="T46" s="509"/>
      <c r="U46" s="509"/>
    </row>
    <row r="47" spans="1:21" s="510" customFormat="1" ht="72" x14ac:dyDescent="0.35">
      <c r="A47" s="500" t="s">
        <v>157</v>
      </c>
      <c r="B47" s="501" t="s">
        <v>293</v>
      </c>
      <c r="C47" s="515" t="s">
        <v>607</v>
      </c>
      <c r="D47" s="515" t="s">
        <v>608</v>
      </c>
      <c r="E47" s="515" t="s">
        <v>326</v>
      </c>
      <c r="F47" s="599">
        <v>1</v>
      </c>
      <c r="G47" s="501"/>
      <c r="H47" s="511">
        <f>20000</f>
        <v>20000</v>
      </c>
      <c r="I47" s="511">
        <f>+H47/$I$11</f>
        <v>6250</v>
      </c>
      <c r="J47" s="505">
        <v>1</v>
      </c>
      <c r="K47" s="505">
        <v>0</v>
      </c>
      <c r="L47" s="506" t="s">
        <v>356</v>
      </c>
      <c r="M47" s="507" t="s">
        <v>284</v>
      </c>
      <c r="N47" s="508" t="s">
        <v>44</v>
      </c>
      <c r="O47" s="508" t="s">
        <v>38</v>
      </c>
      <c r="P47" s="501"/>
      <c r="Q47" s="508"/>
      <c r="R47" s="507" t="s">
        <v>596</v>
      </c>
      <c r="S47" s="509"/>
      <c r="T47" s="509"/>
      <c r="U47" s="509"/>
    </row>
    <row r="48" spans="1:21" ht="72" x14ac:dyDescent="0.35">
      <c r="A48" s="473" t="s">
        <v>216</v>
      </c>
      <c r="B48" s="474" t="s">
        <v>293</v>
      </c>
      <c r="C48" s="514" t="s">
        <v>217</v>
      </c>
      <c r="D48" s="514" t="s">
        <v>217</v>
      </c>
      <c r="E48" s="514" t="s">
        <v>267</v>
      </c>
      <c r="F48" s="600">
        <v>1</v>
      </c>
      <c r="G48" s="474" t="s">
        <v>364</v>
      </c>
      <c r="H48" s="477">
        <v>8999.9699999999993</v>
      </c>
      <c r="I48" s="477">
        <v>2970.78</v>
      </c>
      <c r="J48" s="478">
        <v>1</v>
      </c>
      <c r="K48" s="478">
        <v>0</v>
      </c>
      <c r="L48" s="479" t="s">
        <v>328</v>
      </c>
      <c r="M48" s="476" t="s">
        <v>267</v>
      </c>
      <c r="N48" s="601" t="s">
        <v>74</v>
      </c>
      <c r="O48" s="601" t="s">
        <v>183</v>
      </c>
      <c r="P48" s="474" t="s">
        <v>366</v>
      </c>
      <c r="Q48" s="601" t="s">
        <v>365</v>
      </c>
      <c r="R48" s="476" t="s">
        <v>311</v>
      </c>
      <c r="S48" s="469"/>
      <c r="T48" s="469"/>
      <c r="U48" s="469"/>
    </row>
    <row r="49" spans="1:21" s="510" customFormat="1" ht="72" x14ac:dyDescent="0.35">
      <c r="A49" s="500" t="s">
        <v>246</v>
      </c>
      <c r="B49" s="501" t="s">
        <v>293</v>
      </c>
      <c r="C49" s="502" t="s">
        <v>609</v>
      </c>
      <c r="D49" s="502" t="s">
        <v>247</v>
      </c>
      <c r="E49" s="502" t="s">
        <v>267</v>
      </c>
      <c r="F49" s="599"/>
      <c r="G49" s="501"/>
      <c r="H49" s="511">
        <v>100000</v>
      </c>
      <c r="I49" s="511">
        <v>45454.545454545449</v>
      </c>
      <c r="J49" s="505">
        <v>1</v>
      </c>
      <c r="K49" s="505">
        <v>0</v>
      </c>
      <c r="L49" s="506" t="s">
        <v>328</v>
      </c>
      <c r="M49" s="507" t="s">
        <v>267</v>
      </c>
      <c r="N49" s="508" t="s">
        <v>44</v>
      </c>
      <c r="O49" s="508" t="s">
        <v>44</v>
      </c>
      <c r="P49" s="501" t="s">
        <v>367</v>
      </c>
      <c r="Q49" s="508"/>
      <c r="R49" s="507" t="s">
        <v>596</v>
      </c>
      <c r="S49" s="509"/>
      <c r="T49" s="509"/>
      <c r="U49" s="509"/>
    </row>
    <row r="50" spans="1:21" ht="144" x14ac:dyDescent="0.35">
      <c r="A50" s="473" t="s">
        <v>368</v>
      </c>
      <c r="B50" s="474" t="s">
        <v>293</v>
      </c>
      <c r="C50" s="474" t="s">
        <v>369</v>
      </c>
      <c r="D50" s="498" t="s">
        <v>370</v>
      </c>
      <c r="E50" s="498" t="s">
        <v>267</v>
      </c>
      <c r="F50" s="600">
        <v>1</v>
      </c>
      <c r="G50" s="474"/>
      <c r="H50" s="579">
        <f>6498000-680000</f>
        <v>5818000</v>
      </c>
      <c r="I50" s="477">
        <f t="shared" ref="I50:I58" si="0">+H50/$I$11</f>
        <v>1818125</v>
      </c>
      <c r="J50" s="478">
        <v>1</v>
      </c>
      <c r="K50" s="478">
        <v>0</v>
      </c>
      <c r="L50" s="479" t="s">
        <v>733</v>
      </c>
      <c r="M50" s="476" t="s">
        <v>284</v>
      </c>
      <c r="N50" s="601" t="s">
        <v>75</v>
      </c>
      <c r="O50" s="601" t="s">
        <v>343</v>
      </c>
      <c r="P50" s="474" t="s">
        <v>319</v>
      </c>
      <c r="Q50" s="601"/>
      <c r="R50" s="476" t="s">
        <v>300</v>
      </c>
      <c r="S50" s="469"/>
      <c r="T50" s="469"/>
      <c r="U50" s="469"/>
    </row>
    <row r="51" spans="1:21" ht="90" x14ac:dyDescent="0.35">
      <c r="A51" s="473" t="s">
        <v>371</v>
      </c>
      <c r="B51" s="474" t="s">
        <v>293</v>
      </c>
      <c r="C51" s="474" t="s">
        <v>610</v>
      </c>
      <c r="D51" s="498" t="s">
        <v>699</v>
      </c>
      <c r="E51" s="498" t="s">
        <v>267</v>
      </c>
      <c r="F51" s="600">
        <v>1</v>
      </c>
      <c r="G51" s="474"/>
      <c r="H51" s="477">
        <v>106000</v>
      </c>
      <c r="I51" s="477">
        <v>30000</v>
      </c>
      <c r="J51" s="478">
        <v>1</v>
      </c>
      <c r="K51" s="478">
        <v>0</v>
      </c>
      <c r="L51" s="479" t="s">
        <v>328</v>
      </c>
      <c r="M51" s="476" t="s">
        <v>267</v>
      </c>
      <c r="N51" s="601" t="s">
        <v>75</v>
      </c>
      <c r="O51" s="601" t="s">
        <v>70</v>
      </c>
      <c r="P51" s="474" t="s">
        <v>319</v>
      </c>
      <c r="Q51" s="601"/>
      <c r="R51" s="476" t="s">
        <v>311</v>
      </c>
      <c r="S51" s="469"/>
      <c r="T51" s="469"/>
      <c r="U51" s="469"/>
    </row>
    <row r="52" spans="1:21" ht="72" x14ac:dyDescent="0.35">
      <c r="A52" s="473" t="s">
        <v>374</v>
      </c>
      <c r="B52" s="474" t="s">
        <v>293</v>
      </c>
      <c r="C52" s="474" t="s">
        <v>375</v>
      </c>
      <c r="D52" s="498" t="s">
        <v>376</v>
      </c>
      <c r="E52" s="498" t="s">
        <v>267</v>
      </c>
      <c r="F52" s="600">
        <v>1</v>
      </c>
      <c r="G52" s="474"/>
      <c r="H52" s="477">
        <v>338206.9</v>
      </c>
      <c r="I52" s="477">
        <f>338206.9/3.1155</f>
        <v>108556.21890547265</v>
      </c>
      <c r="J52" s="478">
        <v>1</v>
      </c>
      <c r="K52" s="478">
        <v>0</v>
      </c>
      <c r="L52" s="479" t="s">
        <v>297</v>
      </c>
      <c r="M52" s="476" t="s">
        <v>267</v>
      </c>
      <c r="N52" s="601" t="s">
        <v>231</v>
      </c>
      <c r="O52" s="601" t="s">
        <v>70</v>
      </c>
      <c r="P52" s="474" t="s">
        <v>332</v>
      </c>
      <c r="Q52" s="601"/>
      <c r="R52" s="476" t="s">
        <v>311</v>
      </c>
      <c r="S52" s="469"/>
      <c r="T52" s="469"/>
      <c r="U52" s="469"/>
    </row>
    <row r="53" spans="1:21" s="510" customFormat="1" ht="72" x14ac:dyDescent="0.35">
      <c r="A53" s="500" t="s">
        <v>377</v>
      </c>
      <c r="B53" s="501" t="s">
        <v>293</v>
      </c>
      <c r="C53" s="502" t="s">
        <v>378</v>
      </c>
      <c r="D53" s="502" t="s">
        <v>379</v>
      </c>
      <c r="E53" s="502" t="s">
        <v>267</v>
      </c>
      <c r="F53" s="599">
        <v>1</v>
      </c>
      <c r="G53" s="501"/>
      <c r="H53" s="511">
        <f>4000</f>
        <v>4000</v>
      </c>
      <c r="I53" s="511">
        <f t="shared" si="0"/>
        <v>1250</v>
      </c>
      <c r="J53" s="505">
        <v>1</v>
      </c>
      <c r="K53" s="505">
        <v>0</v>
      </c>
      <c r="L53" s="506" t="s">
        <v>328</v>
      </c>
      <c r="M53" s="507" t="s">
        <v>267</v>
      </c>
      <c r="N53" s="508" t="s">
        <v>183</v>
      </c>
      <c r="O53" s="508" t="s">
        <v>133</v>
      </c>
      <c r="P53" s="501" t="s">
        <v>702</v>
      </c>
      <c r="Q53" s="508"/>
      <c r="R53" s="507" t="s">
        <v>596</v>
      </c>
      <c r="S53" s="509"/>
      <c r="T53" s="509"/>
      <c r="U53" s="509"/>
    </row>
    <row r="54" spans="1:21" ht="72" x14ac:dyDescent="0.35">
      <c r="A54" s="473" t="s">
        <v>518</v>
      </c>
      <c r="B54" s="474" t="s">
        <v>293</v>
      </c>
      <c r="C54" s="474" t="s">
        <v>519</v>
      </c>
      <c r="D54" s="498" t="s">
        <v>611</v>
      </c>
      <c r="E54" s="498" t="s">
        <v>267</v>
      </c>
      <c r="F54" s="600">
        <v>1</v>
      </c>
      <c r="G54" s="474"/>
      <c r="H54" s="477">
        <v>3215000</v>
      </c>
      <c r="I54" s="477">
        <v>1030000</v>
      </c>
      <c r="J54" s="478">
        <v>1</v>
      </c>
      <c r="K54" s="478">
        <v>0</v>
      </c>
      <c r="L54" s="479" t="s">
        <v>297</v>
      </c>
      <c r="M54" s="476" t="s">
        <v>267</v>
      </c>
      <c r="N54" s="601" t="s">
        <v>50</v>
      </c>
      <c r="O54" s="601" t="s">
        <v>70</v>
      </c>
      <c r="P54" s="474" t="s">
        <v>332</v>
      </c>
      <c r="Q54" s="601"/>
      <c r="R54" s="476" t="s">
        <v>584</v>
      </c>
      <c r="S54" s="469"/>
      <c r="T54" s="469"/>
      <c r="U54" s="469"/>
    </row>
    <row r="55" spans="1:21" ht="90" x14ac:dyDescent="0.35">
      <c r="A55" s="473" t="s">
        <v>521</v>
      </c>
      <c r="B55" s="474" t="s">
        <v>293</v>
      </c>
      <c r="C55" s="474" t="s">
        <v>522</v>
      </c>
      <c r="D55" s="498" t="s">
        <v>523</v>
      </c>
      <c r="E55" s="498" t="s">
        <v>267</v>
      </c>
      <c r="F55" s="600">
        <v>1</v>
      </c>
      <c r="G55" s="474"/>
      <c r="H55" s="477">
        <v>567000</v>
      </c>
      <c r="I55" s="477">
        <v>176000</v>
      </c>
      <c r="J55" s="478">
        <v>1</v>
      </c>
      <c r="K55" s="478">
        <v>0</v>
      </c>
      <c r="L55" s="479" t="s">
        <v>328</v>
      </c>
      <c r="M55" s="476" t="s">
        <v>267</v>
      </c>
      <c r="N55" s="601" t="s">
        <v>50</v>
      </c>
      <c r="O55" s="601" t="s">
        <v>56</v>
      </c>
      <c r="P55" s="474" t="s">
        <v>319</v>
      </c>
      <c r="Q55" s="601"/>
      <c r="R55" s="476" t="s">
        <v>311</v>
      </c>
      <c r="S55" s="469"/>
      <c r="T55" s="469"/>
      <c r="U55" s="469"/>
    </row>
    <row r="56" spans="1:21" ht="90" x14ac:dyDescent="0.35">
      <c r="A56" s="473" t="s">
        <v>542</v>
      </c>
      <c r="B56" s="474" t="s">
        <v>293</v>
      </c>
      <c r="C56" s="474" t="s">
        <v>713</v>
      </c>
      <c r="D56" s="498" t="s">
        <v>714</v>
      </c>
      <c r="E56" s="498" t="s">
        <v>267</v>
      </c>
      <c r="F56" s="600">
        <v>1</v>
      </c>
      <c r="G56" s="474"/>
      <c r="H56" s="477">
        <v>13000</v>
      </c>
      <c r="I56" s="477">
        <v>3800</v>
      </c>
      <c r="J56" s="478">
        <v>1</v>
      </c>
      <c r="K56" s="478">
        <v>0</v>
      </c>
      <c r="L56" s="479" t="s">
        <v>328</v>
      </c>
      <c r="M56" s="476" t="s">
        <v>267</v>
      </c>
      <c r="N56" s="601" t="s">
        <v>56</v>
      </c>
      <c r="O56" s="601" t="s">
        <v>70</v>
      </c>
      <c r="P56" s="474" t="s">
        <v>319</v>
      </c>
      <c r="Q56" s="601" t="s">
        <v>722</v>
      </c>
      <c r="R56" s="476" t="s">
        <v>311</v>
      </c>
      <c r="S56" s="469"/>
      <c r="T56" s="469"/>
      <c r="U56" s="469"/>
    </row>
    <row r="57" spans="1:21" ht="90" x14ac:dyDescent="0.35">
      <c r="A57" s="473" t="s">
        <v>543</v>
      </c>
      <c r="B57" s="474" t="s">
        <v>293</v>
      </c>
      <c r="C57" s="553" t="s">
        <v>737</v>
      </c>
      <c r="D57" s="604" t="s">
        <v>736</v>
      </c>
      <c r="E57" s="498" t="s">
        <v>267</v>
      </c>
      <c r="F57" s="597">
        <v>1</v>
      </c>
      <c r="G57" s="474"/>
      <c r="H57" s="579">
        <v>64000</v>
      </c>
      <c r="I57" s="477">
        <f t="shared" ref="I57" si="1">+H57/$I$11</f>
        <v>20000</v>
      </c>
      <c r="J57" s="478">
        <v>1</v>
      </c>
      <c r="K57" s="478">
        <v>0</v>
      </c>
      <c r="L57" s="479" t="s">
        <v>352</v>
      </c>
      <c r="M57" s="476" t="s">
        <v>267</v>
      </c>
      <c r="N57" s="601" t="s">
        <v>56</v>
      </c>
      <c r="O57" s="601" t="s">
        <v>343</v>
      </c>
      <c r="P57" s="474" t="s">
        <v>319</v>
      </c>
      <c r="Q57" s="601"/>
      <c r="R57" s="476" t="s">
        <v>300</v>
      </c>
      <c r="S57" s="469"/>
      <c r="T57" s="469"/>
      <c r="U57" s="469"/>
    </row>
    <row r="58" spans="1:21" ht="90" x14ac:dyDescent="0.35">
      <c r="A58" s="473" t="s">
        <v>546</v>
      </c>
      <c r="B58" s="474" t="s">
        <v>293</v>
      </c>
      <c r="C58" s="474" t="s">
        <v>715</v>
      </c>
      <c r="D58" s="498" t="s">
        <v>712</v>
      </c>
      <c r="E58" s="498" t="s">
        <v>267</v>
      </c>
      <c r="F58" s="600">
        <v>1</v>
      </c>
      <c r="G58" s="474"/>
      <c r="H58" s="477">
        <v>322000</v>
      </c>
      <c r="I58" s="477">
        <f t="shared" si="0"/>
        <v>100625</v>
      </c>
      <c r="J58" s="478">
        <v>1</v>
      </c>
      <c r="K58" s="478">
        <v>0</v>
      </c>
      <c r="L58" s="479" t="s">
        <v>727</v>
      </c>
      <c r="M58" s="476" t="s">
        <v>267</v>
      </c>
      <c r="N58" s="601" t="s">
        <v>56</v>
      </c>
      <c r="O58" s="601" t="s">
        <v>343</v>
      </c>
      <c r="P58" s="474" t="s">
        <v>319</v>
      </c>
      <c r="Q58" s="601"/>
      <c r="R58" s="476" t="s">
        <v>311</v>
      </c>
      <c r="S58" s="469"/>
      <c r="T58" s="469"/>
      <c r="U58" s="469"/>
    </row>
    <row r="59" spans="1:21" ht="90" x14ac:dyDescent="0.35">
      <c r="A59" s="569" t="s">
        <v>549</v>
      </c>
      <c r="B59" s="568" t="s">
        <v>293</v>
      </c>
      <c r="C59" s="568" t="s">
        <v>122</v>
      </c>
      <c r="D59" s="571" t="s">
        <v>738</v>
      </c>
      <c r="E59" s="571" t="s">
        <v>267</v>
      </c>
      <c r="F59" s="572">
        <v>1</v>
      </c>
      <c r="G59" s="568"/>
      <c r="H59" s="574">
        <v>225000</v>
      </c>
      <c r="I59" s="574">
        <f>+H59/$I$11</f>
        <v>70312.5</v>
      </c>
      <c r="J59" s="575">
        <v>1</v>
      </c>
      <c r="K59" s="575">
        <v>0</v>
      </c>
      <c r="L59" s="605" t="s">
        <v>739</v>
      </c>
      <c r="M59" s="576" t="s">
        <v>267</v>
      </c>
      <c r="N59" s="577" t="s">
        <v>717</v>
      </c>
      <c r="O59" s="577" t="s">
        <v>38</v>
      </c>
      <c r="P59" s="568" t="s">
        <v>319</v>
      </c>
      <c r="Q59" s="577"/>
      <c r="R59" s="576" t="s">
        <v>587</v>
      </c>
      <c r="S59" s="469"/>
      <c r="T59" s="469"/>
      <c r="U59" s="469"/>
    </row>
    <row r="60" spans="1:21" ht="90" x14ac:dyDescent="0.35">
      <c r="A60" s="569" t="s">
        <v>552</v>
      </c>
      <c r="B60" s="568" t="s">
        <v>293</v>
      </c>
      <c r="C60" s="568" t="s">
        <v>742</v>
      </c>
      <c r="D60" s="571" t="s">
        <v>743</v>
      </c>
      <c r="E60" s="571" t="s">
        <v>267</v>
      </c>
      <c r="F60" s="572">
        <v>1</v>
      </c>
      <c r="G60" s="568"/>
      <c r="H60" s="574">
        <v>20000</v>
      </c>
      <c r="I60" s="574">
        <f t="shared" ref="I60" si="2">+H60/$I$11</f>
        <v>6250</v>
      </c>
      <c r="J60" s="575">
        <v>1</v>
      </c>
      <c r="K60" s="575">
        <v>0</v>
      </c>
      <c r="L60" s="605" t="s">
        <v>352</v>
      </c>
      <c r="M60" s="576" t="s">
        <v>267</v>
      </c>
      <c r="N60" s="577" t="s">
        <v>717</v>
      </c>
      <c r="O60" s="577" t="s">
        <v>38</v>
      </c>
      <c r="P60" s="568" t="s">
        <v>319</v>
      </c>
      <c r="Q60" s="577"/>
      <c r="R60" s="576" t="s">
        <v>587</v>
      </c>
      <c r="S60" s="469"/>
      <c r="T60" s="469"/>
      <c r="U60" s="469"/>
    </row>
    <row r="61" spans="1:21" ht="90" x14ac:dyDescent="0.35">
      <c r="A61" s="569" t="s">
        <v>555</v>
      </c>
      <c r="B61" s="568" t="s">
        <v>293</v>
      </c>
      <c r="C61" s="568" t="s">
        <v>740</v>
      </c>
      <c r="D61" s="568" t="s">
        <v>741</v>
      </c>
      <c r="E61" s="571" t="s">
        <v>267</v>
      </c>
      <c r="F61" s="572">
        <v>1</v>
      </c>
      <c r="G61" s="568"/>
      <c r="H61" s="574">
        <v>220000</v>
      </c>
      <c r="I61" s="574">
        <f t="shared" ref="I61" si="3">+H61/$I$11</f>
        <v>68750</v>
      </c>
      <c r="J61" s="575">
        <v>1</v>
      </c>
      <c r="K61" s="575">
        <v>0</v>
      </c>
      <c r="L61" s="605" t="s">
        <v>739</v>
      </c>
      <c r="M61" s="576" t="s">
        <v>267</v>
      </c>
      <c r="N61" s="577" t="s">
        <v>717</v>
      </c>
      <c r="O61" s="577" t="s">
        <v>38</v>
      </c>
      <c r="P61" s="568" t="s">
        <v>319</v>
      </c>
      <c r="Q61" s="577"/>
      <c r="R61" s="576" t="s">
        <v>587</v>
      </c>
      <c r="S61" s="469"/>
      <c r="T61" s="469"/>
      <c r="U61" s="469"/>
    </row>
    <row r="62" spans="1:21" ht="90" x14ac:dyDescent="0.35">
      <c r="A62" s="569" t="s">
        <v>744</v>
      </c>
      <c r="B62" s="568" t="s">
        <v>293</v>
      </c>
      <c r="C62" s="568" t="s">
        <v>746</v>
      </c>
      <c r="D62" s="568" t="s">
        <v>745</v>
      </c>
      <c r="E62" s="571" t="s">
        <v>267</v>
      </c>
      <c r="F62" s="572">
        <v>1</v>
      </c>
      <c r="G62" s="568"/>
      <c r="H62" s="574">
        <v>215000</v>
      </c>
      <c r="I62" s="574">
        <f t="shared" ref="I62" si="4">+H62/$I$11</f>
        <v>67187.5</v>
      </c>
      <c r="J62" s="575">
        <v>1</v>
      </c>
      <c r="K62" s="575">
        <v>0</v>
      </c>
      <c r="L62" s="605" t="s">
        <v>739</v>
      </c>
      <c r="M62" s="576" t="s">
        <v>267</v>
      </c>
      <c r="N62" s="577" t="s">
        <v>717</v>
      </c>
      <c r="O62" s="577" t="s">
        <v>38</v>
      </c>
      <c r="P62" s="568" t="s">
        <v>319</v>
      </c>
      <c r="Q62" s="577"/>
      <c r="R62" s="576" t="s">
        <v>587</v>
      </c>
      <c r="S62" s="469"/>
      <c r="T62" s="469"/>
      <c r="U62" s="469"/>
    </row>
    <row r="63" spans="1:21" ht="15" customHeight="1" x14ac:dyDescent="0.35">
      <c r="B63" s="493"/>
      <c r="C63" s="493"/>
      <c r="D63" s="493"/>
      <c r="E63" s="493"/>
      <c r="F63" s="651" t="s">
        <v>613</v>
      </c>
      <c r="G63" s="651"/>
      <c r="H63" s="496">
        <f>SUM(H24:H58)-SUMIF(R24:R58,$C$130,H24:H58)</f>
        <v>13798260.66</v>
      </c>
      <c r="I63" s="496">
        <f>SUM(I24:I58)-SUMIF(R24:R58,$C$130,I24:I58)</f>
        <v>4522219.7170872902</v>
      </c>
      <c r="J63" s="497"/>
      <c r="K63" s="497"/>
      <c r="L63" s="493"/>
      <c r="M63" s="493"/>
      <c r="N63" s="493"/>
      <c r="O63" s="493"/>
      <c r="P63" s="493"/>
      <c r="Q63" s="494"/>
      <c r="R63" s="493"/>
      <c r="S63" s="469"/>
      <c r="T63" s="469"/>
      <c r="U63" s="469"/>
    </row>
    <row r="65" spans="1:18" ht="15.6" customHeight="1" x14ac:dyDescent="0.35">
      <c r="A65" s="661" t="s">
        <v>380</v>
      </c>
      <c r="B65" s="662"/>
      <c r="C65" s="662"/>
      <c r="D65" s="662"/>
      <c r="E65" s="662"/>
      <c r="F65" s="662"/>
      <c r="G65" s="662"/>
      <c r="H65" s="662"/>
      <c r="I65" s="662"/>
      <c r="J65" s="662"/>
      <c r="K65" s="662"/>
      <c r="L65" s="662"/>
      <c r="M65" s="662"/>
      <c r="N65" s="662"/>
      <c r="O65" s="662"/>
      <c r="P65" s="662"/>
      <c r="Q65" s="662"/>
      <c r="R65" s="663"/>
    </row>
    <row r="66" spans="1:18" ht="14.1" customHeight="1" x14ac:dyDescent="0.35">
      <c r="A66" s="649" t="s">
        <v>268</v>
      </c>
      <c r="B66" s="649" t="s">
        <v>269</v>
      </c>
      <c r="C66" s="649" t="s">
        <v>591</v>
      </c>
      <c r="D66" s="649" t="s">
        <v>271</v>
      </c>
      <c r="E66" s="649" t="s">
        <v>708</v>
      </c>
      <c r="F66" s="649" t="s">
        <v>573</v>
      </c>
      <c r="G66" s="649" t="s">
        <v>452</v>
      </c>
      <c r="H66" s="470"/>
      <c r="I66" s="650" t="s">
        <v>274</v>
      </c>
      <c r="J66" s="650"/>
      <c r="K66" s="650"/>
      <c r="L66" s="649" t="s">
        <v>275</v>
      </c>
      <c r="M66" s="649" t="s">
        <v>592</v>
      </c>
      <c r="N66" s="649" t="s">
        <v>593</v>
      </c>
      <c r="O66" s="649"/>
      <c r="P66" s="649" t="s">
        <v>578</v>
      </c>
      <c r="Q66" s="649" t="s">
        <v>579</v>
      </c>
      <c r="R66" s="649" t="s">
        <v>580</v>
      </c>
    </row>
    <row r="67" spans="1:18" ht="90" x14ac:dyDescent="0.35">
      <c r="A67" s="649"/>
      <c r="B67" s="649"/>
      <c r="C67" s="649"/>
      <c r="D67" s="649"/>
      <c r="E67" s="649"/>
      <c r="F67" s="649"/>
      <c r="G67" s="649"/>
      <c r="H67" s="470" t="s">
        <v>581</v>
      </c>
      <c r="I67" s="470" t="s">
        <v>285</v>
      </c>
      <c r="J67" s="471" t="s">
        <v>286</v>
      </c>
      <c r="K67" s="471" t="s">
        <v>497</v>
      </c>
      <c r="L67" s="649"/>
      <c r="M67" s="649"/>
      <c r="N67" s="598" t="s">
        <v>582</v>
      </c>
      <c r="O67" s="598" t="s">
        <v>289</v>
      </c>
      <c r="P67" s="649"/>
      <c r="Q67" s="649"/>
      <c r="R67" s="649"/>
    </row>
    <row r="68" spans="1:18" s="510" customFormat="1" ht="90" x14ac:dyDescent="0.35">
      <c r="A68" s="500" t="s">
        <v>92</v>
      </c>
      <c r="B68" s="501" t="s">
        <v>293</v>
      </c>
      <c r="C68" s="501" t="s">
        <v>385</v>
      </c>
      <c r="D68" s="515" t="s">
        <v>386</v>
      </c>
      <c r="E68" s="507" t="s">
        <v>614</v>
      </c>
      <c r="F68" s="599">
        <v>1</v>
      </c>
      <c r="G68" s="507"/>
      <c r="H68" s="520">
        <v>126000</v>
      </c>
      <c r="I68" s="520">
        <v>92727.272727272721</v>
      </c>
      <c r="J68" s="505">
        <v>1</v>
      </c>
      <c r="K68" s="505">
        <v>0</v>
      </c>
      <c r="L68" s="501" t="s">
        <v>387</v>
      </c>
      <c r="M68" s="507" t="s">
        <v>284</v>
      </c>
      <c r="N68" s="508" t="s">
        <v>44</v>
      </c>
      <c r="O68" s="508" t="s">
        <v>97</v>
      </c>
      <c r="P68" s="507" t="s">
        <v>388</v>
      </c>
      <c r="Q68" s="599"/>
      <c r="R68" s="507" t="s">
        <v>596</v>
      </c>
    </row>
    <row r="69" spans="1:18" ht="72" x14ac:dyDescent="0.35">
      <c r="A69" s="481" t="s">
        <v>98</v>
      </c>
      <c r="B69" s="474" t="s">
        <v>293</v>
      </c>
      <c r="C69" s="498" t="s">
        <v>99</v>
      </c>
      <c r="D69" s="498" t="s">
        <v>389</v>
      </c>
      <c r="E69" s="476" t="s">
        <v>614</v>
      </c>
      <c r="F69" s="600">
        <v>1</v>
      </c>
      <c r="G69" s="527"/>
      <c r="H69" s="516">
        <v>25370</v>
      </c>
      <c r="I69" s="516">
        <f>+H69/$I$11</f>
        <v>7928.125</v>
      </c>
      <c r="J69" s="478">
        <v>1</v>
      </c>
      <c r="K69" s="478">
        <v>0</v>
      </c>
      <c r="L69" s="474" t="s">
        <v>356</v>
      </c>
      <c r="M69" s="476" t="s">
        <v>284</v>
      </c>
      <c r="N69" s="528" t="s">
        <v>183</v>
      </c>
      <c r="O69" s="528" t="s">
        <v>50</v>
      </c>
      <c r="P69" s="474" t="s">
        <v>559</v>
      </c>
      <c r="Q69" s="601" t="s">
        <v>558</v>
      </c>
      <c r="R69" s="476" t="s">
        <v>584</v>
      </c>
    </row>
    <row r="70" spans="1:18" ht="90" x14ac:dyDescent="0.35">
      <c r="A70" s="481" t="s">
        <v>189</v>
      </c>
      <c r="B70" s="474" t="s">
        <v>293</v>
      </c>
      <c r="C70" s="498" t="s">
        <v>615</v>
      </c>
      <c r="D70" s="498" t="s">
        <v>190</v>
      </c>
      <c r="E70" s="476" t="s">
        <v>614</v>
      </c>
      <c r="F70" s="600">
        <v>1</v>
      </c>
      <c r="G70" s="527"/>
      <c r="H70" s="516">
        <v>26400</v>
      </c>
      <c r="I70" s="516">
        <v>8000</v>
      </c>
      <c r="J70" s="478">
        <v>1</v>
      </c>
      <c r="K70" s="478">
        <v>0</v>
      </c>
      <c r="L70" s="474" t="s">
        <v>322</v>
      </c>
      <c r="M70" s="476" t="s">
        <v>284</v>
      </c>
      <c r="N70" s="528" t="s">
        <v>50</v>
      </c>
      <c r="O70" s="528" t="s">
        <v>75</v>
      </c>
      <c r="P70" s="474" t="s">
        <v>559</v>
      </c>
      <c r="Q70" s="601" t="s">
        <v>723</v>
      </c>
      <c r="R70" s="476" t="s">
        <v>311</v>
      </c>
    </row>
    <row r="71" spans="1:18" ht="72" x14ac:dyDescent="0.35">
      <c r="A71" s="481" t="s">
        <v>209</v>
      </c>
      <c r="B71" s="474" t="s">
        <v>293</v>
      </c>
      <c r="C71" s="498" t="s">
        <v>616</v>
      </c>
      <c r="D71" s="498" t="s">
        <v>617</v>
      </c>
      <c r="E71" s="476" t="s">
        <v>618</v>
      </c>
      <c r="F71" s="600">
        <v>1</v>
      </c>
      <c r="G71" s="527"/>
      <c r="H71" s="516">
        <v>196929</v>
      </c>
      <c r="I71" s="516">
        <v>60429.255000000005</v>
      </c>
      <c r="J71" s="478">
        <v>1</v>
      </c>
      <c r="K71" s="478">
        <v>0</v>
      </c>
      <c r="L71" s="474" t="s">
        <v>396</v>
      </c>
      <c r="M71" s="476" t="s">
        <v>267</v>
      </c>
      <c r="N71" s="528" t="s">
        <v>50</v>
      </c>
      <c r="O71" s="528" t="s">
        <v>56</v>
      </c>
      <c r="P71" s="474" t="s">
        <v>332</v>
      </c>
      <c r="Q71" s="601" t="s">
        <v>619</v>
      </c>
      <c r="R71" s="476" t="s">
        <v>311</v>
      </c>
    </row>
    <row r="72" spans="1:18" ht="72" x14ac:dyDescent="0.35">
      <c r="A72" s="481" t="s">
        <v>235</v>
      </c>
      <c r="B72" s="474" t="s">
        <v>293</v>
      </c>
      <c r="C72" s="498" t="s">
        <v>620</v>
      </c>
      <c r="D72" s="498" t="s">
        <v>236</v>
      </c>
      <c r="E72" s="476" t="s">
        <v>618</v>
      </c>
      <c r="F72" s="600">
        <v>1</v>
      </c>
      <c r="G72" s="527" t="s">
        <v>395</v>
      </c>
      <c r="H72" s="516">
        <v>154489.70000000001</v>
      </c>
      <c r="I72" s="516">
        <v>59900.62</v>
      </c>
      <c r="J72" s="478">
        <v>1</v>
      </c>
      <c r="K72" s="478">
        <v>0</v>
      </c>
      <c r="L72" s="474" t="s">
        <v>396</v>
      </c>
      <c r="M72" s="476" t="s">
        <v>267</v>
      </c>
      <c r="N72" s="528" t="s">
        <v>32</v>
      </c>
      <c r="O72" s="528" t="s">
        <v>183</v>
      </c>
      <c r="P72" s="474" t="s">
        <v>332</v>
      </c>
      <c r="Q72" s="601" t="s">
        <v>560</v>
      </c>
      <c r="R72" s="476" t="s">
        <v>311</v>
      </c>
    </row>
    <row r="73" spans="1:18" ht="72" x14ac:dyDescent="0.35">
      <c r="A73" s="481" t="s">
        <v>524</v>
      </c>
      <c r="B73" s="474" t="s">
        <v>293</v>
      </c>
      <c r="C73" s="498" t="s">
        <v>621</v>
      </c>
      <c r="D73" s="498" t="s">
        <v>526</v>
      </c>
      <c r="E73" s="476" t="s">
        <v>614</v>
      </c>
      <c r="F73" s="600">
        <v>1</v>
      </c>
      <c r="G73" s="527"/>
      <c r="H73" s="516">
        <v>46000</v>
      </c>
      <c r="I73" s="516">
        <v>11068.87</v>
      </c>
      <c r="J73" s="478">
        <v>1</v>
      </c>
      <c r="K73" s="478">
        <v>0</v>
      </c>
      <c r="L73" s="474" t="s">
        <v>716</v>
      </c>
      <c r="M73" s="476" t="s">
        <v>284</v>
      </c>
      <c r="N73" s="528" t="s">
        <v>50</v>
      </c>
      <c r="O73" s="528" t="s">
        <v>133</v>
      </c>
      <c r="P73" s="474"/>
      <c r="Q73" s="601" t="s">
        <v>561</v>
      </c>
      <c r="R73" s="476" t="s">
        <v>311</v>
      </c>
    </row>
    <row r="74" spans="1:18" ht="72" x14ac:dyDescent="0.35">
      <c r="A74" s="481" t="s">
        <v>527</v>
      </c>
      <c r="B74" s="474" t="s">
        <v>293</v>
      </c>
      <c r="C74" s="498" t="s">
        <v>528</v>
      </c>
      <c r="D74" s="498" t="s">
        <v>529</v>
      </c>
      <c r="E74" s="476" t="s">
        <v>614</v>
      </c>
      <c r="F74" s="600">
        <v>1</v>
      </c>
      <c r="G74" s="527"/>
      <c r="H74" s="516">
        <v>264385.07</v>
      </c>
      <c r="I74" s="516">
        <v>82150.55</v>
      </c>
      <c r="J74" s="478">
        <v>1</v>
      </c>
      <c r="K74" s="478">
        <v>0</v>
      </c>
      <c r="L74" s="474" t="s">
        <v>396</v>
      </c>
      <c r="M74" s="476" t="s">
        <v>284</v>
      </c>
      <c r="N74" s="528" t="s">
        <v>75</v>
      </c>
      <c r="O74" s="528" t="s">
        <v>70</v>
      </c>
      <c r="P74" s="474"/>
      <c r="Q74" s="601" t="s">
        <v>724</v>
      </c>
      <c r="R74" s="476" t="s">
        <v>311</v>
      </c>
    </row>
    <row r="75" spans="1:18" s="510" customFormat="1" ht="72" x14ac:dyDescent="0.35">
      <c r="A75" s="500" t="s">
        <v>530</v>
      </c>
      <c r="B75" s="501" t="s">
        <v>293</v>
      </c>
      <c r="C75" s="501" t="s">
        <v>622</v>
      </c>
      <c r="D75" s="515" t="s">
        <v>623</v>
      </c>
      <c r="E75" s="507" t="s">
        <v>618</v>
      </c>
      <c r="F75" s="599"/>
      <c r="G75" s="507"/>
      <c r="H75" s="520">
        <v>1300000</v>
      </c>
      <c r="I75" s="520">
        <f>+H75/$I$11</f>
        <v>406250</v>
      </c>
      <c r="J75" s="505">
        <v>1</v>
      </c>
      <c r="K75" s="505">
        <v>0</v>
      </c>
      <c r="L75" s="501" t="s">
        <v>396</v>
      </c>
      <c r="M75" s="507" t="s">
        <v>267</v>
      </c>
      <c r="N75" s="508" t="s">
        <v>133</v>
      </c>
      <c r="O75" s="508" t="s">
        <v>75</v>
      </c>
      <c r="P75" s="507" t="s">
        <v>700</v>
      </c>
      <c r="Q75" s="599"/>
      <c r="R75" s="507" t="s">
        <v>596</v>
      </c>
    </row>
    <row r="76" spans="1:18" ht="90" x14ac:dyDescent="0.35">
      <c r="A76" s="481" t="s">
        <v>624</v>
      </c>
      <c r="B76" s="474" t="s">
        <v>293</v>
      </c>
      <c r="C76" s="498" t="s">
        <v>167</v>
      </c>
      <c r="D76" s="498" t="s">
        <v>399</v>
      </c>
      <c r="E76" s="476" t="s">
        <v>618</v>
      </c>
      <c r="F76" s="600" t="s">
        <v>298</v>
      </c>
      <c r="G76" s="527" t="s">
        <v>298</v>
      </c>
      <c r="H76" s="516">
        <v>80000</v>
      </c>
      <c r="I76" s="516">
        <f>+H76/$I$11</f>
        <v>25000</v>
      </c>
      <c r="J76" s="478">
        <v>1</v>
      </c>
      <c r="K76" s="478">
        <v>0</v>
      </c>
      <c r="L76" s="474" t="s">
        <v>297</v>
      </c>
      <c r="M76" s="476" t="s">
        <v>267</v>
      </c>
      <c r="N76" s="528" t="s">
        <v>43</v>
      </c>
      <c r="O76" s="528" t="s">
        <v>43</v>
      </c>
      <c r="P76" s="474" t="s">
        <v>400</v>
      </c>
      <c r="Q76" s="601" t="s">
        <v>298</v>
      </c>
      <c r="R76" s="476" t="s">
        <v>584</v>
      </c>
    </row>
    <row r="77" spans="1:18" ht="72" x14ac:dyDescent="0.35">
      <c r="A77" s="481" t="s">
        <v>625</v>
      </c>
      <c r="B77" s="474" t="s">
        <v>293</v>
      </c>
      <c r="C77" s="498" t="s">
        <v>402</v>
      </c>
      <c r="D77" s="498" t="s">
        <v>402</v>
      </c>
      <c r="E77" s="476" t="s">
        <v>618</v>
      </c>
      <c r="F77" s="600">
        <v>1</v>
      </c>
      <c r="G77" s="527" t="s">
        <v>403</v>
      </c>
      <c r="H77" s="516">
        <v>19902</v>
      </c>
      <c r="I77" s="516">
        <v>9046</v>
      </c>
      <c r="J77" s="478">
        <v>1</v>
      </c>
      <c r="K77" s="478">
        <v>0</v>
      </c>
      <c r="L77" s="474" t="s">
        <v>352</v>
      </c>
      <c r="M77" s="476" t="s">
        <v>267</v>
      </c>
      <c r="N77" s="528" t="s">
        <v>43</v>
      </c>
      <c r="O77" s="528" t="s">
        <v>32</v>
      </c>
      <c r="P77" s="474" t="s">
        <v>405</v>
      </c>
      <c r="Q77" s="601" t="s">
        <v>404</v>
      </c>
      <c r="R77" s="476" t="s">
        <v>311</v>
      </c>
    </row>
    <row r="78" spans="1:18" ht="15" customHeight="1" x14ac:dyDescent="0.35">
      <c r="B78" s="493"/>
      <c r="C78" s="493"/>
      <c r="D78" s="493"/>
      <c r="E78" s="493"/>
      <c r="F78" s="651" t="s">
        <v>613</v>
      </c>
      <c r="G78" s="651"/>
      <c r="H78" s="496">
        <f>SUM(H68:H77)-SUMIF(R68:R77,$C$130,H68:H77)</f>
        <v>813475.77</v>
      </c>
      <c r="I78" s="496">
        <f>SUM(I68:I77)-SUMIF(R68:R77,$C$130,I68:I77)</f>
        <v>263523.41999999993</v>
      </c>
      <c r="J78" s="497"/>
      <c r="K78" s="497"/>
      <c r="L78" s="493"/>
      <c r="M78" s="493"/>
      <c r="N78" s="493"/>
      <c r="O78" s="493"/>
      <c r="P78" s="493"/>
      <c r="Q78" s="494"/>
      <c r="R78" s="493"/>
    </row>
    <row r="80" spans="1:18" ht="15.6" customHeight="1" x14ac:dyDescent="0.35">
      <c r="A80" s="661" t="s">
        <v>407</v>
      </c>
      <c r="B80" s="662"/>
      <c r="C80" s="662"/>
      <c r="D80" s="662"/>
      <c r="E80" s="662"/>
      <c r="F80" s="662"/>
      <c r="G80" s="662"/>
      <c r="H80" s="662"/>
      <c r="I80" s="662"/>
      <c r="J80" s="662"/>
      <c r="K80" s="662"/>
      <c r="L80" s="662"/>
      <c r="M80" s="662"/>
      <c r="N80" s="662"/>
      <c r="O80" s="662"/>
      <c r="P80" s="662"/>
      <c r="Q80" s="662"/>
      <c r="R80" s="663"/>
    </row>
    <row r="81" spans="1:18" ht="15.15" customHeight="1" x14ac:dyDescent="0.35">
      <c r="A81" s="649" t="s">
        <v>268</v>
      </c>
      <c r="B81" s="649" t="s">
        <v>269</v>
      </c>
      <c r="C81" s="649" t="s">
        <v>591</v>
      </c>
      <c r="D81" s="649" t="s">
        <v>271</v>
      </c>
      <c r="E81" s="649" t="s">
        <v>708</v>
      </c>
      <c r="F81" s="648"/>
      <c r="G81" s="648"/>
      <c r="H81" s="529"/>
      <c r="I81" s="650" t="s">
        <v>274</v>
      </c>
      <c r="J81" s="650"/>
      <c r="K81" s="650"/>
      <c r="L81" s="649" t="s">
        <v>275</v>
      </c>
      <c r="M81" s="649" t="s">
        <v>592</v>
      </c>
      <c r="N81" s="649" t="s">
        <v>593</v>
      </c>
      <c r="O81" s="649"/>
      <c r="P81" s="649" t="s">
        <v>578</v>
      </c>
      <c r="Q81" s="649" t="s">
        <v>579</v>
      </c>
      <c r="R81" s="649" t="s">
        <v>580</v>
      </c>
    </row>
    <row r="82" spans="1:18" ht="63" customHeight="1" x14ac:dyDescent="0.35">
      <c r="A82" s="649"/>
      <c r="B82" s="649"/>
      <c r="C82" s="649"/>
      <c r="D82" s="649"/>
      <c r="E82" s="649"/>
      <c r="F82" s="649" t="s">
        <v>273</v>
      </c>
      <c r="G82" s="649"/>
      <c r="H82" s="470" t="s">
        <v>581</v>
      </c>
      <c r="I82" s="470" t="s">
        <v>285</v>
      </c>
      <c r="J82" s="471" t="s">
        <v>286</v>
      </c>
      <c r="K82" s="471" t="s">
        <v>497</v>
      </c>
      <c r="L82" s="649"/>
      <c r="M82" s="649"/>
      <c r="N82" s="598" t="s">
        <v>627</v>
      </c>
      <c r="O82" s="598" t="s">
        <v>289</v>
      </c>
      <c r="P82" s="649"/>
      <c r="Q82" s="649"/>
      <c r="R82" s="649"/>
    </row>
    <row r="83" spans="1:18" ht="54" x14ac:dyDescent="0.35">
      <c r="A83" s="481" t="s">
        <v>34</v>
      </c>
      <c r="B83" s="474" t="s">
        <v>293</v>
      </c>
      <c r="C83" s="498" t="s">
        <v>35</v>
      </c>
      <c r="D83" s="498" t="s">
        <v>412</v>
      </c>
      <c r="E83" s="476" t="s">
        <v>413</v>
      </c>
      <c r="F83" s="602"/>
      <c r="G83" s="603"/>
      <c r="H83" s="516">
        <v>173960</v>
      </c>
      <c r="I83" s="516">
        <v>55000</v>
      </c>
      <c r="J83" s="478">
        <v>0.8</v>
      </c>
      <c r="K83" s="478">
        <v>0.2</v>
      </c>
      <c r="L83" s="474" t="s">
        <v>725</v>
      </c>
      <c r="M83" s="476" t="s">
        <v>292</v>
      </c>
      <c r="N83" s="528" t="s">
        <v>43</v>
      </c>
      <c r="O83" s="528" t="s">
        <v>74</v>
      </c>
      <c r="P83" s="474"/>
      <c r="Q83" s="601" t="s">
        <v>415</v>
      </c>
      <c r="R83" s="476" t="s">
        <v>584</v>
      </c>
    </row>
    <row r="84" spans="1:18" s="510" customFormat="1" ht="72" x14ac:dyDescent="0.35">
      <c r="A84" s="500" t="s">
        <v>39</v>
      </c>
      <c r="B84" s="501" t="s">
        <v>293</v>
      </c>
      <c r="C84" s="501" t="s">
        <v>417</v>
      </c>
      <c r="D84" s="533" t="s">
        <v>418</v>
      </c>
      <c r="E84" s="507" t="s">
        <v>408</v>
      </c>
      <c r="F84" s="653"/>
      <c r="G84" s="653"/>
      <c r="H84" s="535">
        <v>25000</v>
      </c>
      <c r="I84" s="511">
        <v>6666.666666666667</v>
      </c>
      <c r="J84" s="536">
        <v>1</v>
      </c>
      <c r="K84" s="536">
        <v>0</v>
      </c>
      <c r="L84" s="506" t="s">
        <v>419</v>
      </c>
      <c r="M84" s="507" t="s">
        <v>284</v>
      </c>
      <c r="N84" s="537" t="s">
        <v>75</v>
      </c>
      <c r="O84" s="537" t="s">
        <v>56</v>
      </c>
      <c r="P84" s="501" t="s">
        <v>597</v>
      </c>
      <c r="Q84" s="501"/>
      <c r="R84" s="507" t="s">
        <v>596</v>
      </c>
    </row>
    <row r="85" spans="1:18" ht="108" x14ac:dyDescent="0.35">
      <c r="A85" s="481" t="s">
        <v>45</v>
      </c>
      <c r="B85" s="474" t="s">
        <v>293</v>
      </c>
      <c r="C85" s="498" t="s">
        <v>420</v>
      </c>
      <c r="D85" s="498" t="s">
        <v>628</v>
      </c>
      <c r="E85" s="476" t="s">
        <v>618</v>
      </c>
      <c r="F85" s="602"/>
      <c r="G85" s="603"/>
      <c r="H85" s="516">
        <v>203730</v>
      </c>
      <c r="I85" s="516">
        <v>62200</v>
      </c>
      <c r="J85" s="478">
        <v>0</v>
      </c>
      <c r="K85" s="478">
        <v>1</v>
      </c>
      <c r="L85" s="474" t="s">
        <v>422</v>
      </c>
      <c r="M85" s="476" t="s">
        <v>267</v>
      </c>
      <c r="N85" s="528" t="s">
        <v>74</v>
      </c>
      <c r="O85" s="528" t="s">
        <v>44</v>
      </c>
      <c r="P85" s="474" t="s">
        <v>629</v>
      </c>
      <c r="Q85" s="601" t="s">
        <v>298</v>
      </c>
      <c r="R85" s="476" t="s">
        <v>311</v>
      </c>
    </row>
    <row r="86" spans="1:18" ht="72" x14ac:dyDescent="0.35">
      <c r="A86" s="481" t="s">
        <v>51</v>
      </c>
      <c r="B86" s="474" t="s">
        <v>293</v>
      </c>
      <c r="C86" s="498" t="s">
        <v>694</v>
      </c>
      <c r="D86" s="498" t="s">
        <v>630</v>
      </c>
      <c r="E86" s="476" t="s">
        <v>692</v>
      </c>
      <c r="F86" s="602"/>
      <c r="G86" s="603"/>
      <c r="H86" s="516">
        <v>2250000</v>
      </c>
      <c r="I86" s="516">
        <f>+H86/$I$11</f>
        <v>703125</v>
      </c>
      <c r="J86" s="478">
        <v>1</v>
      </c>
      <c r="K86" s="478">
        <v>0</v>
      </c>
      <c r="L86" s="474" t="s">
        <v>695</v>
      </c>
      <c r="M86" s="476" t="s">
        <v>284</v>
      </c>
      <c r="N86" s="528" t="s">
        <v>231</v>
      </c>
      <c r="O86" s="528" t="s">
        <v>70</v>
      </c>
      <c r="P86" s="474"/>
      <c r="Q86" s="601"/>
      <c r="R86" s="476" t="s">
        <v>584</v>
      </c>
    </row>
    <row r="87" spans="1:18" ht="108" x14ac:dyDescent="0.35">
      <c r="A87" s="481" t="s">
        <v>53</v>
      </c>
      <c r="B87" s="474" t="s">
        <v>293</v>
      </c>
      <c r="C87" s="498" t="s">
        <v>426</v>
      </c>
      <c r="D87" s="498" t="s">
        <v>54</v>
      </c>
      <c r="E87" s="476" t="s">
        <v>409</v>
      </c>
      <c r="F87" s="602"/>
      <c r="G87" s="603"/>
      <c r="H87" s="516">
        <v>196795.04</v>
      </c>
      <c r="I87" s="516">
        <v>60383.839999999997</v>
      </c>
      <c r="J87" s="478">
        <v>1</v>
      </c>
      <c r="K87" s="478">
        <v>0</v>
      </c>
      <c r="L87" s="474" t="s">
        <v>318</v>
      </c>
      <c r="M87" s="476" t="s">
        <v>292</v>
      </c>
      <c r="N87" s="528" t="s">
        <v>32</v>
      </c>
      <c r="O87" s="528" t="s">
        <v>74</v>
      </c>
      <c r="P87" s="474"/>
      <c r="Q87" s="601" t="s">
        <v>427</v>
      </c>
      <c r="R87" s="476" t="s">
        <v>311</v>
      </c>
    </row>
    <row r="88" spans="1:18" s="510" customFormat="1" ht="72" x14ac:dyDescent="0.35">
      <c r="A88" s="500" t="s">
        <v>57</v>
      </c>
      <c r="B88" s="501" t="s">
        <v>293</v>
      </c>
      <c r="C88" s="501" t="s">
        <v>428</v>
      </c>
      <c r="D88" s="502" t="s">
        <v>58</v>
      </c>
      <c r="E88" s="507" t="s">
        <v>408</v>
      </c>
      <c r="F88" s="653"/>
      <c r="G88" s="653"/>
      <c r="H88" s="535">
        <v>60900</v>
      </c>
      <c r="I88" s="539">
        <v>27681.81818181818</v>
      </c>
      <c r="J88" s="536">
        <v>1</v>
      </c>
      <c r="K88" s="536">
        <v>0</v>
      </c>
      <c r="L88" s="506" t="s">
        <v>318</v>
      </c>
      <c r="M88" s="507" t="s">
        <v>284</v>
      </c>
      <c r="N88" s="537" t="s">
        <v>227</v>
      </c>
      <c r="O88" s="537" t="s">
        <v>59</v>
      </c>
      <c r="P88" s="501" t="s">
        <v>429</v>
      </c>
      <c r="Q88" s="501"/>
      <c r="R88" s="507" t="s">
        <v>596</v>
      </c>
    </row>
    <row r="89" spans="1:18" ht="90" x14ac:dyDescent="0.35">
      <c r="A89" s="500" t="s">
        <v>60</v>
      </c>
      <c r="B89" s="501" t="s">
        <v>293</v>
      </c>
      <c r="C89" s="501" t="s">
        <v>430</v>
      </c>
      <c r="D89" s="540" t="s">
        <v>61</v>
      </c>
      <c r="E89" s="507" t="s">
        <v>408</v>
      </c>
      <c r="F89" s="653"/>
      <c r="G89" s="653"/>
      <c r="H89" s="535">
        <v>500000</v>
      </c>
      <c r="I89" s="511">
        <f>+H89/$I$11</f>
        <v>156250</v>
      </c>
      <c r="J89" s="536">
        <v>1</v>
      </c>
      <c r="K89" s="536">
        <v>0</v>
      </c>
      <c r="L89" s="506" t="s">
        <v>342</v>
      </c>
      <c r="M89" s="507" t="s">
        <v>284</v>
      </c>
      <c r="N89" s="537" t="s">
        <v>133</v>
      </c>
      <c r="O89" s="537" t="s">
        <v>70</v>
      </c>
      <c r="P89" s="501"/>
      <c r="Q89" s="501"/>
      <c r="R89" s="507" t="s">
        <v>596</v>
      </c>
    </row>
    <row r="90" spans="1:18" s="510" customFormat="1" ht="126" x14ac:dyDescent="0.35">
      <c r="A90" s="500" t="s">
        <v>63</v>
      </c>
      <c r="B90" s="501" t="s">
        <v>293</v>
      </c>
      <c r="C90" s="501" t="s">
        <v>431</v>
      </c>
      <c r="D90" s="502" t="s">
        <v>432</v>
      </c>
      <c r="E90" s="507" t="s">
        <v>408</v>
      </c>
      <c r="F90" s="653"/>
      <c r="G90" s="653"/>
      <c r="H90" s="535">
        <v>400000</v>
      </c>
      <c r="I90" s="539">
        <v>181818.18181818179</v>
      </c>
      <c r="J90" s="536">
        <v>1</v>
      </c>
      <c r="K90" s="536">
        <v>0</v>
      </c>
      <c r="L90" s="506" t="s">
        <v>297</v>
      </c>
      <c r="M90" s="507" t="s">
        <v>284</v>
      </c>
      <c r="N90" s="537" t="s">
        <v>183</v>
      </c>
      <c r="O90" s="537" t="s">
        <v>38</v>
      </c>
      <c r="P90" s="501" t="s">
        <v>433</v>
      </c>
      <c r="Q90" s="501"/>
      <c r="R90" s="507" t="s">
        <v>596</v>
      </c>
    </row>
    <row r="91" spans="1:18" ht="180" x14ac:dyDescent="0.35">
      <c r="A91" s="481" t="s">
        <v>66</v>
      </c>
      <c r="B91" s="474" t="s">
        <v>293</v>
      </c>
      <c r="C91" s="498" t="s">
        <v>434</v>
      </c>
      <c r="D91" s="498" t="s">
        <v>435</v>
      </c>
      <c r="E91" s="476" t="s">
        <v>631</v>
      </c>
      <c r="F91" s="602"/>
      <c r="G91" s="603"/>
      <c r="H91" s="516">
        <v>1465077</v>
      </c>
      <c r="I91" s="516">
        <f>+H91/$I$11</f>
        <v>457836.5625</v>
      </c>
      <c r="J91" s="478">
        <v>1</v>
      </c>
      <c r="K91" s="478">
        <v>0</v>
      </c>
      <c r="L91" s="474" t="s">
        <v>436</v>
      </c>
      <c r="M91" s="476" t="s">
        <v>284</v>
      </c>
      <c r="N91" s="528" t="s">
        <v>183</v>
      </c>
      <c r="O91" s="528" t="s">
        <v>133</v>
      </c>
      <c r="P91" s="474"/>
      <c r="Q91" s="601" t="s">
        <v>632</v>
      </c>
      <c r="R91" s="476" t="s">
        <v>584</v>
      </c>
    </row>
    <row r="92" spans="1:18" ht="72" x14ac:dyDescent="0.35">
      <c r="A92" s="481" t="s">
        <v>71</v>
      </c>
      <c r="B92" s="474" t="s">
        <v>293</v>
      </c>
      <c r="C92" s="498" t="s">
        <v>437</v>
      </c>
      <c r="D92" s="498" t="s">
        <v>633</v>
      </c>
      <c r="E92" s="476" t="s">
        <v>408</v>
      </c>
      <c r="F92" s="602"/>
      <c r="G92" s="603"/>
      <c r="H92" s="516">
        <v>360000</v>
      </c>
      <c r="I92" s="516">
        <v>100000</v>
      </c>
      <c r="J92" s="478">
        <v>1</v>
      </c>
      <c r="K92" s="478">
        <v>0</v>
      </c>
      <c r="L92" s="474" t="s">
        <v>356</v>
      </c>
      <c r="M92" s="476" t="s">
        <v>284</v>
      </c>
      <c r="N92" s="528" t="s">
        <v>74</v>
      </c>
      <c r="O92" s="528" t="s">
        <v>44</v>
      </c>
      <c r="P92" s="474"/>
      <c r="Q92" s="601" t="s">
        <v>440</v>
      </c>
      <c r="R92" s="476" t="s">
        <v>311</v>
      </c>
    </row>
    <row r="93" spans="1:18" s="510" customFormat="1" ht="108" x14ac:dyDescent="0.35">
      <c r="A93" s="500" t="s">
        <v>76</v>
      </c>
      <c r="B93" s="501" t="s">
        <v>293</v>
      </c>
      <c r="C93" s="501" t="s">
        <v>441</v>
      </c>
      <c r="D93" s="502" t="s">
        <v>442</v>
      </c>
      <c r="E93" s="507" t="s">
        <v>408</v>
      </c>
      <c r="F93" s="653"/>
      <c r="G93" s="653"/>
      <c r="H93" s="535">
        <v>249000</v>
      </c>
      <c r="I93" s="539">
        <v>113181.81818181818</v>
      </c>
      <c r="J93" s="536">
        <v>1</v>
      </c>
      <c r="K93" s="536">
        <v>0</v>
      </c>
      <c r="L93" s="506" t="s">
        <v>304</v>
      </c>
      <c r="M93" s="507" t="s">
        <v>284</v>
      </c>
      <c r="N93" s="537" t="s">
        <v>231</v>
      </c>
      <c r="O93" s="537" t="s">
        <v>59</v>
      </c>
      <c r="P93" s="501" t="s">
        <v>345</v>
      </c>
      <c r="Q93" s="501"/>
      <c r="R93" s="507" t="s">
        <v>596</v>
      </c>
    </row>
    <row r="94" spans="1:18" s="510" customFormat="1" ht="72" x14ac:dyDescent="0.35">
      <c r="A94" s="500" t="s">
        <v>79</v>
      </c>
      <c r="B94" s="501" t="s">
        <v>293</v>
      </c>
      <c r="C94" s="501" t="s">
        <v>443</v>
      </c>
      <c r="D94" s="502" t="s">
        <v>80</v>
      </c>
      <c r="E94" s="507" t="s">
        <v>408</v>
      </c>
      <c r="F94" s="653"/>
      <c r="G94" s="653"/>
      <c r="H94" s="535">
        <v>427800</v>
      </c>
      <c r="I94" s="539">
        <f>+H94/$I$11</f>
        <v>133687.5</v>
      </c>
      <c r="J94" s="536">
        <v>1</v>
      </c>
      <c r="K94" s="536">
        <v>0</v>
      </c>
      <c r="L94" s="506" t="s">
        <v>297</v>
      </c>
      <c r="M94" s="507" t="s">
        <v>284</v>
      </c>
      <c r="N94" s="537"/>
      <c r="O94" s="537"/>
      <c r="P94" s="501" t="s">
        <v>693</v>
      </c>
      <c r="Q94" s="501"/>
      <c r="R94" s="507" t="s">
        <v>596</v>
      </c>
    </row>
    <row r="95" spans="1:18" s="510" customFormat="1" ht="90" x14ac:dyDescent="0.35">
      <c r="A95" s="500" t="s">
        <v>81</v>
      </c>
      <c r="B95" s="501" t="s">
        <v>293</v>
      </c>
      <c r="C95" s="501" t="s">
        <v>691</v>
      </c>
      <c r="D95" s="502" t="s">
        <v>82</v>
      </c>
      <c r="E95" s="507" t="s">
        <v>409</v>
      </c>
      <c r="F95" s="653"/>
      <c r="G95" s="653"/>
      <c r="H95" s="535">
        <v>135600</v>
      </c>
      <c r="I95" s="539">
        <f>+H95/$I$11</f>
        <v>42375</v>
      </c>
      <c r="J95" s="536">
        <v>1</v>
      </c>
      <c r="K95" s="536">
        <v>0</v>
      </c>
      <c r="L95" s="506" t="s">
        <v>297</v>
      </c>
      <c r="M95" s="507" t="s">
        <v>292</v>
      </c>
      <c r="N95" s="537" t="s">
        <v>56</v>
      </c>
      <c r="O95" s="537" t="s">
        <v>70</v>
      </c>
      <c r="P95" s="501" t="s">
        <v>696</v>
      </c>
      <c r="Q95" s="501"/>
      <c r="R95" s="507" t="s">
        <v>596</v>
      </c>
    </row>
    <row r="96" spans="1:18" s="510" customFormat="1" ht="101.4" customHeight="1" x14ac:dyDescent="0.35">
      <c r="A96" s="500" t="s">
        <v>83</v>
      </c>
      <c r="B96" s="501" t="s">
        <v>293</v>
      </c>
      <c r="C96" s="501" t="s">
        <v>445</v>
      </c>
      <c r="D96" s="502" t="s">
        <v>446</v>
      </c>
      <c r="E96" s="507" t="s">
        <v>408</v>
      </c>
      <c r="F96" s="653"/>
      <c r="G96" s="653"/>
      <c r="H96" s="535">
        <v>400000</v>
      </c>
      <c r="I96" s="539">
        <v>181818.18181818179</v>
      </c>
      <c r="J96" s="536">
        <v>1</v>
      </c>
      <c r="K96" s="536">
        <v>0</v>
      </c>
      <c r="L96" s="506" t="s">
        <v>447</v>
      </c>
      <c r="M96" s="507" t="s">
        <v>284</v>
      </c>
      <c r="N96" s="537" t="s">
        <v>183</v>
      </c>
      <c r="O96" s="537" t="s">
        <v>38</v>
      </c>
      <c r="P96" s="501" t="s">
        <v>562</v>
      </c>
      <c r="Q96" s="501"/>
      <c r="R96" s="507" t="s">
        <v>596</v>
      </c>
    </row>
    <row r="97" spans="1:18" s="510" customFormat="1" ht="72" x14ac:dyDescent="0.35">
      <c r="A97" s="500" t="s">
        <v>86</v>
      </c>
      <c r="B97" s="501" t="s">
        <v>293</v>
      </c>
      <c r="C97" s="501" t="s">
        <v>87</v>
      </c>
      <c r="D97" s="515" t="s">
        <v>626</v>
      </c>
      <c r="E97" s="507" t="s">
        <v>408</v>
      </c>
      <c r="F97" s="653"/>
      <c r="G97" s="653"/>
      <c r="H97" s="535">
        <v>120000</v>
      </c>
      <c r="I97" s="511">
        <f>+H97/$I$11</f>
        <v>37500</v>
      </c>
      <c r="J97" s="536">
        <v>1</v>
      </c>
      <c r="K97" s="536">
        <v>0</v>
      </c>
      <c r="L97" s="506" t="s">
        <v>328</v>
      </c>
      <c r="M97" s="507" t="s">
        <v>284</v>
      </c>
      <c r="N97" s="537" t="s">
        <v>50</v>
      </c>
      <c r="O97" s="537" t="s">
        <v>231</v>
      </c>
      <c r="P97" s="501" t="s">
        <v>634</v>
      </c>
      <c r="Q97" s="501"/>
      <c r="R97" s="507" t="s">
        <v>596</v>
      </c>
    </row>
    <row r="98" spans="1:18" s="510" customFormat="1" ht="108" x14ac:dyDescent="0.35">
      <c r="A98" s="500" t="s">
        <v>187</v>
      </c>
      <c r="B98" s="501" t="s">
        <v>293</v>
      </c>
      <c r="C98" s="501" t="s">
        <v>533</v>
      </c>
      <c r="D98" s="515" t="s">
        <v>534</v>
      </c>
      <c r="E98" s="507" t="s">
        <v>408</v>
      </c>
      <c r="F98" s="653"/>
      <c r="G98" s="653"/>
      <c r="H98" s="535">
        <v>100000</v>
      </c>
      <c r="I98" s="511">
        <f>+H98/$I$11</f>
        <v>31250</v>
      </c>
      <c r="J98" s="536">
        <v>1</v>
      </c>
      <c r="K98" s="536">
        <v>0</v>
      </c>
      <c r="L98" s="506" t="s">
        <v>328</v>
      </c>
      <c r="M98" s="507" t="s">
        <v>284</v>
      </c>
      <c r="N98" s="537" t="s">
        <v>50</v>
      </c>
      <c r="O98" s="537" t="s">
        <v>56</v>
      </c>
      <c r="P98" s="501" t="s">
        <v>635</v>
      </c>
      <c r="Q98" s="501"/>
      <c r="R98" s="507" t="s">
        <v>596</v>
      </c>
    </row>
    <row r="99" spans="1:18" s="510" customFormat="1" ht="72" x14ac:dyDescent="0.35">
      <c r="A99" s="500" t="s">
        <v>535</v>
      </c>
      <c r="B99" s="501" t="s">
        <v>293</v>
      </c>
      <c r="C99" s="501" t="s">
        <v>536</v>
      </c>
      <c r="D99" s="515" t="s">
        <v>537</v>
      </c>
      <c r="E99" s="507" t="s">
        <v>408</v>
      </c>
      <c r="F99" s="653"/>
      <c r="G99" s="653"/>
      <c r="H99" s="535">
        <v>135000</v>
      </c>
      <c r="I99" s="511">
        <f>+H99/$I$11</f>
        <v>42187.5</v>
      </c>
      <c r="J99" s="536">
        <v>1</v>
      </c>
      <c r="K99" s="536">
        <v>0</v>
      </c>
      <c r="L99" s="506" t="s">
        <v>328</v>
      </c>
      <c r="M99" s="507" t="s">
        <v>284</v>
      </c>
      <c r="N99" s="537" t="s">
        <v>50</v>
      </c>
      <c r="O99" s="537" t="s">
        <v>75</v>
      </c>
      <c r="P99" s="501" t="s">
        <v>636</v>
      </c>
      <c r="Q99" s="501"/>
      <c r="R99" s="507" t="s">
        <v>596</v>
      </c>
    </row>
    <row r="100" spans="1:18" x14ac:dyDescent="0.35">
      <c r="B100" s="493"/>
      <c r="C100" s="493"/>
      <c r="D100" s="493"/>
      <c r="E100" s="493"/>
      <c r="F100" s="651" t="s">
        <v>613</v>
      </c>
      <c r="G100" s="651"/>
      <c r="H100" s="496">
        <f>SUM(H83:H99)-SUMIF(R83:R99,$C$130,H83:H99)</f>
        <v>4649562.04</v>
      </c>
      <c r="I100" s="496">
        <f>SUM(I83:I99)-SUMIF(R83:R99,$C$130,I83:I99)</f>
        <v>1438545.4024999999</v>
      </c>
      <c r="J100" s="497"/>
      <c r="K100" s="497"/>
      <c r="L100" s="544"/>
      <c r="M100" s="493"/>
      <c r="N100" s="493"/>
      <c r="O100" s="493"/>
      <c r="P100" s="493"/>
      <c r="Q100" s="494"/>
      <c r="R100" s="493"/>
    </row>
    <row r="102" spans="1:18" ht="15.6" customHeight="1" x14ac:dyDescent="0.35">
      <c r="A102" s="661" t="s">
        <v>450</v>
      </c>
      <c r="B102" s="662"/>
      <c r="C102" s="662"/>
      <c r="D102" s="662"/>
      <c r="E102" s="662"/>
      <c r="F102" s="662"/>
      <c r="G102" s="662"/>
      <c r="H102" s="662"/>
      <c r="I102" s="662"/>
      <c r="J102" s="662"/>
      <c r="K102" s="662"/>
      <c r="L102" s="662"/>
      <c r="M102" s="662"/>
      <c r="N102" s="662"/>
      <c r="O102" s="662"/>
      <c r="P102" s="662"/>
      <c r="Q102" s="662"/>
      <c r="R102" s="663"/>
    </row>
    <row r="103" spans="1:18" ht="14.1" customHeight="1" x14ac:dyDescent="0.35">
      <c r="A103" s="649" t="s">
        <v>268</v>
      </c>
      <c r="B103" s="649" t="s">
        <v>269</v>
      </c>
      <c r="C103" s="649" t="s">
        <v>591</v>
      </c>
      <c r="D103" s="649" t="s">
        <v>271</v>
      </c>
      <c r="E103" s="649" t="s">
        <v>708</v>
      </c>
      <c r="F103" s="649" t="s">
        <v>452</v>
      </c>
      <c r="G103" s="649"/>
      <c r="H103" s="650" t="s">
        <v>274</v>
      </c>
      <c r="I103" s="650"/>
      <c r="J103" s="650"/>
      <c r="K103" s="650"/>
      <c r="L103" s="649" t="s">
        <v>275</v>
      </c>
      <c r="M103" s="649" t="s">
        <v>592</v>
      </c>
      <c r="N103" s="649" t="s">
        <v>593</v>
      </c>
      <c r="O103" s="649"/>
      <c r="P103" s="649" t="s">
        <v>578</v>
      </c>
      <c r="Q103" s="649" t="s">
        <v>579</v>
      </c>
      <c r="R103" s="649" t="s">
        <v>580</v>
      </c>
    </row>
    <row r="104" spans="1:18" ht="90" x14ac:dyDescent="0.35">
      <c r="A104" s="649"/>
      <c r="B104" s="649"/>
      <c r="C104" s="649"/>
      <c r="D104" s="649"/>
      <c r="E104" s="649"/>
      <c r="F104" s="649"/>
      <c r="G104" s="649"/>
      <c r="H104" s="470" t="s">
        <v>581</v>
      </c>
      <c r="I104" s="470" t="s">
        <v>285</v>
      </c>
      <c r="J104" s="471" t="s">
        <v>286</v>
      </c>
      <c r="K104" s="471" t="s">
        <v>497</v>
      </c>
      <c r="L104" s="649"/>
      <c r="M104" s="649"/>
      <c r="N104" s="598" t="s">
        <v>455</v>
      </c>
      <c r="O104" s="598" t="s">
        <v>637</v>
      </c>
      <c r="P104" s="649"/>
      <c r="Q104" s="649"/>
      <c r="R104" s="649"/>
    </row>
    <row r="105" spans="1:18" ht="54" x14ac:dyDescent="0.35">
      <c r="A105" s="481" t="s">
        <v>26</v>
      </c>
      <c r="B105" s="474" t="s">
        <v>293</v>
      </c>
      <c r="C105" s="498" t="s">
        <v>457</v>
      </c>
      <c r="D105" s="498" t="s">
        <v>458</v>
      </c>
      <c r="E105" s="476" t="s">
        <v>638</v>
      </c>
      <c r="F105" s="602" t="s">
        <v>460</v>
      </c>
      <c r="G105" s="603"/>
      <c r="H105" s="516">
        <v>93000</v>
      </c>
      <c r="I105" s="516">
        <v>30000</v>
      </c>
      <c r="J105" s="478">
        <v>1</v>
      </c>
      <c r="K105" s="478">
        <v>0</v>
      </c>
      <c r="L105" s="474" t="s">
        <v>352</v>
      </c>
      <c r="M105" s="476" t="s">
        <v>284</v>
      </c>
      <c r="N105" s="528" t="s">
        <v>43</v>
      </c>
      <c r="O105" s="528" t="s">
        <v>32</v>
      </c>
      <c r="P105" s="474"/>
      <c r="Q105" s="601" t="s">
        <v>461</v>
      </c>
      <c r="R105" s="476" t="s">
        <v>584</v>
      </c>
    </row>
    <row r="106" spans="1:18" ht="54" x14ac:dyDescent="0.35">
      <c r="A106" s="481" t="s">
        <v>187</v>
      </c>
      <c r="B106" s="474" t="s">
        <v>293</v>
      </c>
      <c r="C106" s="498" t="s">
        <v>465</v>
      </c>
      <c r="D106" s="498" t="s">
        <v>466</v>
      </c>
      <c r="E106" s="476" t="s">
        <v>638</v>
      </c>
      <c r="F106" s="602" t="s">
        <v>467</v>
      </c>
      <c r="G106" s="603"/>
      <c r="H106" s="516">
        <v>229380.53</v>
      </c>
      <c r="I106" s="516">
        <v>81720.240000000005</v>
      </c>
      <c r="J106" s="478">
        <v>1</v>
      </c>
      <c r="K106" s="478">
        <v>0</v>
      </c>
      <c r="L106" s="474" t="s">
        <v>352</v>
      </c>
      <c r="M106" s="476" t="s">
        <v>284</v>
      </c>
      <c r="N106" s="528" t="s">
        <v>43</v>
      </c>
      <c r="O106" s="528" t="s">
        <v>74</v>
      </c>
      <c r="P106" s="474"/>
      <c r="Q106" s="601" t="s">
        <v>397</v>
      </c>
      <c r="R106" s="476" t="s">
        <v>311</v>
      </c>
    </row>
    <row r="107" spans="1:18" ht="90" x14ac:dyDescent="0.35">
      <c r="A107" s="481" t="s">
        <v>563</v>
      </c>
      <c r="B107" s="474" t="s">
        <v>293</v>
      </c>
      <c r="C107" s="498" t="s">
        <v>703</v>
      </c>
      <c r="D107" s="498" t="s">
        <v>704</v>
      </c>
      <c r="E107" s="476" t="s">
        <v>638</v>
      </c>
      <c r="F107" s="602"/>
      <c r="G107" s="603"/>
      <c r="H107" s="516">
        <v>84000</v>
      </c>
      <c r="I107" s="516">
        <f>+H107/$I$11</f>
        <v>26250</v>
      </c>
      <c r="J107" s="478">
        <v>1</v>
      </c>
      <c r="K107" s="478">
        <v>0</v>
      </c>
      <c r="L107" s="474" t="s">
        <v>297</v>
      </c>
      <c r="M107" s="476" t="s">
        <v>284</v>
      </c>
      <c r="N107" s="528" t="s">
        <v>231</v>
      </c>
      <c r="O107" s="528" t="s">
        <v>70</v>
      </c>
      <c r="P107" s="474"/>
      <c r="Q107" s="601"/>
      <c r="R107" s="476" t="s">
        <v>584</v>
      </c>
    </row>
    <row r="108" spans="1:18" ht="90" x14ac:dyDescent="0.35">
      <c r="A108" s="481" t="s">
        <v>709</v>
      </c>
      <c r="B108" s="474" t="s">
        <v>293</v>
      </c>
      <c r="C108" s="498" t="s">
        <v>710</v>
      </c>
      <c r="D108" s="498" t="s">
        <v>711</v>
      </c>
      <c r="E108" s="476" t="s">
        <v>638</v>
      </c>
      <c r="F108" s="602"/>
      <c r="G108" s="603"/>
      <c r="H108" s="516">
        <v>108000</v>
      </c>
      <c r="I108" s="516">
        <f>+H108/$I$11</f>
        <v>33750</v>
      </c>
      <c r="J108" s="478">
        <v>1</v>
      </c>
      <c r="K108" s="478">
        <v>0</v>
      </c>
      <c r="L108" s="474" t="s">
        <v>352</v>
      </c>
      <c r="M108" s="476" t="s">
        <v>284</v>
      </c>
      <c r="N108" s="528" t="s">
        <v>56</v>
      </c>
      <c r="O108" s="528" t="s">
        <v>70</v>
      </c>
      <c r="P108" s="474"/>
      <c r="Q108" s="601"/>
      <c r="R108" s="578" t="s">
        <v>584</v>
      </c>
    </row>
    <row r="109" spans="1:18" x14ac:dyDescent="0.35">
      <c r="B109" s="493"/>
      <c r="C109" s="493"/>
      <c r="D109" s="493"/>
      <c r="E109" s="493"/>
      <c r="F109" s="494"/>
      <c r="G109" s="495" t="s">
        <v>590</v>
      </c>
      <c r="H109" s="496">
        <f>SUM(H105:H108)</f>
        <v>514380.53</v>
      </c>
      <c r="I109" s="496">
        <f>SUM(I105:I108)</f>
        <v>171720.24</v>
      </c>
      <c r="J109" s="497"/>
      <c r="K109" s="497"/>
      <c r="L109" s="493"/>
      <c r="M109" s="493"/>
      <c r="N109" s="493"/>
      <c r="O109" s="493"/>
      <c r="P109" s="493"/>
      <c r="Q109" s="494"/>
      <c r="R109" s="493"/>
    </row>
    <row r="111" spans="1:18" ht="15.6" customHeight="1" x14ac:dyDescent="0.35">
      <c r="A111" s="661" t="s">
        <v>471</v>
      </c>
      <c r="B111" s="662"/>
      <c r="C111" s="662"/>
      <c r="D111" s="662"/>
      <c r="E111" s="662"/>
      <c r="F111" s="662"/>
      <c r="G111" s="662"/>
      <c r="H111" s="662"/>
      <c r="I111" s="662"/>
      <c r="J111" s="662"/>
      <c r="K111" s="662"/>
      <c r="L111" s="662"/>
      <c r="M111" s="662"/>
      <c r="N111" s="662"/>
      <c r="O111" s="662"/>
      <c r="P111" s="662"/>
      <c r="Q111" s="662"/>
      <c r="R111" s="663"/>
    </row>
    <row r="112" spans="1:18" ht="14.1" customHeight="1" x14ac:dyDescent="0.35">
      <c r="A112" s="649" t="s">
        <v>268</v>
      </c>
      <c r="B112" s="649" t="s">
        <v>269</v>
      </c>
      <c r="C112" s="649" t="s">
        <v>591</v>
      </c>
      <c r="D112" s="649" t="s">
        <v>271</v>
      </c>
      <c r="E112" s="649" t="s">
        <v>708</v>
      </c>
      <c r="F112" s="649" t="s">
        <v>452</v>
      </c>
      <c r="G112" s="649"/>
      <c r="H112" s="470"/>
      <c r="I112" s="650" t="s">
        <v>274</v>
      </c>
      <c r="J112" s="650"/>
      <c r="K112" s="650"/>
      <c r="L112" s="649" t="s">
        <v>275</v>
      </c>
      <c r="M112" s="649" t="s">
        <v>592</v>
      </c>
      <c r="N112" s="649" t="s">
        <v>593</v>
      </c>
      <c r="O112" s="649"/>
      <c r="P112" s="649" t="s">
        <v>578</v>
      </c>
      <c r="Q112" s="649" t="s">
        <v>579</v>
      </c>
      <c r="R112" s="649" t="s">
        <v>580</v>
      </c>
    </row>
    <row r="113" spans="1:18" ht="90" x14ac:dyDescent="0.35">
      <c r="A113" s="649"/>
      <c r="B113" s="649"/>
      <c r="C113" s="649"/>
      <c r="D113" s="649"/>
      <c r="E113" s="649"/>
      <c r="F113" s="649"/>
      <c r="G113" s="649"/>
      <c r="H113" s="470" t="s">
        <v>581</v>
      </c>
      <c r="I113" s="470" t="s">
        <v>285</v>
      </c>
      <c r="J113" s="471" t="s">
        <v>286</v>
      </c>
      <c r="K113" s="471" t="s">
        <v>497</v>
      </c>
      <c r="L113" s="649"/>
      <c r="M113" s="649"/>
      <c r="N113" s="598" t="s">
        <v>639</v>
      </c>
      <c r="O113" s="598" t="s">
        <v>289</v>
      </c>
      <c r="P113" s="649"/>
      <c r="Q113" s="649"/>
      <c r="R113" s="649"/>
    </row>
    <row r="114" spans="1:18" s="510" customFormat="1" ht="72" x14ac:dyDescent="0.35">
      <c r="A114" s="500" t="s">
        <v>475</v>
      </c>
      <c r="B114" s="507" t="s">
        <v>293</v>
      </c>
      <c r="C114" s="507" t="s">
        <v>476</v>
      </c>
      <c r="D114" s="507" t="s">
        <v>640</v>
      </c>
      <c r="E114" s="507" t="s">
        <v>618</v>
      </c>
      <c r="F114" s="653"/>
      <c r="G114" s="653"/>
      <c r="H114" s="539">
        <f>48000</f>
        <v>48000</v>
      </c>
      <c r="I114" s="511">
        <f>+H114/$I$11</f>
        <v>15000</v>
      </c>
      <c r="J114" s="505">
        <v>1</v>
      </c>
      <c r="K114" s="505">
        <v>0</v>
      </c>
      <c r="L114" s="545" t="s">
        <v>419</v>
      </c>
      <c r="M114" s="507" t="s">
        <v>267</v>
      </c>
      <c r="N114" s="507" t="s">
        <v>70</v>
      </c>
      <c r="O114" s="507" t="s">
        <v>343</v>
      </c>
      <c r="P114" s="507" t="s">
        <v>641</v>
      </c>
      <c r="Q114" s="599"/>
      <c r="R114" s="507" t="s">
        <v>596</v>
      </c>
    </row>
    <row r="115" spans="1:18" s="510" customFormat="1" ht="72" x14ac:dyDescent="0.35">
      <c r="A115" s="500" t="s">
        <v>479</v>
      </c>
      <c r="B115" s="507" t="s">
        <v>293</v>
      </c>
      <c r="C115" s="507" t="s">
        <v>480</v>
      </c>
      <c r="D115" s="507" t="s">
        <v>481</v>
      </c>
      <c r="E115" s="507" t="s">
        <v>618</v>
      </c>
      <c r="F115" s="653"/>
      <c r="G115" s="653"/>
      <c r="H115" s="539">
        <f>30000</f>
        <v>30000</v>
      </c>
      <c r="I115" s="511">
        <f>+H115/$I$11</f>
        <v>9375</v>
      </c>
      <c r="J115" s="505">
        <v>1</v>
      </c>
      <c r="K115" s="505">
        <v>0</v>
      </c>
      <c r="L115" s="545" t="s">
        <v>318</v>
      </c>
      <c r="M115" s="507" t="s">
        <v>267</v>
      </c>
      <c r="N115" s="507" t="s">
        <v>133</v>
      </c>
      <c r="O115" s="507" t="s">
        <v>56</v>
      </c>
      <c r="P115" s="507" t="s">
        <v>642</v>
      </c>
      <c r="Q115" s="599"/>
      <c r="R115" s="507" t="s">
        <v>596</v>
      </c>
    </row>
    <row r="116" spans="1:18" s="510" customFormat="1" ht="72" x14ac:dyDescent="0.35">
      <c r="A116" s="500" t="s">
        <v>482</v>
      </c>
      <c r="B116" s="507" t="s">
        <v>293</v>
      </c>
      <c r="C116" s="507" t="s">
        <v>483</v>
      </c>
      <c r="D116" s="507" t="s">
        <v>484</v>
      </c>
      <c r="E116" s="507" t="s">
        <v>618</v>
      </c>
      <c r="F116" s="653"/>
      <c r="G116" s="653"/>
      <c r="H116" s="539">
        <f>24000</f>
        <v>24000</v>
      </c>
      <c r="I116" s="511">
        <f>+H116/$I$11</f>
        <v>7500</v>
      </c>
      <c r="J116" s="505">
        <v>0</v>
      </c>
      <c r="K116" s="505">
        <v>1</v>
      </c>
      <c r="L116" s="545" t="s">
        <v>354</v>
      </c>
      <c r="M116" s="507" t="s">
        <v>267</v>
      </c>
      <c r="N116" s="507" t="s">
        <v>70</v>
      </c>
      <c r="O116" s="507" t="s">
        <v>343</v>
      </c>
      <c r="P116" s="507" t="s">
        <v>643</v>
      </c>
      <c r="Q116" s="599"/>
      <c r="R116" s="507" t="s">
        <v>596</v>
      </c>
    </row>
    <row r="117" spans="1:18" s="510" customFormat="1" ht="72" x14ac:dyDescent="0.35">
      <c r="A117" s="500" t="s">
        <v>486</v>
      </c>
      <c r="B117" s="507" t="s">
        <v>293</v>
      </c>
      <c r="C117" s="507" t="s">
        <v>487</v>
      </c>
      <c r="D117" s="507" t="s">
        <v>488</v>
      </c>
      <c r="E117" s="507" t="s">
        <v>618</v>
      </c>
      <c r="F117" s="653"/>
      <c r="G117" s="653"/>
      <c r="H117" s="539">
        <f>24000</f>
        <v>24000</v>
      </c>
      <c r="I117" s="511">
        <f>+H117/$I$11</f>
        <v>7500</v>
      </c>
      <c r="J117" s="505">
        <v>0</v>
      </c>
      <c r="K117" s="505">
        <v>1</v>
      </c>
      <c r="L117" s="545" t="s">
        <v>354</v>
      </c>
      <c r="M117" s="507" t="s">
        <v>267</v>
      </c>
      <c r="N117" s="507" t="s">
        <v>70</v>
      </c>
      <c r="O117" s="507" t="s">
        <v>343</v>
      </c>
      <c r="P117" s="507" t="s">
        <v>643</v>
      </c>
      <c r="Q117" s="599"/>
      <c r="R117" s="507" t="s">
        <v>596</v>
      </c>
    </row>
    <row r="118" spans="1:18" ht="54" x14ac:dyDescent="0.35">
      <c r="A118" s="481" t="s">
        <v>728</v>
      </c>
      <c r="B118" s="474" t="s">
        <v>293</v>
      </c>
      <c r="C118" s="498" t="s">
        <v>729</v>
      </c>
      <c r="D118" s="498" t="s">
        <v>730</v>
      </c>
      <c r="E118" s="476" t="s">
        <v>618</v>
      </c>
      <c r="F118" s="602"/>
      <c r="G118" s="603"/>
      <c r="H118" s="516">
        <v>340000</v>
      </c>
      <c r="I118" s="516">
        <f>+H118/$I$11</f>
        <v>106250</v>
      </c>
      <c r="J118" s="478">
        <v>0</v>
      </c>
      <c r="K118" s="478">
        <v>1</v>
      </c>
      <c r="L118" s="474" t="s">
        <v>352</v>
      </c>
      <c r="M118" s="476" t="s">
        <v>267</v>
      </c>
      <c r="N118" s="528" t="s">
        <v>343</v>
      </c>
      <c r="O118" s="528" t="s">
        <v>89</v>
      </c>
      <c r="P118" s="474" t="s">
        <v>643</v>
      </c>
      <c r="Q118" s="601"/>
      <c r="R118" s="578" t="s">
        <v>311</v>
      </c>
    </row>
    <row r="119" spans="1:18" x14ac:dyDescent="0.35">
      <c r="B119" s="493"/>
      <c r="C119" s="493"/>
      <c r="D119" s="493"/>
      <c r="E119" s="493"/>
      <c r="F119" s="494"/>
      <c r="G119" s="495" t="s">
        <v>590</v>
      </c>
      <c r="H119" s="496">
        <f>SUM(H114:H118)</f>
        <v>466000</v>
      </c>
      <c r="I119" s="496">
        <f>SUM(I114:I118)</f>
        <v>145625</v>
      </c>
      <c r="J119" s="497"/>
      <c r="K119" s="497"/>
      <c r="L119" s="544"/>
      <c r="M119" s="493"/>
      <c r="N119" s="493"/>
      <c r="O119" s="493"/>
      <c r="P119" s="493"/>
      <c r="Q119" s="494"/>
      <c r="R119" s="493"/>
    </row>
    <row r="122" spans="1:18" x14ac:dyDescent="0.35">
      <c r="E122" s="546"/>
      <c r="F122" s="547"/>
      <c r="G122" s="548" t="s">
        <v>644</v>
      </c>
      <c r="H122" s="549">
        <f>+H19+H63+H78+H100+H109+H119</f>
        <v>25871054.98</v>
      </c>
      <c r="I122" s="549">
        <f>+I19+I63+I78+I100+I109+I119</f>
        <v>8481008.7795872912</v>
      </c>
    </row>
    <row r="123" spans="1:18" ht="14.1" hidden="1" customHeight="1" x14ac:dyDescent="0.35">
      <c r="B123" s="656" t="s">
        <v>645</v>
      </c>
      <c r="C123" s="550" t="s">
        <v>267</v>
      </c>
    </row>
    <row r="124" spans="1:18" hidden="1" x14ac:dyDescent="0.35">
      <c r="B124" s="656"/>
      <c r="C124" s="550" t="s">
        <v>284</v>
      </c>
    </row>
    <row r="125" spans="1:18" hidden="1" x14ac:dyDescent="0.35">
      <c r="B125" s="656"/>
      <c r="C125" s="551" t="s">
        <v>292</v>
      </c>
    </row>
    <row r="126" spans="1:18" hidden="1" x14ac:dyDescent="0.35"/>
    <row r="127" spans="1:18" ht="14.1" hidden="1" customHeight="1" x14ac:dyDescent="0.35">
      <c r="B127" s="656" t="s">
        <v>580</v>
      </c>
      <c r="C127" s="550" t="s">
        <v>587</v>
      </c>
    </row>
    <row r="128" spans="1:18" hidden="1" x14ac:dyDescent="0.35">
      <c r="B128" s="656"/>
      <c r="C128" s="550" t="s">
        <v>300</v>
      </c>
    </row>
    <row r="129" spans="2:17" hidden="1" x14ac:dyDescent="0.35">
      <c r="B129" s="656"/>
      <c r="C129" s="550" t="s">
        <v>646</v>
      </c>
    </row>
    <row r="130" spans="2:17" hidden="1" x14ac:dyDescent="0.35">
      <c r="B130" s="656"/>
      <c r="C130" s="550" t="s">
        <v>596</v>
      </c>
    </row>
    <row r="131" spans="2:17" ht="36" hidden="1" x14ac:dyDescent="0.35">
      <c r="B131" s="656"/>
      <c r="C131" s="550" t="s">
        <v>647</v>
      </c>
    </row>
    <row r="132" spans="2:17" hidden="1" x14ac:dyDescent="0.35">
      <c r="B132" s="656"/>
      <c r="C132" s="550" t="s">
        <v>306</v>
      </c>
    </row>
    <row r="133" spans="2:17" ht="36" hidden="1" x14ac:dyDescent="0.35">
      <c r="B133" s="656"/>
      <c r="C133" s="550" t="s">
        <v>584</v>
      </c>
    </row>
    <row r="134" spans="2:17" hidden="1" x14ac:dyDescent="0.35">
      <c r="B134" s="656"/>
      <c r="C134" s="550" t="s">
        <v>311</v>
      </c>
      <c r="F134" s="449"/>
      <c r="H134" s="449"/>
      <c r="I134" s="449"/>
      <c r="J134" s="451"/>
      <c r="K134" s="451"/>
      <c r="Q134" s="449"/>
    </row>
    <row r="135" spans="2:17" hidden="1" x14ac:dyDescent="0.35">
      <c r="F135" s="449"/>
      <c r="H135" s="449"/>
      <c r="I135" s="449"/>
      <c r="J135" s="451"/>
      <c r="K135" s="451"/>
      <c r="Q135" s="449"/>
    </row>
    <row r="136" spans="2:17" ht="20.85" hidden="1" customHeight="1" x14ac:dyDescent="0.35">
      <c r="B136" s="657" t="s">
        <v>648</v>
      </c>
      <c r="C136" s="658" t="s">
        <v>649</v>
      </c>
      <c r="D136" s="550" t="s">
        <v>413</v>
      </c>
      <c r="F136" s="449"/>
      <c r="H136" s="449"/>
      <c r="I136" s="449"/>
      <c r="J136" s="451"/>
      <c r="K136" s="451"/>
      <c r="Q136" s="449"/>
    </row>
    <row r="137" spans="2:17" ht="36" hidden="1" x14ac:dyDescent="0.35">
      <c r="B137" s="657"/>
      <c r="C137" s="658"/>
      <c r="D137" s="550" t="s">
        <v>631</v>
      </c>
      <c r="F137" s="449"/>
      <c r="H137" s="449"/>
      <c r="I137" s="449"/>
      <c r="J137" s="451"/>
      <c r="K137" s="451"/>
      <c r="Q137" s="449"/>
    </row>
    <row r="138" spans="2:17" ht="54" hidden="1" x14ac:dyDescent="0.35">
      <c r="B138" s="657"/>
      <c r="C138" s="658"/>
      <c r="D138" s="550" t="s">
        <v>408</v>
      </c>
      <c r="F138" s="449"/>
      <c r="H138" s="449"/>
      <c r="I138" s="449"/>
      <c r="J138" s="451"/>
      <c r="K138" s="451"/>
      <c r="Q138" s="449"/>
    </row>
    <row r="139" spans="2:17" hidden="1" x14ac:dyDescent="0.35">
      <c r="B139" s="657"/>
      <c r="C139" s="658"/>
      <c r="D139" s="550" t="s">
        <v>409</v>
      </c>
      <c r="F139" s="449"/>
      <c r="H139" s="449"/>
      <c r="I139" s="449"/>
      <c r="J139" s="451"/>
      <c r="K139" s="451"/>
      <c r="Q139" s="449"/>
    </row>
    <row r="140" spans="2:17" hidden="1" x14ac:dyDescent="0.35">
      <c r="B140" s="657"/>
      <c r="C140" s="658"/>
      <c r="D140" s="550" t="s">
        <v>618</v>
      </c>
      <c r="F140" s="449"/>
      <c r="H140" s="449"/>
      <c r="I140" s="449"/>
      <c r="J140" s="451"/>
      <c r="K140" s="451"/>
      <c r="Q140" s="449"/>
    </row>
    <row r="141" spans="2:17" ht="36" hidden="1" x14ac:dyDescent="0.35">
      <c r="B141" s="657"/>
      <c r="C141" s="658"/>
      <c r="D141" s="550" t="s">
        <v>650</v>
      </c>
      <c r="F141" s="449"/>
      <c r="H141" s="449"/>
      <c r="I141" s="449"/>
      <c r="J141" s="451"/>
      <c r="K141" s="451"/>
      <c r="Q141" s="449"/>
    </row>
    <row r="142" spans="2:17" ht="36" hidden="1" x14ac:dyDescent="0.35">
      <c r="B142" s="657"/>
      <c r="C142" s="658"/>
      <c r="D142" s="550" t="s">
        <v>651</v>
      </c>
      <c r="F142" s="449"/>
      <c r="H142" s="449"/>
      <c r="I142" s="449"/>
      <c r="J142" s="451"/>
      <c r="K142" s="451"/>
      <c r="Q142" s="449"/>
    </row>
    <row r="143" spans="2:17" ht="14.1" hidden="1" customHeight="1" x14ac:dyDescent="0.35">
      <c r="B143" s="657"/>
      <c r="C143" s="659" t="s">
        <v>652</v>
      </c>
      <c r="D143" s="550" t="s">
        <v>653</v>
      </c>
      <c r="F143" s="449"/>
      <c r="H143" s="449"/>
      <c r="I143" s="449"/>
      <c r="J143" s="451"/>
      <c r="K143" s="451"/>
      <c r="Q143" s="449"/>
    </row>
    <row r="144" spans="2:17" hidden="1" x14ac:dyDescent="0.35">
      <c r="B144" s="657"/>
      <c r="C144" s="659"/>
      <c r="D144" s="550" t="s">
        <v>323</v>
      </c>
      <c r="F144" s="449"/>
      <c r="H144" s="449"/>
      <c r="I144" s="449"/>
      <c r="J144" s="451"/>
      <c r="K144" s="451"/>
      <c r="Q144" s="449"/>
    </row>
    <row r="145" spans="2:17" hidden="1" x14ac:dyDescent="0.35">
      <c r="B145" s="657"/>
      <c r="C145" s="659"/>
      <c r="D145" s="550" t="s">
        <v>614</v>
      </c>
      <c r="F145" s="449"/>
      <c r="H145" s="449"/>
      <c r="I145" s="449"/>
      <c r="J145" s="451"/>
      <c r="K145" s="451"/>
      <c r="Q145" s="449"/>
    </row>
    <row r="146" spans="2:17" hidden="1" x14ac:dyDescent="0.35">
      <c r="B146" s="657"/>
      <c r="C146" s="659"/>
      <c r="D146" s="550" t="s">
        <v>409</v>
      </c>
      <c r="F146" s="449"/>
      <c r="H146" s="449"/>
      <c r="I146" s="449"/>
      <c r="J146" s="451"/>
      <c r="K146" s="451"/>
      <c r="Q146" s="449"/>
    </row>
    <row r="147" spans="2:17" hidden="1" x14ac:dyDescent="0.35">
      <c r="B147" s="657"/>
      <c r="C147" s="659"/>
      <c r="D147" s="550" t="s">
        <v>618</v>
      </c>
      <c r="F147" s="449"/>
      <c r="H147" s="449"/>
      <c r="I147" s="449"/>
      <c r="J147" s="451"/>
      <c r="K147" s="451"/>
      <c r="Q147" s="449"/>
    </row>
    <row r="148" spans="2:17" ht="36" hidden="1" x14ac:dyDescent="0.35">
      <c r="B148" s="657"/>
      <c r="C148" s="659"/>
      <c r="D148" s="550" t="s">
        <v>654</v>
      </c>
      <c r="F148" s="449"/>
      <c r="H148" s="449"/>
      <c r="I148" s="449"/>
      <c r="J148" s="451"/>
      <c r="K148" s="451"/>
      <c r="Q148" s="449"/>
    </row>
    <row r="149" spans="2:17" ht="54" hidden="1" x14ac:dyDescent="0.35">
      <c r="B149" s="657"/>
      <c r="C149" s="659"/>
      <c r="D149" s="550" t="s">
        <v>655</v>
      </c>
      <c r="F149" s="449"/>
      <c r="H149" s="449"/>
      <c r="I149" s="449"/>
      <c r="J149" s="451"/>
      <c r="K149" s="451"/>
      <c r="Q149" s="449"/>
    </row>
    <row r="150" spans="2:17" ht="36" hidden="1" x14ac:dyDescent="0.35">
      <c r="B150" s="657"/>
      <c r="C150" s="659"/>
      <c r="D150" s="550" t="s">
        <v>384</v>
      </c>
      <c r="F150" s="449"/>
      <c r="H150" s="449"/>
      <c r="I150" s="449"/>
      <c r="J150" s="451"/>
      <c r="K150" s="451"/>
      <c r="Q150" s="449"/>
    </row>
    <row r="151" spans="2:17" ht="36" hidden="1" x14ac:dyDescent="0.35">
      <c r="B151" s="657"/>
      <c r="C151" s="659"/>
      <c r="D151" s="550" t="s">
        <v>401</v>
      </c>
      <c r="F151" s="449"/>
      <c r="H151" s="449"/>
      <c r="I151" s="449"/>
      <c r="J151" s="451"/>
      <c r="K151" s="451"/>
      <c r="Q151" s="449"/>
    </row>
    <row r="152" spans="2:17" ht="54" hidden="1" x14ac:dyDescent="0.35">
      <c r="B152" s="657"/>
      <c r="C152" s="659"/>
      <c r="D152" s="550" t="s">
        <v>656</v>
      </c>
      <c r="F152" s="449"/>
      <c r="H152" s="449"/>
      <c r="I152" s="449"/>
      <c r="J152" s="451"/>
      <c r="K152" s="451"/>
      <c r="Q152" s="449"/>
    </row>
    <row r="153" spans="2:17" ht="14.1" hidden="1" customHeight="1" x14ac:dyDescent="0.35">
      <c r="B153" s="657"/>
      <c r="C153" s="659" t="s">
        <v>657</v>
      </c>
      <c r="D153" s="550" t="s">
        <v>638</v>
      </c>
      <c r="F153" s="449"/>
      <c r="H153" s="449"/>
      <c r="I153" s="449"/>
      <c r="J153" s="451"/>
      <c r="K153" s="451"/>
      <c r="Q153" s="449"/>
    </row>
    <row r="154" spans="2:17" hidden="1" x14ac:dyDescent="0.35">
      <c r="B154" s="657"/>
      <c r="C154" s="659"/>
      <c r="D154" s="550" t="s">
        <v>409</v>
      </c>
      <c r="F154" s="449"/>
      <c r="H154" s="449"/>
      <c r="I154" s="449"/>
      <c r="J154" s="451"/>
      <c r="K154" s="451"/>
      <c r="Q154" s="449"/>
    </row>
    <row r="155" spans="2:17" hidden="1" x14ac:dyDescent="0.35">
      <c r="B155" s="657"/>
      <c r="C155" s="659"/>
      <c r="D155" s="550" t="s">
        <v>618</v>
      </c>
      <c r="F155" s="449"/>
      <c r="H155" s="449"/>
      <c r="I155" s="449"/>
      <c r="J155" s="451"/>
      <c r="K155" s="451"/>
      <c r="Q155" s="449"/>
    </row>
    <row r="156" spans="2:17" hidden="1" x14ac:dyDescent="0.35"/>
    <row r="157" spans="2:17" hidden="1" x14ac:dyDescent="0.35"/>
    <row r="158" spans="2:17" hidden="1" x14ac:dyDescent="0.35"/>
  </sheetData>
  <sheetProtection selectLockedCells="1" selectUnlockedCells="1"/>
  <mergeCells count="114">
    <mergeCell ref="B127:B134"/>
    <mergeCell ref="B136:B155"/>
    <mergeCell ref="C136:C142"/>
    <mergeCell ref="C143:C152"/>
    <mergeCell ref="C153:C155"/>
    <mergeCell ref="F114:G114"/>
    <mergeCell ref="F115:G115"/>
    <mergeCell ref="F116:G116"/>
    <mergeCell ref="F117:G117"/>
    <mergeCell ref="B123:B125"/>
    <mergeCell ref="L112:L113"/>
    <mergeCell ref="M112:M113"/>
    <mergeCell ref="N112:O112"/>
    <mergeCell ref="P112:P113"/>
    <mergeCell ref="Q112:Q113"/>
    <mergeCell ref="R112:R113"/>
    <mergeCell ref="A111:R111"/>
    <mergeCell ref="A112:A113"/>
    <mergeCell ref="B112:B113"/>
    <mergeCell ref="C112:C113"/>
    <mergeCell ref="D112:D113"/>
    <mergeCell ref="E112:E113"/>
    <mergeCell ref="F112:G113"/>
    <mergeCell ref="I112:K112"/>
    <mergeCell ref="N103:O103"/>
    <mergeCell ref="P103:P104"/>
    <mergeCell ref="Q103:Q104"/>
    <mergeCell ref="R103:R104"/>
    <mergeCell ref="A102:R102"/>
    <mergeCell ref="A103:A104"/>
    <mergeCell ref="B103:B104"/>
    <mergeCell ref="C103:C104"/>
    <mergeCell ref="D103:D104"/>
    <mergeCell ref="E103:E104"/>
    <mergeCell ref="F103:G104"/>
    <mergeCell ref="H103:K103"/>
    <mergeCell ref="L103:L104"/>
    <mergeCell ref="M103:M104"/>
    <mergeCell ref="F95:G95"/>
    <mergeCell ref="F96:G96"/>
    <mergeCell ref="F97:G97"/>
    <mergeCell ref="F98:G98"/>
    <mergeCell ref="F99:G99"/>
    <mergeCell ref="F100:G100"/>
    <mergeCell ref="F89:G89"/>
    <mergeCell ref="F90:G90"/>
    <mergeCell ref="F93:G93"/>
    <mergeCell ref="F94:G94"/>
    <mergeCell ref="F84:G84"/>
    <mergeCell ref="F88:G88"/>
    <mergeCell ref="M81:M82"/>
    <mergeCell ref="N81:O81"/>
    <mergeCell ref="P81:P82"/>
    <mergeCell ref="Q81:Q82"/>
    <mergeCell ref="R81:R82"/>
    <mergeCell ref="F82:G82"/>
    <mergeCell ref="F78:G78"/>
    <mergeCell ref="A80:R80"/>
    <mergeCell ref="A81:A82"/>
    <mergeCell ref="B81:B82"/>
    <mergeCell ref="C81:C82"/>
    <mergeCell ref="D81:D82"/>
    <mergeCell ref="E81:E82"/>
    <mergeCell ref="F81:G81"/>
    <mergeCell ref="I81:K81"/>
    <mergeCell ref="L81:L82"/>
    <mergeCell ref="L66:L67"/>
    <mergeCell ref="M66:M67"/>
    <mergeCell ref="N66:O66"/>
    <mergeCell ref="P66:P67"/>
    <mergeCell ref="Q66:Q67"/>
    <mergeCell ref="R66:R67"/>
    <mergeCell ref="F63:G63"/>
    <mergeCell ref="A65:R65"/>
    <mergeCell ref="A66:A67"/>
    <mergeCell ref="B66:B67"/>
    <mergeCell ref="C66:C67"/>
    <mergeCell ref="D66:D67"/>
    <mergeCell ref="E66:E67"/>
    <mergeCell ref="F66:F67"/>
    <mergeCell ref="G66:G67"/>
    <mergeCell ref="I66:K66"/>
    <mergeCell ref="L22:L23"/>
    <mergeCell ref="M22:M23"/>
    <mergeCell ref="N22:O22"/>
    <mergeCell ref="P22:P23"/>
    <mergeCell ref="Q22:Q23"/>
    <mergeCell ref="R22:R23"/>
    <mergeCell ref="R13:R14"/>
    <mergeCell ref="A21:R21"/>
    <mergeCell ref="A22:A23"/>
    <mergeCell ref="B22:B23"/>
    <mergeCell ref="C22:C23"/>
    <mergeCell ref="D22:D23"/>
    <mergeCell ref="E22:E23"/>
    <mergeCell ref="F22:F23"/>
    <mergeCell ref="G22:G23"/>
    <mergeCell ref="I22:K22"/>
    <mergeCell ref="I13:K13"/>
    <mergeCell ref="L13:L14"/>
    <mergeCell ref="M13:M14"/>
    <mergeCell ref="N13:O13"/>
    <mergeCell ref="P13:P14"/>
    <mergeCell ref="Q13:Q14"/>
    <mergeCell ref="A6:C6"/>
    <mergeCell ref="G11:H11"/>
    <mergeCell ref="A12:R12"/>
    <mergeCell ref="A13:A14"/>
    <mergeCell ref="B13:B14"/>
    <mergeCell ref="C13:C14"/>
    <mergeCell ref="D13:D14"/>
    <mergeCell ref="E13:E14"/>
    <mergeCell ref="F13:F14"/>
    <mergeCell ref="G13:G14"/>
  </mergeCells>
  <dataValidations count="8">
    <dataValidation type="list" allowBlank="1" showErrorMessage="1" sqref="M83:M100 M114:M118 M105:M109 M68:M78 M51:M63 M24:M49 M15:M19" xr:uid="{00000000-0002-0000-0B00-000000000000}">
      <formula1>$C$124:$C$126</formula1>
      <formula2>0</formula2>
    </dataValidation>
    <dataValidation type="list" allowBlank="1" showErrorMessage="1" sqref="R114:R118 R83:R100 R105:R109 R68:R78 R24:R63 R15:R19" xr:uid="{00000000-0002-0000-0B00-000001000000}">
      <formula1>$C$128:$C$135</formula1>
      <formula2>0</formula2>
    </dataValidation>
    <dataValidation type="list" allowBlank="1" showErrorMessage="1" sqref="E119 M119" xr:uid="{00000000-0002-0000-0B00-000002000000}">
      <formula1>#REF!</formula1>
      <formula2>0</formula2>
    </dataValidation>
    <dataValidation type="list" allowBlank="1" showErrorMessage="1" sqref="E83:E85 E87:E100 E114:E118" xr:uid="{00000000-0002-0000-0B00-000003000000}">
      <formula1>$D$137:$D$143</formula1>
      <formula2>0</formula2>
    </dataValidation>
    <dataValidation type="list" allowBlank="1" showErrorMessage="1" sqref="E105:E109" xr:uid="{00000000-0002-0000-0B00-000004000000}">
      <formula1>$D$154:$D$156</formula1>
      <formula2>0</formula2>
    </dataValidation>
    <dataValidation type="list" allowBlank="1" showErrorMessage="1" sqref="E68:E78 E63 E19" xr:uid="{00000000-0002-0000-0B00-000005000000}">
      <formula1>$D$144:$D$153</formula1>
      <formula2>0</formula2>
    </dataValidation>
    <dataValidation type="list" allowBlank="1" showErrorMessage="1" sqref="E15:E17" xr:uid="{00000000-0002-0000-0B00-000006000000}">
      <formula1>$X$81:$X$114</formula1>
      <formula2>0</formula2>
    </dataValidation>
    <dataValidation type="list" allowBlank="1" showErrorMessage="1" sqref="E24 E26:E62" xr:uid="{00000000-0002-0000-0B00-000007000000}">
      <formula1>$X$20:$X$24</formula1>
      <formula2>0</formula2>
    </dataValidation>
  </dataValidations>
  <pageMargins left="0" right="0" top="0.74803149606299213" bottom="0.74803149606299213" header="0.51181102362204722" footer="0.51181102362204722"/>
  <pageSetup scale="48" firstPageNumber="0" fitToHeight="18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4:C61"/>
  <sheetViews>
    <sheetView showGridLines="0" topLeftCell="A40" zoomScale="70" zoomScaleNormal="70" workbookViewId="0">
      <selection activeCell="C13" sqref="C13"/>
    </sheetView>
  </sheetViews>
  <sheetFormatPr defaultColWidth="9.109375" defaultRowHeight="14.4" x14ac:dyDescent="0.3"/>
  <cols>
    <col min="1" max="1" width="20.88671875" style="424" customWidth="1"/>
    <col min="2" max="2" width="68.88671875" style="424" customWidth="1"/>
    <col min="3" max="3" width="72" style="424" customWidth="1"/>
    <col min="4" max="4" width="9.109375" style="424"/>
    <col min="5" max="5" width="14.109375" style="424" customWidth="1"/>
    <col min="6" max="6" width="18" style="424" customWidth="1"/>
    <col min="7" max="7" width="78.5546875" style="424" customWidth="1"/>
    <col min="8" max="16384" width="9.109375" style="424"/>
  </cols>
  <sheetData>
    <row r="4" spans="1:3" ht="67.5" customHeight="1" x14ac:dyDescent="0.3">
      <c r="A4" s="666" t="s">
        <v>658</v>
      </c>
      <c r="B4" s="666"/>
      <c r="C4" s="666"/>
    </row>
    <row r="7" spans="1:3" x14ac:dyDescent="0.3">
      <c r="A7" s="425"/>
      <c r="B7" s="426" t="s">
        <v>659</v>
      </c>
      <c r="C7" s="425"/>
    </row>
    <row r="8" spans="1:3" ht="41.4" x14ac:dyDescent="0.3">
      <c r="A8" s="427" t="s">
        <v>660</v>
      </c>
      <c r="B8" s="428" t="s">
        <v>661</v>
      </c>
      <c r="C8" s="425"/>
    </row>
    <row r="9" spans="1:3" ht="27.6" x14ac:dyDescent="0.3">
      <c r="A9" s="429" t="s">
        <v>662</v>
      </c>
      <c r="B9" s="430" t="s">
        <v>663</v>
      </c>
      <c r="C9" s="425"/>
    </row>
    <row r="10" spans="1:3" x14ac:dyDescent="0.3">
      <c r="A10" s="431"/>
      <c r="B10" s="432"/>
      <c r="C10" s="425"/>
    </row>
    <row r="11" spans="1:3" x14ac:dyDescent="0.3">
      <c r="A11" s="433"/>
      <c r="B11" s="434"/>
      <c r="C11" s="425"/>
    </row>
    <row r="12" spans="1:3" s="436" customFormat="1" x14ac:dyDescent="0.3">
      <c r="A12" s="425"/>
      <c r="B12" s="426" t="s">
        <v>664</v>
      </c>
      <c r="C12" s="435"/>
    </row>
    <row r="13" spans="1:3" x14ac:dyDescent="0.3">
      <c r="A13" s="437" t="s">
        <v>665</v>
      </c>
      <c r="B13" s="438" t="s">
        <v>666</v>
      </c>
      <c r="C13" s="425"/>
    </row>
    <row r="14" spans="1:3" x14ac:dyDescent="0.3">
      <c r="A14" s="439" t="s">
        <v>591</v>
      </c>
      <c r="B14" s="440" t="s">
        <v>667</v>
      </c>
      <c r="C14" s="425"/>
    </row>
    <row r="15" spans="1:3" x14ac:dyDescent="0.3">
      <c r="A15" s="425"/>
      <c r="B15" s="425"/>
      <c r="C15" s="425"/>
    </row>
    <row r="16" spans="1:3" x14ac:dyDescent="0.3">
      <c r="A16" s="425"/>
      <c r="B16" s="426" t="s">
        <v>668</v>
      </c>
      <c r="C16" s="425"/>
    </row>
    <row r="17" spans="1:3" x14ac:dyDescent="0.3">
      <c r="A17" s="667" t="s">
        <v>669</v>
      </c>
      <c r="B17" s="441" t="s">
        <v>267</v>
      </c>
      <c r="C17" s="425"/>
    </row>
    <row r="18" spans="1:3" ht="15.75" customHeight="1" x14ac:dyDescent="0.3">
      <c r="A18" s="667"/>
      <c r="B18" s="442" t="s">
        <v>284</v>
      </c>
      <c r="C18" s="425"/>
    </row>
    <row r="19" spans="1:3" x14ac:dyDescent="0.3">
      <c r="A19" s="667"/>
      <c r="B19" s="443" t="s">
        <v>292</v>
      </c>
      <c r="C19" s="425"/>
    </row>
    <row r="20" spans="1:3" x14ac:dyDescent="0.3">
      <c r="A20" s="425"/>
      <c r="B20" s="425"/>
      <c r="C20" s="425"/>
    </row>
    <row r="21" spans="1:3" x14ac:dyDescent="0.3">
      <c r="A21" s="444"/>
      <c r="B21" s="426" t="s">
        <v>668</v>
      </c>
      <c r="C21" s="425"/>
    </row>
    <row r="22" spans="1:3" ht="14.1" customHeight="1" x14ac:dyDescent="0.3">
      <c r="A22" s="668" t="s">
        <v>580</v>
      </c>
      <c r="B22" s="441" t="s">
        <v>587</v>
      </c>
      <c r="C22" s="425"/>
    </row>
    <row r="23" spans="1:3" x14ac:dyDescent="0.3">
      <c r="A23" s="668"/>
      <c r="B23" s="442" t="s">
        <v>300</v>
      </c>
      <c r="C23" s="425"/>
    </row>
    <row r="24" spans="1:3" x14ac:dyDescent="0.3">
      <c r="A24" s="668"/>
      <c r="B24" s="442" t="s">
        <v>670</v>
      </c>
      <c r="C24" s="425"/>
    </row>
    <row r="25" spans="1:3" x14ac:dyDescent="0.3">
      <c r="A25" s="668"/>
      <c r="B25" s="442" t="s">
        <v>596</v>
      </c>
      <c r="C25" s="425"/>
    </row>
    <row r="26" spans="1:3" x14ac:dyDescent="0.3">
      <c r="A26" s="668"/>
      <c r="B26" s="442" t="s">
        <v>671</v>
      </c>
      <c r="C26" s="425"/>
    </row>
    <row r="27" spans="1:3" x14ac:dyDescent="0.3">
      <c r="A27" s="668"/>
      <c r="B27" s="442" t="s">
        <v>672</v>
      </c>
      <c r="C27" s="425"/>
    </row>
    <row r="28" spans="1:3" ht="15" customHeight="1" x14ac:dyDescent="0.3">
      <c r="A28" s="668"/>
      <c r="B28" s="442" t="s">
        <v>584</v>
      </c>
      <c r="C28" s="425"/>
    </row>
    <row r="29" spans="1:3" x14ac:dyDescent="0.3">
      <c r="A29" s="668"/>
      <c r="B29" s="445" t="s">
        <v>673</v>
      </c>
      <c r="C29" s="425"/>
    </row>
    <row r="30" spans="1:3" x14ac:dyDescent="0.3">
      <c r="A30" s="425"/>
      <c r="B30" s="425"/>
      <c r="C30" s="425"/>
    </row>
    <row r="31" spans="1:3" x14ac:dyDescent="0.3">
      <c r="A31" s="425"/>
      <c r="B31" s="426" t="s">
        <v>674</v>
      </c>
      <c r="C31" s="426" t="s">
        <v>668</v>
      </c>
    </row>
    <row r="32" spans="1:3" ht="14.1" customHeight="1" x14ac:dyDescent="0.3">
      <c r="A32" s="669" t="s">
        <v>648</v>
      </c>
      <c r="B32" s="670" t="s">
        <v>675</v>
      </c>
      <c r="C32" s="446" t="s">
        <v>676</v>
      </c>
    </row>
    <row r="33" spans="1:3" x14ac:dyDescent="0.3">
      <c r="A33" s="669"/>
      <c r="B33" s="670"/>
      <c r="C33" s="447" t="s">
        <v>677</v>
      </c>
    </row>
    <row r="34" spans="1:3" x14ac:dyDescent="0.3">
      <c r="A34" s="669"/>
      <c r="B34" s="670"/>
      <c r="C34" s="447" t="s">
        <v>408</v>
      </c>
    </row>
    <row r="35" spans="1:3" x14ac:dyDescent="0.3">
      <c r="A35" s="669"/>
      <c r="B35" s="670"/>
      <c r="C35" s="447" t="s">
        <v>409</v>
      </c>
    </row>
    <row r="36" spans="1:3" x14ac:dyDescent="0.3">
      <c r="A36" s="669"/>
      <c r="B36" s="670"/>
      <c r="C36" s="447" t="s">
        <v>618</v>
      </c>
    </row>
    <row r="37" spans="1:3" x14ac:dyDescent="0.3">
      <c r="A37" s="669"/>
      <c r="B37" s="670"/>
      <c r="C37" s="447" t="s">
        <v>678</v>
      </c>
    </row>
    <row r="38" spans="1:3" x14ac:dyDescent="0.3">
      <c r="A38" s="669"/>
      <c r="B38" s="670"/>
      <c r="C38" s="447" t="s">
        <v>679</v>
      </c>
    </row>
    <row r="39" spans="1:3" ht="14.1" customHeight="1" x14ac:dyDescent="0.3">
      <c r="A39" s="669"/>
      <c r="B39" s="671" t="s">
        <v>652</v>
      </c>
      <c r="C39" s="447" t="s">
        <v>653</v>
      </c>
    </row>
    <row r="40" spans="1:3" x14ac:dyDescent="0.3">
      <c r="A40" s="669"/>
      <c r="B40" s="671"/>
      <c r="C40" s="447" t="s">
        <v>680</v>
      </c>
    </row>
    <row r="41" spans="1:3" x14ac:dyDescent="0.3">
      <c r="A41" s="669"/>
      <c r="B41" s="671"/>
      <c r="C41" s="447" t="s">
        <v>614</v>
      </c>
    </row>
    <row r="42" spans="1:3" x14ac:dyDescent="0.3">
      <c r="A42" s="669"/>
      <c r="B42" s="671"/>
      <c r="C42" s="447" t="s">
        <v>409</v>
      </c>
    </row>
    <row r="43" spans="1:3" x14ac:dyDescent="0.3">
      <c r="A43" s="669"/>
      <c r="B43" s="671"/>
      <c r="C43" s="447" t="s">
        <v>618</v>
      </c>
    </row>
    <row r="44" spans="1:3" x14ac:dyDescent="0.3">
      <c r="A44" s="669"/>
      <c r="B44" s="671"/>
      <c r="C44" s="447" t="s">
        <v>681</v>
      </c>
    </row>
    <row r="45" spans="1:3" x14ac:dyDescent="0.3">
      <c r="A45" s="669"/>
      <c r="B45" s="671"/>
      <c r="C45" s="447" t="s">
        <v>655</v>
      </c>
    </row>
    <row r="46" spans="1:3" x14ac:dyDescent="0.3">
      <c r="A46" s="669"/>
      <c r="B46" s="671"/>
      <c r="C46" s="447" t="s">
        <v>384</v>
      </c>
    </row>
    <row r="47" spans="1:3" x14ac:dyDescent="0.3">
      <c r="A47" s="669"/>
      <c r="B47" s="671"/>
      <c r="C47" s="447" t="s">
        <v>401</v>
      </c>
    </row>
    <row r="48" spans="1:3" x14ac:dyDescent="0.3">
      <c r="A48" s="669"/>
      <c r="B48" s="671"/>
      <c r="C48" s="447" t="s">
        <v>656</v>
      </c>
    </row>
    <row r="49" spans="1:3" ht="14.1" customHeight="1" x14ac:dyDescent="0.3">
      <c r="A49" s="669"/>
      <c r="B49" s="671" t="s">
        <v>657</v>
      </c>
      <c r="C49" s="447" t="s">
        <v>459</v>
      </c>
    </row>
    <row r="50" spans="1:3" x14ac:dyDescent="0.3">
      <c r="A50" s="669"/>
      <c r="B50" s="671"/>
      <c r="C50" s="447" t="s">
        <v>409</v>
      </c>
    </row>
    <row r="51" spans="1:3" x14ac:dyDescent="0.3">
      <c r="A51" s="669"/>
      <c r="B51" s="671"/>
      <c r="C51" s="447" t="s">
        <v>618</v>
      </c>
    </row>
    <row r="52" spans="1:3" x14ac:dyDescent="0.3">
      <c r="C52" s="448"/>
    </row>
    <row r="53" spans="1:3" x14ac:dyDescent="0.3">
      <c r="C53" s="448"/>
    </row>
    <row r="54" spans="1:3" x14ac:dyDescent="0.3">
      <c r="B54" s="426" t="s">
        <v>682</v>
      </c>
    </row>
    <row r="55" spans="1:3" ht="14.1" customHeight="1" x14ac:dyDescent="0.3">
      <c r="A55" s="665" t="s">
        <v>683</v>
      </c>
      <c r="B55" s="446" t="s">
        <v>684</v>
      </c>
    </row>
    <row r="56" spans="1:3" x14ac:dyDescent="0.3">
      <c r="A56" s="665"/>
      <c r="B56" s="447" t="s">
        <v>685</v>
      </c>
    </row>
    <row r="57" spans="1:3" x14ac:dyDescent="0.3">
      <c r="A57" s="665"/>
      <c r="B57" s="447" t="s">
        <v>686</v>
      </c>
    </row>
    <row r="58" spans="1:3" x14ac:dyDescent="0.3">
      <c r="A58" s="665"/>
      <c r="B58" s="447" t="s">
        <v>687</v>
      </c>
    </row>
    <row r="59" spans="1:3" x14ac:dyDescent="0.3">
      <c r="A59" s="665"/>
      <c r="B59" s="447" t="s">
        <v>688</v>
      </c>
    </row>
    <row r="60" spans="1:3" x14ac:dyDescent="0.3">
      <c r="A60" s="665"/>
      <c r="B60" s="447" t="s">
        <v>689</v>
      </c>
    </row>
    <row r="61" spans="1:3" x14ac:dyDescent="0.3">
      <c r="A61" s="665"/>
      <c r="B61" s="447" t="s">
        <v>690</v>
      </c>
    </row>
  </sheetData>
  <sheetProtection selectLockedCells="1" selectUnlockedCells="1"/>
  <mergeCells count="8">
    <mergeCell ref="A55:A61"/>
    <mergeCell ref="A4:C4"/>
    <mergeCell ref="A17:A19"/>
    <mergeCell ref="A22:A29"/>
    <mergeCell ref="A32:A51"/>
    <mergeCell ref="B32:B38"/>
    <mergeCell ref="B39:B48"/>
    <mergeCell ref="B49:B51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9"/>
  <sheetViews>
    <sheetView showGridLines="0" topLeftCell="A7" zoomScale="70" zoomScaleNormal="70" workbookViewId="0">
      <selection activeCell="A31" sqref="A31:B31"/>
    </sheetView>
  </sheetViews>
  <sheetFormatPr defaultColWidth="8.88671875" defaultRowHeight="13.8" x14ac:dyDescent="0.3"/>
  <cols>
    <col min="1" max="1" width="4.88671875" style="1" customWidth="1"/>
    <col min="2" max="2" width="47.44140625" style="2" customWidth="1"/>
    <col min="3" max="3" width="9.33203125" style="1" customWidth="1"/>
    <col min="4" max="4" width="12.44140625" style="3" customWidth="1"/>
    <col min="5" max="5" width="11.88671875" style="3" customWidth="1"/>
    <col min="6" max="6" width="11" style="2" customWidth="1"/>
    <col min="7" max="7" width="9.109375" style="2" customWidth="1"/>
    <col min="8" max="8" width="6.88671875" style="2" customWidth="1"/>
    <col min="9" max="9" width="6.5546875" style="2" customWidth="1"/>
    <col min="10" max="10" width="11.33203125" style="2" customWidth="1"/>
    <col min="11" max="11" width="10.5546875" style="2" customWidth="1"/>
    <col min="12" max="12" width="8.109375" style="2" customWidth="1"/>
    <col min="13" max="13" width="29.33203125" style="6" customWidth="1"/>
    <col min="14" max="16384" width="8.88671875" style="2"/>
  </cols>
  <sheetData>
    <row r="1" spans="1:13" ht="78.75" customHeight="1" x14ac:dyDescent="0.3"/>
    <row r="2" spans="1:13" x14ac:dyDescent="0.3">
      <c r="A2" s="4" t="s">
        <v>174</v>
      </c>
      <c r="F2" s="5" t="s">
        <v>1</v>
      </c>
      <c r="L2" s="4" t="s">
        <v>2</v>
      </c>
    </row>
    <row r="3" spans="1:13" x14ac:dyDescent="0.3">
      <c r="A3" s="4" t="s">
        <v>175</v>
      </c>
      <c r="F3" s="5" t="s">
        <v>4</v>
      </c>
      <c r="L3" s="6" t="s">
        <v>5</v>
      </c>
    </row>
    <row r="4" spans="1:13" x14ac:dyDescent="0.3">
      <c r="A4" s="4" t="s">
        <v>6</v>
      </c>
      <c r="L4" s="6" t="s">
        <v>7</v>
      </c>
    </row>
    <row r="5" spans="1:13" ht="22.5" customHeight="1" x14ac:dyDescent="0.3">
      <c r="C5" s="7" t="s">
        <v>8</v>
      </c>
      <c r="D5" s="8">
        <f>'[3]3_Comp_Subcomp e Produtos'!E1</f>
        <v>2.2000000000000002</v>
      </c>
      <c r="L5" s="9" t="s">
        <v>9</v>
      </c>
    </row>
    <row r="6" spans="1:13" ht="12.75" customHeight="1" x14ac:dyDescent="0.3">
      <c r="A6" s="609" t="s">
        <v>10</v>
      </c>
      <c r="B6" s="606" t="s">
        <v>11</v>
      </c>
      <c r="C6" s="606" t="s">
        <v>12</v>
      </c>
      <c r="D6" s="606" t="s">
        <v>13</v>
      </c>
      <c r="E6" s="606" t="s">
        <v>14</v>
      </c>
      <c r="F6" s="606" t="s">
        <v>15</v>
      </c>
      <c r="G6" s="606" t="s">
        <v>16</v>
      </c>
      <c r="H6" s="610" t="s">
        <v>17</v>
      </c>
      <c r="I6" s="610"/>
      <c r="J6" s="610" t="s">
        <v>18</v>
      </c>
      <c r="K6" s="610"/>
      <c r="L6" s="606" t="s">
        <v>19</v>
      </c>
      <c r="M6" s="607" t="s">
        <v>20</v>
      </c>
    </row>
    <row r="7" spans="1:13" ht="27.6" x14ac:dyDescent="0.3">
      <c r="A7" s="609"/>
      <c r="B7" s="606"/>
      <c r="C7" s="606"/>
      <c r="D7" s="606"/>
      <c r="E7" s="606"/>
      <c r="F7" s="606"/>
      <c r="G7" s="606"/>
      <c r="H7" s="10" t="s">
        <v>21</v>
      </c>
      <c r="I7" s="10" t="s">
        <v>22</v>
      </c>
      <c r="J7" s="10" t="s">
        <v>176</v>
      </c>
      <c r="K7" s="10" t="s">
        <v>24</v>
      </c>
      <c r="L7" s="606"/>
      <c r="M7" s="607"/>
    </row>
    <row r="8" spans="1:13" ht="12.75" customHeight="1" x14ac:dyDescent="0.3">
      <c r="A8" s="608" t="s">
        <v>25</v>
      </c>
      <c r="B8" s="608"/>
      <c r="C8" s="608"/>
      <c r="D8" s="608"/>
      <c r="E8" s="608"/>
      <c r="F8" s="608"/>
      <c r="G8" s="608"/>
      <c r="H8" s="608"/>
      <c r="I8" s="608"/>
      <c r="J8" s="608"/>
      <c r="K8" s="608"/>
      <c r="L8" s="608"/>
      <c r="M8" s="608"/>
    </row>
    <row r="9" spans="1:13" ht="27.6" x14ac:dyDescent="0.3">
      <c r="A9" s="11" t="s">
        <v>26</v>
      </c>
      <c r="B9" s="12" t="s">
        <v>177</v>
      </c>
      <c r="C9" s="13" t="s">
        <v>28</v>
      </c>
      <c r="D9" s="64">
        <v>112000</v>
      </c>
      <c r="E9" s="65">
        <f t="shared" ref="E9:E26" si="0">D9/$D$5</f>
        <v>50909.090909090904</v>
      </c>
      <c r="F9" s="16" t="s">
        <v>29</v>
      </c>
      <c r="G9" s="16" t="s">
        <v>30</v>
      </c>
      <c r="H9" s="17">
        <v>1</v>
      </c>
      <c r="I9" s="17"/>
      <c r="J9" s="66" t="s">
        <v>43</v>
      </c>
      <c r="K9" s="18" t="s">
        <v>32</v>
      </c>
      <c r="L9" s="18" t="s">
        <v>33</v>
      </c>
      <c r="M9" s="67" t="s">
        <v>178</v>
      </c>
    </row>
    <row r="10" spans="1:13" x14ac:dyDescent="0.3">
      <c r="A10" s="11" t="s">
        <v>34</v>
      </c>
      <c r="B10" s="12" t="s">
        <v>35</v>
      </c>
      <c r="C10" s="13" t="s">
        <v>28</v>
      </c>
      <c r="D10" s="14">
        <v>250000</v>
      </c>
      <c r="E10" s="15">
        <f t="shared" si="0"/>
        <v>113636.36363636363</v>
      </c>
      <c r="F10" s="16" t="s">
        <v>36</v>
      </c>
      <c r="G10" s="16" t="s">
        <v>37</v>
      </c>
      <c r="H10" s="17">
        <v>0.8</v>
      </c>
      <c r="I10" s="17">
        <v>0.2</v>
      </c>
      <c r="J10" s="66" t="s">
        <v>43</v>
      </c>
      <c r="K10" s="18" t="s">
        <v>179</v>
      </c>
      <c r="L10" s="18" t="s">
        <v>33</v>
      </c>
      <c r="M10" s="67"/>
    </row>
    <row r="11" spans="1:13" ht="27.6" x14ac:dyDescent="0.3">
      <c r="A11" s="11" t="s">
        <v>39</v>
      </c>
      <c r="B11" s="20" t="s">
        <v>40</v>
      </c>
      <c r="C11" s="21" t="s">
        <v>41</v>
      </c>
      <c r="D11" s="15">
        <v>25000</v>
      </c>
      <c r="E11" s="15">
        <f t="shared" si="0"/>
        <v>11363.636363636362</v>
      </c>
      <c r="F11" s="16" t="s">
        <v>42</v>
      </c>
      <c r="G11" s="16" t="s">
        <v>30</v>
      </c>
      <c r="H11" s="17">
        <v>1</v>
      </c>
      <c r="I11" s="22"/>
      <c r="J11" s="68" t="s">
        <v>180</v>
      </c>
      <c r="K11" s="23" t="s">
        <v>44</v>
      </c>
      <c r="L11" s="18" t="s">
        <v>33</v>
      </c>
      <c r="M11" s="69"/>
    </row>
    <row r="12" spans="1:13" ht="27.6" x14ac:dyDescent="0.3">
      <c r="A12" s="11" t="s">
        <v>45</v>
      </c>
      <c r="B12" s="20" t="s">
        <v>46</v>
      </c>
      <c r="C12" s="21" t="s">
        <v>47</v>
      </c>
      <c r="D12" s="15">
        <v>144000</v>
      </c>
      <c r="E12" s="15">
        <f t="shared" si="0"/>
        <v>65454.545454545449</v>
      </c>
      <c r="F12" s="13" t="s">
        <v>48</v>
      </c>
      <c r="G12" s="13" t="s">
        <v>30</v>
      </c>
      <c r="H12" s="17"/>
      <c r="I12" s="22">
        <v>1</v>
      </c>
      <c r="J12" s="68" t="s">
        <v>32</v>
      </c>
      <c r="K12" s="23" t="s">
        <v>50</v>
      </c>
      <c r="L12" s="18" t="s">
        <v>33</v>
      </c>
      <c r="M12" s="69"/>
    </row>
    <row r="13" spans="1:13" ht="41.4" x14ac:dyDescent="0.3">
      <c r="A13" s="11" t="s">
        <v>51</v>
      </c>
      <c r="B13" s="20" t="s">
        <v>52</v>
      </c>
      <c r="C13" s="21" t="s">
        <v>41</v>
      </c>
      <c r="D13" s="15">
        <v>900000</v>
      </c>
      <c r="E13" s="15">
        <f t="shared" si="0"/>
        <v>409090.90909090906</v>
      </c>
      <c r="F13" s="13" t="s">
        <v>36</v>
      </c>
      <c r="G13" s="13" t="s">
        <v>37</v>
      </c>
      <c r="H13" s="17">
        <v>1</v>
      </c>
      <c r="I13" s="22"/>
      <c r="J13" s="68" t="s">
        <v>74</v>
      </c>
      <c r="K13" s="23" t="s">
        <v>38</v>
      </c>
      <c r="L13" s="18" t="s">
        <v>33</v>
      </c>
      <c r="M13" s="69"/>
    </row>
    <row r="14" spans="1:13" ht="41.4" x14ac:dyDescent="0.3">
      <c r="A14" s="11" t="s">
        <v>53</v>
      </c>
      <c r="B14" s="20" t="s">
        <v>54</v>
      </c>
      <c r="C14" s="21" t="s">
        <v>55</v>
      </c>
      <c r="D14" s="15">
        <v>112200</v>
      </c>
      <c r="E14" s="15">
        <f t="shared" si="0"/>
        <v>50999.999999999993</v>
      </c>
      <c r="F14" s="16" t="s">
        <v>42</v>
      </c>
      <c r="G14" s="13" t="s">
        <v>30</v>
      </c>
      <c r="H14" s="17">
        <v>1</v>
      </c>
      <c r="I14" s="22"/>
      <c r="J14" s="68" t="s">
        <v>180</v>
      </c>
      <c r="K14" s="23" t="s">
        <v>56</v>
      </c>
      <c r="L14" s="18" t="s">
        <v>33</v>
      </c>
      <c r="M14" s="69"/>
    </row>
    <row r="15" spans="1:13" ht="27.6" x14ac:dyDescent="0.3">
      <c r="A15" s="11" t="s">
        <v>57</v>
      </c>
      <c r="B15" s="20" t="s">
        <v>58</v>
      </c>
      <c r="C15" s="21" t="s">
        <v>55</v>
      </c>
      <c r="D15" s="15">
        <v>60900</v>
      </c>
      <c r="E15" s="15">
        <f t="shared" si="0"/>
        <v>27681.81818181818</v>
      </c>
      <c r="F15" s="16" t="s">
        <v>42</v>
      </c>
      <c r="G15" s="13" t="s">
        <v>30</v>
      </c>
      <c r="H15" s="17">
        <v>1</v>
      </c>
      <c r="I15" s="22"/>
      <c r="J15" s="68" t="s">
        <v>181</v>
      </c>
      <c r="K15" s="23" t="s">
        <v>59</v>
      </c>
      <c r="L15" s="18" t="s">
        <v>33</v>
      </c>
      <c r="M15" s="69"/>
    </row>
    <row r="16" spans="1:13" ht="41.4" x14ac:dyDescent="0.3">
      <c r="A16" s="11" t="s">
        <v>60</v>
      </c>
      <c r="B16" s="25" t="s">
        <v>61</v>
      </c>
      <c r="C16" s="21" t="s">
        <v>62</v>
      </c>
      <c r="D16" s="15">
        <v>260000</v>
      </c>
      <c r="E16" s="15">
        <f t="shared" si="0"/>
        <v>118181.81818181818</v>
      </c>
      <c r="F16" s="16" t="s">
        <v>42</v>
      </c>
      <c r="G16" s="13" t="s">
        <v>30</v>
      </c>
      <c r="H16" s="17">
        <v>1</v>
      </c>
      <c r="I16" s="22"/>
      <c r="J16" s="68" t="s">
        <v>182</v>
      </c>
      <c r="K16" s="23" t="s">
        <v>38</v>
      </c>
      <c r="L16" s="18" t="s">
        <v>33</v>
      </c>
      <c r="M16" s="69"/>
    </row>
    <row r="17" spans="1:13" ht="69" x14ac:dyDescent="0.3">
      <c r="A17" s="11" t="s">
        <v>63</v>
      </c>
      <c r="B17" s="20" t="s">
        <v>64</v>
      </c>
      <c r="C17" s="21" t="s">
        <v>65</v>
      </c>
      <c r="D17" s="15">
        <v>400000</v>
      </c>
      <c r="E17" s="15">
        <f t="shared" si="0"/>
        <v>181818.18181818179</v>
      </c>
      <c r="F17" s="16" t="s">
        <v>42</v>
      </c>
      <c r="G17" s="16" t="s">
        <v>30</v>
      </c>
      <c r="H17" s="17">
        <v>1</v>
      </c>
      <c r="I17" s="22"/>
      <c r="J17" s="68" t="s">
        <v>183</v>
      </c>
      <c r="K17" s="23" t="s">
        <v>38</v>
      </c>
      <c r="L17" s="18" t="s">
        <v>33</v>
      </c>
      <c r="M17" s="69"/>
    </row>
    <row r="18" spans="1:13" x14ac:dyDescent="0.3">
      <c r="A18" s="11" t="s">
        <v>66</v>
      </c>
      <c r="B18" s="70" t="s">
        <v>67</v>
      </c>
      <c r="C18" s="21" t="s">
        <v>68</v>
      </c>
      <c r="D18" s="15">
        <v>600000</v>
      </c>
      <c r="E18" s="15">
        <f t="shared" si="0"/>
        <v>272727.27272727271</v>
      </c>
      <c r="F18" s="16" t="s">
        <v>69</v>
      </c>
      <c r="G18" s="16" t="s">
        <v>30</v>
      </c>
      <c r="H18" s="17">
        <v>1</v>
      </c>
      <c r="I18" s="22"/>
      <c r="J18" s="68" t="s">
        <v>184</v>
      </c>
      <c r="K18" s="23" t="s">
        <v>70</v>
      </c>
      <c r="L18" s="18" t="s">
        <v>33</v>
      </c>
      <c r="M18" s="69"/>
    </row>
    <row r="19" spans="1:13" ht="27.6" x14ac:dyDescent="0.3">
      <c r="A19" s="11" t="s">
        <v>71</v>
      </c>
      <c r="B19" s="20" t="s">
        <v>72</v>
      </c>
      <c r="C19" s="27" t="s">
        <v>73</v>
      </c>
      <c r="D19" s="15">
        <v>450000</v>
      </c>
      <c r="E19" s="15">
        <f t="shared" si="0"/>
        <v>204545.45454545453</v>
      </c>
      <c r="F19" s="16" t="s">
        <v>69</v>
      </c>
      <c r="G19" s="28" t="s">
        <v>37</v>
      </c>
      <c r="H19" s="17">
        <v>1</v>
      </c>
      <c r="I19" s="17"/>
      <c r="J19" s="18" t="s">
        <v>74</v>
      </c>
      <c r="K19" s="18" t="s">
        <v>75</v>
      </c>
      <c r="L19" s="18" t="s">
        <v>33</v>
      </c>
      <c r="M19" s="67"/>
    </row>
    <row r="20" spans="1:13" ht="27.6" x14ac:dyDescent="0.3">
      <c r="A20" s="11" t="s">
        <v>76</v>
      </c>
      <c r="B20" s="20" t="s">
        <v>77</v>
      </c>
      <c r="C20" s="21" t="s">
        <v>78</v>
      </c>
      <c r="D20" s="15">
        <v>249000</v>
      </c>
      <c r="E20" s="15">
        <f t="shared" si="0"/>
        <v>113181.81818181818</v>
      </c>
      <c r="F20" s="16" t="s">
        <v>42</v>
      </c>
      <c r="G20" s="16" t="s">
        <v>30</v>
      </c>
      <c r="H20" s="17">
        <v>1</v>
      </c>
      <c r="I20" s="17"/>
      <c r="J20" s="66" t="s">
        <v>185</v>
      </c>
      <c r="K20" s="18" t="s">
        <v>59</v>
      </c>
      <c r="L20" s="18" t="s">
        <v>33</v>
      </c>
      <c r="M20" s="67"/>
    </row>
    <row r="21" spans="1:13" ht="27.6" x14ac:dyDescent="0.3">
      <c r="A21" s="11" t="s">
        <v>79</v>
      </c>
      <c r="B21" s="12" t="s">
        <v>80</v>
      </c>
      <c r="C21" s="13" t="s">
        <v>65</v>
      </c>
      <c r="D21" s="29">
        <v>427800</v>
      </c>
      <c r="E21" s="15">
        <f t="shared" si="0"/>
        <v>194454.54545454544</v>
      </c>
      <c r="F21" s="16" t="s">
        <v>42</v>
      </c>
      <c r="G21" s="16" t="s">
        <v>30</v>
      </c>
      <c r="H21" s="17">
        <v>1</v>
      </c>
      <c r="I21" s="22"/>
      <c r="J21" s="66" t="s">
        <v>186</v>
      </c>
      <c r="K21" s="23" t="s">
        <v>38</v>
      </c>
      <c r="L21" s="18" t="s">
        <v>33</v>
      </c>
      <c r="M21" s="69"/>
    </row>
    <row r="22" spans="1:13" ht="27.6" x14ac:dyDescent="0.3">
      <c r="A22" s="11" t="s">
        <v>81</v>
      </c>
      <c r="B22" s="12" t="s">
        <v>82</v>
      </c>
      <c r="C22" s="13" t="s">
        <v>65</v>
      </c>
      <c r="D22" s="29">
        <v>135600</v>
      </c>
      <c r="E22" s="15">
        <f t="shared" si="0"/>
        <v>61636.363636363632</v>
      </c>
      <c r="F22" s="16" t="s">
        <v>42</v>
      </c>
      <c r="G22" s="16" t="s">
        <v>30</v>
      </c>
      <c r="H22" s="17">
        <v>1</v>
      </c>
      <c r="I22" s="22"/>
      <c r="J22" s="66" t="s">
        <v>186</v>
      </c>
      <c r="K22" s="23" t="s">
        <v>38</v>
      </c>
      <c r="L22" s="18" t="s">
        <v>33</v>
      </c>
      <c r="M22" s="69"/>
    </row>
    <row r="23" spans="1:13" ht="41.4" x14ac:dyDescent="0.3">
      <c r="A23" s="11" t="s">
        <v>83</v>
      </c>
      <c r="B23" s="12" t="s">
        <v>84</v>
      </c>
      <c r="C23" s="13" t="s">
        <v>85</v>
      </c>
      <c r="D23" s="29">
        <v>400000</v>
      </c>
      <c r="E23" s="15">
        <f t="shared" si="0"/>
        <v>181818.18181818179</v>
      </c>
      <c r="F23" s="16" t="s">
        <v>42</v>
      </c>
      <c r="G23" s="13" t="s">
        <v>30</v>
      </c>
      <c r="H23" s="17">
        <v>1</v>
      </c>
      <c r="I23" s="22"/>
      <c r="J23" s="18" t="s">
        <v>183</v>
      </c>
      <c r="K23" s="23" t="s">
        <v>38</v>
      </c>
      <c r="L23" s="18" t="s">
        <v>33</v>
      </c>
      <c r="M23" s="69"/>
    </row>
    <row r="24" spans="1:13" ht="26.4" x14ac:dyDescent="0.3">
      <c r="A24" s="11" t="s">
        <v>86</v>
      </c>
      <c r="B24" s="71" t="s">
        <v>87</v>
      </c>
      <c r="C24" s="72" t="s">
        <v>88</v>
      </c>
      <c r="D24" s="73">
        <v>85000</v>
      </c>
      <c r="E24" s="15">
        <f t="shared" si="0"/>
        <v>38636.363636363632</v>
      </c>
      <c r="F24" s="74" t="s">
        <v>42</v>
      </c>
      <c r="G24" s="13" t="s">
        <v>30</v>
      </c>
      <c r="H24" s="17">
        <v>1</v>
      </c>
      <c r="I24" s="75"/>
      <c r="J24" s="66" t="s">
        <v>43</v>
      </c>
      <c r="K24" s="18" t="s">
        <v>89</v>
      </c>
      <c r="L24" s="18" t="s">
        <v>33</v>
      </c>
      <c r="M24" s="67"/>
    </row>
    <row r="25" spans="1:13" ht="27.6" x14ac:dyDescent="0.3">
      <c r="A25" s="76" t="s">
        <v>187</v>
      </c>
      <c r="B25" s="77" t="s">
        <v>188</v>
      </c>
      <c r="C25" s="78" t="s">
        <v>28</v>
      </c>
      <c r="D25" s="79">
        <v>185000</v>
      </c>
      <c r="E25" s="80">
        <f t="shared" si="0"/>
        <v>84090.909090909088</v>
      </c>
      <c r="F25" s="81" t="s">
        <v>29</v>
      </c>
      <c r="G25" s="81" t="s">
        <v>30</v>
      </c>
      <c r="H25" s="82">
        <v>1</v>
      </c>
      <c r="I25" s="82"/>
      <c r="J25" s="83" t="s">
        <v>43</v>
      </c>
      <c r="K25" s="83" t="s">
        <v>32</v>
      </c>
      <c r="L25" s="83" t="s">
        <v>33</v>
      </c>
      <c r="M25" s="84"/>
    </row>
    <row r="26" spans="1:13" ht="13.5" customHeight="1" x14ac:dyDescent="0.3">
      <c r="A26" s="611" t="s">
        <v>90</v>
      </c>
      <c r="B26" s="611"/>
      <c r="C26" s="31"/>
      <c r="D26" s="32">
        <f>SUM(D9:D25)</f>
        <v>4796500</v>
      </c>
      <c r="E26" s="32">
        <f t="shared" si="0"/>
        <v>2180227.2727272725</v>
      </c>
      <c r="F26" s="612"/>
      <c r="G26" s="612"/>
      <c r="H26" s="612"/>
      <c r="I26" s="612"/>
      <c r="J26" s="612"/>
      <c r="K26" s="612"/>
      <c r="L26" s="612"/>
      <c r="M26" s="612"/>
    </row>
    <row r="27" spans="1:13" ht="12.9" customHeight="1" x14ac:dyDescent="0.3">
      <c r="A27" s="608" t="s">
        <v>91</v>
      </c>
      <c r="B27" s="608"/>
      <c r="C27" s="608"/>
      <c r="D27" s="608"/>
      <c r="E27" s="608"/>
      <c r="F27" s="608"/>
      <c r="G27" s="608"/>
      <c r="H27" s="608"/>
      <c r="I27" s="608"/>
      <c r="J27" s="608"/>
      <c r="K27" s="608"/>
      <c r="L27" s="608"/>
      <c r="M27" s="608"/>
    </row>
    <row r="28" spans="1:13" ht="41.4" x14ac:dyDescent="0.3">
      <c r="A28" s="33" t="s">
        <v>92</v>
      </c>
      <c r="B28" s="12" t="s">
        <v>93</v>
      </c>
      <c r="C28" s="34" t="s">
        <v>94</v>
      </c>
      <c r="D28" s="35">
        <v>204000</v>
      </c>
      <c r="E28" s="29">
        <f>D28/$D$5</f>
        <v>92727.272727272721</v>
      </c>
      <c r="F28" s="13" t="s">
        <v>95</v>
      </c>
      <c r="G28" s="13" t="s">
        <v>30</v>
      </c>
      <c r="H28" s="17">
        <v>1</v>
      </c>
      <c r="I28" s="22"/>
      <c r="J28" s="68" t="s">
        <v>32</v>
      </c>
      <c r="K28" s="23" t="s">
        <v>97</v>
      </c>
      <c r="L28" s="23" t="s">
        <v>33</v>
      </c>
      <c r="M28" s="69"/>
    </row>
    <row r="29" spans="1:13" ht="27.6" x14ac:dyDescent="0.3">
      <c r="A29" s="33" t="s">
        <v>98</v>
      </c>
      <c r="B29" s="12" t="s">
        <v>99</v>
      </c>
      <c r="C29" s="13" t="s">
        <v>100</v>
      </c>
      <c r="D29" s="14">
        <v>35000</v>
      </c>
      <c r="E29" s="29">
        <f>D29/$D$5</f>
        <v>15909.090909090908</v>
      </c>
      <c r="F29" s="13" t="s">
        <v>95</v>
      </c>
      <c r="G29" s="13" t="s">
        <v>30</v>
      </c>
      <c r="H29" s="22">
        <v>1</v>
      </c>
      <c r="I29" s="22"/>
      <c r="J29" s="68" t="s">
        <v>184</v>
      </c>
      <c r="K29" s="23" t="s">
        <v>97</v>
      </c>
      <c r="L29" s="23" t="s">
        <v>33</v>
      </c>
      <c r="M29" s="69"/>
    </row>
    <row r="30" spans="1:13" ht="27.6" x14ac:dyDescent="0.3">
      <c r="A30" s="76" t="s">
        <v>189</v>
      </c>
      <c r="B30" s="77" t="s">
        <v>190</v>
      </c>
      <c r="C30" s="85" t="s">
        <v>111</v>
      </c>
      <c r="D30" s="79">
        <v>100000</v>
      </c>
      <c r="E30" s="80">
        <f>D30/$D$5</f>
        <v>45454.545454545449</v>
      </c>
      <c r="F30" s="78" t="s">
        <v>106</v>
      </c>
      <c r="G30" s="78" t="s">
        <v>30</v>
      </c>
      <c r="H30" s="86">
        <v>1</v>
      </c>
      <c r="I30" s="86"/>
      <c r="J30" s="87" t="s">
        <v>49</v>
      </c>
      <c r="K30" s="87" t="s">
        <v>50</v>
      </c>
      <c r="L30" s="83" t="s">
        <v>33</v>
      </c>
      <c r="M30" s="84"/>
    </row>
    <row r="31" spans="1:13" ht="13.5" customHeight="1" x14ac:dyDescent="0.3">
      <c r="A31" s="611" t="s">
        <v>101</v>
      </c>
      <c r="B31" s="611"/>
      <c r="C31" s="31"/>
      <c r="D31" s="32">
        <f>SUM(D28:D29)</f>
        <v>239000</v>
      </c>
      <c r="E31" s="32">
        <f>SUM(E28:E29)</f>
        <v>108636.36363636363</v>
      </c>
      <c r="F31" s="612"/>
      <c r="G31" s="612"/>
      <c r="H31" s="612"/>
      <c r="I31" s="612"/>
      <c r="J31" s="612"/>
      <c r="K31" s="612"/>
      <c r="L31" s="612"/>
      <c r="M31" s="612"/>
    </row>
    <row r="32" spans="1:13" ht="12.9" customHeight="1" x14ac:dyDescent="0.3">
      <c r="A32" s="608" t="s">
        <v>102</v>
      </c>
      <c r="B32" s="608"/>
      <c r="C32" s="608"/>
      <c r="D32" s="608"/>
      <c r="E32" s="608"/>
      <c r="F32" s="608"/>
      <c r="G32" s="608"/>
      <c r="H32" s="608"/>
      <c r="I32" s="608"/>
      <c r="J32" s="608"/>
      <c r="K32" s="608"/>
      <c r="L32" s="608"/>
      <c r="M32" s="608"/>
    </row>
    <row r="33" spans="1:13" ht="27.6" x14ac:dyDescent="0.3">
      <c r="A33" s="33" t="s">
        <v>103</v>
      </c>
      <c r="B33" s="20" t="s">
        <v>104</v>
      </c>
      <c r="C33" s="21" t="s">
        <v>105</v>
      </c>
      <c r="D33" s="15">
        <v>320000</v>
      </c>
      <c r="E33" s="15">
        <f t="shared" ref="E33:E57" si="1">D33/$D$5</f>
        <v>145454.54545454544</v>
      </c>
      <c r="F33" s="13" t="s">
        <v>106</v>
      </c>
      <c r="G33" s="13" t="s">
        <v>30</v>
      </c>
      <c r="H33" s="17">
        <v>1</v>
      </c>
      <c r="I33" s="22"/>
      <c r="J33" s="23" t="s">
        <v>49</v>
      </c>
      <c r="K33" s="18" t="s">
        <v>59</v>
      </c>
      <c r="L33" s="18" t="s">
        <v>33</v>
      </c>
      <c r="M33" s="67"/>
    </row>
    <row r="34" spans="1:13" ht="27.6" x14ac:dyDescent="0.3">
      <c r="A34" s="33" t="s">
        <v>107</v>
      </c>
      <c r="B34" s="20" t="s">
        <v>108</v>
      </c>
      <c r="C34" s="21" t="s">
        <v>55</v>
      </c>
      <c r="D34" s="15">
        <v>91100</v>
      </c>
      <c r="E34" s="15">
        <f t="shared" si="1"/>
        <v>41409.090909090904</v>
      </c>
      <c r="F34" s="13" t="s">
        <v>106</v>
      </c>
      <c r="G34" s="13" t="s">
        <v>30</v>
      </c>
      <c r="H34" s="17">
        <v>1</v>
      </c>
      <c r="I34" s="22"/>
      <c r="J34" s="68" t="s">
        <v>180</v>
      </c>
      <c r="K34" s="23" t="s">
        <v>56</v>
      </c>
      <c r="L34" s="18" t="s">
        <v>33</v>
      </c>
      <c r="M34" s="69"/>
    </row>
    <row r="35" spans="1:13" ht="27.6" x14ac:dyDescent="0.3">
      <c r="A35" s="88" t="s">
        <v>109</v>
      </c>
      <c r="B35" s="89" t="s">
        <v>110</v>
      </c>
      <c r="C35" s="90" t="s">
        <v>111</v>
      </c>
      <c r="D35" s="91">
        <v>100000</v>
      </c>
      <c r="E35" s="91">
        <f t="shared" si="1"/>
        <v>45454.545454545449</v>
      </c>
      <c r="F35" s="92" t="s">
        <v>106</v>
      </c>
      <c r="G35" s="92" t="s">
        <v>30</v>
      </c>
      <c r="H35" s="93">
        <v>1</v>
      </c>
      <c r="I35" s="93"/>
      <c r="J35" s="94" t="s">
        <v>49</v>
      </c>
      <c r="K35" s="94" t="s">
        <v>50</v>
      </c>
      <c r="L35" s="95" t="s">
        <v>191</v>
      </c>
      <c r="M35" s="96" t="s">
        <v>192</v>
      </c>
    </row>
    <row r="36" spans="1:13" ht="27.6" x14ac:dyDescent="0.3">
      <c r="A36" s="33" t="s">
        <v>112</v>
      </c>
      <c r="B36" s="20" t="s">
        <v>113</v>
      </c>
      <c r="C36" s="21" t="s">
        <v>114</v>
      </c>
      <c r="D36" s="36">
        <v>200000</v>
      </c>
      <c r="E36" s="15">
        <f t="shared" si="1"/>
        <v>90909.090909090897</v>
      </c>
      <c r="F36" s="13" t="s">
        <v>106</v>
      </c>
      <c r="G36" s="13" t="s">
        <v>30</v>
      </c>
      <c r="H36" s="22">
        <v>1</v>
      </c>
      <c r="I36" s="22"/>
      <c r="J36" s="23" t="s">
        <v>49</v>
      </c>
      <c r="K36" s="23" t="s">
        <v>50</v>
      </c>
      <c r="L36" s="18" t="s">
        <v>33</v>
      </c>
      <c r="M36" s="69"/>
    </row>
    <row r="37" spans="1:13" ht="27.6" x14ac:dyDescent="0.3">
      <c r="A37" s="33" t="s">
        <v>115</v>
      </c>
      <c r="B37" s="37" t="s">
        <v>116</v>
      </c>
      <c r="C37" s="21" t="s">
        <v>88</v>
      </c>
      <c r="D37" s="36">
        <v>750000</v>
      </c>
      <c r="E37" s="15">
        <f t="shared" si="1"/>
        <v>340909.09090909088</v>
      </c>
      <c r="F37" s="13" t="s">
        <v>106</v>
      </c>
      <c r="G37" s="13" t="s">
        <v>30</v>
      </c>
      <c r="H37" s="22"/>
      <c r="I37" s="22">
        <v>1</v>
      </c>
      <c r="J37" s="68" t="s">
        <v>32</v>
      </c>
      <c r="K37" s="23" t="s">
        <v>56</v>
      </c>
      <c r="L37" s="18" t="s">
        <v>33</v>
      </c>
      <c r="M37" s="69"/>
    </row>
    <row r="38" spans="1:13" x14ac:dyDescent="0.3">
      <c r="A38" s="33" t="s">
        <v>117</v>
      </c>
      <c r="B38" s="37" t="s">
        <v>118</v>
      </c>
      <c r="C38" s="21" t="s">
        <v>88</v>
      </c>
      <c r="D38" s="36">
        <v>500000</v>
      </c>
      <c r="E38" s="15">
        <f t="shared" si="1"/>
        <v>227272.72727272726</v>
      </c>
      <c r="F38" s="13" t="s">
        <v>106</v>
      </c>
      <c r="G38" s="13" t="s">
        <v>30</v>
      </c>
      <c r="H38" s="22">
        <v>1</v>
      </c>
      <c r="I38" s="22"/>
      <c r="J38" s="68" t="s">
        <v>180</v>
      </c>
      <c r="K38" s="23" t="s">
        <v>44</v>
      </c>
      <c r="L38" s="18" t="s">
        <v>33</v>
      </c>
      <c r="M38" s="69"/>
    </row>
    <row r="39" spans="1:13" x14ac:dyDescent="0.3">
      <c r="A39" s="33" t="s">
        <v>119</v>
      </c>
      <c r="B39" s="37" t="s">
        <v>120</v>
      </c>
      <c r="C39" s="21" t="s">
        <v>88</v>
      </c>
      <c r="D39" s="36">
        <v>960000</v>
      </c>
      <c r="E39" s="15">
        <f t="shared" si="1"/>
        <v>436363.63636363635</v>
      </c>
      <c r="F39" s="13" t="s">
        <v>106</v>
      </c>
      <c r="G39" s="13" t="s">
        <v>30</v>
      </c>
      <c r="H39" s="22">
        <v>1</v>
      </c>
      <c r="I39" s="22"/>
      <c r="J39" s="23" t="s">
        <v>43</v>
      </c>
      <c r="K39" s="23" t="s">
        <v>44</v>
      </c>
      <c r="L39" s="18" t="s">
        <v>33</v>
      </c>
      <c r="M39" s="69"/>
    </row>
    <row r="40" spans="1:13" x14ac:dyDescent="0.3">
      <c r="A40" s="33" t="s">
        <v>121</v>
      </c>
      <c r="B40" s="37" t="s">
        <v>122</v>
      </c>
      <c r="C40" s="21" t="s">
        <v>88</v>
      </c>
      <c r="D40" s="97">
        <v>107000</v>
      </c>
      <c r="E40" s="65">
        <f t="shared" si="1"/>
        <v>48636.363636363632</v>
      </c>
      <c r="F40" s="13" t="s">
        <v>106</v>
      </c>
      <c r="G40" s="13" t="s">
        <v>30</v>
      </c>
      <c r="H40" s="22">
        <v>1</v>
      </c>
      <c r="I40" s="22"/>
      <c r="J40" s="23" t="s">
        <v>43</v>
      </c>
      <c r="K40" s="23" t="s">
        <v>44</v>
      </c>
      <c r="L40" s="18" t="s">
        <v>33</v>
      </c>
      <c r="M40" s="69"/>
    </row>
    <row r="41" spans="1:13" x14ac:dyDescent="0.3">
      <c r="A41" s="33" t="s">
        <v>123</v>
      </c>
      <c r="B41" s="37" t="s">
        <v>124</v>
      </c>
      <c r="C41" s="21" t="s">
        <v>88</v>
      </c>
      <c r="D41" s="36">
        <v>88000</v>
      </c>
      <c r="E41" s="15">
        <f t="shared" si="1"/>
        <v>40000</v>
      </c>
      <c r="F41" s="13" t="s">
        <v>106</v>
      </c>
      <c r="G41" s="13" t="s">
        <v>30</v>
      </c>
      <c r="H41" s="22">
        <v>1</v>
      </c>
      <c r="I41" s="22"/>
      <c r="J41" s="23" t="s">
        <v>43</v>
      </c>
      <c r="K41" s="23" t="s">
        <v>44</v>
      </c>
      <c r="L41" s="18" t="s">
        <v>33</v>
      </c>
      <c r="M41" s="69"/>
    </row>
    <row r="42" spans="1:13" s="39" customFormat="1" x14ac:dyDescent="0.3">
      <c r="A42" s="33" t="s">
        <v>125</v>
      </c>
      <c r="B42" s="37" t="s">
        <v>126</v>
      </c>
      <c r="C42" s="21" t="s">
        <v>88</v>
      </c>
      <c r="D42" s="38">
        <v>15000</v>
      </c>
      <c r="E42" s="15">
        <f t="shared" si="1"/>
        <v>6818.181818181818</v>
      </c>
      <c r="F42" s="13" t="s">
        <v>106</v>
      </c>
      <c r="G42" s="13" t="s">
        <v>30</v>
      </c>
      <c r="H42" s="22">
        <v>1</v>
      </c>
      <c r="I42" s="22"/>
      <c r="J42" s="68" t="s">
        <v>49</v>
      </c>
      <c r="K42" s="23" t="s">
        <v>44</v>
      </c>
      <c r="L42" s="18" t="s">
        <v>33</v>
      </c>
      <c r="M42" s="69"/>
    </row>
    <row r="43" spans="1:13" x14ac:dyDescent="0.3">
      <c r="A43" s="33" t="s">
        <v>127</v>
      </c>
      <c r="B43" s="37" t="s">
        <v>128</v>
      </c>
      <c r="C43" s="21" t="s">
        <v>88</v>
      </c>
      <c r="D43" s="97">
        <v>311000</v>
      </c>
      <c r="E43" s="65">
        <f t="shared" si="1"/>
        <v>141363.63636363635</v>
      </c>
      <c r="F43" s="13" t="s">
        <v>106</v>
      </c>
      <c r="G43" s="13" t="s">
        <v>30</v>
      </c>
      <c r="H43" s="22">
        <v>1</v>
      </c>
      <c r="I43" s="22"/>
      <c r="J43" s="68" t="s">
        <v>49</v>
      </c>
      <c r="K43" s="23" t="s">
        <v>44</v>
      </c>
      <c r="L43" s="18" t="s">
        <v>33</v>
      </c>
      <c r="M43" s="69"/>
    </row>
    <row r="44" spans="1:13" x14ac:dyDescent="0.3">
      <c r="A44" s="88" t="s">
        <v>129</v>
      </c>
      <c r="B44" s="98" t="s">
        <v>130</v>
      </c>
      <c r="C44" s="92" t="s">
        <v>88</v>
      </c>
      <c r="D44" s="91">
        <v>30000</v>
      </c>
      <c r="E44" s="91">
        <f t="shared" si="1"/>
        <v>13636.363636363636</v>
      </c>
      <c r="F44" s="92" t="s">
        <v>106</v>
      </c>
      <c r="G44" s="92" t="s">
        <v>30</v>
      </c>
      <c r="H44" s="93">
        <v>1</v>
      </c>
      <c r="I44" s="93"/>
      <c r="J44" s="94" t="s">
        <v>49</v>
      </c>
      <c r="K44" s="94" t="s">
        <v>44</v>
      </c>
      <c r="L44" s="95" t="s">
        <v>191</v>
      </c>
      <c r="M44" s="96" t="s">
        <v>193</v>
      </c>
    </row>
    <row r="45" spans="1:13" ht="27.6" x14ac:dyDescent="0.3">
      <c r="A45" s="33" t="s">
        <v>131</v>
      </c>
      <c r="B45" s="99" t="s">
        <v>132</v>
      </c>
      <c r="C45" s="21" t="s">
        <v>88</v>
      </c>
      <c r="D45" s="36">
        <v>500000</v>
      </c>
      <c r="E45" s="15">
        <f t="shared" si="1"/>
        <v>227272.72727272726</v>
      </c>
      <c r="F45" s="13" t="s">
        <v>106</v>
      </c>
      <c r="G45" s="13" t="s">
        <v>30</v>
      </c>
      <c r="H45" s="22"/>
      <c r="I45" s="22">
        <v>1</v>
      </c>
      <c r="J45" s="68" t="s">
        <v>183</v>
      </c>
      <c r="K45" s="23" t="s">
        <v>38</v>
      </c>
      <c r="L45" s="18" t="s">
        <v>33</v>
      </c>
      <c r="M45" s="69"/>
    </row>
    <row r="46" spans="1:13" ht="27.6" x14ac:dyDescent="0.3">
      <c r="A46" s="33" t="s">
        <v>134</v>
      </c>
      <c r="B46" s="100" t="s">
        <v>135</v>
      </c>
      <c r="C46" s="21" t="s">
        <v>88</v>
      </c>
      <c r="D46" s="36">
        <v>100000</v>
      </c>
      <c r="E46" s="15">
        <f t="shared" si="1"/>
        <v>45454.545454545449</v>
      </c>
      <c r="F46" s="13" t="s">
        <v>106</v>
      </c>
      <c r="G46" s="13" t="s">
        <v>30</v>
      </c>
      <c r="H46" s="22">
        <v>1</v>
      </c>
      <c r="I46" s="22"/>
      <c r="J46" s="68" t="s">
        <v>50</v>
      </c>
      <c r="K46" s="23" t="s">
        <v>59</v>
      </c>
      <c r="L46" s="18" t="s">
        <v>33</v>
      </c>
      <c r="M46" s="69"/>
    </row>
    <row r="47" spans="1:13" x14ac:dyDescent="0.3">
      <c r="A47" s="33" t="s">
        <v>136</v>
      </c>
      <c r="B47" s="20" t="s">
        <v>137</v>
      </c>
      <c r="C47" s="21" t="s">
        <v>62</v>
      </c>
      <c r="D47" s="36">
        <v>400000</v>
      </c>
      <c r="E47" s="15">
        <f t="shared" si="1"/>
        <v>181818.18181818179</v>
      </c>
      <c r="F47" s="13" t="s">
        <v>106</v>
      </c>
      <c r="G47" s="13" t="s">
        <v>30</v>
      </c>
      <c r="H47" s="22">
        <v>1</v>
      </c>
      <c r="I47" s="22"/>
      <c r="J47" s="68" t="s">
        <v>75</v>
      </c>
      <c r="K47" s="23" t="s">
        <v>38</v>
      </c>
      <c r="L47" s="18" t="s">
        <v>33</v>
      </c>
      <c r="M47" s="69"/>
    </row>
    <row r="48" spans="1:13" ht="27.6" x14ac:dyDescent="0.3">
      <c r="A48" s="33" t="s">
        <v>138</v>
      </c>
      <c r="B48" s="41" t="s">
        <v>139</v>
      </c>
      <c r="C48" s="21" t="s">
        <v>78</v>
      </c>
      <c r="D48" s="36">
        <v>1803000</v>
      </c>
      <c r="E48" s="15">
        <f t="shared" si="1"/>
        <v>819545.45454545447</v>
      </c>
      <c r="F48" s="13" t="s">
        <v>106</v>
      </c>
      <c r="G48" s="13" t="s">
        <v>30</v>
      </c>
      <c r="H48" s="22">
        <v>1</v>
      </c>
      <c r="I48" s="22"/>
      <c r="J48" s="68" t="s">
        <v>44</v>
      </c>
      <c r="K48" s="23" t="s">
        <v>56</v>
      </c>
      <c r="L48" s="18" t="s">
        <v>33</v>
      </c>
      <c r="M48" s="69"/>
    </row>
    <row r="49" spans="1:13" ht="39.6" x14ac:dyDescent="0.3">
      <c r="A49" s="33" t="s">
        <v>140</v>
      </c>
      <c r="B49" s="41" t="s">
        <v>141</v>
      </c>
      <c r="C49" s="21" t="s">
        <v>78</v>
      </c>
      <c r="D49" s="36">
        <v>60000</v>
      </c>
      <c r="E49" s="15">
        <f t="shared" si="1"/>
        <v>27272.727272727272</v>
      </c>
      <c r="F49" s="13" t="s">
        <v>106</v>
      </c>
      <c r="G49" s="13" t="s">
        <v>30</v>
      </c>
      <c r="H49" s="22">
        <v>1</v>
      </c>
      <c r="I49" s="22"/>
      <c r="J49" s="68" t="s">
        <v>44</v>
      </c>
      <c r="K49" s="23" t="s">
        <v>56</v>
      </c>
      <c r="L49" s="18" t="s">
        <v>33</v>
      </c>
      <c r="M49" s="69"/>
    </row>
    <row r="50" spans="1:13" ht="27.6" x14ac:dyDescent="0.3">
      <c r="A50" s="33" t="s">
        <v>142</v>
      </c>
      <c r="B50" s="41" t="s">
        <v>143</v>
      </c>
      <c r="C50" s="21" t="s">
        <v>78</v>
      </c>
      <c r="D50" s="36">
        <v>750000</v>
      </c>
      <c r="E50" s="15">
        <f t="shared" si="1"/>
        <v>340909.09090909088</v>
      </c>
      <c r="F50" s="13" t="s">
        <v>106</v>
      </c>
      <c r="G50" s="13" t="s">
        <v>30</v>
      </c>
      <c r="H50" s="22">
        <v>1</v>
      </c>
      <c r="I50" s="22"/>
      <c r="J50" s="68" t="s">
        <v>49</v>
      </c>
      <c r="K50" s="23" t="s">
        <v>50</v>
      </c>
      <c r="L50" s="18" t="s">
        <v>33</v>
      </c>
      <c r="M50" s="69"/>
    </row>
    <row r="51" spans="1:13" ht="39.6" x14ac:dyDescent="0.3">
      <c r="A51" s="88" t="s">
        <v>144</v>
      </c>
      <c r="B51" s="101" t="s">
        <v>145</v>
      </c>
      <c r="C51" s="92" t="s">
        <v>28</v>
      </c>
      <c r="D51" s="91">
        <v>13000</v>
      </c>
      <c r="E51" s="91">
        <f t="shared" si="1"/>
        <v>5909.090909090909</v>
      </c>
      <c r="F51" s="92" t="s">
        <v>106</v>
      </c>
      <c r="G51" s="92" t="s">
        <v>30</v>
      </c>
      <c r="H51" s="93">
        <v>1</v>
      </c>
      <c r="I51" s="102"/>
      <c r="J51" s="94" t="s">
        <v>43</v>
      </c>
      <c r="K51" s="94" t="s">
        <v>43</v>
      </c>
      <c r="L51" s="95" t="s">
        <v>191</v>
      </c>
      <c r="M51" s="96" t="s">
        <v>194</v>
      </c>
    </row>
    <row r="52" spans="1:13" x14ac:dyDescent="0.3">
      <c r="A52" s="88" t="s">
        <v>147</v>
      </c>
      <c r="B52" s="103" t="s">
        <v>148</v>
      </c>
      <c r="C52" s="92" t="s">
        <v>28</v>
      </c>
      <c r="D52" s="91">
        <v>80000</v>
      </c>
      <c r="E52" s="91">
        <f t="shared" si="1"/>
        <v>36363.63636363636</v>
      </c>
      <c r="F52" s="92" t="s">
        <v>106</v>
      </c>
      <c r="G52" s="92" t="s">
        <v>30</v>
      </c>
      <c r="H52" s="93">
        <v>1</v>
      </c>
      <c r="I52" s="102"/>
      <c r="J52" s="94" t="s">
        <v>43</v>
      </c>
      <c r="K52" s="94" t="s">
        <v>43</v>
      </c>
      <c r="L52" s="95" t="s">
        <v>191</v>
      </c>
      <c r="M52" s="96" t="s">
        <v>195</v>
      </c>
    </row>
    <row r="53" spans="1:13" ht="27.6" x14ac:dyDescent="0.3">
      <c r="A53" s="33" t="s">
        <v>149</v>
      </c>
      <c r="B53" s="44" t="s">
        <v>150</v>
      </c>
      <c r="C53" s="13" t="s">
        <v>73</v>
      </c>
      <c r="D53" s="14">
        <v>150000</v>
      </c>
      <c r="E53" s="15">
        <f t="shared" si="1"/>
        <v>68181.818181818177</v>
      </c>
      <c r="F53" s="13" t="s">
        <v>106</v>
      </c>
      <c r="G53" s="13" t="s">
        <v>30</v>
      </c>
      <c r="H53" s="22">
        <v>1</v>
      </c>
      <c r="I53" s="22"/>
      <c r="J53" s="68" t="s">
        <v>196</v>
      </c>
      <c r="K53" s="23" t="s">
        <v>152</v>
      </c>
      <c r="L53" s="18" t="s">
        <v>33</v>
      </c>
      <c r="M53" s="69"/>
    </row>
    <row r="54" spans="1:13" ht="27.6" x14ac:dyDescent="0.3">
      <c r="A54" s="33" t="s">
        <v>153</v>
      </c>
      <c r="B54" s="12" t="s">
        <v>154</v>
      </c>
      <c r="C54" s="13" t="s">
        <v>105</v>
      </c>
      <c r="D54" s="14">
        <v>200000</v>
      </c>
      <c r="E54" s="15">
        <f t="shared" si="1"/>
        <v>90909.090909090897</v>
      </c>
      <c r="F54" s="13" t="s">
        <v>106</v>
      </c>
      <c r="G54" s="13" t="s">
        <v>30</v>
      </c>
      <c r="H54" s="22">
        <v>1</v>
      </c>
      <c r="I54" s="22"/>
      <c r="J54" s="23" t="s">
        <v>32</v>
      </c>
      <c r="K54" s="23" t="s">
        <v>56</v>
      </c>
      <c r="L54" s="18" t="s">
        <v>33</v>
      </c>
      <c r="M54" s="69"/>
    </row>
    <row r="55" spans="1:13" ht="41.4" x14ac:dyDescent="0.3">
      <c r="A55" s="33" t="s">
        <v>155</v>
      </c>
      <c r="B55" s="12" t="s">
        <v>156</v>
      </c>
      <c r="C55" s="13" t="s">
        <v>105</v>
      </c>
      <c r="D55" s="14">
        <v>180000</v>
      </c>
      <c r="E55" s="15">
        <f t="shared" si="1"/>
        <v>81818.181818181809</v>
      </c>
      <c r="F55" s="13" t="s">
        <v>106</v>
      </c>
      <c r="G55" s="13" t="s">
        <v>30</v>
      </c>
      <c r="H55" s="22">
        <v>1</v>
      </c>
      <c r="I55" s="42"/>
      <c r="J55" s="23" t="s">
        <v>32</v>
      </c>
      <c r="K55" s="23" t="s">
        <v>56</v>
      </c>
      <c r="L55" s="18" t="s">
        <v>33</v>
      </c>
      <c r="M55" s="69"/>
    </row>
    <row r="56" spans="1:13" ht="27.6" x14ac:dyDescent="0.3">
      <c r="A56" s="33" t="s">
        <v>157</v>
      </c>
      <c r="B56" s="43" t="s">
        <v>158</v>
      </c>
      <c r="C56" s="45" t="s">
        <v>73</v>
      </c>
      <c r="D56" s="14">
        <v>20000</v>
      </c>
      <c r="E56" s="15">
        <f t="shared" si="1"/>
        <v>9090.9090909090901</v>
      </c>
      <c r="F56" s="13" t="s">
        <v>95</v>
      </c>
      <c r="G56" s="13" t="s">
        <v>30</v>
      </c>
      <c r="H56" s="22">
        <v>1</v>
      </c>
      <c r="I56" s="42"/>
      <c r="J56" s="68" t="s">
        <v>197</v>
      </c>
      <c r="K56" s="23" t="s">
        <v>97</v>
      </c>
      <c r="L56" s="18" t="s">
        <v>33</v>
      </c>
      <c r="M56" s="69"/>
    </row>
    <row r="57" spans="1:13" ht="13.5" customHeight="1" x14ac:dyDescent="0.3">
      <c r="A57" s="611" t="s">
        <v>159</v>
      </c>
      <c r="B57" s="611"/>
      <c r="C57" s="31"/>
      <c r="D57" s="32">
        <f>SUM(D33:D56)-D44-D51-D52-D35</f>
        <v>7505100</v>
      </c>
      <c r="E57" s="32">
        <f t="shared" si="1"/>
        <v>3411409.0909090908</v>
      </c>
      <c r="F57" s="612"/>
      <c r="G57" s="612"/>
      <c r="H57" s="612"/>
      <c r="I57" s="612"/>
      <c r="J57" s="612"/>
      <c r="K57" s="612"/>
      <c r="L57" s="612"/>
      <c r="M57" s="612"/>
    </row>
    <row r="58" spans="1:13" ht="12.9" customHeight="1" x14ac:dyDescent="0.3">
      <c r="A58" s="608" t="s">
        <v>198</v>
      </c>
      <c r="B58" s="608"/>
      <c r="C58" s="608"/>
      <c r="D58" s="608"/>
      <c r="E58" s="608"/>
      <c r="F58" s="608"/>
      <c r="G58" s="608"/>
      <c r="H58" s="608"/>
      <c r="I58" s="608"/>
      <c r="J58" s="608"/>
      <c r="K58" s="608"/>
      <c r="L58" s="608"/>
      <c r="M58" s="608"/>
    </row>
    <row r="59" spans="1:13" ht="27.6" x14ac:dyDescent="0.3">
      <c r="A59" s="33" t="s">
        <v>161</v>
      </c>
      <c r="B59" s="12" t="s">
        <v>162</v>
      </c>
      <c r="C59" s="34" t="s">
        <v>65</v>
      </c>
      <c r="D59" s="46">
        <v>3150000</v>
      </c>
      <c r="E59" s="46">
        <f>D59/$D$5</f>
        <v>1431818.1818181816</v>
      </c>
      <c r="F59" s="13" t="s">
        <v>48</v>
      </c>
      <c r="G59" s="13" t="s">
        <v>30</v>
      </c>
      <c r="H59" s="22"/>
      <c r="I59" s="22">
        <v>1</v>
      </c>
      <c r="J59" s="23" t="s">
        <v>96</v>
      </c>
      <c r="K59" s="23" t="s">
        <v>32</v>
      </c>
      <c r="L59" s="23" t="s">
        <v>163</v>
      </c>
      <c r="M59" s="69"/>
    </row>
    <row r="60" spans="1:13" ht="13.5" customHeight="1" x14ac:dyDescent="0.3">
      <c r="A60" s="33"/>
      <c r="B60" s="10" t="s">
        <v>164</v>
      </c>
      <c r="C60" s="47"/>
      <c r="D60" s="48">
        <f>D59</f>
        <v>3150000</v>
      </c>
      <c r="E60" s="48">
        <f>E59</f>
        <v>1431818.1818181816</v>
      </c>
      <c r="F60" s="612"/>
      <c r="G60" s="612"/>
      <c r="H60" s="612"/>
      <c r="I60" s="612"/>
      <c r="J60" s="612"/>
      <c r="K60" s="612"/>
      <c r="L60" s="612" t="s">
        <v>33</v>
      </c>
      <c r="M60" s="612"/>
    </row>
    <row r="61" spans="1:13" ht="12.75" customHeight="1" x14ac:dyDescent="0.3">
      <c r="A61" s="615" t="s">
        <v>165</v>
      </c>
      <c r="B61" s="615"/>
      <c r="C61" s="615"/>
      <c r="D61" s="615"/>
      <c r="E61" s="615"/>
      <c r="F61" s="615"/>
      <c r="G61" s="615"/>
      <c r="H61" s="615"/>
      <c r="I61" s="615"/>
      <c r="J61" s="615"/>
      <c r="K61" s="615"/>
      <c r="L61" s="615"/>
      <c r="M61" s="615"/>
    </row>
    <row r="62" spans="1:13" ht="27.6" x14ac:dyDescent="0.3">
      <c r="A62" s="33" t="s">
        <v>166</v>
      </c>
      <c r="B62" s="12" t="s">
        <v>167</v>
      </c>
      <c r="C62" s="34" t="s">
        <v>65</v>
      </c>
      <c r="D62" s="46">
        <f>534000+72000</f>
        <v>606000</v>
      </c>
      <c r="E62" s="46">
        <f>D62/$D$5</f>
        <v>275454.54545454541</v>
      </c>
      <c r="F62" s="13" t="s">
        <v>48</v>
      </c>
      <c r="G62" s="13" t="s">
        <v>30</v>
      </c>
      <c r="H62" s="22">
        <v>1</v>
      </c>
      <c r="I62" s="22"/>
      <c r="J62" s="68" t="s">
        <v>43</v>
      </c>
      <c r="K62" s="23" t="s">
        <v>97</v>
      </c>
      <c r="L62" s="23" t="s">
        <v>33</v>
      </c>
      <c r="M62" s="69"/>
    </row>
    <row r="63" spans="1:13" ht="12.9" customHeight="1" x14ac:dyDescent="0.3">
      <c r="A63" s="616" t="s">
        <v>168</v>
      </c>
      <c r="B63" s="616"/>
      <c r="C63" s="47"/>
      <c r="D63" s="48">
        <f>D62</f>
        <v>606000</v>
      </c>
      <c r="E63" s="48">
        <f>E62</f>
        <v>275454.54545454541</v>
      </c>
      <c r="F63" s="612"/>
      <c r="G63" s="612"/>
      <c r="H63" s="612"/>
      <c r="I63" s="612"/>
      <c r="J63" s="612"/>
      <c r="K63" s="612"/>
      <c r="L63" s="612"/>
      <c r="M63" s="612"/>
    </row>
    <row r="64" spans="1:13" ht="13.5" customHeight="1" x14ac:dyDescent="0.3">
      <c r="A64" s="613" t="s">
        <v>169</v>
      </c>
      <c r="B64" s="613"/>
      <c r="C64" s="613"/>
      <c r="D64" s="52">
        <f>D26+D31+D57+D60+D63</f>
        <v>16296600</v>
      </c>
      <c r="E64" s="53">
        <f>D64/$D$5</f>
        <v>7407545.4545454541</v>
      </c>
      <c r="F64" s="54"/>
    </row>
    <row r="65" spans="1:13" x14ac:dyDescent="0.3">
      <c r="C65" s="55"/>
      <c r="D65" s="56"/>
      <c r="E65" s="56"/>
      <c r="F65" s="54"/>
    </row>
    <row r="66" spans="1:13" ht="29.25" customHeight="1" x14ac:dyDescent="0.3">
      <c r="A66" s="57" t="s">
        <v>170</v>
      </c>
      <c r="B66" s="614" t="s">
        <v>171</v>
      </c>
      <c r="C66" s="614"/>
      <c r="D66" s="614"/>
      <c r="E66" s="614"/>
      <c r="F66" s="614"/>
      <c r="G66" s="614"/>
      <c r="H66" s="614"/>
      <c r="I66" s="614"/>
      <c r="J66" s="614"/>
      <c r="K66" s="614"/>
      <c r="L66" s="614"/>
      <c r="M66" s="614"/>
    </row>
    <row r="67" spans="1:13" ht="12.9" customHeight="1" x14ac:dyDescent="0.3">
      <c r="B67" s="614" t="s">
        <v>172</v>
      </c>
      <c r="C67" s="614"/>
      <c r="D67" s="614"/>
      <c r="E67" s="614"/>
      <c r="F67" s="614"/>
      <c r="G67" s="614"/>
      <c r="H67" s="614"/>
      <c r="I67" s="614"/>
      <c r="J67" s="614"/>
      <c r="K67" s="614"/>
      <c r="L67" s="614"/>
      <c r="M67" s="614"/>
    </row>
    <row r="68" spans="1:13" x14ac:dyDescent="0.3">
      <c r="B68" s="58" t="s">
        <v>173</v>
      </c>
      <c r="C68" s="59"/>
      <c r="D68" s="56"/>
      <c r="E68" s="56"/>
      <c r="G68" s="60"/>
      <c r="H68" s="60"/>
    </row>
    <row r="69" spans="1:13" x14ac:dyDescent="0.3">
      <c r="C69" s="59"/>
      <c r="D69" s="56"/>
      <c r="E69" s="56"/>
      <c r="G69" s="60"/>
      <c r="H69" s="60"/>
    </row>
    <row r="70" spans="1:13" x14ac:dyDescent="0.3">
      <c r="C70" s="61"/>
      <c r="D70" s="62"/>
      <c r="E70" s="56"/>
      <c r="G70" s="60"/>
      <c r="H70" s="60"/>
    </row>
    <row r="71" spans="1:13" x14ac:dyDescent="0.3">
      <c r="C71" s="61"/>
      <c r="D71" s="62"/>
      <c r="G71" s="60"/>
      <c r="H71" s="60"/>
    </row>
    <row r="72" spans="1:13" x14ac:dyDescent="0.3">
      <c r="C72" s="61"/>
      <c r="D72" s="62"/>
      <c r="E72" s="56"/>
      <c r="G72" s="60"/>
      <c r="H72" s="60"/>
    </row>
    <row r="73" spans="1:13" x14ac:dyDescent="0.3">
      <c r="C73" s="61"/>
      <c r="D73" s="62"/>
      <c r="G73" s="60"/>
      <c r="H73" s="60"/>
    </row>
    <row r="74" spans="1:13" x14ac:dyDescent="0.3">
      <c r="C74" s="61"/>
      <c r="D74" s="62"/>
      <c r="G74" s="60"/>
      <c r="H74" s="60"/>
    </row>
    <row r="75" spans="1:13" x14ac:dyDescent="0.3">
      <c r="C75" s="63"/>
      <c r="D75" s="56"/>
      <c r="E75" s="56"/>
      <c r="G75" s="60"/>
      <c r="H75" s="60"/>
    </row>
    <row r="76" spans="1:13" x14ac:dyDescent="0.3">
      <c r="C76" s="59"/>
      <c r="E76" s="56"/>
    </row>
    <row r="77" spans="1:13" x14ac:dyDescent="0.3">
      <c r="D77" s="56"/>
    </row>
    <row r="79" spans="1:13" x14ac:dyDescent="0.3">
      <c r="D79" s="56"/>
    </row>
  </sheetData>
  <sheetProtection selectLockedCells="1" selectUnlockedCells="1"/>
  <mergeCells count="28">
    <mergeCell ref="A32:M32"/>
    <mergeCell ref="A64:C64"/>
    <mergeCell ref="B66:M66"/>
    <mergeCell ref="B67:M67"/>
    <mergeCell ref="A57:B57"/>
    <mergeCell ref="F57:M57"/>
    <mergeCell ref="A58:M58"/>
    <mergeCell ref="F60:M60"/>
    <mergeCell ref="A61:M61"/>
    <mergeCell ref="A63:B63"/>
    <mergeCell ref="F63:M63"/>
    <mergeCell ref="A26:B26"/>
    <mergeCell ref="F26:M26"/>
    <mergeCell ref="A27:M27"/>
    <mergeCell ref="A31:B31"/>
    <mergeCell ref="F31:M31"/>
    <mergeCell ref="L6:L7"/>
    <mergeCell ref="M6:M7"/>
    <mergeCell ref="A8:M8"/>
    <mergeCell ref="A6:A7"/>
    <mergeCell ref="B6:B7"/>
    <mergeCell ref="C6:C7"/>
    <mergeCell ref="D6:D7"/>
    <mergeCell ref="E6:E7"/>
    <mergeCell ref="F6:F7"/>
    <mergeCell ref="G6:G7"/>
    <mergeCell ref="H6:I6"/>
    <mergeCell ref="J6:K6"/>
  </mergeCells>
  <dataValidations count="4">
    <dataValidation type="list" allowBlank="1" showErrorMessage="1" sqref="G11 G16:G21 G29:G30 G33:G56 G59:G60 G62" xr:uid="{00000000-0002-0000-0100-000000000000}">
      <formula1>"ex-ante,ex-post"</formula1>
      <formula2>0</formula2>
    </dataValidation>
    <dataValidation type="list" allowBlank="1" showErrorMessage="1" sqref="G9:G10 G12:G15 G22:G25 G28" xr:uid="{00000000-0002-0000-0100-000001000000}">
      <formula1>"ex-ante,ex-post,N/A"</formula1>
      <formula2>0</formula2>
    </dataValidation>
    <dataValidation type="list" allowBlank="1" showErrorMessage="1" sqref="F16 F28:F29 F56 F60 F63" xr:uid="{00000000-0002-0000-0100-000002000000}">
      <formula1>"BID LPI,BID LPN,BID CP,BID CD,BID SBQC,BID SQS,BID SD,8666 CV,8666 TP,8666 C"</formula1>
      <formula2>0</formula2>
    </dataValidation>
    <dataValidation type="list" allowBlank="1" showErrorMessage="1" sqref="F10 F12:F15 F17:F24" xr:uid="{00000000-0002-0000-0100-000003000000}">
      <formula1>"BID LPI,BID LPN,BID CP,BID CD,BID SBQC,BID SQC,BID SQS,BID SBMC,BID SBOF,BID SD,BID CI,L8666 CV,L8666 TP,L8666 C,PRE ELE,REG PR"</formula1>
      <formula2>0</formula2>
    </dataValidation>
  </dataValidations>
  <printOptions horizontalCentered="1"/>
  <pageMargins left="0.39374999999999999" right="0.39374999999999999" top="0.39374999999999999" bottom="0.39374999999999999" header="0.51180555555555551" footer="0.51180555555555551"/>
  <pageSetup paperSize="9" scale="79" firstPageNumber="0" orientation="landscape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0"/>
  <sheetViews>
    <sheetView showGridLines="0" zoomScale="70" zoomScaleNormal="70" workbookViewId="0">
      <selection activeCell="G15" sqref="G15"/>
    </sheetView>
  </sheetViews>
  <sheetFormatPr defaultColWidth="8.88671875" defaultRowHeight="13.8" x14ac:dyDescent="0.3"/>
  <cols>
    <col min="1" max="1" width="4.88671875" style="1" customWidth="1"/>
    <col min="2" max="2" width="44.6640625" style="2" customWidth="1"/>
    <col min="3" max="3" width="9.33203125" style="1" customWidth="1"/>
    <col min="4" max="4" width="12.44140625" style="3" customWidth="1"/>
    <col min="5" max="5" width="11.88671875" style="3" customWidth="1"/>
    <col min="6" max="6" width="11" style="2" customWidth="1"/>
    <col min="7" max="7" width="9.109375" style="2" customWidth="1"/>
    <col min="8" max="8" width="6.88671875" style="2" customWidth="1"/>
    <col min="9" max="9" width="6.5546875" style="2" customWidth="1"/>
    <col min="10" max="10" width="11.33203125" style="2" customWidth="1"/>
    <col min="11" max="11" width="10.5546875" style="2" customWidth="1"/>
    <col min="12" max="12" width="7.44140625" style="2" customWidth="1"/>
    <col min="13" max="13" width="29.33203125" style="6" customWidth="1"/>
    <col min="14" max="16384" width="8.88671875" style="2"/>
  </cols>
  <sheetData>
    <row r="1" spans="1:13" ht="78.75" customHeight="1" x14ac:dyDescent="0.3"/>
    <row r="2" spans="1:13" x14ac:dyDescent="0.3">
      <c r="A2" s="4" t="s">
        <v>199</v>
      </c>
      <c r="F2" s="5" t="s">
        <v>1</v>
      </c>
      <c r="L2" s="4" t="s">
        <v>2</v>
      </c>
    </row>
    <row r="3" spans="1:13" x14ac:dyDescent="0.3">
      <c r="A3" s="4" t="s">
        <v>200</v>
      </c>
      <c r="F3" s="5" t="s">
        <v>4</v>
      </c>
      <c r="L3" s="6" t="s">
        <v>5</v>
      </c>
    </row>
    <row r="4" spans="1:13" x14ac:dyDescent="0.3">
      <c r="A4" s="4" t="s">
        <v>6</v>
      </c>
      <c r="L4" s="6" t="s">
        <v>7</v>
      </c>
    </row>
    <row r="5" spans="1:13" ht="22.5" customHeight="1" x14ac:dyDescent="0.3">
      <c r="C5" s="7" t="s">
        <v>8</v>
      </c>
      <c r="D5" s="8">
        <f>'[3]3_Comp_Subcomp e Produtos'!E1</f>
        <v>2.2000000000000002</v>
      </c>
      <c r="L5" s="9" t="s">
        <v>9</v>
      </c>
    </row>
    <row r="6" spans="1:13" ht="12.75" customHeight="1" x14ac:dyDescent="0.3">
      <c r="A6" s="609" t="s">
        <v>10</v>
      </c>
      <c r="B6" s="606" t="s">
        <v>11</v>
      </c>
      <c r="C6" s="606" t="s">
        <v>12</v>
      </c>
      <c r="D6" s="606" t="s">
        <v>13</v>
      </c>
      <c r="E6" s="606" t="s">
        <v>14</v>
      </c>
      <c r="F6" s="606" t="s">
        <v>15</v>
      </c>
      <c r="G6" s="606" t="s">
        <v>16</v>
      </c>
      <c r="H6" s="610" t="s">
        <v>17</v>
      </c>
      <c r="I6" s="610"/>
      <c r="J6" s="610" t="s">
        <v>18</v>
      </c>
      <c r="K6" s="610"/>
      <c r="L6" s="606" t="s">
        <v>19</v>
      </c>
      <c r="M6" s="607" t="s">
        <v>20</v>
      </c>
    </row>
    <row r="7" spans="1:13" ht="27.6" x14ac:dyDescent="0.3">
      <c r="A7" s="609"/>
      <c r="B7" s="606"/>
      <c r="C7" s="606"/>
      <c r="D7" s="606"/>
      <c r="E7" s="606"/>
      <c r="F7" s="606"/>
      <c r="G7" s="606"/>
      <c r="H7" s="10" t="s">
        <v>21</v>
      </c>
      <c r="I7" s="10" t="s">
        <v>22</v>
      </c>
      <c r="J7" s="10" t="s">
        <v>176</v>
      </c>
      <c r="K7" s="10" t="s">
        <v>24</v>
      </c>
      <c r="L7" s="606"/>
      <c r="M7" s="607"/>
    </row>
    <row r="8" spans="1:13" ht="12.75" customHeight="1" x14ac:dyDescent="0.3">
      <c r="A8" s="608" t="s">
        <v>25</v>
      </c>
      <c r="B8" s="608"/>
      <c r="C8" s="608"/>
      <c r="D8" s="608"/>
      <c r="E8" s="608"/>
      <c r="F8" s="608"/>
      <c r="G8" s="608"/>
      <c r="H8" s="608"/>
      <c r="I8" s="608"/>
      <c r="J8" s="608"/>
      <c r="K8" s="608"/>
      <c r="L8" s="608"/>
      <c r="M8" s="608"/>
    </row>
    <row r="9" spans="1:13" ht="27.6" x14ac:dyDescent="0.3">
      <c r="A9" s="11" t="s">
        <v>26</v>
      </c>
      <c r="B9" s="12" t="s">
        <v>177</v>
      </c>
      <c r="C9" s="13" t="s">
        <v>28</v>
      </c>
      <c r="D9" s="14">
        <v>112000</v>
      </c>
      <c r="E9" s="15">
        <f t="shared" ref="E9:E26" si="0">D9/$D$5</f>
        <v>50909.090909090904</v>
      </c>
      <c r="F9" s="16" t="s">
        <v>29</v>
      </c>
      <c r="G9" s="16" t="s">
        <v>30</v>
      </c>
      <c r="H9" s="17">
        <v>1</v>
      </c>
      <c r="I9" s="17"/>
      <c r="J9" s="18" t="s">
        <v>43</v>
      </c>
      <c r="K9" s="18" t="s">
        <v>32</v>
      </c>
      <c r="L9" s="18" t="s">
        <v>33</v>
      </c>
      <c r="M9" s="67" t="s">
        <v>178</v>
      </c>
    </row>
    <row r="10" spans="1:13" x14ac:dyDescent="0.3">
      <c r="A10" s="11" t="s">
        <v>34</v>
      </c>
      <c r="B10" s="12" t="s">
        <v>35</v>
      </c>
      <c r="C10" s="13" t="s">
        <v>28</v>
      </c>
      <c r="D10" s="14">
        <v>250000</v>
      </c>
      <c r="E10" s="15">
        <f t="shared" si="0"/>
        <v>113636.36363636363</v>
      </c>
      <c r="F10" s="16" t="s">
        <v>36</v>
      </c>
      <c r="G10" s="16" t="s">
        <v>37</v>
      </c>
      <c r="H10" s="17">
        <v>0.8</v>
      </c>
      <c r="I10" s="17">
        <v>0.2</v>
      </c>
      <c r="J10" s="18" t="s">
        <v>43</v>
      </c>
      <c r="K10" s="18" t="s">
        <v>179</v>
      </c>
      <c r="L10" s="18" t="s">
        <v>33</v>
      </c>
      <c r="M10" s="67"/>
    </row>
    <row r="11" spans="1:13" ht="27.6" x14ac:dyDescent="0.3">
      <c r="A11" s="11" t="s">
        <v>39</v>
      </c>
      <c r="B11" s="20" t="s">
        <v>40</v>
      </c>
      <c r="C11" s="21" t="s">
        <v>41</v>
      </c>
      <c r="D11" s="15">
        <v>25000</v>
      </c>
      <c r="E11" s="15">
        <f t="shared" si="0"/>
        <v>11363.636363636362</v>
      </c>
      <c r="F11" s="16" t="s">
        <v>42</v>
      </c>
      <c r="G11" s="16" t="s">
        <v>30</v>
      </c>
      <c r="H11" s="17">
        <v>1</v>
      </c>
      <c r="I11" s="22"/>
      <c r="J11" s="23" t="s">
        <v>180</v>
      </c>
      <c r="K11" s="23" t="s">
        <v>44</v>
      </c>
      <c r="L11" s="18" t="s">
        <v>33</v>
      </c>
      <c r="M11" s="69"/>
    </row>
    <row r="12" spans="1:13" ht="27.6" x14ac:dyDescent="0.3">
      <c r="A12" s="11" t="s">
        <v>45</v>
      </c>
      <c r="B12" s="20" t="s">
        <v>46</v>
      </c>
      <c r="C12" s="21" t="s">
        <v>47</v>
      </c>
      <c r="D12" s="15">
        <v>144000</v>
      </c>
      <c r="E12" s="15">
        <f t="shared" si="0"/>
        <v>65454.545454545449</v>
      </c>
      <c r="F12" s="13" t="s">
        <v>48</v>
      </c>
      <c r="G12" s="13" t="s">
        <v>30</v>
      </c>
      <c r="H12" s="17"/>
      <c r="I12" s="22">
        <v>1</v>
      </c>
      <c r="J12" s="23" t="s">
        <v>32</v>
      </c>
      <c r="K12" s="23" t="s">
        <v>50</v>
      </c>
      <c r="L12" s="18" t="s">
        <v>33</v>
      </c>
      <c r="M12" s="69"/>
    </row>
    <row r="13" spans="1:13" ht="41.4" x14ac:dyDescent="0.3">
      <c r="A13" s="11" t="s">
        <v>51</v>
      </c>
      <c r="B13" s="20" t="s">
        <v>52</v>
      </c>
      <c r="C13" s="21" t="s">
        <v>41</v>
      </c>
      <c r="D13" s="15">
        <v>900000</v>
      </c>
      <c r="E13" s="15">
        <f t="shared" si="0"/>
        <v>409090.90909090906</v>
      </c>
      <c r="F13" s="13" t="s">
        <v>36</v>
      </c>
      <c r="G13" s="13" t="s">
        <v>37</v>
      </c>
      <c r="H13" s="17">
        <v>1</v>
      </c>
      <c r="I13" s="22"/>
      <c r="J13" s="23" t="s">
        <v>74</v>
      </c>
      <c r="K13" s="23" t="s">
        <v>38</v>
      </c>
      <c r="L13" s="18" t="s">
        <v>33</v>
      </c>
      <c r="M13" s="69"/>
    </row>
    <row r="14" spans="1:13" ht="41.4" x14ac:dyDescent="0.3">
      <c r="A14" s="11" t="s">
        <v>53</v>
      </c>
      <c r="B14" s="20" t="s">
        <v>54</v>
      </c>
      <c r="C14" s="21" t="s">
        <v>55</v>
      </c>
      <c r="D14" s="15">
        <v>112200</v>
      </c>
      <c r="E14" s="15">
        <f t="shared" si="0"/>
        <v>50999.999999999993</v>
      </c>
      <c r="F14" s="104" t="s">
        <v>201</v>
      </c>
      <c r="G14" s="104" t="s">
        <v>37</v>
      </c>
      <c r="H14" s="17">
        <v>1</v>
      </c>
      <c r="I14" s="22"/>
      <c r="J14" s="23" t="s">
        <v>180</v>
      </c>
      <c r="K14" s="23" t="s">
        <v>56</v>
      </c>
      <c r="L14" s="18" t="s">
        <v>33</v>
      </c>
      <c r="M14" s="69"/>
    </row>
    <row r="15" spans="1:13" ht="27.6" x14ac:dyDescent="0.3">
      <c r="A15" s="11" t="s">
        <v>57</v>
      </c>
      <c r="B15" s="20" t="s">
        <v>58</v>
      </c>
      <c r="C15" s="21" t="s">
        <v>55</v>
      </c>
      <c r="D15" s="15">
        <v>60900</v>
      </c>
      <c r="E15" s="15">
        <f t="shared" si="0"/>
        <v>27681.81818181818</v>
      </c>
      <c r="F15" s="16" t="s">
        <v>42</v>
      </c>
      <c r="G15" s="13" t="s">
        <v>30</v>
      </c>
      <c r="H15" s="17">
        <v>1</v>
      </c>
      <c r="I15" s="22"/>
      <c r="J15" s="23" t="s">
        <v>181</v>
      </c>
      <c r="K15" s="23" t="s">
        <v>59</v>
      </c>
      <c r="L15" s="18" t="s">
        <v>33</v>
      </c>
      <c r="M15" s="69"/>
    </row>
    <row r="16" spans="1:13" ht="41.4" x14ac:dyDescent="0.3">
      <c r="A16" s="11" t="s">
        <v>60</v>
      </c>
      <c r="B16" s="25" t="s">
        <v>61</v>
      </c>
      <c r="C16" s="21" t="s">
        <v>62</v>
      </c>
      <c r="D16" s="15">
        <v>260000</v>
      </c>
      <c r="E16" s="15">
        <f t="shared" si="0"/>
        <v>118181.81818181818</v>
      </c>
      <c r="F16" s="16" t="s">
        <v>42</v>
      </c>
      <c r="G16" s="13" t="s">
        <v>30</v>
      </c>
      <c r="H16" s="17">
        <v>1</v>
      </c>
      <c r="I16" s="22"/>
      <c r="J16" s="23" t="s">
        <v>182</v>
      </c>
      <c r="K16" s="23" t="s">
        <v>38</v>
      </c>
      <c r="L16" s="18" t="s">
        <v>33</v>
      </c>
      <c r="M16" s="69"/>
    </row>
    <row r="17" spans="1:13" ht="69" x14ac:dyDescent="0.3">
      <c r="A17" s="11" t="s">
        <v>63</v>
      </c>
      <c r="B17" s="20" t="s">
        <v>64</v>
      </c>
      <c r="C17" s="21" t="s">
        <v>65</v>
      </c>
      <c r="D17" s="15">
        <v>400000</v>
      </c>
      <c r="E17" s="15">
        <f t="shared" si="0"/>
        <v>181818.18181818179</v>
      </c>
      <c r="F17" s="16" t="s">
        <v>42</v>
      </c>
      <c r="G17" s="16" t="s">
        <v>30</v>
      </c>
      <c r="H17" s="17">
        <v>1</v>
      </c>
      <c r="I17" s="22"/>
      <c r="J17" s="23" t="s">
        <v>183</v>
      </c>
      <c r="K17" s="23" t="s">
        <v>38</v>
      </c>
      <c r="L17" s="18" t="s">
        <v>33</v>
      </c>
      <c r="M17" s="69"/>
    </row>
    <row r="18" spans="1:13" x14ac:dyDescent="0.3">
      <c r="A18" s="11" t="s">
        <v>66</v>
      </c>
      <c r="B18" s="70" t="s">
        <v>67</v>
      </c>
      <c r="C18" s="21" t="s">
        <v>68</v>
      </c>
      <c r="D18" s="15">
        <v>600000</v>
      </c>
      <c r="E18" s="15">
        <f t="shared" si="0"/>
        <v>272727.27272727271</v>
      </c>
      <c r="F18" s="16" t="s">
        <v>69</v>
      </c>
      <c r="G18" s="16" t="s">
        <v>30</v>
      </c>
      <c r="H18" s="17">
        <v>1</v>
      </c>
      <c r="I18" s="22"/>
      <c r="J18" s="23" t="s">
        <v>184</v>
      </c>
      <c r="K18" s="23" t="s">
        <v>70</v>
      </c>
      <c r="L18" s="18" t="s">
        <v>33</v>
      </c>
      <c r="M18" s="69"/>
    </row>
    <row r="19" spans="1:13" ht="27.6" x14ac:dyDescent="0.3">
      <c r="A19" s="11" t="s">
        <v>71</v>
      </c>
      <c r="B19" s="20" t="s">
        <v>72</v>
      </c>
      <c r="C19" s="27" t="s">
        <v>73</v>
      </c>
      <c r="D19" s="15">
        <v>450000</v>
      </c>
      <c r="E19" s="15">
        <f t="shared" si="0"/>
        <v>204545.45454545453</v>
      </c>
      <c r="F19" s="16" t="s">
        <v>69</v>
      </c>
      <c r="G19" s="28" t="s">
        <v>37</v>
      </c>
      <c r="H19" s="17">
        <v>1</v>
      </c>
      <c r="I19" s="17"/>
      <c r="J19" s="18" t="s">
        <v>74</v>
      </c>
      <c r="K19" s="18" t="s">
        <v>75</v>
      </c>
      <c r="L19" s="18" t="s">
        <v>33</v>
      </c>
      <c r="M19" s="67"/>
    </row>
    <row r="20" spans="1:13" ht="27.6" x14ac:dyDescent="0.3">
      <c r="A20" s="11" t="s">
        <v>76</v>
      </c>
      <c r="B20" s="20" t="s">
        <v>77</v>
      </c>
      <c r="C20" s="21" t="s">
        <v>78</v>
      </c>
      <c r="D20" s="15">
        <v>249000</v>
      </c>
      <c r="E20" s="15">
        <f t="shared" si="0"/>
        <v>113181.81818181818</v>
      </c>
      <c r="F20" s="16" t="s">
        <v>42</v>
      </c>
      <c r="G20" s="16" t="s">
        <v>30</v>
      </c>
      <c r="H20" s="17">
        <v>1</v>
      </c>
      <c r="I20" s="17"/>
      <c r="J20" s="18" t="s">
        <v>185</v>
      </c>
      <c r="K20" s="18" t="s">
        <v>59</v>
      </c>
      <c r="L20" s="18" t="s">
        <v>33</v>
      </c>
      <c r="M20" s="67"/>
    </row>
    <row r="21" spans="1:13" ht="27.6" x14ac:dyDescent="0.3">
      <c r="A21" s="11" t="s">
        <v>79</v>
      </c>
      <c r="B21" s="12" t="s">
        <v>80</v>
      </c>
      <c r="C21" s="13" t="s">
        <v>65</v>
      </c>
      <c r="D21" s="29">
        <v>427800</v>
      </c>
      <c r="E21" s="15">
        <f t="shared" si="0"/>
        <v>194454.54545454544</v>
      </c>
      <c r="F21" s="16" t="s">
        <v>42</v>
      </c>
      <c r="G21" s="16" t="s">
        <v>30</v>
      </c>
      <c r="H21" s="17">
        <v>1</v>
      </c>
      <c r="I21" s="22"/>
      <c r="J21" s="18" t="s">
        <v>186</v>
      </c>
      <c r="K21" s="23" t="s">
        <v>38</v>
      </c>
      <c r="L21" s="18" t="s">
        <v>33</v>
      </c>
      <c r="M21" s="69"/>
    </row>
    <row r="22" spans="1:13" ht="27.6" x14ac:dyDescent="0.3">
      <c r="A22" s="11" t="s">
        <v>81</v>
      </c>
      <c r="B22" s="12" t="s">
        <v>82</v>
      </c>
      <c r="C22" s="13" t="s">
        <v>65</v>
      </c>
      <c r="D22" s="29">
        <v>135600</v>
      </c>
      <c r="E22" s="15">
        <f t="shared" si="0"/>
        <v>61636.363636363632</v>
      </c>
      <c r="F22" s="16" t="s">
        <v>42</v>
      </c>
      <c r="G22" s="16" t="s">
        <v>30</v>
      </c>
      <c r="H22" s="17">
        <v>1</v>
      </c>
      <c r="I22" s="22"/>
      <c r="J22" s="18" t="s">
        <v>186</v>
      </c>
      <c r="K22" s="23" t="s">
        <v>38</v>
      </c>
      <c r="L22" s="18" t="s">
        <v>33</v>
      </c>
      <c r="M22" s="69"/>
    </row>
    <row r="23" spans="1:13" ht="55.2" x14ac:dyDescent="0.3">
      <c r="A23" s="11" t="s">
        <v>83</v>
      </c>
      <c r="B23" s="12" t="s">
        <v>84</v>
      </c>
      <c r="C23" s="13" t="s">
        <v>85</v>
      </c>
      <c r="D23" s="29">
        <v>400000</v>
      </c>
      <c r="E23" s="15">
        <f t="shared" si="0"/>
        <v>181818.18181818179</v>
      </c>
      <c r="F23" s="16" t="s">
        <v>42</v>
      </c>
      <c r="G23" s="13" t="s">
        <v>30</v>
      </c>
      <c r="H23" s="17">
        <v>1</v>
      </c>
      <c r="I23" s="22"/>
      <c r="J23" s="18" t="s">
        <v>183</v>
      </c>
      <c r="K23" s="23" t="s">
        <v>38</v>
      </c>
      <c r="L23" s="18" t="s">
        <v>33</v>
      </c>
      <c r="M23" s="69"/>
    </row>
    <row r="24" spans="1:13" ht="26.4" x14ac:dyDescent="0.3">
      <c r="A24" s="11" t="s">
        <v>86</v>
      </c>
      <c r="B24" s="71" t="s">
        <v>87</v>
      </c>
      <c r="C24" s="72" t="s">
        <v>88</v>
      </c>
      <c r="D24" s="73">
        <v>85000</v>
      </c>
      <c r="E24" s="15">
        <f t="shared" si="0"/>
        <v>38636.363636363632</v>
      </c>
      <c r="F24" s="105" t="s">
        <v>42</v>
      </c>
      <c r="G24" s="13" t="s">
        <v>30</v>
      </c>
      <c r="H24" s="17">
        <v>1</v>
      </c>
      <c r="I24" s="75"/>
      <c r="J24" s="18" t="s">
        <v>43</v>
      </c>
      <c r="K24" s="18" t="s">
        <v>89</v>
      </c>
      <c r="L24" s="18" t="s">
        <v>33</v>
      </c>
      <c r="M24" s="67"/>
    </row>
    <row r="25" spans="1:13" ht="27.6" x14ac:dyDescent="0.3">
      <c r="A25" s="76" t="s">
        <v>187</v>
      </c>
      <c r="B25" s="77" t="s">
        <v>188</v>
      </c>
      <c r="C25" s="78" t="s">
        <v>28</v>
      </c>
      <c r="D25" s="79">
        <v>185000</v>
      </c>
      <c r="E25" s="80">
        <f t="shared" si="0"/>
        <v>84090.909090909088</v>
      </c>
      <c r="F25" s="81" t="s">
        <v>29</v>
      </c>
      <c r="G25" s="81" t="s">
        <v>30</v>
      </c>
      <c r="H25" s="82">
        <v>1</v>
      </c>
      <c r="I25" s="82"/>
      <c r="J25" s="83" t="s">
        <v>43</v>
      </c>
      <c r="K25" s="83" t="s">
        <v>32</v>
      </c>
      <c r="L25" s="83" t="s">
        <v>33</v>
      </c>
      <c r="M25" s="84"/>
    </row>
    <row r="26" spans="1:13" ht="13.5" customHeight="1" x14ac:dyDescent="0.3">
      <c r="A26" s="611" t="s">
        <v>90</v>
      </c>
      <c r="B26" s="611"/>
      <c r="C26" s="31"/>
      <c r="D26" s="32">
        <f>SUM(D9:D25)</f>
        <v>4796500</v>
      </c>
      <c r="E26" s="32">
        <f t="shared" si="0"/>
        <v>2180227.2727272725</v>
      </c>
      <c r="F26" s="612"/>
      <c r="G26" s="612"/>
      <c r="H26" s="612"/>
      <c r="I26" s="612"/>
      <c r="J26" s="612"/>
      <c r="K26" s="612"/>
      <c r="L26" s="612"/>
      <c r="M26" s="612"/>
    </row>
    <row r="27" spans="1:13" ht="12.9" customHeight="1" x14ac:dyDescent="0.3">
      <c r="A27" s="608" t="s">
        <v>91</v>
      </c>
      <c r="B27" s="608"/>
      <c r="C27" s="608"/>
      <c r="D27" s="608"/>
      <c r="E27" s="608"/>
      <c r="F27" s="608"/>
      <c r="G27" s="608"/>
      <c r="H27" s="608"/>
      <c r="I27" s="608"/>
      <c r="J27" s="608"/>
      <c r="K27" s="608"/>
      <c r="L27" s="608"/>
      <c r="M27" s="608"/>
    </row>
    <row r="28" spans="1:13" ht="41.4" x14ac:dyDescent="0.3">
      <c r="A28" s="33" t="s">
        <v>92</v>
      </c>
      <c r="B28" s="12" t="s">
        <v>93</v>
      </c>
      <c r="C28" s="34" t="s">
        <v>94</v>
      </c>
      <c r="D28" s="35">
        <v>204000</v>
      </c>
      <c r="E28" s="29">
        <f>D28/$D$5</f>
        <v>92727.272727272721</v>
      </c>
      <c r="F28" s="13" t="s">
        <v>95</v>
      </c>
      <c r="G28" s="13" t="s">
        <v>30</v>
      </c>
      <c r="H28" s="17">
        <v>1</v>
      </c>
      <c r="I28" s="22"/>
      <c r="J28" s="23" t="s">
        <v>32</v>
      </c>
      <c r="K28" s="23" t="s">
        <v>97</v>
      </c>
      <c r="L28" s="23" t="s">
        <v>33</v>
      </c>
      <c r="M28" s="69"/>
    </row>
    <row r="29" spans="1:13" ht="27.6" x14ac:dyDescent="0.3">
      <c r="A29" s="33" t="s">
        <v>98</v>
      </c>
      <c r="B29" s="12" t="s">
        <v>99</v>
      </c>
      <c r="C29" s="13" t="s">
        <v>100</v>
      </c>
      <c r="D29" s="14">
        <v>35000</v>
      </c>
      <c r="E29" s="29">
        <f>D29/$D$5</f>
        <v>15909.090909090908</v>
      </c>
      <c r="F29" s="13" t="s">
        <v>95</v>
      </c>
      <c r="G29" s="13" t="s">
        <v>30</v>
      </c>
      <c r="H29" s="22">
        <v>1</v>
      </c>
      <c r="I29" s="22"/>
      <c r="J29" s="23" t="s">
        <v>184</v>
      </c>
      <c r="K29" s="23" t="s">
        <v>97</v>
      </c>
      <c r="L29" s="23" t="s">
        <v>33</v>
      </c>
      <c r="M29" s="69"/>
    </row>
    <row r="30" spans="1:13" ht="27.6" x14ac:dyDescent="0.3">
      <c r="A30" s="76" t="s">
        <v>189</v>
      </c>
      <c r="B30" s="77" t="s">
        <v>190</v>
      </c>
      <c r="C30" s="85" t="s">
        <v>111</v>
      </c>
      <c r="D30" s="79">
        <v>100000</v>
      </c>
      <c r="E30" s="80">
        <f>D30/$D$5</f>
        <v>45454.545454545449</v>
      </c>
      <c r="F30" s="78" t="s">
        <v>106</v>
      </c>
      <c r="G30" s="78" t="s">
        <v>30</v>
      </c>
      <c r="H30" s="86">
        <v>1</v>
      </c>
      <c r="I30" s="86"/>
      <c r="J30" s="87" t="s">
        <v>49</v>
      </c>
      <c r="K30" s="87" t="s">
        <v>50</v>
      </c>
      <c r="L30" s="83" t="s">
        <v>33</v>
      </c>
      <c r="M30" s="84"/>
    </row>
    <row r="31" spans="1:13" ht="13.5" customHeight="1" x14ac:dyDescent="0.3">
      <c r="A31" s="611" t="s">
        <v>101</v>
      </c>
      <c r="B31" s="611"/>
      <c r="C31" s="31"/>
      <c r="D31" s="32">
        <f>SUM(D28:D29)</f>
        <v>239000</v>
      </c>
      <c r="E31" s="32">
        <f>SUM(E28:E29)</f>
        <v>108636.36363636363</v>
      </c>
      <c r="F31" s="612"/>
      <c r="G31" s="612"/>
      <c r="H31" s="612"/>
      <c r="I31" s="612"/>
      <c r="J31" s="612"/>
      <c r="K31" s="612"/>
      <c r="L31" s="612"/>
      <c r="M31" s="612"/>
    </row>
    <row r="32" spans="1:13" ht="12.9" customHeight="1" x14ac:dyDescent="0.3">
      <c r="A32" s="608" t="s">
        <v>102</v>
      </c>
      <c r="B32" s="608"/>
      <c r="C32" s="608"/>
      <c r="D32" s="608"/>
      <c r="E32" s="608"/>
      <c r="F32" s="608"/>
      <c r="G32" s="608"/>
      <c r="H32" s="608"/>
      <c r="I32" s="608"/>
      <c r="J32" s="608"/>
      <c r="K32" s="608"/>
      <c r="L32" s="608"/>
      <c r="M32" s="608"/>
    </row>
    <row r="33" spans="1:13" ht="27.6" x14ac:dyDescent="0.3">
      <c r="A33" s="33" t="s">
        <v>103</v>
      </c>
      <c r="B33" s="20" t="s">
        <v>104</v>
      </c>
      <c r="C33" s="21" t="s">
        <v>105</v>
      </c>
      <c r="D33" s="15">
        <v>320000</v>
      </c>
      <c r="E33" s="15">
        <f t="shared" ref="E33:E57" si="1">D33/$D$5</f>
        <v>145454.54545454544</v>
      </c>
      <c r="F33" s="13" t="s">
        <v>106</v>
      </c>
      <c r="G33" s="13" t="s">
        <v>30</v>
      </c>
      <c r="H33" s="17">
        <v>1</v>
      </c>
      <c r="I33" s="22"/>
      <c r="J33" s="23" t="s">
        <v>49</v>
      </c>
      <c r="K33" s="18" t="s">
        <v>59</v>
      </c>
      <c r="L33" s="18" t="s">
        <v>33</v>
      </c>
      <c r="M33" s="67"/>
    </row>
    <row r="34" spans="1:13" ht="27.6" x14ac:dyDescent="0.3">
      <c r="A34" s="33" t="s">
        <v>107</v>
      </c>
      <c r="B34" s="20" t="s">
        <v>108</v>
      </c>
      <c r="C34" s="21" t="s">
        <v>55</v>
      </c>
      <c r="D34" s="15">
        <v>91100</v>
      </c>
      <c r="E34" s="15">
        <f t="shared" si="1"/>
        <v>41409.090909090904</v>
      </c>
      <c r="F34" s="13" t="s">
        <v>106</v>
      </c>
      <c r="G34" s="13" t="s">
        <v>30</v>
      </c>
      <c r="H34" s="17">
        <v>1</v>
      </c>
      <c r="I34" s="22"/>
      <c r="J34" s="23" t="s">
        <v>180</v>
      </c>
      <c r="K34" s="23" t="s">
        <v>56</v>
      </c>
      <c r="L34" s="18" t="s">
        <v>33</v>
      </c>
      <c r="M34" s="69"/>
    </row>
    <row r="35" spans="1:13" ht="27.6" x14ac:dyDescent="0.3">
      <c r="A35" s="88" t="s">
        <v>109</v>
      </c>
      <c r="B35" s="89" t="s">
        <v>110</v>
      </c>
      <c r="C35" s="90" t="s">
        <v>111</v>
      </c>
      <c r="D35" s="91">
        <v>100000</v>
      </c>
      <c r="E35" s="91">
        <f t="shared" si="1"/>
        <v>45454.545454545449</v>
      </c>
      <c r="F35" s="92" t="s">
        <v>106</v>
      </c>
      <c r="G35" s="92" t="s">
        <v>30</v>
      </c>
      <c r="H35" s="93">
        <v>1</v>
      </c>
      <c r="I35" s="93"/>
      <c r="J35" s="94" t="s">
        <v>49</v>
      </c>
      <c r="K35" s="94" t="s">
        <v>50</v>
      </c>
      <c r="L35" s="95" t="s">
        <v>191</v>
      </c>
      <c r="M35" s="96" t="s">
        <v>192</v>
      </c>
    </row>
    <row r="36" spans="1:13" ht="27.6" x14ac:dyDescent="0.3">
      <c r="A36" s="33" t="s">
        <v>112</v>
      </c>
      <c r="B36" s="20" t="s">
        <v>113</v>
      </c>
      <c r="C36" s="21" t="s">
        <v>114</v>
      </c>
      <c r="D36" s="36">
        <v>200000</v>
      </c>
      <c r="E36" s="15">
        <f t="shared" si="1"/>
        <v>90909.090909090897</v>
      </c>
      <c r="F36" s="13" t="s">
        <v>106</v>
      </c>
      <c r="G36" s="13" t="s">
        <v>30</v>
      </c>
      <c r="H36" s="22">
        <v>1</v>
      </c>
      <c r="I36" s="22"/>
      <c r="J36" s="23" t="s">
        <v>49</v>
      </c>
      <c r="K36" s="23" t="s">
        <v>50</v>
      </c>
      <c r="L36" s="18" t="s">
        <v>33</v>
      </c>
      <c r="M36" s="69"/>
    </row>
    <row r="37" spans="1:13" ht="27.6" x14ac:dyDescent="0.3">
      <c r="A37" s="33" t="s">
        <v>115</v>
      </c>
      <c r="B37" s="37" t="s">
        <v>116</v>
      </c>
      <c r="C37" s="21" t="s">
        <v>88</v>
      </c>
      <c r="D37" s="36">
        <v>750000</v>
      </c>
      <c r="E37" s="15">
        <f t="shared" si="1"/>
        <v>340909.09090909088</v>
      </c>
      <c r="F37" s="13" t="s">
        <v>106</v>
      </c>
      <c r="G37" s="13" t="s">
        <v>30</v>
      </c>
      <c r="H37" s="22"/>
      <c r="I37" s="22">
        <v>1</v>
      </c>
      <c r="J37" s="23" t="s">
        <v>32</v>
      </c>
      <c r="K37" s="23" t="s">
        <v>56</v>
      </c>
      <c r="L37" s="18" t="s">
        <v>33</v>
      </c>
      <c r="M37" s="69"/>
    </row>
    <row r="38" spans="1:13" x14ac:dyDescent="0.3">
      <c r="A38" s="33" t="s">
        <v>117</v>
      </c>
      <c r="B38" s="37" t="s">
        <v>118</v>
      </c>
      <c r="C38" s="21" t="s">
        <v>88</v>
      </c>
      <c r="D38" s="36">
        <v>500000</v>
      </c>
      <c r="E38" s="15">
        <f t="shared" si="1"/>
        <v>227272.72727272726</v>
      </c>
      <c r="F38" s="13" t="s">
        <v>106</v>
      </c>
      <c r="G38" s="13" t="s">
        <v>30</v>
      </c>
      <c r="H38" s="22">
        <v>1</v>
      </c>
      <c r="I38" s="22"/>
      <c r="J38" s="23" t="s">
        <v>180</v>
      </c>
      <c r="K38" s="23" t="s">
        <v>44</v>
      </c>
      <c r="L38" s="18" t="s">
        <v>33</v>
      </c>
      <c r="M38" s="69"/>
    </row>
    <row r="39" spans="1:13" x14ac:dyDescent="0.3">
      <c r="A39" s="33" t="s">
        <v>119</v>
      </c>
      <c r="B39" s="37" t="s">
        <v>120</v>
      </c>
      <c r="C39" s="21" t="s">
        <v>88</v>
      </c>
      <c r="D39" s="36">
        <v>960000</v>
      </c>
      <c r="E39" s="15">
        <f t="shared" si="1"/>
        <v>436363.63636363635</v>
      </c>
      <c r="F39" s="13" t="s">
        <v>106</v>
      </c>
      <c r="G39" s="13" t="s">
        <v>30</v>
      </c>
      <c r="H39" s="22">
        <v>1</v>
      </c>
      <c r="I39" s="22"/>
      <c r="J39" s="23" t="s">
        <v>43</v>
      </c>
      <c r="K39" s="23" t="s">
        <v>44</v>
      </c>
      <c r="L39" s="18" t="s">
        <v>33</v>
      </c>
      <c r="M39" s="69"/>
    </row>
    <row r="40" spans="1:13" x14ac:dyDescent="0.3">
      <c r="A40" s="33" t="s">
        <v>121</v>
      </c>
      <c r="B40" s="37" t="s">
        <v>122</v>
      </c>
      <c r="C40" s="21" t="s">
        <v>88</v>
      </c>
      <c r="D40" s="36">
        <v>107000</v>
      </c>
      <c r="E40" s="15">
        <f t="shared" si="1"/>
        <v>48636.363636363632</v>
      </c>
      <c r="F40" s="13" t="s">
        <v>106</v>
      </c>
      <c r="G40" s="13" t="s">
        <v>30</v>
      </c>
      <c r="H40" s="22">
        <v>1</v>
      </c>
      <c r="I40" s="22"/>
      <c r="J40" s="23" t="s">
        <v>43</v>
      </c>
      <c r="K40" s="23" t="s">
        <v>44</v>
      </c>
      <c r="L40" s="18" t="s">
        <v>33</v>
      </c>
      <c r="M40" s="69"/>
    </row>
    <row r="41" spans="1:13" x14ac:dyDescent="0.3">
      <c r="A41" s="33" t="s">
        <v>123</v>
      </c>
      <c r="B41" s="37" t="s">
        <v>124</v>
      </c>
      <c r="C41" s="21" t="s">
        <v>88</v>
      </c>
      <c r="D41" s="36">
        <v>88000</v>
      </c>
      <c r="E41" s="15">
        <f t="shared" si="1"/>
        <v>40000</v>
      </c>
      <c r="F41" s="13" t="s">
        <v>106</v>
      </c>
      <c r="G41" s="13" t="s">
        <v>30</v>
      </c>
      <c r="H41" s="22">
        <v>1</v>
      </c>
      <c r="I41" s="22"/>
      <c r="J41" s="23" t="s">
        <v>43</v>
      </c>
      <c r="K41" s="23" t="s">
        <v>44</v>
      </c>
      <c r="L41" s="18" t="s">
        <v>33</v>
      </c>
      <c r="M41" s="69"/>
    </row>
    <row r="42" spans="1:13" s="39" customFormat="1" x14ac:dyDescent="0.3">
      <c r="A42" s="33" t="s">
        <v>125</v>
      </c>
      <c r="B42" s="37" t="s">
        <v>126</v>
      </c>
      <c r="C42" s="21" t="s">
        <v>88</v>
      </c>
      <c r="D42" s="38">
        <v>15000</v>
      </c>
      <c r="E42" s="15">
        <f t="shared" si="1"/>
        <v>6818.181818181818</v>
      </c>
      <c r="F42" s="13" t="s">
        <v>106</v>
      </c>
      <c r="G42" s="13" t="s">
        <v>30</v>
      </c>
      <c r="H42" s="22">
        <v>1</v>
      </c>
      <c r="I42" s="22"/>
      <c r="J42" s="23" t="s">
        <v>49</v>
      </c>
      <c r="K42" s="23" t="s">
        <v>44</v>
      </c>
      <c r="L42" s="18" t="s">
        <v>33</v>
      </c>
      <c r="M42" s="69"/>
    </row>
    <row r="43" spans="1:13" x14ac:dyDescent="0.3">
      <c r="A43" s="33" t="s">
        <v>127</v>
      </c>
      <c r="B43" s="37" t="s">
        <v>128</v>
      </c>
      <c r="C43" s="21" t="s">
        <v>88</v>
      </c>
      <c r="D43" s="36">
        <v>311000</v>
      </c>
      <c r="E43" s="15">
        <f t="shared" si="1"/>
        <v>141363.63636363635</v>
      </c>
      <c r="F43" s="13" t="s">
        <v>106</v>
      </c>
      <c r="G43" s="13" t="s">
        <v>30</v>
      </c>
      <c r="H43" s="22">
        <v>1</v>
      </c>
      <c r="I43" s="22"/>
      <c r="J43" s="23" t="s">
        <v>49</v>
      </c>
      <c r="K43" s="23" t="s">
        <v>44</v>
      </c>
      <c r="L43" s="18" t="s">
        <v>33</v>
      </c>
      <c r="M43" s="69"/>
    </row>
    <row r="44" spans="1:13" x14ac:dyDescent="0.3">
      <c r="A44" s="88" t="s">
        <v>129</v>
      </c>
      <c r="B44" s="98" t="s">
        <v>130</v>
      </c>
      <c r="C44" s="92" t="s">
        <v>88</v>
      </c>
      <c r="D44" s="91">
        <v>30000</v>
      </c>
      <c r="E44" s="91">
        <f t="shared" si="1"/>
        <v>13636.363636363636</v>
      </c>
      <c r="F44" s="92" t="s">
        <v>106</v>
      </c>
      <c r="G44" s="92" t="s">
        <v>30</v>
      </c>
      <c r="H44" s="93">
        <v>1</v>
      </c>
      <c r="I44" s="93"/>
      <c r="J44" s="94" t="s">
        <v>49</v>
      </c>
      <c r="K44" s="94" t="s">
        <v>44</v>
      </c>
      <c r="L44" s="95" t="s">
        <v>191</v>
      </c>
      <c r="M44" s="96" t="s">
        <v>193</v>
      </c>
    </row>
    <row r="45" spans="1:13" ht="27.6" x14ac:dyDescent="0.3">
      <c r="A45" s="33" t="s">
        <v>131</v>
      </c>
      <c r="B45" s="99" t="s">
        <v>132</v>
      </c>
      <c r="C45" s="21" t="s">
        <v>88</v>
      </c>
      <c r="D45" s="36">
        <v>500000</v>
      </c>
      <c r="E45" s="15">
        <f t="shared" si="1"/>
        <v>227272.72727272726</v>
      </c>
      <c r="F45" s="13" t="s">
        <v>106</v>
      </c>
      <c r="G45" s="13" t="s">
        <v>30</v>
      </c>
      <c r="H45" s="22"/>
      <c r="I45" s="22">
        <v>1</v>
      </c>
      <c r="J45" s="23" t="s">
        <v>183</v>
      </c>
      <c r="K45" s="23" t="s">
        <v>38</v>
      </c>
      <c r="L45" s="18" t="s">
        <v>33</v>
      </c>
      <c r="M45" s="69"/>
    </row>
    <row r="46" spans="1:13" ht="27.6" x14ac:dyDescent="0.3">
      <c r="A46" s="33" t="s">
        <v>134</v>
      </c>
      <c r="B46" s="100" t="s">
        <v>135</v>
      </c>
      <c r="C46" s="21" t="s">
        <v>88</v>
      </c>
      <c r="D46" s="36">
        <v>100000</v>
      </c>
      <c r="E46" s="15">
        <f t="shared" si="1"/>
        <v>45454.545454545449</v>
      </c>
      <c r="F46" s="13" t="s">
        <v>106</v>
      </c>
      <c r="G46" s="13" t="s">
        <v>30</v>
      </c>
      <c r="H46" s="22">
        <v>1</v>
      </c>
      <c r="I46" s="22"/>
      <c r="J46" s="23" t="s">
        <v>50</v>
      </c>
      <c r="K46" s="23" t="s">
        <v>59</v>
      </c>
      <c r="L46" s="18" t="s">
        <v>33</v>
      </c>
      <c r="M46" s="69"/>
    </row>
    <row r="47" spans="1:13" x14ac:dyDescent="0.3">
      <c r="A47" s="33" t="s">
        <v>136</v>
      </c>
      <c r="B47" s="20" t="s">
        <v>137</v>
      </c>
      <c r="C47" s="21" t="s">
        <v>62</v>
      </c>
      <c r="D47" s="36">
        <v>400000</v>
      </c>
      <c r="E47" s="15">
        <f t="shared" si="1"/>
        <v>181818.18181818179</v>
      </c>
      <c r="F47" s="13" t="s">
        <v>106</v>
      </c>
      <c r="G47" s="13" t="s">
        <v>30</v>
      </c>
      <c r="H47" s="22">
        <v>1</v>
      </c>
      <c r="I47" s="22"/>
      <c r="J47" s="23" t="s">
        <v>75</v>
      </c>
      <c r="K47" s="23" t="s">
        <v>38</v>
      </c>
      <c r="L47" s="18" t="s">
        <v>33</v>
      </c>
      <c r="M47" s="69"/>
    </row>
    <row r="48" spans="1:13" ht="27.6" x14ac:dyDescent="0.3">
      <c r="A48" s="33" t="s">
        <v>138</v>
      </c>
      <c r="B48" s="41" t="s">
        <v>139</v>
      </c>
      <c r="C48" s="21" t="s">
        <v>78</v>
      </c>
      <c r="D48" s="36">
        <v>1803000</v>
      </c>
      <c r="E48" s="15">
        <f t="shared" si="1"/>
        <v>819545.45454545447</v>
      </c>
      <c r="F48" s="13" t="s">
        <v>106</v>
      </c>
      <c r="G48" s="13" t="s">
        <v>30</v>
      </c>
      <c r="H48" s="22">
        <v>1</v>
      </c>
      <c r="I48" s="22"/>
      <c r="J48" s="23" t="s">
        <v>44</v>
      </c>
      <c r="K48" s="23" t="s">
        <v>56</v>
      </c>
      <c r="L48" s="18" t="s">
        <v>33</v>
      </c>
      <c r="M48" s="69"/>
    </row>
    <row r="49" spans="1:13" ht="39.6" x14ac:dyDescent="0.3">
      <c r="A49" s="33" t="s">
        <v>140</v>
      </c>
      <c r="B49" s="41" t="s">
        <v>141</v>
      </c>
      <c r="C49" s="21" t="s">
        <v>78</v>
      </c>
      <c r="D49" s="36">
        <v>60000</v>
      </c>
      <c r="E49" s="15">
        <f t="shared" si="1"/>
        <v>27272.727272727272</v>
      </c>
      <c r="F49" s="13" t="s">
        <v>106</v>
      </c>
      <c r="G49" s="13" t="s">
        <v>30</v>
      </c>
      <c r="H49" s="22">
        <v>1</v>
      </c>
      <c r="I49" s="22"/>
      <c r="J49" s="23" t="s">
        <v>44</v>
      </c>
      <c r="K49" s="23" t="s">
        <v>56</v>
      </c>
      <c r="L49" s="18" t="s">
        <v>33</v>
      </c>
      <c r="M49" s="69"/>
    </row>
    <row r="50" spans="1:13" ht="27.6" x14ac:dyDescent="0.3">
      <c r="A50" s="33" t="s">
        <v>142</v>
      </c>
      <c r="B50" s="41" t="s">
        <v>143</v>
      </c>
      <c r="C50" s="21" t="s">
        <v>78</v>
      </c>
      <c r="D50" s="36">
        <v>750000</v>
      </c>
      <c r="E50" s="15">
        <f t="shared" si="1"/>
        <v>340909.09090909088</v>
      </c>
      <c r="F50" s="13" t="s">
        <v>106</v>
      </c>
      <c r="G50" s="13" t="s">
        <v>30</v>
      </c>
      <c r="H50" s="22">
        <v>1</v>
      </c>
      <c r="I50" s="22"/>
      <c r="J50" s="23" t="s">
        <v>49</v>
      </c>
      <c r="K50" s="23" t="s">
        <v>50</v>
      </c>
      <c r="L50" s="18" t="s">
        <v>33</v>
      </c>
      <c r="M50" s="69"/>
    </row>
    <row r="51" spans="1:13" ht="39.6" x14ac:dyDescent="0.3">
      <c r="A51" s="88" t="s">
        <v>144</v>
      </c>
      <c r="B51" s="101" t="s">
        <v>202</v>
      </c>
      <c r="C51" s="92" t="s">
        <v>28</v>
      </c>
      <c r="D51" s="91">
        <v>13000</v>
      </c>
      <c r="E51" s="91">
        <f t="shared" si="1"/>
        <v>5909.090909090909</v>
      </c>
      <c r="F51" s="92" t="s">
        <v>106</v>
      </c>
      <c r="G51" s="92" t="s">
        <v>30</v>
      </c>
      <c r="H51" s="93">
        <v>1</v>
      </c>
      <c r="I51" s="93"/>
      <c r="J51" s="94" t="s">
        <v>43</v>
      </c>
      <c r="K51" s="94" t="s">
        <v>43</v>
      </c>
      <c r="L51" s="95" t="s">
        <v>191</v>
      </c>
      <c r="M51" s="96" t="s">
        <v>194</v>
      </c>
    </row>
    <row r="52" spans="1:13" x14ac:dyDescent="0.3">
      <c r="A52" s="88" t="s">
        <v>147</v>
      </c>
      <c r="B52" s="103" t="s">
        <v>148</v>
      </c>
      <c r="C52" s="92" t="s">
        <v>28</v>
      </c>
      <c r="D52" s="91">
        <v>80000</v>
      </c>
      <c r="E52" s="91">
        <f t="shared" si="1"/>
        <v>36363.63636363636</v>
      </c>
      <c r="F52" s="92" t="s">
        <v>106</v>
      </c>
      <c r="G52" s="92" t="s">
        <v>30</v>
      </c>
      <c r="H52" s="93">
        <v>1</v>
      </c>
      <c r="I52" s="93"/>
      <c r="J52" s="94" t="s">
        <v>43</v>
      </c>
      <c r="K52" s="94" t="s">
        <v>43</v>
      </c>
      <c r="L52" s="95" t="s">
        <v>191</v>
      </c>
      <c r="M52" s="96" t="s">
        <v>195</v>
      </c>
    </row>
    <row r="53" spans="1:13" ht="27.6" x14ac:dyDescent="0.3">
      <c r="A53" s="33" t="s">
        <v>149</v>
      </c>
      <c r="B53" s="44" t="s">
        <v>150</v>
      </c>
      <c r="C53" s="13" t="s">
        <v>73</v>
      </c>
      <c r="D53" s="14">
        <v>150000</v>
      </c>
      <c r="E53" s="15">
        <f t="shared" si="1"/>
        <v>68181.818181818177</v>
      </c>
      <c r="F53" s="13" t="s">
        <v>106</v>
      </c>
      <c r="G53" s="13" t="s">
        <v>30</v>
      </c>
      <c r="H53" s="22">
        <v>1</v>
      </c>
      <c r="I53" s="22"/>
      <c r="J53" s="23" t="s">
        <v>196</v>
      </c>
      <c r="K53" s="23" t="s">
        <v>152</v>
      </c>
      <c r="L53" s="18" t="s">
        <v>33</v>
      </c>
      <c r="M53" s="69"/>
    </row>
    <row r="54" spans="1:13" ht="27.6" x14ac:dyDescent="0.3">
      <c r="A54" s="33" t="s">
        <v>153</v>
      </c>
      <c r="B54" s="12" t="s">
        <v>154</v>
      </c>
      <c r="C54" s="13" t="s">
        <v>105</v>
      </c>
      <c r="D54" s="14">
        <v>200000</v>
      </c>
      <c r="E54" s="15">
        <f t="shared" si="1"/>
        <v>90909.090909090897</v>
      </c>
      <c r="F54" s="13" t="s">
        <v>106</v>
      </c>
      <c r="G54" s="13" t="s">
        <v>30</v>
      </c>
      <c r="H54" s="22">
        <v>1</v>
      </c>
      <c r="I54" s="22"/>
      <c r="J54" s="23" t="s">
        <v>32</v>
      </c>
      <c r="K54" s="23" t="s">
        <v>56</v>
      </c>
      <c r="L54" s="18" t="s">
        <v>33</v>
      </c>
      <c r="M54" s="69"/>
    </row>
    <row r="55" spans="1:13" ht="41.4" x14ac:dyDescent="0.3">
      <c r="A55" s="33" t="s">
        <v>155</v>
      </c>
      <c r="B55" s="12" t="s">
        <v>156</v>
      </c>
      <c r="C55" s="13" t="s">
        <v>105</v>
      </c>
      <c r="D55" s="14">
        <v>180000</v>
      </c>
      <c r="E55" s="15">
        <f t="shared" si="1"/>
        <v>81818.181818181809</v>
      </c>
      <c r="F55" s="13" t="s">
        <v>106</v>
      </c>
      <c r="G55" s="13" t="s">
        <v>30</v>
      </c>
      <c r="H55" s="22">
        <v>1</v>
      </c>
      <c r="I55" s="22"/>
      <c r="J55" s="23" t="s">
        <v>32</v>
      </c>
      <c r="K55" s="23" t="s">
        <v>56</v>
      </c>
      <c r="L55" s="18" t="s">
        <v>33</v>
      </c>
      <c r="M55" s="69"/>
    </row>
    <row r="56" spans="1:13" ht="27.6" x14ac:dyDescent="0.3">
      <c r="A56" s="33" t="s">
        <v>157</v>
      </c>
      <c r="B56" s="43" t="s">
        <v>158</v>
      </c>
      <c r="C56" s="45" t="s">
        <v>73</v>
      </c>
      <c r="D56" s="14">
        <v>20000</v>
      </c>
      <c r="E56" s="15">
        <f t="shared" si="1"/>
        <v>9090.9090909090901</v>
      </c>
      <c r="F56" s="13" t="s">
        <v>95</v>
      </c>
      <c r="G56" s="13" t="s">
        <v>30</v>
      </c>
      <c r="H56" s="22">
        <v>1</v>
      </c>
      <c r="I56" s="22"/>
      <c r="J56" s="23" t="s">
        <v>197</v>
      </c>
      <c r="K56" s="23" t="s">
        <v>97</v>
      </c>
      <c r="L56" s="18" t="s">
        <v>33</v>
      </c>
      <c r="M56" s="69"/>
    </row>
    <row r="57" spans="1:13" ht="13.5" customHeight="1" x14ac:dyDescent="0.3">
      <c r="A57" s="611" t="s">
        <v>159</v>
      </c>
      <c r="B57" s="611"/>
      <c r="C57" s="31"/>
      <c r="D57" s="32">
        <f>SUM(D33:D56)-D44-D51-D52-D35</f>
        <v>7505100</v>
      </c>
      <c r="E57" s="32">
        <f t="shared" si="1"/>
        <v>3411409.0909090908</v>
      </c>
      <c r="F57" s="612"/>
      <c r="G57" s="612"/>
      <c r="H57" s="612"/>
      <c r="I57" s="612"/>
      <c r="J57" s="612"/>
      <c r="K57" s="612"/>
      <c r="L57" s="612"/>
      <c r="M57" s="612"/>
    </row>
    <row r="58" spans="1:13" ht="12.9" customHeight="1" x14ac:dyDescent="0.3">
      <c r="A58" s="608" t="s">
        <v>198</v>
      </c>
      <c r="B58" s="608"/>
      <c r="C58" s="608"/>
      <c r="D58" s="608"/>
      <c r="E58" s="608"/>
      <c r="F58" s="608"/>
      <c r="G58" s="608"/>
      <c r="H58" s="608"/>
      <c r="I58" s="608"/>
      <c r="J58" s="608"/>
      <c r="K58" s="608"/>
      <c r="L58" s="608"/>
      <c r="M58" s="608"/>
    </row>
    <row r="59" spans="1:13" ht="27.6" x14ac:dyDescent="0.3">
      <c r="A59" s="33" t="s">
        <v>161</v>
      </c>
      <c r="B59" s="12" t="s">
        <v>162</v>
      </c>
      <c r="C59" s="34" t="s">
        <v>65</v>
      </c>
      <c r="D59" s="46">
        <v>3150000</v>
      </c>
      <c r="E59" s="46">
        <f>D59/$D$5</f>
        <v>1431818.1818181816</v>
      </c>
      <c r="F59" s="13" t="s">
        <v>48</v>
      </c>
      <c r="G59" s="13" t="s">
        <v>30</v>
      </c>
      <c r="H59" s="22"/>
      <c r="I59" s="22">
        <v>1</v>
      </c>
      <c r="J59" s="23" t="s">
        <v>96</v>
      </c>
      <c r="K59" s="23" t="s">
        <v>32</v>
      </c>
      <c r="L59" s="23" t="s">
        <v>163</v>
      </c>
      <c r="M59" s="69"/>
    </row>
    <row r="60" spans="1:13" ht="13.5" customHeight="1" x14ac:dyDescent="0.3">
      <c r="A60" s="33"/>
      <c r="B60" s="10" t="s">
        <v>164</v>
      </c>
      <c r="C60" s="47"/>
      <c r="D60" s="48">
        <f>D59</f>
        <v>3150000</v>
      </c>
      <c r="E60" s="48">
        <f>E59</f>
        <v>1431818.1818181816</v>
      </c>
      <c r="F60" s="612"/>
      <c r="G60" s="612"/>
      <c r="H60" s="612"/>
      <c r="I60" s="612"/>
      <c r="J60" s="612"/>
      <c r="K60" s="612"/>
      <c r="L60" s="612" t="s">
        <v>33</v>
      </c>
      <c r="M60" s="612"/>
    </row>
    <row r="61" spans="1:13" ht="12.75" customHeight="1" x14ac:dyDescent="0.3">
      <c r="A61" s="615" t="s">
        <v>165</v>
      </c>
      <c r="B61" s="615"/>
      <c r="C61" s="615"/>
      <c r="D61" s="615"/>
      <c r="E61" s="615"/>
      <c r="F61" s="615"/>
      <c r="G61" s="615"/>
      <c r="H61" s="615"/>
      <c r="I61" s="615"/>
      <c r="J61" s="615"/>
      <c r="K61" s="615"/>
      <c r="L61" s="615"/>
      <c r="M61" s="615"/>
    </row>
    <row r="62" spans="1:13" ht="27.6" x14ac:dyDescent="0.3">
      <c r="A62" s="33" t="s">
        <v>166</v>
      </c>
      <c r="B62" s="12" t="s">
        <v>167</v>
      </c>
      <c r="C62" s="34" t="s">
        <v>65</v>
      </c>
      <c r="D62" s="46">
        <f>534000+72000</f>
        <v>606000</v>
      </c>
      <c r="E62" s="46">
        <f>D62/$D$5</f>
        <v>275454.54545454541</v>
      </c>
      <c r="F62" s="13" t="s">
        <v>48</v>
      </c>
      <c r="G62" s="13" t="s">
        <v>30</v>
      </c>
      <c r="H62" s="22">
        <v>1</v>
      </c>
      <c r="I62" s="22"/>
      <c r="J62" s="23" t="s">
        <v>43</v>
      </c>
      <c r="K62" s="23" t="s">
        <v>97</v>
      </c>
      <c r="L62" s="23" t="s">
        <v>33</v>
      </c>
      <c r="M62" s="69"/>
    </row>
    <row r="63" spans="1:13" ht="27.6" x14ac:dyDescent="0.3">
      <c r="A63" s="106" t="s">
        <v>203</v>
      </c>
      <c r="B63" s="107" t="s">
        <v>204</v>
      </c>
      <c r="C63" s="108" t="s">
        <v>28</v>
      </c>
      <c r="D63" s="109">
        <v>20000</v>
      </c>
      <c r="E63" s="110">
        <f>D63/$D$5</f>
        <v>9090.9090909090901</v>
      </c>
      <c r="F63" s="111" t="s">
        <v>106</v>
      </c>
      <c r="G63" s="111" t="s">
        <v>30</v>
      </c>
      <c r="H63" s="112">
        <v>1</v>
      </c>
      <c r="I63" s="112"/>
      <c r="J63" s="113" t="s">
        <v>43</v>
      </c>
      <c r="K63" s="113" t="s">
        <v>32</v>
      </c>
      <c r="L63" s="114" t="s">
        <v>33</v>
      </c>
      <c r="M63" s="115"/>
    </row>
    <row r="64" spans="1:13" ht="13.5" customHeight="1" x14ac:dyDescent="0.3">
      <c r="A64" s="616" t="s">
        <v>168</v>
      </c>
      <c r="B64" s="616"/>
      <c r="C64" s="47"/>
      <c r="D64" s="48">
        <f>D62+D63</f>
        <v>626000</v>
      </c>
      <c r="E64" s="48">
        <f>E62</f>
        <v>275454.54545454541</v>
      </c>
      <c r="F64" s="612"/>
      <c r="G64" s="612"/>
      <c r="H64" s="612"/>
      <c r="I64" s="612"/>
      <c r="J64" s="612"/>
      <c r="K64" s="612"/>
      <c r="L64" s="612"/>
      <c r="M64" s="612"/>
    </row>
    <row r="65" spans="1:13" ht="13.5" customHeight="1" x14ac:dyDescent="0.3">
      <c r="A65" s="613" t="s">
        <v>169</v>
      </c>
      <c r="B65" s="613"/>
      <c r="C65" s="613"/>
      <c r="D65" s="52">
        <f>D26+D31+D57+D60+D64</f>
        <v>16316600</v>
      </c>
      <c r="E65" s="53">
        <f>D65/$D$5</f>
        <v>7416636.3636363633</v>
      </c>
      <c r="F65" s="54"/>
    </row>
    <row r="66" spans="1:13" x14ac:dyDescent="0.3">
      <c r="C66" s="55"/>
      <c r="D66" s="56"/>
      <c r="E66" s="56"/>
      <c r="F66" s="54"/>
    </row>
    <row r="67" spans="1:13" ht="32.25" customHeight="1" x14ac:dyDescent="0.3">
      <c r="A67" s="57" t="s">
        <v>170</v>
      </c>
      <c r="B67" s="614" t="s">
        <v>171</v>
      </c>
      <c r="C67" s="614"/>
      <c r="D67" s="614"/>
      <c r="E67" s="614"/>
      <c r="F67" s="614"/>
      <c r="G67" s="614"/>
      <c r="H67" s="614"/>
      <c r="I67" s="614"/>
      <c r="J67" s="614"/>
      <c r="K67" s="614"/>
      <c r="L67" s="614"/>
      <c r="M67" s="614"/>
    </row>
    <row r="68" spans="1:13" ht="12.9" customHeight="1" x14ac:dyDescent="0.3">
      <c r="B68" s="614" t="s">
        <v>172</v>
      </c>
      <c r="C68" s="614"/>
      <c r="D68" s="614"/>
      <c r="E68" s="614"/>
      <c r="F68" s="614"/>
      <c r="G68" s="614"/>
      <c r="H68" s="614"/>
      <c r="I68" s="614"/>
      <c r="J68" s="614"/>
      <c r="K68" s="614"/>
      <c r="L68" s="614"/>
      <c r="M68" s="614"/>
    </row>
    <row r="69" spans="1:13" x14ac:dyDescent="0.3">
      <c r="B69" s="58" t="s">
        <v>173</v>
      </c>
      <c r="C69" s="59"/>
      <c r="D69" s="56"/>
      <c r="E69" s="56"/>
      <c r="G69" s="60"/>
      <c r="H69" s="60"/>
    </row>
    <row r="70" spans="1:13" x14ac:dyDescent="0.3">
      <c r="C70" s="59"/>
      <c r="D70" s="56"/>
      <c r="E70" s="56"/>
      <c r="G70" s="60"/>
      <c r="H70" s="60"/>
    </row>
    <row r="71" spans="1:13" x14ac:dyDescent="0.3">
      <c r="C71" s="61"/>
      <c r="D71" s="62"/>
      <c r="E71" s="56"/>
      <c r="G71" s="60"/>
      <c r="H71" s="60"/>
    </row>
    <row r="72" spans="1:13" x14ac:dyDescent="0.3">
      <c r="C72" s="61"/>
      <c r="D72" s="62"/>
      <c r="G72" s="60"/>
      <c r="H72" s="60"/>
    </row>
    <row r="73" spans="1:13" x14ac:dyDescent="0.3">
      <c r="C73" s="61"/>
      <c r="D73" s="62"/>
      <c r="E73" s="56"/>
      <c r="G73" s="60"/>
      <c r="H73" s="60"/>
    </row>
    <row r="74" spans="1:13" x14ac:dyDescent="0.3">
      <c r="C74" s="61"/>
      <c r="D74" s="62"/>
      <c r="G74" s="60"/>
      <c r="H74" s="60"/>
    </row>
    <row r="75" spans="1:13" x14ac:dyDescent="0.3">
      <c r="C75" s="61"/>
      <c r="D75" s="62"/>
      <c r="G75" s="60"/>
      <c r="H75" s="60"/>
    </row>
    <row r="76" spans="1:13" x14ac:dyDescent="0.3">
      <c r="C76" s="63"/>
      <c r="D76" s="56"/>
      <c r="E76" s="56"/>
      <c r="G76" s="60"/>
      <c r="H76" s="60"/>
    </row>
    <row r="77" spans="1:13" x14ac:dyDescent="0.3">
      <c r="C77" s="59"/>
      <c r="E77" s="56"/>
    </row>
    <row r="78" spans="1:13" x14ac:dyDescent="0.3">
      <c r="D78" s="56"/>
    </row>
    <row r="80" spans="1:13" x14ac:dyDescent="0.3">
      <c r="D80" s="56"/>
    </row>
  </sheetData>
  <sheetProtection selectLockedCells="1" selectUnlockedCells="1"/>
  <mergeCells count="28">
    <mergeCell ref="A32:M32"/>
    <mergeCell ref="A65:C65"/>
    <mergeCell ref="B67:M67"/>
    <mergeCell ref="B68:M68"/>
    <mergeCell ref="A57:B57"/>
    <mergeCell ref="F57:M57"/>
    <mergeCell ref="A58:M58"/>
    <mergeCell ref="F60:M60"/>
    <mergeCell ref="A61:M61"/>
    <mergeCell ref="A64:B64"/>
    <mergeCell ref="F64:M64"/>
    <mergeCell ref="A26:B26"/>
    <mergeCell ref="F26:M26"/>
    <mergeCell ref="A27:M27"/>
    <mergeCell ref="A31:B31"/>
    <mergeCell ref="F31:M31"/>
    <mergeCell ref="L6:L7"/>
    <mergeCell ref="M6:M7"/>
    <mergeCell ref="A8:M8"/>
    <mergeCell ref="A6:A7"/>
    <mergeCell ref="B6:B7"/>
    <mergeCell ref="C6:C7"/>
    <mergeCell ref="D6:D7"/>
    <mergeCell ref="E6:E7"/>
    <mergeCell ref="F6:F7"/>
    <mergeCell ref="G6:G7"/>
    <mergeCell ref="H6:I6"/>
    <mergeCell ref="J6:K6"/>
  </mergeCells>
  <dataValidations count="4">
    <dataValidation type="list" allowBlank="1" showErrorMessage="1" sqref="F10 F12:F15 F17:F24" xr:uid="{00000000-0002-0000-0200-000000000000}">
      <formula1>"BID LPI,BID LPN,BID CP,BID CD,BID SBQC,BID SQC,BID SQS,BID SBMC,BID SBOF,BID SD,BID CI,L8666 CV,L8666 TP,L8666 C,PRE ELE,REG PR"</formula1>
      <formula2>0</formula2>
    </dataValidation>
    <dataValidation type="list" allowBlank="1" showErrorMessage="1" sqref="F16 F28:F29 F56 F60 F64" xr:uid="{00000000-0002-0000-0200-000001000000}">
      <formula1>"BID LPI,BID LPN,BID CP,BID CD,BID SBQC,BID SQS,BID SD,8666 CV,8666 TP,8666 C"</formula1>
      <formula2>0</formula2>
    </dataValidation>
    <dataValidation type="list" allowBlank="1" showErrorMessage="1" sqref="G9:G10 G12:G15 G22:G25 G28" xr:uid="{00000000-0002-0000-0200-000002000000}">
      <formula1>"ex-ante,ex-post,N/A"</formula1>
      <formula2>0</formula2>
    </dataValidation>
    <dataValidation type="list" allowBlank="1" showErrorMessage="1" sqref="G11 G16:G21 G29:G30 G33:G56 G59:G60 G62:G63" xr:uid="{00000000-0002-0000-0200-000003000000}">
      <formula1>"ex-ante,ex-post"</formula1>
      <formula2>0</formula2>
    </dataValidation>
  </dataValidations>
  <printOptions horizontalCentered="1"/>
  <pageMargins left="0.39374999999999999" right="0.39374999999999999" top="0.39374999999999999" bottom="0.39374999999999999" header="0.51180555555555551" footer="0.51180555555555551"/>
  <pageSetup paperSize="9" scale="79" firstPageNumber="0" orientation="landscape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82"/>
  <sheetViews>
    <sheetView showGridLines="0" topLeftCell="A49" zoomScale="70" zoomScaleNormal="70" workbookViewId="0">
      <selection activeCell="B69" sqref="B69:M69"/>
    </sheetView>
  </sheetViews>
  <sheetFormatPr defaultColWidth="8.88671875" defaultRowHeight="13.8" x14ac:dyDescent="0.3"/>
  <cols>
    <col min="1" max="1" width="4.88671875" style="1" customWidth="1"/>
    <col min="2" max="2" width="44.6640625" style="2" customWidth="1"/>
    <col min="3" max="3" width="9.33203125" style="1" customWidth="1"/>
    <col min="4" max="4" width="12.44140625" style="3" customWidth="1"/>
    <col min="5" max="5" width="11.88671875" style="3" customWidth="1"/>
    <col min="6" max="6" width="11" style="2" customWidth="1"/>
    <col min="7" max="7" width="9.109375" style="2" customWidth="1"/>
    <col min="8" max="8" width="6.88671875" style="2" customWidth="1"/>
    <col min="9" max="9" width="6.5546875" style="2" customWidth="1"/>
    <col min="10" max="10" width="11.33203125" style="2" customWidth="1"/>
    <col min="11" max="11" width="10.5546875" style="2" customWidth="1"/>
    <col min="12" max="12" width="7.44140625" style="2" customWidth="1"/>
    <col min="13" max="13" width="29.33203125" style="6" customWidth="1"/>
    <col min="14" max="16384" width="8.88671875" style="2"/>
  </cols>
  <sheetData>
    <row r="1" spans="1:15" ht="78.75" customHeight="1" x14ac:dyDescent="0.3"/>
    <row r="2" spans="1:15" x14ac:dyDescent="0.3">
      <c r="A2" s="4" t="s">
        <v>205</v>
      </c>
      <c r="F2" s="5" t="s">
        <v>1</v>
      </c>
      <c r="L2" s="4" t="s">
        <v>2</v>
      </c>
    </row>
    <row r="3" spans="1:15" x14ac:dyDescent="0.3">
      <c r="A3" s="4" t="s">
        <v>206</v>
      </c>
      <c r="F3" s="5" t="s">
        <v>4</v>
      </c>
      <c r="L3" s="6" t="s">
        <v>5</v>
      </c>
    </row>
    <row r="4" spans="1:15" x14ac:dyDescent="0.3">
      <c r="A4" s="4" t="s">
        <v>6</v>
      </c>
      <c r="L4" s="6" t="s">
        <v>7</v>
      </c>
    </row>
    <row r="5" spans="1:15" ht="22.5" customHeight="1" x14ac:dyDescent="0.3">
      <c r="C5" s="7" t="s">
        <v>8</v>
      </c>
      <c r="D5" s="8">
        <f>'[3]3_Comp_Subcomp e Produtos'!E1</f>
        <v>2.2000000000000002</v>
      </c>
      <c r="L5" s="9" t="s">
        <v>9</v>
      </c>
    </row>
    <row r="6" spans="1:15" ht="12.75" customHeight="1" x14ac:dyDescent="0.3">
      <c r="A6" s="609" t="s">
        <v>10</v>
      </c>
      <c r="B6" s="606" t="s">
        <v>11</v>
      </c>
      <c r="C6" s="606" t="s">
        <v>12</v>
      </c>
      <c r="D6" s="606" t="s">
        <v>13</v>
      </c>
      <c r="E6" s="606" t="s">
        <v>14</v>
      </c>
      <c r="F6" s="606" t="s">
        <v>15</v>
      </c>
      <c r="G6" s="606" t="s">
        <v>16</v>
      </c>
      <c r="H6" s="610" t="s">
        <v>17</v>
      </c>
      <c r="I6" s="610"/>
      <c r="J6" s="610" t="s">
        <v>18</v>
      </c>
      <c r="K6" s="610"/>
      <c r="L6" s="606" t="s">
        <v>19</v>
      </c>
      <c r="M6" s="607" t="s">
        <v>20</v>
      </c>
    </row>
    <row r="7" spans="1:15" ht="27.6" x14ac:dyDescent="0.3">
      <c r="A7" s="609"/>
      <c r="B7" s="606"/>
      <c r="C7" s="606"/>
      <c r="D7" s="606"/>
      <c r="E7" s="606"/>
      <c r="F7" s="606"/>
      <c r="G7" s="606"/>
      <c r="H7" s="10" t="s">
        <v>21</v>
      </c>
      <c r="I7" s="10" t="s">
        <v>22</v>
      </c>
      <c r="J7" s="10" t="s">
        <v>176</v>
      </c>
      <c r="K7" s="10" t="s">
        <v>24</v>
      </c>
      <c r="L7" s="606"/>
      <c r="M7" s="607"/>
    </row>
    <row r="8" spans="1:15" ht="12.75" customHeight="1" x14ac:dyDescent="0.3">
      <c r="A8" s="608" t="s">
        <v>25</v>
      </c>
      <c r="B8" s="608"/>
      <c r="C8" s="608"/>
      <c r="D8" s="608"/>
      <c r="E8" s="608"/>
      <c r="F8" s="608"/>
      <c r="G8" s="608"/>
      <c r="H8" s="608"/>
      <c r="I8" s="608"/>
      <c r="J8" s="608"/>
      <c r="K8" s="608"/>
      <c r="L8" s="608"/>
      <c r="M8" s="608"/>
    </row>
    <row r="9" spans="1:15" ht="27.6" x14ac:dyDescent="0.3">
      <c r="A9" s="11" t="s">
        <v>26</v>
      </c>
      <c r="B9" s="12" t="s">
        <v>177</v>
      </c>
      <c r="C9" s="13" t="s">
        <v>28</v>
      </c>
      <c r="D9" s="14">
        <v>112000</v>
      </c>
      <c r="E9" s="15">
        <f t="shared" ref="E9:E26" si="0">D9/$D$5</f>
        <v>50909.090909090904</v>
      </c>
      <c r="F9" s="16" t="s">
        <v>29</v>
      </c>
      <c r="G9" s="16" t="s">
        <v>30</v>
      </c>
      <c r="H9" s="17">
        <v>1</v>
      </c>
      <c r="I9" s="17"/>
      <c r="J9" s="18" t="s">
        <v>43</v>
      </c>
      <c r="K9" s="18" t="s">
        <v>32</v>
      </c>
      <c r="L9" s="18" t="s">
        <v>33</v>
      </c>
      <c r="M9" s="67" t="s">
        <v>178</v>
      </c>
    </row>
    <row r="10" spans="1:15" x14ac:dyDescent="0.3">
      <c r="A10" s="11" t="s">
        <v>34</v>
      </c>
      <c r="B10" s="12" t="s">
        <v>35</v>
      </c>
      <c r="C10" s="13" t="s">
        <v>28</v>
      </c>
      <c r="D10" s="14">
        <v>250000</v>
      </c>
      <c r="E10" s="15">
        <f t="shared" si="0"/>
        <v>113636.36363636363</v>
      </c>
      <c r="F10" s="16" t="s">
        <v>36</v>
      </c>
      <c r="G10" s="16" t="s">
        <v>37</v>
      </c>
      <c r="H10" s="17">
        <v>0.8</v>
      </c>
      <c r="I10" s="17">
        <v>0.2</v>
      </c>
      <c r="J10" s="18" t="s">
        <v>43</v>
      </c>
      <c r="K10" s="18" t="s">
        <v>179</v>
      </c>
      <c r="L10" s="18" t="s">
        <v>33</v>
      </c>
      <c r="M10" s="67"/>
    </row>
    <row r="11" spans="1:15" ht="27.6" x14ac:dyDescent="0.3">
      <c r="A11" s="11" t="s">
        <v>39</v>
      </c>
      <c r="B11" s="20" t="s">
        <v>40</v>
      </c>
      <c r="C11" s="21" t="s">
        <v>41</v>
      </c>
      <c r="D11" s="15">
        <v>25000</v>
      </c>
      <c r="E11" s="15">
        <f t="shared" si="0"/>
        <v>11363.636363636362</v>
      </c>
      <c r="F11" s="16" t="s">
        <v>42</v>
      </c>
      <c r="G11" s="16" t="s">
        <v>30</v>
      </c>
      <c r="H11" s="17">
        <v>1</v>
      </c>
      <c r="I11" s="22"/>
      <c r="J11" s="23" t="s">
        <v>180</v>
      </c>
      <c r="K11" s="23" t="s">
        <v>44</v>
      </c>
      <c r="L11" s="18" t="s">
        <v>33</v>
      </c>
      <c r="M11" s="69"/>
    </row>
    <row r="12" spans="1:15" ht="27.6" x14ac:dyDescent="0.3">
      <c r="A12" s="11" t="s">
        <v>45</v>
      </c>
      <c r="B12" s="20" t="s">
        <v>46</v>
      </c>
      <c r="C12" s="21" t="s">
        <v>47</v>
      </c>
      <c r="D12" s="15">
        <v>144000</v>
      </c>
      <c r="E12" s="15">
        <f t="shared" si="0"/>
        <v>65454.545454545449</v>
      </c>
      <c r="F12" s="13" t="s">
        <v>48</v>
      </c>
      <c r="G12" s="13" t="s">
        <v>30</v>
      </c>
      <c r="H12" s="17"/>
      <c r="I12" s="22">
        <v>1</v>
      </c>
      <c r="J12" s="23" t="s">
        <v>32</v>
      </c>
      <c r="K12" s="23" t="s">
        <v>50</v>
      </c>
      <c r="L12" s="18" t="s">
        <v>33</v>
      </c>
      <c r="M12" s="69"/>
    </row>
    <row r="13" spans="1:15" ht="41.4" x14ac:dyDescent="0.3">
      <c r="A13" s="11" t="s">
        <v>51</v>
      </c>
      <c r="B13" s="20" t="s">
        <v>52</v>
      </c>
      <c r="C13" s="21" t="s">
        <v>41</v>
      </c>
      <c r="D13" s="15">
        <v>900000</v>
      </c>
      <c r="E13" s="15">
        <f t="shared" si="0"/>
        <v>409090.90909090906</v>
      </c>
      <c r="F13" s="13" t="s">
        <v>36</v>
      </c>
      <c r="G13" s="13" t="s">
        <v>37</v>
      </c>
      <c r="H13" s="17">
        <v>1</v>
      </c>
      <c r="I13" s="22"/>
      <c r="J13" s="23" t="s">
        <v>74</v>
      </c>
      <c r="K13" s="23" t="s">
        <v>38</v>
      </c>
      <c r="L13" s="18" t="s">
        <v>33</v>
      </c>
      <c r="M13" s="69"/>
    </row>
    <row r="14" spans="1:15" ht="41.4" x14ac:dyDescent="0.3">
      <c r="A14" s="11" t="s">
        <v>53</v>
      </c>
      <c r="B14" s="20" t="s">
        <v>54</v>
      </c>
      <c r="C14" s="21" t="s">
        <v>55</v>
      </c>
      <c r="D14" s="65">
        <v>198300</v>
      </c>
      <c r="E14" s="15">
        <f t="shared" si="0"/>
        <v>90136.363636363632</v>
      </c>
      <c r="F14" s="13" t="s">
        <v>201</v>
      </c>
      <c r="G14" s="13" t="s">
        <v>37</v>
      </c>
      <c r="H14" s="17">
        <v>1</v>
      </c>
      <c r="I14" s="22"/>
      <c r="J14" s="23" t="s">
        <v>180</v>
      </c>
      <c r="K14" s="23" t="s">
        <v>56</v>
      </c>
      <c r="L14" s="18" t="s">
        <v>33</v>
      </c>
      <c r="M14" s="116" t="s">
        <v>207</v>
      </c>
      <c r="O14" s="60"/>
    </row>
    <row r="15" spans="1:15" ht="27.6" x14ac:dyDescent="0.3">
      <c r="A15" s="11" t="s">
        <v>57</v>
      </c>
      <c r="B15" s="20" t="s">
        <v>58</v>
      </c>
      <c r="C15" s="21" t="s">
        <v>55</v>
      </c>
      <c r="D15" s="15">
        <v>60900</v>
      </c>
      <c r="E15" s="15">
        <f t="shared" si="0"/>
        <v>27681.81818181818</v>
      </c>
      <c r="F15" s="16" t="s">
        <v>42</v>
      </c>
      <c r="G15" s="13" t="s">
        <v>30</v>
      </c>
      <c r="H15" s="17">
        <v>1</v>
      </c>
      <c r="I15" s="22"/>
      <c r="J15" s="23" t="s">
        <v>181</v>
      </c>
      <c r="K15" s="23" t="s">
        <v>59</v>
      </c>
      <c r="L15" s="18" t="s">
        <v>33</v>
      </c>
      <c r="M15" s="69"/>
    </row>
    <row r="16" spans="1:15" ht="41.4" x14ac:dyDescent="0.3">
      <c r="A16" s="11" t="s">
        <v>60</v>
      </c>
      <c r="B16" s="25" t="s">
        <v>61</v>
      </c>
      <c r="C16" s="21" t="s">
        <v>62</v>
      </c>
      <c r="D16" s="15">
        <v>260000</v>
      </c>
      <c r="E16" s="15">
        <f t="shared" si="0"/>
        <v>118181.81818181818</v>
      </c>
      <c r="F16" s="16" t="s">
        <v>42</v>
      </c>
      <c r="G16" s="13" t="s">
        <v>30</v>
      </c>
      <c r="H16" s="17">
        <v>1</v>
      </c>
      <c r="I16" s="22"/>
      <c r="J16" s="23" t="s">
        <v>182</v>
      </c>
      <c r="K16" s="23" t="s">
        <v>38</v>
      </c>
      <c r="L16" s="18" t="s">
        <v>33</v>
      </c>
      <c r="M16" s="69"/>
    </row>
    <row r="17" spans="1:13" ht="69" x14ac:dyDescent="0.3">
      <c r="A17" s="11" t="s">
        <v>63</v>
      </c>
      <c r="B17" s="20" t="s">
        <v>64</v>
      </c>
      <c r="C17" s="21" t="s">
        <v>65</v>
      </c>
      <c r="D17" s="15">
        <v>400000</v>
      </c>
      <c r="E17" s="15">
        <f t="shared" si="0"/>
        <v>181818.18181818179</v>
      </c>
      <c r="F17" s="16" t="s">
        <v>42</v>
      </c>
      <c r="G17" s="16" t="s">
        <v>30</v>
      </c>
      <c r="H17" s="17">
        <v>1</v>
      </c>
      <c r="I17" s="22"/>
      <c r="J17" s="23" t="s">
        <v>183</v>
      </c>
      <c r="K17" s="23" t="s">
        <v>38</v>
      </c>
      <c r="L17" s="18" t="s">
        <v>33</v>
      </c>
      <c r="M17" s="69"/>
    </row>
    <row r="18" spans="1:13" x14ac:dyDescent="0.3">
      <c r="A18" s="11" t="s">
        <v>66</v>
      </c>
      <c r="B18" s="70" t="s">
        <v>67</v>
      </c>
      <c r="C18" s="21" t="s">
        <v>68</v>
      </c>
      <c r="D18" s="15">
        <v>600000</v>
      </c>
      <c r="E18" s="15">
        <f t="shared" si="0"/>
        <v>272727.27272727271</v>
      </c>
      <c r="F18" s="16" t="s">
        <v>69</v>
      </c>
      <c r="G18" s="16" t="s">
        <v>30</v>
      </c>
      <c r="H18" s="17">
        <v>1</v>
      </c>
      <c r="I18" s="22"/>
      <c r="J18" s="23" t="s">
        <v>184</v>
      </c>
      <c r="K18" s="23" t="s">
        <v>70</v>
      </c>
      <c r="L18" s="18" t="s">
        <v>33</v>
      </c>
      <c r="M18" s="69"/>
    </row>
    <row r="19" spans="1:13" ht="27.6" x14ac:dyDescent="0.3">
      <c r="A19" s="11" t="s">
        <v>71</v>
      </c>
      <c r="B19" s="20" t="s">
        <v>72</v>
      </c>
      <c r="C19" s="27" t="s">
        <v>73</v>
      </c>
      <c r="D19" s="15">
        <v>450000</v>
      </c>
      <c r="E19" s="15">
        <f t="shared" si="0"/>
        <v>204545.45454545453</v>
      </c>
      <c r="F19" s="16" t="s">
        <v>69</v>
      </c>
      <c r="G19" s="28" t="s">
        <v>37</v>
      </c>
      <c r="H19" s="17">
        <v>1</v>
      </c>
      <c r="I19" s="17"/>
      <c r="J19" s="18" t="s">
        <v>74</v>
      </c>
      <c r="K19" s="18" t="s">
        <v>75</v>
      </c>
      <c r="L19" s="18" t="s">
        <v>33</v>
      </c>
      <c r="M19" s="67"/>
    </row>
    <row r="20" spans="1:13" ht="27.6" x14ac:dyDescent="0.3">
      <c r="A20" s="11" t="s">
        <v>76</v>
      </c>
      <c r="B20" s="20" t="s">
        <v>77</v>
      </c>
      <c r="C20" s="21" t="s">
        <v>78</v>
      </c>
      <c r="D20" s="15">
        <v>249000</v>
      </c>
      <c r="E20" s="15">
        <f t="shared" si="0"/>
        <v>113181.81818181818</v>
      </c>
      <c r="F20" s="16" t="s">
        <v>42</v>
      </c>
      <c r="G20" s="16" t="s">
        <v>30</v>
      </c>
      <c r="H20" s="17">
        <v>1</v>
      </c>
      <c r="I20" s="17"/>
      <c r="J20" s="18" t="s">
        <v>185</v>
      </c>
      <c r="K20" s="18" t="s">
        <v>59</v>
      </c>
      <c r="L20" s="18" t="s">
        <v>33</v>
      </c>
      <c r="M20" s="67"/>
    </row>
    <row r="21" spans="1:13" ht="27.6" x14ac:dyDescent="0.3">
      <c r="A21" s="11" t="s">
        <v>79</v>
      </c>
      <c r="B21" s="12" t="s">
        <v>80</v>
      </c>
      <c r="C21" s="13" t="s">
        <v>65</v>
      </c>
      <c r="D21" s="29">
        <v>427800</v>
      </c>
      <c r="E21" s="15">
        <f t="shared" si="0"/>
        <v>194454.54545454544</v>
      </c>
      <c r="F21" s="16" t="s">
        <v>42</v>
      </c>
      <c r="G21" s="16" t="s">
        <v>30</v>
      </c>
      <c r="H21" s="17">
        <v>1</v>
      </c>
      <c r="I21" s="22"/>
      <c r="J21" s="18" t="s">
        <v>186</v>
      </c>
      <c r="K21" s="23" t="s">
        <v>38</v>
      </c>
      <c r="L21" s="18" t="s">
        <v>33</v>
      </c>
      <c r="M21" s="69"/>
    </row>
    <row r="22" spans="1:13" ht="27.6" x14ac:dyDescent="0.3">
      <c r="A22" s="11" t="s">
        <v>81</v>
      </c>
      <c r="B22" s="12" t="s">
        <v>82</v>
      </c>
      <c r="C22" s="13" t="s">
        <v>65</v>
      </c>
      <c r="D22" s="29">
        <v>135600</v>
      </c>
      <c r="E22" s="15">
        <f t="shared" si="0"/>
        <v>61636.363636363632</v>
      </c>
      <c r="F22" s="16" t="s">
        <v>42</v>
      </c>
      <c r="G22" s="16" t="s">
        <v>30</v>
      </c>
      <c r="H22" s="17">
        <v>1</v>
      </c>
      <c r="I22" s="22"/>
      <c r="J22" s="18" t="s">
        <v>186</v>
      </c>
      <c r="K22" s="23" t="s">
        <v>38</v>
      </c>
      <c r="L22" s="18" t="s">
        <v>33</v>
      </c>
      <c r="M22" s="69"/>
    </row>
    <row r="23" spans="1:13" ht="55.2" x14ac:dyDescent="0.3">
      <c r="A23" s="117" t="s">
        <v>83</v>
      </c>
      <c r="B23" s="118" t="s">
        <v>84</v>
      </c>
      <c r="C23" s="119" t="s">
        <v>85</v>
      </c>
      <c r="D23" s="120">
        <v>400000</v>
      </c>
      <c r="E23" s="120">
        <f t="shared" si="0"/>
        <v>181818.18181818179</v>
      </c>
      <c r="F23" s="121" t="s">
        <v>42</v>
      </c>
      <c r="G23" s="121" t="s">
        <v>30</v>
      </c>
      <c r="H23" s="102">
        <v>1</v>
      </c>
      <c r="I23" s="102"/>
      <c r="J23" s="122" t="s">
        <v>183</v>
      </c>
      <c r="K23" s="122" t="s">
        <v>38</v>
      </c>
      <c r="L23" s="123" t="s">
        <v>191</v>
      </c>
      <c r="M23" s="124" t="s">
        <v>208</v>
      </c>
    </row>
    <row r="24" spans="1:13" ht="27.6" x14ac:dyDescent="0.3">
      <c r="A24" s="11" t="s">
        <v>86</v>
      </c>
      <c r="B24" s="12" t="s">
        <v>87</v>
      </c>
      <c r="C24" s="13" t="s">
        <v>88</v>
      </c>
      <c r="D24" s="29">
        <v>85000</v>
      </c>
      <c r="E24" s="15">
        <f t="shared" si="0"/>
        <v>38636.363636363632</v>
      </c>
      <c r="F24" s="16" t="s">
        <v>42</v>
      </c>
      <c r="G24" s="13" t="s">
        <v>30</v>
      </c>
      <c r="H24" s="17">
        <v>1</v>
      </c>
      <c r="I24" s="22"/>
      <c r="J24" s="18" t="s">
        <v>43</v>
      </c>
      <c r="K24" s="23" t="s">
        <v>89</v>
      </c>
      <c r="L24" s="18" t="s">
        <v>33</v>
      </c>
      <c r="M24" s="69"/>
    </row>
    <row r="25" spans="1:13" ht="27.6" x14ac:dyDescent="0.3">
      <c r="A25" s="11" t="s">
        <v>187</v>
      </c>
      <c r="B25" s="12" t="s">
        <v>188</v>
      </c>
      <c r="C25" s="13" t="s">
        <v>28</v>
      </c>
      <c r="D25" s="29">
        <v>185000</v>
      </c>
      <c r="E25" s="15">
        <f t="shared" si="0"/>
        <v>84090.909090909088</v>
      </c>
      <c r="F25" s="16" t="s">
        <v>29</v>
      </c>
      <c r="G25" s="13" t="s">
        <v>30</v>
      </c>
      <c r="H25" s="17">
        <v>1</v>
      </c>
      <c r="I25" s="22"/>
      <c r="J25" s="18" t="s">
        <v>43</v>
      </c>
      <c r="K25" s="23" t="s">
        <v>32</v>
      </c>
      <c r="L25" s="18" t="s">
        <v>33</v>
      </c>
      <c r="M25" s="69"/>
    </row>
    <row r="26" spans="1:13" ht="13.5" customHeight="1" x14ac:dyDescent="0.3">
      <c r="A26" s="611" t="s">
        <v>90</v>
      </c>
      <c r="B26" s="611"/>
      <c r="C26" s="31"/>
      <c r="D26" s="32">
        <f>SUM(D9:D25)-D23</f>
        <v>4482600</v>
      </c>
      <c r="E26" s="32">
        <f t="shared" si="0"/>
        <v>2037545.4545454544</v>
      </c>
      <c r="F26" s="612"/>
      <c r="G26" s="612"/>
      <c r="H26" s="612"/>
      <c r="I26" s="612"/>
      <c r="J26" s="612"/>
      <c r="K26" s="612"/>
      <c r="L26" s="612"/>
      <c r="M26" s="612"/>
    </row>
    <row r="27" spans="1:13" ht="12.9" customHeight="1" x14ac:dyDescent="0.3">
      <c r="A27" s="608" t="s">
        <v>91</v>
      </c>
      <c r="B27" s="608"/>
      <c r="C27" s="608"/>
      <c r="D27" s="608"/>
      <c r="E27" s="608"/>
      <c r="F27" s="608"/>
      <c r="G27" s="608"/>
      <c r="H27" s="608"/>
      <c r="I27" s="608"/>
      <c r="J27" s="608"/>
      <c r="K27" s="608"/>
      <c r="L27" s="608"/>
      <c r="M27" s="608"/>
    </row>
    <row r="28" spans="1:13" ht="41.4" x14ac:dyDescent="0.3">
      <c r="A28" s="33" t="s">
        <v>92</v>
      </c>
      <c r="B28" s="12" t="s">
        <v>93</v>
      </c>
      <c r="C28" s="34" t="s">
        <v>94</v>
      </c>
      <c r="D28" s="35">
        <v>204000</v>
      </c>
      <c r="E28" s="29">
        <f>D28/$D$5</f>
        <v>92727.272727272721</v>
      </c>
      <c r="F28" s="13" t="s">
        <v>95</v>
      </c>
      <c r="G28" s="13" t="s">
        <v>30</v>
      </c>
      <c r="H28" s="17">
        <v>1</v>
      </c>
      <c r="I28" s="22"/>
      <c r="J28" s="23" t="s">
        <v>32</v>
      </c>
      <c r="K28" s="23" t="s">
        <v>97</v>
      </c>
      <c r="L28" s="23" t="s">
        <v>33</v>
      </c>
      <c r="M28" s="69"/>
    </row>
    <row r="29" spans="1:13" ht="27.6" x14ac:dyDescent="0.3">
      <c r="A29" s="33" t="s">
        <v>98</v>
      </c>
      <c r="B29" s="12" t="s">
        <v>99</v>
      </c>
      <c r="C29" s="13" t="s">
        <v>100</v>
      </c>
      <c r="D29" s="14">
        <v>35000</v>
      </c>
      <c r="E29" s="29">
        <f>D29/$D$5</f>
        <v>15909.090909090908</v>
      </c>
      <c r="F29" s="13" t="s">
        <v>95</v>
      </c>
      <c r="G29" s="13" t="s">
        <v>30</v>
      </c>
      <c r="H29" s="22">
        <v>1</v>
      </c>
      <c r="I29" s="22"/>
      <c r="J29" s="23" t="s">
        <v>184</v>
      </c>
      <c r="K29" s="23" t="s">
        <v>97</v>
      </c>
      <c r="L29" s="23" t="s">
        <v>33</v>
      </c>
      <c r="M29" s="69"/>
    </row>
    <row r="30" spans="1:13" ht="27.6" x14ac:dyDescent="0.3">
      <c r="A30" s="33" t="s">
        <v>189</v>
      </c>
      <c r="B30" s="12" t="s">
        <v>190</v>
      </c>
      <c r="C30" s="13" t="s">
        <v>111</v>
      </c>
      <c r="D30" s="14">
        <v>100000</v>
      </c>
      <c r="E30" s="29">
        <f>D30/$D$5</f>
        <v>45454.545454545449</v>
      </c>
      <c r="F30" s="13" t="s">
        <v>106</v>
      </c>
      <c r="G30" s="13" t="s">
        <v>30</v>
      </c>
      <c r="H30" s="22">
        <v>1</v>
      </c>
      <c r="I30" s="22"/>
      <c r="J30" s="23" t="s">
        <v>49</v>
      </c>
      <c r="K30" s="23" t="s">
        <v>50</v>
      </c>
      <c r="L30" s="23" t="s">
        <v>33</v>
      </c>
      <c r="M30" s="69"/>
    </row>
    <row r="31" spans="1:13" ht="27.6" x14ac:dyDescent="0.3">
      <c r="A31" s="106" t="s">
        <v>209</v>
      </c>
      <c r="B31" s="107" t="s">
        <v>210</v>
      </c>
      <c r="C31" s="108" t="s">
        <v>211</v>
      </c>
      <c r="D31" s="109">
        <v>900000</v>
      </c>
      <c r="E31" s="110">
        <f>D31/$D$5</f>
        <v>409090.90909090906</v>
      </c>
      <c r="F31" s="111" t="s">
        <v>106</v>
      </c>
      <c r="G31" s="111" t="s">
        <v>30</v>
      </c>
      <c r="H31" s="112">
        <v>1</v>
      </c>
      <c r="I31" s="112"/>
      <c r="J31" s="113" t="s">
        <v>49</v>
      </c>
      <c r="K31" s="113" t="s">
        <v>50</v>
      </c>
      <c r="L31" s="114" t="s">
        <v>33</v>
      </c>
      <c r="M31" s="115" t="s">
        <v>212</v>
      </c>
    </row>
    <row r="32" spans="1:13" ht="13.5" customHeight="1" x14ac:dyDescent="0.3">
      <c r="A32" s="611" t="s">
        <v>101</v>
      </c>
      <c r="B32" s="611"/>
      <c r="C32" s="31"/>
      <c r="D32" s="32">
        <f>SUM(D28:D31)</f>
        <v>1239000</v>
      </c>
      <c r="E32" s="32">
        <f>D32/$D$5</f>
        <v>563181.81818181812</v>
      </c>
      <c r="F32" s="612"/>
      <c r="G32" s="612"/>
      <c r="H32" s="612"/>
      <c r="I32" s="612"/>
      <c r="J32" s="612"/>
      <c r="K32" s="612"/>
      <c r="L32" s="612"/>
      <c r="M32" s="612"/>
    </row>
    <row r="33" spans="1:15" ht="12.9" customHeight="1" x14ac:dyDescent="0.3">
      <c r="A33" s="608" t="s">
        <v>102</v>
      </c>
      <c r="B33" s="608"/>
      <c r="C33" s="608"/>
      <c r="D33" s="608"/>
      <c r="E33" s="608"/>
      <c r="F33" s="608"/>
      <c r="G33" s="608"/>
      <c r="H33" s="608"/>
      <c r="I33" s="608"/>
      <c r="J33" s="608"/>
      <c r="K33" s="608"/>
      <c r="L33" s="608"/>
      <c r="M33" s="608"/>
    </row>
    <row r="34" spans="1:15" ht="27.6" x14ac:dyDescent="0.3">
      <c r="A34" s="33" t="s">
        <v>103</v>
      </c>
      <c r="B34" s="20" t="s">
        <v>104</v>
      </c>
      <c r="C34" s="21" t="s">
        <v>105</v>
      </c>
      <c r="D34" s="15">
        <v>320000</v>
      </c>
      <c r="E34" s="15">
        <f t="shared" ref="E34:E59" si="1">D34/$D$5</f>
        <v>145454.54545454544</v>
      </c>
      <c r="F34" s="13" t="s">
        <v>106</v>
      </c>
      <c r="G34" s="13" t="s">
        <v>30</v>
      </c>
      <c r="H34" s="17">
        <v>1</v>
      </c>
      <c r="I34" s="22"/>
      <c r="J34" s="23" t="s">
        <v>49</v>
      </c>
      <c r="K34" s="18" t="s">
        <v>59</v>
      </c>
      <c r="L34" s="18" t="s">
        <v>33</v>
      </c>
      <c r="M34" s="67"/>
    </row>
    <row r="35" spans="1:15" ht="27.6" x14ac:dyDescent="0.3">
      <c r="A35" s="33" t="s">
        <v>107</v>
      </c>
      <c r="B35" s="20" t="s">
        <v>108</v>
      </c>
      <c r="C35" s="21" t="s">
        <v>55</v>
      </c>
      <c r="D35" s="65">
        <v>5000</v>
      </c>
      <c r="E35" s="15">
        <f t="shared" si="1"/>
        <v>2272.7272727272725</v>
      </c>
      <c r="F35" s="13" t="s">
        <v>106</v>
      </c>
      <c r="G35" s="13" t="s">
        <v>30</v>
      </c>
      <c r="H35" s="17">
        <v>1</v>
      </c>
      <c r="I35" s="22"/>
      <c r="J35" s="23" t="s">
        <v>180</v>
      </c>
      <c r="K35" s="23" t="s">
        <v>56</v>
      </c>
      <c r="L35" s="18" t="s">
        <v>33</v>
      </c>
      <c r="M35" s="116" t="s">
        <v>213</v>
      </c>
    </row>
    <row r="36" spans="1:15" ht="27.6" x14ac:dyDescent="0.3">
      <c r="A36" s="88" t="s">
        <v>109</v>
      </c>
      <c r="B36" s="89" t="s">
        <v>110</v>
      </c>
      <c r="C36" s="90" t="s">
        <v>111</v>
      </c>
      <c r="D36" s="91">
        <v>100000</v>
      </c>
      <c r="E36" s="91">
        <f t="shared" si="1"/>
        <v>45454.545454545449</v>
      </c>
      <c r="F36" s="92" t="s">
        <v>106</v>
      </c>
      <c r="G36" s="92" t="s">
        <v>30</v>
      </c>
      <c r="H36" s="93">
        <v>1</v>
      </c>
      <c r="I36" s="93"/>
      <c r="J36" s="94" t="s">
        <v>49</v>
      </c>
      <c r="K36" s="94" t="s">
        <v>50</v>
      </c>
      <c r="L36" s="95" t="s">
        <v>191</v>
      </c>
      <c r="M36" s="96" t="s">
        <v>214</v>
      </c>
    </row>
    <row r="37" spans="1:15" ht="27.6" x14ac:dyDescent="0.3">
      <c r="A37" s="33" t="s">
        <v>112</v>
      </c>
      <c r="B37" s="20" t="s">
        <v>113</v>
      </c>
      <c r="C37" s="21" t="s">
        <v>114</v>
      </c>
      <c r="D37" s="36">
        <v>200000</v>
      </c>
      <c r="E37" s="15">
        <f t="shared" si="1"/>
        <v>90909.090909090897</v>
      </c>
      <c r="F37" s="13" t="s">
        <v>106</v>
      </c>
      <c r="G37" s="13" t="s">
        <v>30</v>
      </c>
      <c r="H37" s="22">
        <v>1</v>
      </c>
      <c r="I37" s="22"/>
      <c r="J37" s="23" t="s">
        <v>49</v>
      </c>
      <c r="K37" s="23" t="s">
        <v>50</v>
      </c>
      <c r="L37" s="18" t="s">
        <v>33</v>
      </c>
      <c r="M37" s="69"/>
    </row>
    <row r="38" spans="1:15" ht="27.6" x14ac:dyDescent="0.3">
      <c r="A38" s="33" t="s">
        <v>115</v>
      </c>
      <c r="B38" s="37" t="s">
        <v>116</v>
      </c>
      <c r="C38" s="21" t="s">
        <v>88</v>
      </c>
      <c r="D38" s="36">
        <v>750000</v>
      </c>
      <c r="E38" s="15">
        <f t="shared" si="1"/>
        <v>340909.09090909088</v>
      </c>
      <c r="F38" s="13" t="s">
        <v>106</v>
      </c>
      <c r="G38" s="13" t="s">
        <v>30</v>
      </c>
      <c r="H38" s="22"/>
      <c r="I38" s="22">
        <v>1</v>
      </c>
      <c r="J38" s="23" t="s">
        <v>32</v>
      </c>
      <c r="K38" s="23" t="s">
        <v>56</v>
      </c>
      <c r="L38" s="18" t="s">
        <v>33</v>
      </c>
      <c r="M38" s="69"/>
    </row>
    <row r="39" spans="1:15" x14ac:dyDescent="0.3">
      <c r="A39" s="117" t="s">
        <v>117</v>
      </c>
      <c r="B39" s="118" t="s">
        <v>118</v>
      </c>
      <c r="C39" s="119" t="s">
        <v>88</v>
      </c>
      <c r="D39" s="120">
        <v>500000</v>
      </c>
      <c r="E39" s="120">
        <f t="shared" si="1"/>
        <v>227272.72727272726</v>
      </c>
      <c r="F39" s="121" t="s">
        <v>106</v>
      </c>
      <c r="G39" s="121" t="s">
        <v>30</v>
      </c>
      <c r="H39" s="102">
        <v>1</v>
      </c>
      <c r="I39" s="102"/>
      <c r="J39" s="122" t="s">
        <v>180</v>
      </c>
      <c r="K39" s="122" t="s">
        <v>44</v>
      </c>
      <c r="L39" s="123" t="s">
        <v>191</v>
      </c>
      <c r="M39" s="124" t="s">
        <v>208</v>
      </c>
    </row>
    <row r="40" spans="1:15" x14ac:dyDescent="0.3">
      <c r="A40" s="33" t="s">
        <v>119</v>
      </c>
      <c r="B40" s="37" t="s">
        <v>120</v>
      </c>
      <c r="C40" s="21" t="s">
        <v>88</v>
      </c>
      <c r="D40" s="36">
        <v>960000</v>
      </c>
      <c r="E40" s="15">
        <f t="shared" si="1"/>
        <v>436363.63636363635</v>
      </c>
      <c r="F40" s="13" t="s">
        <v>106</v>
      </c>
      <c r="G40" s="13" t="s">
        <v>30</v>
      </c>
      <c r="H40" s="22">
        <v>1</v>
      </c>
      <c r="I40" s="22"/>
      <c r="J40" s="23" t="s">
        <v>43</v>
      </c>
      <c r="K40" s="23" t="s">
        <v>44</v>
      </c>
      <c r="L40" s="18" t="s">
        <v>33</v>
      </c>
      <c r="M40" s="69"/>
    </row>
    <row r="41" spans="1:15" x14ac:dyDescent="0.3">
      <c r="A41" s="33" t="s">
        <v>121</v>
      </c>
      <c r="B41" s="37" t="s">
        <v>122</v>
      </c>
      <c r="C41" s="21" t="s">
        <v>88</v>
      </c>
      <c r="D41" s="36">
        <v>107000</v>
      </c>
      <c r="E41" s="15">
        <f t="shared" si="1"/>
        <v>48636.363636363632</v>
      </c>
      <c r="F41" s="13" t="s">
        <v>106</v>
      </c>
      <c r="G41" s="13" t="s">
        <v>30</v>
      </c>
      <c r="H41" s="22">
        <v>1</v>
      </c>
      <c r="I41" s="22"/>
      <c r="J41" s="23" t="s">
        <v>43</v>
      </c>
      <c r="K41" s="23" t="s">
        <v>44</v>
      </c>
      <c r="L41" s="18" t="s">
        <v>33</v>
      </c>
      <c r="M41" s="69"/>
    </row>
    <row r="42" spans="1:15" x14ac:dyDescent="0.3">
      <c r="A42" s="33" t="s">
        <v>123</v>
      </c>
      <c r="B42" s="37" t="s">
        <v>124</v>
      </c>
      <c r="C42" s="21" t="s">
        <v>88</v>
      </c>
      <c r="D42" s="97">
        <v>73000</v>
      </c>
      <c r="E42" s="15">
        <f t="shared" si="1"/>
        <v>33181.818181818177</v>
      </c>
      <c r="F42" s="13" t="s">
        <v>106</v>
      </c>
      <c r="G42" s="13" t="s">
        <v>30</v>
      </c>
      <c r="H42" s="22">
        <v>1</v>
      </c>
      <c r="I42" s="22"/>
      <c r="J42" s="23" t="s">
        <v>43</v>
      </c>
      <c r="K42" s="23" t="s">
        <v>44</v>
      </c>
      <c r="L42" s="18" t="s">
        <v>33</v>
      </c>
      <c r="M42" s="116" t="s">
        <v>215</v>
      </c>
    </row>
    <row r="43" spans="1:15" s="39" customFormat="1" x14ac:dyDescent="0.3">
      <c r="A43" s="33" t="s">
        <v>125</v>
      </c>
      <c r="B43" s="37" t="s">
        <v>126</v>
      </c>
      <c r="C43" s="21" t="s">
        <v>88</v>
      </c>
      <c r="D43" s="38">
        <v>15000</v>
      </c>
      <c r="E43" s="15">
        <f t="shared" si="1"/>
        <v>6818.181818181818</v>
      </c>
      <c r="F43" s="13" t="s">
        <v>106</v>
      </c>
      <c r="G43" s="13" t="s">
        <v>30</v>
      </c>
      <c r="H43" s="22">
        <v>1</v>
      </c>
      <c r="I43" s="22"/>
      <c r="J43" s="23" t="s">
        <v>49</v>
      </c>
      <c r="K43" s="23" t="s">
        <v>44</v>
      </c>
      <c r="L43" s="18" t="s">
        <v>33</v>
      </c>
      <c r="M43" s="69"/>
      <c r="O43" s="2"/>
    </row>
    <row r="44" spans="1:15" x14ac:dyDescent="0.3">
      <c r="A44" s="33" t="s">
        <v>127</v>
      </c>
      <c r="B44" s="37" t="s">
        <v>128</v>
      </c>
      <c r="C44" s="21" t="s">
        <v>88</v>
      </c>
      <c r="D44" s="36">
        <v>311000</v>
      </c>
      <c r="E44" s="15">
        <f t="shared" si="1"/>
        <v>141363.63636363635</v>
      </c>
      <c r="F44" s="13" t="s">
        <v>106</v>
      </c>
      <c r="G44" s="13" t="s">
        <v>30</v>
      </c>
      <c r="H44" s="22">
        <v>1</v>
      </c>
      <c r="I44" s="22"/>
      <c r="J44" s="23" t="s">
        <v>49</v>
      </c>
      <c r="K44" s="23" t="s">
        <v>44</v>
      </c>
      <c r="L44" s="18" t="s">
        <v>33</v>
      </c>
      <c r="M44" s="69"/>
    </row>
    <row r="45" spans="1:15" x14ac:dyDescent="0.3">
      <c r="A45" s="88" t="s">
        <v>129</v>
      </c>
      <c r="B45" s="98" t="s">
        <v>130</v>
      </c>
      <c r="C45" s="92" t="s">
        <v>88</v>
      </c>
      <c r="D45" s="91">
        <v>30000</v>
      </c>
      <c r="E45" s="91">
        <f t="shared" si="1"/>
        <v>13636.363636363636</v>
      </c>
      <c r="F45" s="92" t="s">
        <v>106</v>
      </c>
      <c r="G45" s="92" t="s">
        <v>30</v>
      </c>
      <c r="H45" s="93">
        <v>1</v>
      </c>
      <c r="I45" s="93"/>
      <c r="J45" s="94" t="s">
        <v>49</v>
      </c>
      <c r="K45" s="94" t="s">
        <v>44</v>
      </c>
      <c r="L45" s="95" t="s">
        <v>191</v>
      </c>
      <c r="M45" s="96" t="s">
        <v>193</v>
      </c>
    </row>
    <row r="46" spans="1:15" ht="27.6" x14ac:dyDescent="0.3">
      <c r="A46" s="33" t="s">
        <v>131</v>
      </c>
      <c r="B46" s="37" t="s">
        <v>132</v>
      </c>
      <c r="C46" s="21" t="s">
        <v>88</v>
      </c>
      <c r="D46" s="36">
        <v>500000</v>
      </c>
      <c r="E46" s="15">
        <f t="shared" si="1"/>
        <v>227272.72727272726</v>
      </c>
      <c r="F46" s="13" t="s">
        <v>106</v>
      </c>
      <c r="G46" s="13" t="s">
        <v>30</v>
      </c>
      <c r="H46" s="22"/>
      <c r="I46" s="22">
        <v>1</v>
      </c>
      <c r="J46" s="23" t="s">
        <v>183</v>
      </c>
      <c r="K46" s="23" t="s">
        <v>38</v>
      </c>
      <c r="L46" s="18" t="s">
        <v>33</v>
      </c>
      <c r="M46" s="69"/>
    </row>
    <row r="47" spans="1:15" ht="27.6" x14ac:dyDescent="0.3">
      <c r="A47" s="33" t="s">
        <v>134</v>
      </c>
      <c r="B47" s="37" t="s">
        <v>135</v>
      </c>
      <c r="C47" s="21" t="s">
        <v>88</v>
      </c>
      <c r="D47" s="36">
        <v>100000</v>
      </c>
      <c r="E47" s="15">
        <f t="shared" si="1"/>
        <v>45454.545454545449</v>
      </c>
      <c r="F47" s="13" t="s">
        <v>106</v>
      </c>
      <c r="G47" s="13" t="s">
        <v>30</v>
      </c>
      <c r="H47" s="22">
        <v>1</v>
      </c>
      <c r="I47" s="22"/>
      <c r="J47" s="23" t="s">
        <v>50</v>
      </c>
      <c r="K47" s="23" t="s">
        <v>59</v>
      </c>
      <c r="L47" s="18" t="s">
        <v>33</v>
      </c>
      <c r="M47" s="69"/>
    </row>
    <row r="48" spans="1:15" x14ac:dyDescent="0.3">
      <c r="A48" s="33" t="s">
        <v>136</v>
      </c>
      <c r="B48" s="20" t="s">
        <v>137</v>
      </c>
      <c r="C48" s="21" t="s">
        <v>62</v>
      </c>
      <c r="D48" s="36">
        <v>400000</v>
      </c>
      <c r="E48" s="15">
        <f t="shared" si="1"/>
        <v>181818.18181818179</v>
      </c>
      <c r="F48" s="13" t="s">
        <v>106</v>
      </c>
      <c r="G48" s="13" t="s">
        <v>30</v>
      </c>
      <c r="H48" s="22">
        <v>1</v>
      </c>
      <c r="I48" s="22"/>
      <c r="J48" s="23" t="s">
        <v>75</v>
      </c>
      <c r="K48" s="23" t="s">
        <v>38</v>
      </c>
      <c r="L48" s="18" t="s">
        <v>33</v>
      </c>
      <c r="M48" s="69"/>
    </row>
    <row r="49" spans="1:13" ht="27.6" x14ac:dyDescent="0.3">
      <c r="A49" s="33" t="s">
        <v>138</v>
      </c>
      <c r="B49" s="41" t="s">
        <v>139</v>
      </c>
      <c r="C49" s="21" t="s">
        <v>78</v>
      </c>
      <c r="D49" s="36">
        <v>1803000</v>
      </c>
      <c r="E49" s="15">
        <f t="shared" si="1"/>
        <v>819545.45454545447</v>
      </c>
      <c r="F49" s="13" t="s">
        <v>106</v>
      </c>
      <c r="G49" s="13" t="s">
        <v>30</v>
      </c>
      <c r="H49" s="22">
        <v>1</v>
      </c>
      <c r="I49" s="22"/>
      <c r="J49" s="23" t="s">
        <v>44</v>
      </c>
      <c r="K49" s="23" t="s">
        <v>56</v>
      </c>
      <c r="L49" s="18" t="s">
        <v>33</v>
      </c>
      <c r="M49" s="69"/>
    </row>
    <row r="50" spans="1:13" ht="39.6" x14ac:dyDescent="0.3">
      <c r="A50" s="33" t="s">
        <v>140</v>
      </c>
      <c r="B50" s="41" t="s">
        <v>141</v>
      </c>
      <c r="C50" s="21" t="s">
        <v>78</v>
      </c>
      <c r="D50" s="36">
        <v>60000</v>
      </c>
      <c r="E50" s="15">
        <f t="shared" si="1"/>
        <v>27272.727272727272</v>
      </c>
      <c r="F50" s="13" t="s">
        <v>106</v>
      </c>
      <c r="G50" s="13" t="s">
        <v>30</v>
      </c>
      <c r="H50" s="22">
        <v>1</v>
      </c>
      <c r="I50" s="22"/>
      <c r="J50" s="23" t="s">
        <v>44</v>
      </c>
      <c r="K50" s="23" t="s">
        <v>56</v>
      </c>
      <c r="L50" s="18" t="s">
        <v>33</v>
      </c>
      <c r="M50" s="69"/>
    </row>
    <row r="51" spans="1:13" ht="27.6" x14ac:dyDescent="0.3">
      <c r="A51" s="33" t="s">
        <v>142</v>
      </c>
      <c r="B51" s="41" t="s">
        <v>143</v>
      </c>
      <c r="C51" s="21" t="s">
        <v>78</v>
      </c>
      <c r="D51" s="36">
        <v>750000</v>
      </c>
      <c r="E51" s="15">
        <f t="shared" si="1"/>
        <v>340909.09090909088</v>
      </c>
      <c r="F51" s="13" t="s">
        <v>106</v>
      </c>
      <c r="G51" s="13" t="s">
        <v>30</v>
      </c>
      <c r="H51" s="22">
        <v>1</v>
      </c>
      <c r="I51" s="22"/>
      <c r="J51" s="23" t="s">
        <v>49</v>
      </c>
      <c r="K51" s="23" t="s">
        <v>50</v>
      </c>
      <c r="L51" s="18" t="s">
        <v>33</v>
      </c>
      <c r="M51" s="69"/>
    </row>
    <row r="52" spans="1:13" ht="39.6" x14ac:dyDescent="0.3">
      <c r="A52" s="88" t="s">
        <v>144</v>
      </c>
      <c r="B52" s="101" t="s">
        <v>202</v>
      </c>
      <c r="C52" s="92" t="s">
        <v>28</v>
      </c>
      <c r="D52" s="91">
        <v>13000</v>
      </c>
      <c r="E52" s="91">
        <f t="shared" si="1"/>
        <v>5909.090909090909</v>
      </c>
      <c r="F52" s="92" t="s">
        <v>106</v>
      </c>
      <c r="G52" s="92" t="s">
        <v>30</v>
      </c>
      <c r="H52" s="93">
        <v>1</v>
      </c>
      <c r="I52" s="93"/>
      <c r="J52" s="94" t="s">
        <v>43</v>
      </c>
      <c r="K52" s="94" t="s">
        <v>43</v>
      </c>
      <c r="L52" s="95" t="s">
        <v>191</v>
      </c>
      <c r="M52" s="96" t="s">
        <v>194</v>
      </c>
    </row>
    <row r="53" spans="1:13" x14ac:dyDescent="0.3">
      <c r="A53" s="88" t="s">
        <v>147</v>
      </c>
      <c r="B53" s="101" t="s">
        <v>148</v>
      </c>
      <c r="C53" s="92" t="s">
        <v>28</v>
      </c>
      <c r="D53" s="91">
        <v>80000</v>
      </c>
      <c r="E53" s="91">
        <f t="shared" si="1"/>
        <v>36363.63636363636</v>
      </c>
      <c r="F53" s="92" t="s">
        <v>106</v>
      </c>
      <c r="G53" s="92" t="s">
        <v>30</v>
      </c>
      <c r="H53" s="93">
        <v>1</v>
      </c>
      <c r="I53" s="93"/>
      <c r="J53" s="94" t="s">
        <v>43</v>
      </c>
      <c r="K53" s="94" t="s">
        <v>43</v>
      </c>
      <c r="L53" s="95" t="s">
        <v>191</v>
      </c>
      <c r="M53" s="96" t="s">
        <v>195</v>
      </c>
    </row>
    <row r="54" spans="1:13" ht="27.6" x14ac:dyDescent="0.3">
      <c r="A54" s="33" t="s">
        <v>149</v>
      </c>
      <c r="B54" s="44" t="s">
        <v>150</v>
      </c>
      <c r="C54" s="13" t="s">
        <v>73</v>
      </c>
      <c r="D54" s="14">
        <v>150000</v>
      </c>
      <c r="E54" s="15">
        <f t="shared" si="1"/>
        <v>68181.818181818177</v>
      </c>
      <c r="F54" s="13" t="s">
        <v>106</v>
      </c>
      <c r="G54" s="13" t="s">
        <v>30</v>
      </c>
      <c r="H54" s="22">
        <v>1</v>
      </c>
      <c r="I54" s="22"/>
      <c r="J54" s="23" t="s">
        <v>196</v>
      </c>
      <c r="K54" s="23" t="s">
        <v>152</v>
      </c>
      <c r="L54" s="18" t="s">
        <v>33</v>
      </c>
      <c r="M54" s="69"/>
    </row>
    <row r="55" spans="1:13" ht="27.6" x14ac:dyDescent="0.3">
      <c r="A55" s="33" t="s">
        <v>153</v>
      </c>
      <c r="B55" s="12" t="s">
        <v>154</v>
      </c>
      <c r="C55" s="13" t="s">
        <v>105</v>
      </c>
      <c r="D55" s="14">
        <v>200000</v>
      </c>
      <c r="E55" s="15">
        <f t="shared" si="1"/>
        <v>90909.090909090897</v>
      </c>
      <c r="F55" s="13" t="s">
        <v>106</v>
      </c>
      <c r="G55" s="13" t="s">
        <v>30</v>
      </c>
      <c r="H55" s="22">
        <v>1</v>
      </c>
      <c r="I55" s="22"/>
      <c r="J55" s="23" t="s">
        <v>32</v>
      </c>
      <c r="K55" s="23" t="s">
        <v>56</v>
      </c>
      <c r="L55" s="18" t="s">
        <v>33</v>
      </c>
      <c r="M55" s="69"/>
    </row>
    <row r="56" spans="1:13" ht="41.4" x14ac:dyDescent="0.3">
      <c r="A56" s="33" t="s">
        <v>155</v>
      </c>
      <c r="B56" s="12" t="s">
        <v>156</v>
      </c>
      <c r="C56" s="13" t="s">
        <v>105</v>
      </c>
      <c r="D56" s="14">
        <v>180000</v>
      </c>
      <c r="E56" s="15">
        <f t="shared" si="1"/>
        <v>81818.181818181809</v>
      </c>
      <c r="F56" s="13" t="s">
        <v>106</v>
      </c>
      <c r="G56" s="13" t="s">
        <v>30</v>
      </c>
      <c r="H56" s="22">
        <v>1</v>
      </c>
      <c r="I56" s="22"/>
      <c r="J56" s="23" t="s">
        <v>32</v>
      </c>
      <c r="K56" s="23" t="s">
        <v>56</v>
      </c>
      <c r="L56" s="18" t="s">
        <v>33</v>
      </c>
      <c r="M56" s="69"/>
    </row>
    <row r="57" spans="1:13" ht="27.6" x14ac:dyDescent="0.3">
      <c r="A57" s="33" t="s">
        <v>157</v>
      </c>
      <c r="B57" s="12" t="s">
        <v>158</v>
      </c>
      <c r="C57" s="13" t="s">
        <v>73</v>
      </c>
      <c r="D57" s="14">
        <v>20000</v>
      </c>
      <c r="E57" s="15">
        <f t="shared" si="1"/>
        <v>9090.9090909090901</v>
      </c>
      <c r="F57" s="13" t="s">
        <v>95</v>
      </c>
      <c r="G57" s="13" t="s">
        <v>30</v>
      </c>
      <c r="H57" s="22">
        <v>1</v>
      </c>
      <c r="I57" s="22"/>
      <c r="J57" s="23" t="s">
        <v>197</v>
      </c>
      <c r="K57" s="23" t="s">
        <v>97</v>
      </c>
      <c r="L57" s="18" t="s">
        <v>33</v>
      </c>
      <c r="M57" s="69"/>
    </row>
    <row r="58" spans="1:13" x14ac:dyDescent="0.3">
      <c r="A58" s="106" t="s">
        <v>216</v>
      </c>
      <c r="B58" s="107" t="s">
        <v>217</v>
      </c>
      <c r="C58" s="108" t="s">
        <v>88</v>
      </c>
      <c r="D58" s="109">
        <v>15000</v>
      </c>
      <c r="E58" s="110">
        <f t="shared" si="1"/>
        <v>6818.181818181818</v>
      </c>
      <c r="F58" s="111" t="s">
        <v>95</v>
      </c>
      <c r="G58" s="111" t="s">
        <v>30</v>
      </c>
      <c r="H58" s="112">
        <v>1</v>
      </c>
      <c r="I58" s="112"/>
      <c r="J58" s="113" t="s">
        <v>49</v>
      </c>
      <c r="K58" s="113" t="s">
        <v>44</v>
      </c>
      <c r="L58" s="114" t="s">
        <v>33</v>
      </c>
      <c r="M58" s="115" t="s">
        <v>218</v>
      </c>
    </row>
    <row r="59" spans="1:13" ht="13.5" customHeight="1" x14ac:dyDescent="0.3">
      <c r="A59" s="611" t="s">
        <v>159</v>
      </c>
      <c r="B59" s="611"/>
      <c r="C59" s="31"/>
      <c r="D59" s="32">
        <f>SUM(D34:D58)-D45-D52-D53-D36-D39</f>
        <v>6919000</v>
      </c>
      <c r="E59" s="32">
        <f t="shared" si="1"/>
        <v>3144999.9999999995</v>
      </c>
      <c r="F59" s="612"/>
      <c r="G59" s="612"/>
      <c r="H59" s="612"/>
      <c r="I59" s="612"/>
      <c r="J59" s="612"/>
      <c r="K59" s="612"/>
      <c r="L59" s="612"/>
      <c r="M59" s="612"/>
    </row>
    <row r="60" spans="1:13" ht="12.9" customHeight="1" x14ac:dyDescent="0.3">
      <c r="A60" s="608" t="s">
        <v>198</v>
      </c>
      <c r="B60" s="608"/>
      <c r="C60" s="608"/>
      <c r="D60" s="608"/>
      <c r="E60" s="608"/>
      <c r="F60" s="608"/>
      <c r="G60" s="608"/>
      <c r="H60" s="608"/>
      <c r="I60" s="608"/>
      <c r="J60" s="608"/>
      <c r="K60" s="608"/>
      <c r="L60" s="608"/>
      <c r="M60" s="608"/>
    </row>
    <row r="61" spans="1:13" ht="27.6" x14ac:dyDescent="0.3">
      <c r="A61" s="33" t="s">
        <v>161</v>
      </c>
      <c r="B61" s="12" t="s">
        <v>162</v>
      </c>
      <c r="C61" s="34" t="s">
        <v>65</v>
      </c>
      <c r="D61" s="46">
        <v>3150000</v>
      </c>
      <c r="E61" s="46">
        <f>D61/$D$5</f>
        <v>1431818.1818181816</v>
      </c>
      <c r="F61" s="13" t="s">
        <v>48</v>
      </c>
      <c r="G61" s="13" t="s">
        <v>30</v>
      </c>
      <c r="H61" s="22"/>
      <c r="I61" s="22">
        <v>1</v>
      </c>
      <c r="J61" s="23" t="s">
        <v>96</v>
      </c>
      <c r="K61" s="23" t="s">
        <v>32</v>
      </c>
      <c r="L61" s="23" t="s">
        <v>163</v>
      </c>
      <c r="M61" s="69"/>
    </row>
    <row r="62" spans="1:13" x14ac:dyDescent="0.3">
      <c r="A62" s="33"/>
      <c r="B62" s="10" t="s">
        <v>164</v>
      </c>
      <c r="C62" s="47"/>
      <c r="D62" s="48">
        <f>D61</f>
        <v>3150000</v>
      </c>
      <c r="E62" s="48">
        <f>E61</f>
        <v>1431818.1818181816</v>
      </c>
      <c r="F62" s="612"/>
      <c r="G62" s="612"/>
      <c r="H62" s="612"/>
      <c r="I62" s="612"/>
      <c r="J62" s="612"/>
      <c r="K62" s="612"/>
      <c r="L62" s="612" t="s">
        <v>33</v>
      </c>
      <c r="M62" s="612"/>
    </row>
    <row r="63" spans="1:13" ht="12.9" customHeight="1" x14ac:dyDescent="0.3">
      <c r="A63" s="615" t="s">
        <v>165</v>
      </c>
      <c r="B63" s="615"/>
      <c r="C63" s="615"/>
      <c r="D63" s="615"/>
      <c r="E63" s="615"/>
      <c r="F63" s="615"/>
      <c r="G63" s="615"/>
      <c r="H63" s="615"/>
      <c r="I63" s="615"/>
      <c r="J63" s="615"/>
      <c r="K63" s="615"/>
      <c r="L63" s="615"/>
      <c r="M63" s="615"/>
    </row>
    <row r="64" spans="1:13" ht="27.6" x14ac:dyDescent="0.3">
      <c r="A64" s="33" t="s">
        <v>166</v>
      </c>
      <c r="B64" s="12" t="s">
        <v>167</v>
      </c>
      <c r="C64" s="34" t="s">
        <v>65</v>
      </c>
      <c r="D64" s="46">
        <f>534000+72000</f>
        <v>606000</v>
      </c>
      <c r="E64" s="46">
        <f>D64/$D$5</f>
        <v>275454.54545454541</v>
      </c>
      <c r="F64" s="13" t="s">
        <v>48</v>
      </c>
      <c r="G64" s="13" t="s">
        <v>30</v>
      </c>
      <c r="H64" s="22">
        <v>1</v>
      </c>
      <c r="I64" s="22"/>
      <c r="J64" s="23" t="s">
        <v>43</v>
      </c>
      <c r="K64" s="23" t="s">
        <v>97</v>
      </c>
      <c r="L64" s="23" t="s">
        <v>33</v>
      </c>
      <c r="M64" s="69"/>
    </row>
    <row r="65" spans="1:13" ht="27.6" x14ac:dyDescent="0.3">
      <c r="A65" s="33" t="s">
        <v>203</v>
      </c>
      <c r="B65" s="12" t="s">
        <v>204</v>
      </c>
      <c r="C65" s="34" t="s">
        <v>28</v>
      </c>
      <c r="D65" s="46">
        <v>20000</v>
      </c>
      <c r="E65" s="46">
        <f>D65/$D$5</f>
        <v>9090.9090909090901</v>
      </c>
      <c r="F65" s="13" t="s">
        <v>106</v>
      </c>
      <c r="G65" s="13" t="s">
        <v>30</v>
      </c>
      <c r="H65" s="22">
        <v>1</v>
      </c>
      <c r="I65" s="22"/>
      <c r="J65" s="23" t="s">
        <v>43</v>
      </c>
      <c r="K65" s="23" t="s">
        <v>32</v>
      </c>
      <c r="L65" s="23" t="s">
        <v>33</v>
      </c>
      <c r="M65" s="69"/>
    </row>
    <row r="66" spans="1:13" ht="12.9" customHeight="1" x14ac:dyDescent="0.3">
      <c r="A66" s="616" t="s">
        <v>168</v>
      </c>
      <c r="B66" s="616"/>
      <c r="C66" s="47"/>
      <c r="D66" s="48">
        <f>D64+D65</f>
        <v>626000</v>
      </c>
      <c r="E66" s="48">
        <f>E64</f>
        <v>275454.54545454541</v>
      </c>
      <c r="F66" s="612"/>
      <c r="G66" s="612"/>
      <c r="H66" s="612"/>
      <c r="I66" s="612"/>
      <c r="J66" s="612"/>
      <c r="K66" s="612"/>
      <c r="L66" s="612"/>
      <c r="M66" s="612"/>
    </row>
    <row r="67" spans="1:13" ht="13.5" customHeight="1" x14ac:dyDescent="0.3">
      <c r="A67" s="613" t="s">
        <v>169</v>
      </c>
      <c r="B67" s="613"/>
      <c r="C67" s="613"/>
      <c r="D67" s="52">
        <f>D26+D32+D59+D62+D66</f>
        <v>16416600</v>
      </c>
      <c r="E67" s="53">
        <f>D67/$D$5</f>
        <v>7462090.9090909082</v>
      </c>
      <c r="F67" s="54"/>
    </row>
    <row r="68" spans="1:13" x14ac:dyDescent="0.3">
      <c r="C68" s="55"/>
      <c r="D68" s="56"/>
      <c r="E68" s="56"/>
      <c r="F68" s="54"/>
    </row>
    <row r="69" spans="1:13" ht="32.25" customHeight="1" x14ac:dyDescent="0.3">
      <c r="A69" s="57" t="s">
        <v>170</v>
      </c>
      <c r="B69" s="614" t="s">
        <v>171</v>
      </c>
      <c r="C69" s="614"/>
      <c r="D69" s="614"/>
      <c r="E69" s="614"/>
      <c r="F69" s="614"/>
      <c r="G69" s="614"/>
      <c r="H69" s="614"/>
      <c r="I69" s="614"/>
      <c r="J69" s="614"/>
      <c r="K69" s="614"/>
      <c r="L69" s="614"/>
      <c r="M69" s="614"/>
    </row>
    <row r="70" spans="1:13" ht="12.9" customHeight="1" x14ac:dyDescent="0.3">
      <c r="B70" s="614" t="s">
        <v>172</v>
      </c>
      <c r="C70" s="614"/>
      <c r="D70" s="614"/>
      <c r="E70" s="614"/>
      <c r="F70" s="614"/>
      <c r="G70" s="614"/>
      <c r="H70" s="614"/>
      <c r="I70" s="614"/>
      <c r="J70" s="614"/>
      <c r="K70" s="614"/>
      <c r="L70" s="614"/>
      <c r="M70" s="614"/>
    </row>
    <row r="71" spans="1:13" x14ac:dyDescent="0.3">
      <c r="B71" s="58" t="s">
        <v>173</v>
      </c>
      <c r="C71" s="59"/>
      <c r="D71" s="56"/>
      <c r="E71" s="56"/>
      <c r="G71" s="60"/>
      <c r="H71" s="60"/>
    </row>
    <row r="72" spans="1:13" x14ac:dyDescent="0.3">
      <c r="C72" s="59"/>
      <c r="D72" s="56"/>
      <c r="E72" s="56"/>
      <c r="G72" s="60"/>
      <c r="H72" s="60"/>
    </row>
    <row r="73" spans="1:13" x14ac:dyDescent="0.3">
      <c r="C73" s="61"/>
      <c r="D73" s="62"/>
      <c r="E73" s="56"/>
      <c r="G73" s="60"/>
      <c r="H73" s="60"/>
    </row>
    <row r="74" spans="1:13" x14ac:dyDescent="0.3">
      <c r="C74" s="61"/>
      <c r="D74" s="62"/>
      <c r="G74" s="60"/>
      <c r="H74" s="60"/>
    </row>
    <row r="75" spans="1:13" x14ac:dyDescent="0.3">
      <c r="C75" s="61"/>
      <c r="D75" s="62"/>
      <c r="E75" s="56"/>
      <c r="G75" s="60"/>
      <c r="H75" s="60"/>
    </row>
    <row r="76" spans="1:13" x14ac:dyDescent="0.3">
      <c r="C76" s="61"/>
      <c r="D76" s="62"/>
      <c r="G76" s="60"/>
      <c r="H76" s="60"/>
    </row>
    <row r="77" spans="1:13" x14ac:dyDescent="0.3">
      <c r="C77" s="61"/>
      <c r="D77" s="62"/>
      <c r="G77" s="60"/>
      <c r="H77" s="60"/>
    </row>
    <row r="78" spans="1:13" x14ac:dyDescent="0.3">
      <c r="C78" s="63"/>
      <c r="D78" s="56"/>
      <c r="E78" s="56"/>
      <c r="G78" s="60"/>
      <c r="H78" s="60"/>
    </row>
    <row r="79" spans="1:13" x14ac:dyDescent="0.3">
      <c r="C79" s="59"/>
      <c r="E79" s="56"/>
    </row>
    <row r="80" spans="1:13" x14ac:dyDescent="0.3">
      <c r="D80" s="56"/>
    </row>
    <row r="82" spans="4:4" x14ac:dyDescent="0.3">
      <c r="D82" s="56"/>
    </row>
  </sheetData>
  <sheetProtection selectLockedCells="1" selectUnlockedCells="1"/>
  <mergeCells count="28">
    <mergeCell ref="A33:M33"/>
    <mergeCell ref="A67:C67"/>
    <mergeCell ref="B69:M69"/>
    <mergeCell ref="B70:M70"/>
    <mergeCell ref="A59:B59"/>
    <mergeCell ref="F59:M59"/>
    <mergeCell ref="A60:M60"/>
    <mergeCell ref="F62:M62"/>
    <mergeCell ref="A63:M63"/>
    <mergeCell ref="A66:B66"/>
    <mergeCell ref="F66:M66"/>
    <mergeCell ref="A26:B26"/>
    <mergeCell ref="F26:M26"/>
    <mergeCell ref="A27:M27"/>
    <mergeCell ref="A32:B32"/>
    <mergeCell ref="F32:M32"/>
    <mergeCell ref="L6:L7"/>
    <mergeCell ref="M6:M7"/>
    <mergeCell ref="A8:M8"/>
    <mergeCell ref="A6:A7"/>
    <mergeCell ref="B6:B7"/>
    <mergeCell ref="C6:C7"/>
    <mergeCell ref="D6:D7"/>
    <mergeCell ref="E6:E7"/>
    <mergeCell ref="F6:F7"/>
    <mergeCell ref="G6:G7"/>
    <mergeCell ref="H6:I6"/>
    <mergeCell ref="J6:K6"/>
  </mergeCells>
  <dataValidations count="4">
    <dataValidation type="list" allowBlank="1" showErrorMessage="1" sqref="G11 G16:G21 G29:G31 G34:G58 G61:G62 G64:G65" xr:uid="{00000000-0002-0000-0300-000000000000}">
      <formula1>"ex-ante,ex-post"</formula1>
      <formula2>0</formula2>
    </dataValidation>
    <dataValidation type="list" allowBlank="1" showErrorMessage="1" sqref="G9:G10 G12:G15 G22:G25 G28" xr:uid="{00000000-0002-0000-0300-000001000000}">
      <formula1>"ex-ante,ex-post,N/A"</formula1>
      <formula2>0</formula2>
    </dataValidation>
    <dataValidation type="list" allowBlank="1" showErrorMessage="1" sqref="F16 F28:F29 F57 F62 F66" xr:uid="{00000000-0002-0000-0300-000002000000}">
      <formula1>"BID LPI,BID LPN,BID CP,BID CD,BID SBQC,BID SQS,BID SD,8666 CV,8666 TP,8666 C"</formula1>
      <formula2>0</formula2>
    </dataValidation>
    <dataValidation type="list" allowBlank="1" showErrorMessage="1" sqref="F10 F12:F15 F17:F24" xr:uid="{00000000-0002-0000-0300-000003000000}">
      <formula1>"BID LPI,BID LPN,BID CP,BID CD,BID SBQC,BID SQC,BID SQS,BID SBMC,BID SBOF,BID SD,BID CI,L8666 CV,L8666 TP,L8666 C,PRE ELE,REG PR"</formula1>
      <formula2>0</formula2>
    </dataValidation>
  </dataValidations>
  <printOptions horizontalCentered="1"/>
  <pageMargins left="0.39374999999999999" right="0.39374999999999999" top="0.39374999999999999" bottom="0.39374999999999999" header="0.51180555555555551" footer="0.51180555555555551"/>
  <pageSetup paperSize="9" scale="79" firstPageNumber="0" orientation="landscape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90"/>
  <sheetViews>
    <sheetView showGridLines="0" topLeftCell="A47" zoomScale="70" zoomScaleNormal="70" workbookViewId="0">
      <selection activeCell="N22" sqref="N22"/>
    </sheetView>
  </sheetViews>
  <sheetFormatPr defaultColWidth="44.6640625" defaultRowHeight="13.8" x14ac:dyDescent="0.3"/>
  <cols>
    <col min="1" max="1" width="4.88671875" style="125" customWidth="1"/>
    <col min="2" max="2" width="44.6640625" style="126"/>
    <col min="3" max="3" width="9.33203125" style="125" customWidth="1"/>
    <col min="4" max="4" width="12.44140625" style="127" customWidth="1"/>
    <col min="5" max="5" width="11.88671875" style="127" customWidth="1"/>
    <col min="6" max="6" width="11" style="126" customWidth="1"/>
    <col min="7" max="7" width="11.109375" style="126" customWidth="1"/>
    <col min="8" max="8" width="6.88671875" style="126" customWidth="1"/>
    <col min="9" max="9" width="6.5546875" style="126" customWidth="1"/>
    <col min="10" max="10" width="11.33203125" style="126" customWidth="1"/>
    <col min="11" max="11" width="10.5546875" style="126" customWidth="1"/>
    <col min="12" max="12" width="7.44140625" style="126" customWidth="1"/>
    <col min="13" max="13" width="29.33203125" style="128" customWidth="1"/>
    <col min="14" max="254" width="8.88671875" style="126" customWidth="1"/>
    <col min="255" max="255" width="4.88671875" style="126" customWidth="1"/>
    <col min="256" max="16384" width="44.6640625" style="126"/>
  </cols>
  <sheetData>
    <row r="1" spans="1:15" ht="78.75" customHeight="1" x14ac:dyDescent="0.3"/>
    <row r="2" spans="1:15" x14ac:dyDescent="0.3">
      <c r="A2" s="129" t="s">
        <v>219</v>
      </c>
      <c r="F2" s="130" t="s">
        <v>1</v>
      </c>
      <c r="M2" s="129" t="s">
        <v>2</v>
      </c>
    </row>
    <row r="3" spans="1:15" x14ac:dyDescent="0.3">
      <c r="A3" s="129" t="s">
        <v>220</v>
      </c>
      <c r="F3" s="130" t="s">
        <v>4</v>
      </c>
      <c r="M3" s="128" t="s">
        <v>5</v>
      </c>
    </row>
    <row r="4" spans="1:15" x14ac:dyDescent="0.3">
      <c r="A4" s="129" t="s">
        <v>6</v>
      </c>
      <c r="M4" s="128" t="s">
        <v>7</v>
      </c>
    </row>
    <row r="5" spans="1:15" ht="22.5" customHeight="1" x14ac:dyDescent="0.3">
      <c r="C5" s="131" t="s">
        <v>8</v>
      </c>
      <c r="D5" s="132">
        <v>2.2000000000000002</v>
      </c>
      <c r="M5" s="133" t="s">
        <v>221</v>
      </c>
    </row>
    <row r="6" spans="1:15" ht="12.75" customHeight="1" x14ac:dyDescent="0.3">
      <c r="A6" s="620" t="s">
        <v>10</v>
      </c>
      <c r="B6" s="617" t="s">
        <v>11</v>
      </c>
      <c r="C6" s="617" t="s">
        <v>12</v>
      </c>
      <c r="D6" s="617" t="s">
        <v>222</v>
      </c>
      <c r="E6" s="617" t="s">
        <v>14</v>
      </c>
      <c r="F6" s="617" t="s">
        <v>15</v>
      </c>
      <c r="G6" s="617" t="s">
        <v>16</v>
      </c>
      <c r="H6" s="621" t="s">
        <v>17</v>
      </c>
      <c r="I6" s="621"/>
      <c r="J6" s="621" t="s">
        <v>18</v>
      </c>
      <c r="K6" s="621"/>
      <c r="L6" s="617" t="s">
        <v>19</v>
      </c>
      <c r="M6" s="618" t="s">
        <v>20</v>
      </c>
    </row>
    <row r="7" spans="1:15" ht="27.6" x14ac:dyDescent="0.3">
      <c r="A7" s="620"/>
      <c r="B7" s="617"/>
      <c r="C7" s="617"/>
      <c r="D7" s="617"/>
      <c r="E7" s="617"/>
      <c r="F7" s="617"/>
      <c r="G7" s="617"/>
      <c r="H7" s="134" t="s">
        <v>21</v>
      </c>
      <c r="I7" s="134" t="s">
        <v>22</v>
      </c>
      <c r="J7" s="134" t="s">
        <v>176</v>
      </c>
      <c r="K7" s="134" t="s">
        <v>24</v>
      </c>
      <c r="L7" s="617"/>
      <c r="M7" s="618"/>
    </row>
    <row r="8" spans="1:15" ht="12.75" customHeight="1" x14ac:dyDescent="0.3">
      <c r="A8" s="619" t="s">
        <v>25</v>
      </c>
      <c r="B8" s="619"/>
      <c r="C8" s="619"/>
      <c r="D8" s="619"/>
      <c r="E8" s="619"/>
      <c r="F8" s="619"/>
      <c r="G8" s="619"/>
      <c r="H8" s="619"/>
      <c r="I8" s="619"/>
      <c r="J8" s="619"/>
      <c r="K8" s="619"/>
      <c r="L8" s="619"/>
      <c r="M8" s="619"/>
    </row>
    <row r="9" spans="1:15" ht="27.6" x14ac:dyDescent="0.3">
      <c r="A9" s="135" t="s">
        <v>26</v>
      </c>
      <c r="B9" s="136" t="s">
        <v>177</v>
      </c>
      <c r="C9" s="137" t="s">
        <v>28</v>
      </c>
      <c r="D9" s="138">
        <v>102264</v>
      </c>
      <c r="E9" s="15">
        <f t="shared" ref="E9:E26" si="0">D9/$D$5</f>
        <v>46483.63636363636</v>
      </c>
      <c r="F9" s="139" t="s">
        <v>29</v>
      </c>
      <c r="G9" s="139" t="s">
        <v>30</v>
      </c>
      <c r="H9" s="22">
        <v>1</v>
      </c>
      <c r="I9" s="22"/>
      <c r="J9" s="140" t="s">
        <v>43</v>
      </c>
      <c r="K9" s="140" t="s">
        <v>32</v>
      </c>
      <c r="L9" s="141" t="s">
        <v>223</v>
      </c>
      <c r="M9" s="142" t="s">
        <v>224</v>
      </c>
    </row>
    <row r="10" spans="1:15" s="148" customFormat="1" x14ac:dyDescent="0.3">
      <c r="A10" s="135" t="s">
        <v>34</v>
      </c>
      <c r="B10" s="143" t="s">
        <v>35</v>
      </c>
      <c r="C10" s="144" t="s">
        <v>28</v>
      </c>
      <c r="D10" s="14">
        <v>250000</v>
      </c>
      <c r="E10" s="29">
        <f t="shared" si="0"/>
        <v>113636.36363636363</v>
      </c>
      <c r="F10" s="144" t="s">
        <v>36</v>
      </c>
      <c r="G10" s="144" t="s">
        <v>37</v>
      </c>
      <c r="H10" s="22">
        <v>0.8</v>
      </c>
      <c r="I10" s="22">
        <v>0.2</v>
      </c>
      <c r="J10" s="145" t="s">
        <v>43</v>
      </c>
      <c r="K10" s="145" t="s">
        <v>179</v>
      </c>
      <c r="L10" s="146" t="s">
        <v>163</v>
      </c>
      <c r="M10" s="147" t="s">
        <v>225</v>
      </c>
    </row>
    <row r="11" spans="1:15" ht="27.6" x14ac:dyDescent="0.3">
      <c r="A11" s="135" t="s">
        <v>39</v>
      </c>
      <c r="B11" s="136" t="s">
        <v>40</v>
      </c>
      <c r="C11" s="137" t="s">
        <v>41</v>
      </c>
      <c r="D11" s="15">
        <v>25000</v>
      </c>
      <c r="E11" s="15">
        <f t="shared" si="0"/>
        <v>11363.636363636362</v>
      </c>
      <c r="F11" s="139" t="s">
        <v>42</v>
      </c>
      <c r="G11" s="139" t="s">
        <v>30</v>
      </c>
      <c r="H11" s="22">
        <v>1</v>
      </c>
      <c r="I11" s="22"/>
      <c r="J11" s="141" t="s">
        <v>186</v>
      </c>
      <c r="K11" s="141" t="s">
        <v>75</v>
      </c>
      <c r="L11" s="140" t="s">
        <v>33</v>
      </c>
      <c r="M11" s="149"/>
    </row>
    <row r="12" spans="1:15" ht="27.6" x14ac:dyDescent="0.3">
      <c r="A12" s="135" t="s">
        <v>45</v>
      </c>
      <c r="B12" s="136" t="s">
        <v>46</v>
      </c>
      <c r="C12" s="137" t="s">
        <v>47</v>
      </c>
      <c r="D12" s="15">
        <v>144000</v>
      </c>
      <c r="E12" s="15">
        <f t="shared" si="0"/>
        <v>65454.545454545449</v>
      </c>
      <c r="F12" s="139" t="s">
        <v>48</v>
      </c>
      <c r="G12" s="139" t="s">
        <v>30</v>
      </c>
      <c r="H12" s="22"/>
      <c r="I12" s="22">
        <v>1</v>
      </c>
      <c r="J12" s="141" t="s">
        <v>44</v>
      </c>
      <c r="K12" s="141" t="s">
        <v>75</v>
      </c>
      <c r="L12" s="141" t="s">
        <v>163</v>
      </c>
      <c r="M12" s="149"/>
    </row>
    <row r="13" spans="1:15" ht="41.4" x14ac:dyDescent="0.3">
      <c r="A13" s="135" t="s">
        <v>51</v>
      </c>
      <c r="B13" s="136" t="s">
        <v>52</v>
      </c>
      <c r="C13" s="137" t="s">
        <v>41</v>
      </c>
      <c r="D13" s="15">
        <v>900000</v>
      </c>
      <c r="E13" s="15">
        <f t="shared" si="0"/>
        <v>409090.90909090906</v>
      </c>
      <c r="F13" s="139" t="s">
        <v>36</v>
      </c>
      <c r="G13" s="139" t="s">
        <v>37</v>
      </c>
      <c r="H13" s="22">
        <v>1</v>
      </c>
      <c r="I13" s="22"/>
      <c r="J13" s="140" t="s">
        <v>74</v>
      </c>
      <c r="K13" s="140" t="s">
        <v>38</v>
      </c>
      <c r="L13" s="140" t="s">
        <v>33</v>
      </c>
      <c r="M13" s="149"/>
    </row>
    <row r="14" spans="1:15" ht="41.4" x14ac:dyDescent="0.3">
      <c r="A14" s="135" t="s">
        <v>53</v>
      </c>
      <c r="B14" s="136" t="s">
        <v>54</v>
      </c>
      <c r="C14" s="137" t="s">
        <v>55</v>
      </c>
      <c r="D14" s="15">
        <v>198300</v>
      </c>
      <c r="E14" s="15">
        <f t="shared" si="0"/>
        <v>90136.363636363632</v>
      </c>
      <c r="F14" s="139" t="s">
        <v>201</v>
      </c>
      <c r="G14" s="139" t="s">
        <v>37</v>
      </c>
      <c r="H14" s="22">
        <v>1</v>
      </c>
      <c r="I14" s="22"/>
      <c r="J14" s="140" t="s">
        <v>180</v>
      </c>
      <c r="K14" s="140" t="s">
        <v>56</v>
      </c>
      <c r="L14" s="141" t="s">
        <v>163</v>
      </c>
      <c r="M14" s="149" t="s">
        <v>226</v>
      </c>
      <c r="O14" s="150"/>
    </row>
    <row r="15" spans="1:15" ht="27.6" x14ac:dyDescent="0.3">
      <c r="A15" s="135" t="s">
        <v>57</v>
      </c>
      <c r="B15" s="136" t="s">
        <v>58</v>
      </c>
      <c r="C15" s="137" t="s">
        <v>55</v>
      </c>
      <c r="D15" s="15">
        <v>60900</v>
      </c>
      <c r="E15" s="15">
        <f t="shared" si="0"/>
        <v>27681.81818181818</v>
      </c>
      <c r="F15" s="139" t="s">
        <v>42</v>
      </c>
      <c r="G15" s="139" t="s">
        <v>30</v>
      </c>
      <c r="H15" s="22">
        <v>1</v>
      </c>
      <c r="I15" s="22"/>
      <c r="J15" s="141" t="s">
        <v>227</v>
      </c>
      <c r="K15" s="140" t="s">
        <v>59</v>
      </c>
      <c r="L15" s="140" t="s">
        <v>33</v>
      </c>
      <c r="M15" s="149"/>
    </row>
    <row r="16" spans="1:15" ht="41.4" x14ac:dyDescent="0.3">
      <c r="A16" s="135" t="s">
        <v>60</v>
      </c>
      <c r="B16" s="151" t="s">
        <v>61</v>
      </c>
      <c r="C16" s="137" t="s">
        <v>62</v>
      </c>
      <c r="D16" s="15">
        <v>260000</v>
      </c>
      <c r="E16" s="15">
        <f t="shared" si="0"/>
        <v>118181.81818181818</v>
      </c>
      <c r="F16" s="139" t="s">
        <v>42</v>
      </c>
      <c r="G16" s="139" t="s">
        <v>30</v>
      </c>
      <c r="H16" s="22">
        <v>1</v>
      </c>
      <c r="I16" s="22"/>
      <c r="J16" s="141" t="s">
        <v>183</v>
      </c>
      <c r="K16" s="141" t="s">
        <v>228</v>
      </c>
      <c r="L16" s="140" t="s">
        <v>33</v>
      </c>
      <c r="M16" s="149"/>
    </row>
    <row r="17" spans="1:13" ht="69" x14ac:dyDescent="0.3">
      <c r="A17" s="135" t="s">
        <v>63</v>
      </c>
      <c r="B17" s="136" t="s">
        <v>64</v>
      </c>
      <c r="C17" s="137" t="s">
        <v>65</v>
      </c>
      <c r="D17" s="15">
        <v>400000</v>
      </c>
      <c r="E17" s="15">
        <f t="shared" si="0"/>
        <v>181818.18181818179</v>
      </c>
      <c r="F17" s="139" t="s">
        <v>42</v>
      </c>
      <c r="G17" s="139" t="s">
        <v>30</v>
      </c>
      <c r="H17" s="22">
        <v>1</v>
      </c>
      <c r="I17" s="22"/>
      <c r="J17" s="140" t="s">
        <v>183</v>
      </c>
      <c r="K17" s="140" t="s">
        <v>38</v>
      </c>
      <c r="L17" s="140" t="s">
        <v>33</v>
      </c>
      <c r="M17" s="149"/>
    </row>
    <row r="18" spans="1:13" x14ac:dyDescent="0.3">
      <c r="A18" s="135" t="s">
        <v>66</v>
      </c>
      <c r="B18" s="152" t="s">
        <v>67</v>
      </c>
      <c r="C18" s="137" t="s">
        <v>68</v>
      </c>
      <c r="D18" s="138">
        <v>780000</v>
      </c>
      <c r="E18" s="15">
        <f t="shared" si="0"/>
        <v>354545.45454545453</v>
      </c>
      <c r="F18" s="139" t="s">
        <v>69</v>
      </c>
      <c r="G18" s="139" t="s">
        <v>30</v>
      </c>
      <c r="H18" s="22">
        <v>1</v>
      </c>
      <c r="I18" s="22"/>
      <c r="J18" s="140" t="s">
        <v>184</v>
      </c>
      <c r="K18" s="140" t="s">
        <v>70</v>
      </c>
      <c r="L18" s="141" t="s">
        <v>163</v>
      </c>
      <c r="M18" s="142" t="s">
        <v>229</v>
      </c>
    </row>
    <row r="19" spans="1:13" ht="27.6" x14ac:dyDescent="0.3">
      <c r="A19" s="135" t="s">
        <v>71</v>
      </c>
      <c r="B19" s="136" t="s">
        <v>72</v>
      </c>
      <c r="C19" s="27" t="s">
        <v>73</v>
      </c>
      <c r="D19" s="138">
        <v>270000</v>
      </c>
      <c r="E19" s="15">
        <f t="shared" si="0"/>
        <v>122727.27272727272</v>
      </c>
      <c r="F19" s="153" t="s">
        <v>42</v>
      </c>
      <c r="G19" s="154" t="s">
        <v>30</v>
      </c>
      <c r="H19" s="22">
        <v>1</v>
      </c>
      <c r="I19" s="22"/>
      <c r="J19" s="140" t="s">
        <v>74</v>
      </c>
      <c r="K19" s="140" t="s">
        <v>75</v>
      </c>
      <c r="L19" s="141" t="s">
        <v>163</v>
      </c>
      <c r="M19" s="155" t="s">
        <v>230</v>
      </c>
    </row>
    <row r="20" spans="1:13" ht="27.6" x14ac:dyDescent="0.3">
      <c r="A20" s="135" t="s">
        <v>76</v>
      </c>
      <c r="B20" s="136" t="s">
        <v>77</v>
      </c>
      <c r="C20" s="137" t="s">
        <v>78</v>
      </c>
      <c r="D20" s="15">
        <v>249000</v>
      </c>
      <c r="E20" s="15">
        <f t="shared" si="0"/>
        <v>113181.81818181818</v>
      </c>
      <c r="F20" s="139" t="s">
        <v>42</v>
      </c>
      <c r="G20" s="139" t="s">
        <v>30</v>
      </c>
      <c r="H20" s="22">
        <v>1</v>
      </c>
      <c r="I20" s="22"/>
      <c r="J20" s="141" t="s">
        <v>231</v>
      </c>
      <c r="K20" s="140" t="s">
        <v>59</v>
      </c>
      <c r="L20" s="140" t="s">
        <v>33</v>
      </c>
      <c r="M20" s="149"/>
    </row>
    <row r="21" spans="1:13" ht="27.6" x14ac:dyDescent="0.3">
      <c r="A21" s="135" t="s">
        <v>79</v>
      </c>
      <c r="B21" s="156" t="s">
        <v>80</v>
      </c>
      <c r="C21" s="139" t="s">
        <v>65</v>
      </c>
      <c r="D21" s="29">
        <v>427800</v>
      </c>
      <c r="E21" s="15">
        <f t="shared" si="0"/>
        <v>194454.54545454544</v>
      </c>
      <c r="F21" s="139" t="s">
        <v>42</v>
      </c>
      <c r="G21" s="139" t="s">
        <v>30</v>
      </c>
      <c r="H21" s="22">
        <v>1</v>
      </c>
      <c r="I21" s="22"/>
      <c r="J21" s="140" t="s">
        <v>186</v>
      </c>
      <c r="K21" s="140" t="s">
        <v>38</v>
      </c>
      <c r="L21" s="140" t="s">
        <v>33</v>
      </c>
      <c r="M21" s="149"/>
    </row>
    <row r="22" spans="1:13" ht="27.6" x14ac:dyDescent="0.3">
      <c r="A22" s="135" t="s">
        <v>81</v>
      </c>
      <c r="B22" s="156" t="s">
        <v>82</v>
      </c>
      <c r="C22" s="139" t="s">
        <v>65</v>
      </c>
      <c r="D22" s="29">
        <v>135600</v>
      </c>
      <c r="E22" s="15">
        <f t="shared" si="0"/>
        <v>61636.363636363632</v>
      </c>
      <c r="F22" s="139" t="s">
        <v>42</v>
      </c>
      <c r="G22" s="139" t="s">
        <v>30</v>
      </c>
      <c r="H22" s="22">
        <v>1</v>
      </c>
      <c r="I22" s="22"/>
      <c r="J22" s="140" t="s">
        <v>186</v>
      </c>
      <c r="K22" s="140" t="s">
        <v>38</v>
      </c>
      <c r="L22" s="140" t="s">
        <v>33</v>
      </c>
      <c r="M22" s="149"/>
    </row>
    <row r="23" spans="1:13" ht="55.2" x14ac:dyDescent="0.3">
      <c r="A23" s="157" t="s">
        <v>83</v>
      </c>
      <c r="B23" s="158" t="s">
        <v>84</v>
      </c>
      <c r="C23" s="159" t="s">
        <v>85</v>
      </c>
      <c r="D23" s="160">
        <v>400000</v>
      </c>
      <c r="E23" s="160">
        <f t="shared" si="0"/>
        <v>181818.18181818179</v>
      </c>
      <c r="F23" s="159" t="s">
        <v>42</v>
      </c>
      <c r="G23" s="159" t="s">
        <v>30</v>
      </c>
      <c r="H23" s="161">
        <v>1</v>
      </c>
      <c r="I23" s="161"/>
      <c r="J23" s="162" t="s">
        <v>183</v>
      </c>
      <c r="K23" s="162" t="s">
        <v>38</v>
      </c>
      <c r="L23" s="162" t="s">
        <v>191</v>
      </c>
      <c r="M23" s="163" t="s">
        <v>208</v>
      </c>
    </row>
    <row r="24" spans="1:13" ht="27.6" x14ac:dyDescent="0.3">
      <c r="A24" s="135" t="s">
        <v>86</v>
      </c>
      <c r="B24" s="156" t="s">
        <v>87</v>
      </c>
      <c r="C24" s="139" t="s">
        <v>88</v>
      </c>
      <c r="D24" s="164">
        <v>100000</v>
      </c>
      <c r="E24" s="138">
        <f t="shared" si="0"/>
        <v>45454.545454545449</v>
      </c>
      <c r="F24" s="139" t="s">
        <v>42</v>
      </c>
      <c r="G24" s="139" t="s">
        <v>30</v>
      </c>
      <c r="H24" s="22">
        <v>1</v>
      </c>
      <c r="I24" s="22"/>
      <c r="J24" s="141" t="s">
        <v>183</v>
      </c>
      <c r="K24" s="140" t="s">
        <v>89</v>
      </c>
      <c r="L24" s="140" t="s">
        <v>33</v>
      </c>
      <c r="M24" s="142" t="s">
        <v>232</v>
      </c>
    </row>
    <row r="25" spans="1:13" ht="27.6" x14ac:dyDescent="0.3">
      <c r="A25" s="135" t="s">
        <v>187</v>
      </c>
      <c r="B25" s="156" t="s">
        <v>188</v>
      </c>
      <c r="C25" s="139" t="s">
        <v>28</v>
      </c>
      <c r="D25" s="29">
        <v>185000</v>
      </c>
      <c r="E25" s="15">
        <f t="shared" si="0"/>
        <v>84090.909090909088</v>
      </c>
      <c r="F25" s="139" t="s">
        <v>29</v>
      </c>
      <c r="G25" s="139" t="s">
        <v>30</v>
      </c>
      <c r="H25" s="22">
        <v>1</v>
      </c>
      <c r="I25" s="22"/>
      <c r="J25" s="140" t="s">
        <v>43</v>
      </c>
      <c r="K25" s="140" t="s">
        <v>32</v>
      </c>
      <c r="L25" s="141" t="s">
        <v>163</v>
      </c>
      <c r="M25" s="149"/>
    </row>
    <row r="26" spans="1:13" ht="13.5" customHeight="1" x14ac:dyDescent="0.3">
      <c r="A26" s="622" t="s">
        <v>233</v>
      </c>
      <c r="B26" s="622"/>
      <c r="C26" s="165"/>
      <c r="D26" s="166">
        <f>SUMIF(L9:L25,"P",D9:D25)+SUMIF(L9:L25,"EP",D9:D25)+SUMIF(L9:L25,"A",D9:D25)</f>
        <v>4487864</v>
      </c>
      <c r="E26" s="166">
        <f t="shared" si="0"/>
        <v>2039938.1818181816</v>
      </c>
      <c r="F26" s="623"/>
      <c r="G26" s="623"/>
      <c r="H26" s="623"/>
      <c r="I26" s="623"/>
      <c r="J26" s="623"/>
      <c r="K26" s="623"/>
      <c r="L26" s="623"/>
      <c r="M26" s="623"/>
    </row>
    <row r="27" spans="1:13" ht="12.9" customHeight="1" x14ac:dyDescent="0.3">
      <c r="A27" s="619" t="s">
        <v>91</v>
      </c>
      <c r="B27" s="619"/>
      <c r="C27" s="619"/>
      <c r="D27" s="619"/>
      <c r="E27" s="619"/>
      <c r="F27" s="619"/>
      <c r="G27" s="619"/>
      <c r="H27" s="619"/>
      <c r="I27" s="619"/>
      <c r="J27" s="619"/>
      <c r="K27" s="619"/>
      <c r="L27" s="619"/>
      <c r="M27" s="619"/>
    </row>
    <row r="28" spans="1:13" ht="41.4" x14ac:dyDescent="0.3">
      <c r="A28" s="167" t="s">
        <v>92</v>
      </c>
      <c r="B28" s="156" t="s">
        <v>93</v>
      </c>
      <c r="C28" s="34" t="s">
        <v>94</v>
      </c>
      <c r="D28" s="35">
        <v>204000</v>
      </c>
      <c r="E28" s="29">
        <f t="shared" ref="E28:E33" si="1">D28/$D$5</f>
        <v>92727.272727272721</v>
      </c>
      <c r="F28" s="139" t="s">
        <v>95</v>
      </c>
      <c r="G28" s="139" t="s">
        <v>30</v>
      </c>
      <c r="H28" s="22">
        <v>1</v>
      </c>
      <c r="I28" s="22"/>
      <c r="J28" s="141" t="s">
        <v>44</v>
      </c>
      <c r="K28" s="140" t="s">
        <v>97</v>
      </c>
      <c r="L28" s="140" t="s">
        <v>33</v>
      </c>
      <c r="M28" s="149"/>
    </row>
    <row r="29" spans="1:13" ht="27.6" x14ac:dyDescent="0.3">
      <c r="A29" s="167" t="s">
        <v>98</v>
      </c>
      <c r="B29" s="156" t="s">
        <v>99</v>
      </c>
      <c r="C29" s="139" t="s">
        <v>100</v>
      </c>
      <c r="D29" s="14">
        <v>35000</v>
      </c>
      <c r="E29" s="29">
        <f t="shared" si="1"/>
        <v>15909.090909090908</v>
      </c>
      <c r="F29" s="139" t="s">
        <v>95</v>
      </c>
      <c r="G29" s="139" t="s">
        <v>30</v>
      </c>
      <c r="H29" s="22">
        <v>1</v>
      </c>
      <c r="I29" s="22"/>
      <c r="J29" s="141" t="s">
        <v>44</v>
      </c>
      <c r="K29" s="140" t="s">
        <v>97</v>
      </c>
      <c r="L29" s="140" t="s">
        <v>33</v>
      </c>
      <c r="M29" s="149"/>
    </row>
    <row r="30" spans="1:13" ht="27.6" x14ac:dyDescent="0.3">
      <c r="A30" s="167" t="s">
        <v>189</v>
      </c>
      <c r="B30" s="156" t="s">
        <v>190</v>
      </c>
      <c r="C30" s="139" t="s">
        <v>111</v>
      </c>
      <c r="D30" s="14">
        <v>100000</v>
      </c>
      <c r="E30" s="29">
        <f t="shared" si="1"/>
        <v>45454.545454545449</v>
      </c>
      <c r="F30" s="139" t="s">
        <v>106</v>
      </c>
      <c r="G30" s="139" t="s">
        <v>30</v>
      </c>
      <c r="H30" s="22">
        <v>1</v>
      </c>
      <c r="I30" s="22"/>
      <c r="J30" s="141" t="s">
        <v>183</v>
      </c>
      <c r="K30" s="141" t="s">
        <v>75</v>
      </c>
      <c r="L30" s="140" t="s">
        <v>33</v>
      </c>
      <c r="M30" s="149"/>
    </row>
    <row r="31" spans="1:13" ht="27.6" x14ac:dyDescent="0.3">
      <c r="A31" s="168" t="s">
        <v>209</v>
      </c>
      <c r="B31" s="136" t="s">
        <v>210</v>
      </c>
      <c r="C31" s="27" t="s">
        <v>211</v>
      </c>
      <c r="D31" s="169">
        <v>800000</v>
      </c>
      <c r="E31" s="138">
        <f t="shared" si="1"/>
        <v>363636.36363636359</v>
      </c>
      <c r="F31" s="137" t="s">
        <v>106</v>
      </c>
      <c r="G31" s="137" t="s">
        <v>30</v>
      </c>
      <c r="H31" s="170">
        <v>1</v>
      </c>
      <c r="I31" s="170"/>
      <c r="J31" s="171" t="s">
        <v>74</v>
      </c>
      <c r="K31" s="171" t="s">
        <v>56</v>
      </c>
      <c r="L31" s="171" t="s">
        <v>163</v>
      </c>
      <c r="M31" s="155" t="s">
        <v>234</v>
      </c>
    </row>
    <row r="32" spans="1:13" ht="27.6" x14ac:dyDescent="0.3">
      <c r="A32" s="172" t="s">
        <v>235</v>
      </c>
      <c r="B32" s="173" t="s">
        <v>236</v>
      </c>
      <c r="C32" s="174" t="s">
        <v>88</v>
      </c>
      <c r="D32" s="175">
        <v>155000</v>
      </c>
      <c r="E32" s="176">
        <f t="shared" si="1"/>
        <v>70454.545454545456</v>
      </c>
      <c r="F32" s="177" t="s">
        <v>106</v>
      </c>
      <c r="G32" s="177" t="s">
        <v>30</v>
      </c>
      <c r="H32" s="178">
        <v>1</v>
      </c>
      <c r="I32" s="178"/>
      <c r="J32" s="179" t="s">
        <v>32</v>
      </c>
      <c r="K32" s="179" t="s">
        <v>50</v>
      </c>
      <c r="L32" s="179" t="s">
        <v>163</v>
      </c>
      <c r="M32" s="180" t="s">
        <v>237</v>
      </c>
    </row>
    <row r="33" spans="1:13" ht="13.5" customHeight="1" x14ac:dyDescent="0.3">
      <c r="A33" s="622" t="s">
        <v>238</v>
      </c>
      <c r="B33" s="622"/>
      <c r="C33" s="165"/>
      <c r="D33" s="166">
        <f>SUMIF(L28:L32,"P",D28:D32)+SUMIF(L28:L32,"EP",D28:D32)+SUMIF(L28:L32,"A",D28:D32)</f>
        <v>1294000</v>
      </c>
      <c r="E33" s="166">
        <f t="shared" si="1"/>
        <v>588181.81818181812</v>
      </c>
      <c r="F33" s="623"/>
      <c r="G33" s="623"/>
      <c r="H33" s="623"/>
      <c r="I33" s="623"/>
      <c r="J33" s="623"/>
      <c r="K33" s="623"/>
      <c r="L33" s="623"/>
      <c r="M33" s="623"/>
    </row>
    <row r="34" spans="1:13" ht="12.9" customHeight="1" x14ac:dyDescent="0.3">
      <c r="A34" s="619" t="s">
        <v>102</v>
      </c>
      <c r="B34" s="619"/>
      <c r="C34" s="619"/>
      <c r="D34" s="619"/>
      <c r="E34" s="619"/>
      <c r="F34" s="619"/>
      <c r="G34" s="619"/>
      <c r="H34" s="619"/>
      <c r="I34" s="619"/>
      <c r="J34" s="619"/>
      <c r="K34" s="619"/>
      <c r="L34" s="619"/>
      <c r="M34" s="619"/>
    </row>
    <row r="35" spans="1:13" ht="27.6" x14ac:dyDescent="0.3">
      <c r="A35" s="167" t="s">
        <v>103</v>
      </c>
      <c r="B35" s="136" t="s">
        <v>104</v>
      </c>
      <c r="C35" s="137" t="s">
        <v>105</v>
      </c>
      <c r="D35" s="15">
        <v>320000</v>
      </c>
      <c r="E35" s="15">
        <f t="shared" ref="E35:E61" si="2">D35/$D$5</f>
        <v>145454.54545454544</v>
      </c>
      <c r="F35" s="139" t="s">
        <v>106</v>
      </c>
      <c r="G35" s="139" t="s">
        <v>30</v>
      </c>
      <c r="H35" s="22">
        <v>1</v>
      </c>
      <c r="I35" s="22"/>
      <c r="J35" s="140" t="s">
        <v>49</v>
      </c>
      <c r="K35" s="140" t="s">
        <v>59</v>
      </c>
      <c r="L35" s="140" t="s">
        <v>163</v>
      </c>
      <c r="M35" s="149"/>
    </row>
    <row r="36" spans="1:13" ht="27.6" x14ac:dyDescent="0.3">
      <c r="A36" s="167" t="s">
        <v>107</v>
      </c>
      <c r="B36" s="136" t="s">
        <v>108</v>
      </c>
      <c r="C36" s="137" t="s">
        <v>55</v>
      </c>
      <c r="D36" s="15">
        <v>5000</v>
      </c>
      <c r="E36" s="15">
        <f t="shared" si="2"/>
        <v>2272.7272727272725</v>
      </c>
      <c r="F36" s="139" t="s">
        <v>106</v>
      </c>
      <c r="G36" s="139" t="s">
        <v>30</v>
      </c>
      <c r="H36" s="22">
        <v>1</v>
      </c>
      <c r="I36" s="22"/>
      <c r="J36" s="141" t="s">
        <v>183</v>
      </c>
      <c r="K36" s="140" t="s">
        <v>56</v>
      </c>
      <c r="L36" s="140" t="s">
        <v>33</v>
      </c>
      <c r="M36" s="149" t="s">
        <v>213</v>
      </c>
    </row>
    <row r="37" spans="1:13" ht="27.6" x14ac:dyDescent="0.3">
      <c r="A37" s="157" t="s">
        <v>109</v>
      </c>
      <c r="B37" s="158" t="s">
        <v>110</v>
      </c>
      <c r="C37" s="159" t="s">
        <v>111</v>
      </c>
      <c r="D37" s="160">
        <v>100000</v>
      </c>
      <c r="E37" s="160">
        <f t="shared" si="2"/>
        <v>45454.545454545449</v>
      </c>
      <c r="F37" s="159" t="s">
        <v>106</v>
      </c>
      <c r="G37" s="159" t="s">
        <v>30</v>
      </c>
      <c r="H37" s="161">
        <v>1</v>
      </c>
      <c r="I37" s="161"/>
      <c r="J37" s="162" t="s">
        <v>49</v>
      </c>
      <c r="K37" s="162" t="s">
        <v>50</v>
      </c>
      <c r="L37" s="162" t="s">
        <v>191</v>
      </c>
      <c r="M37" s="163" t="s">
        <v>214</v>
      </c>
    </row>
    <row r="38" spans="1:13" ht="27.6" x14ac:dyDescent="0.3">
      <c r="A38" s="167" t="s">
        <v>112</v>
      </c>
      <c r="B38" s="136" t="s">
        <v>113</v>
      </c>
      <c r="C38" s="137" t="s">
        <v>114</v>
      </c>
      <c r="D38" s="36">
        <v>200000</v>
      </c>
      <c r="E38" s="15">
        <f t="shared" si="2"/>
        <v>90909.090909090897</v>
      </c>
      <c r="F38" s="139" t="s">
        <v>106</v>
      </c>
      <c r="G38" s="139" t="s">
        <v>30</v>
      </c>
      <c r="H38" s="22">
        <v>1</v>
      </c>
      <c r="I38" s="22"/>
      <c r="J38" s="141" t="s">
        <v>183</v>
      </c>
      <c r="K38" s="140" t="s">
        <v>50</v>
      </c>
      <c r="L38" s="140" t="s">
        <v>33</v>
      </c>
      <c r="M38" s="149"/>
    </row>
    <row r="39" spans="1:13" ht="27.6" x14ac:dyDescent="0.3">
      <c r="A39" s="167" t="s">
        <v>115</v>
      </c>
      <c r="B39" s="181" t="s">
        <v>116</v>
      </c>
      <c r="C39" s="137" t="s">
        <v>88</v>
      </c>
      <c r="D39" s="36">
        <v>750000</v>
      </c>
      <c r="E39" s="15">
        <f t="shared" si="2"/>
        <v>340909.09090909088</v>
      </c>
      <c r="F39" s="139" t="s">
        <v>106</v>
      </c>
      <c r="G39" s="139" t="s">
        <v>30</v>
      </c>
      <c r="H39" s="22"/>
      <c r="I39" s="22">
        <v>1</v>
      </c>
      <c r="J39" s="141" t="s">
        <v>50</v>
      </c>
      <c r="K39" s="140" t="s">
        <v>56</v>
      </c>
      <c r="L39" s="140" t="s">
        <v>33</v>
      </c>
      <c r="M39" s="149"/>
    </row>
    <row r="40" spans="1:13" ht="27.6" x14ac:dyDescent="0.3">
      <c r="A40" s="157" t="s">
        <v>117</v>
      </c>
      <c r="B40" s="158" t="s">
        <v>118</v>
      </c>
      <c r="C40" s="159" t="s">
        <v>88</v>
      </c>
      <c r="D40" s="160">
        <v>500000</v>
      </c>
      <c r="E40" s="160">
        <f t="shared" si="2"/>
        <v>227272.72727272726</v>
      </c>
      <c r="F40" s="159" t="s">
        <v>106</v>
      </c>
      <c r="G40" s="159" t="s">
        <v>30</v>
      </c>
      <c r="H40" s="161">
        <v>1</v>
      </c>
      <c r="I40" s="161"/>
      <c r="J40" s="162" t="s">
        <v>180</v>
      </c>
      <c r="K40" s="162" t="s">
        <v>44</v>
      </c>
      <c r="L40" s="162" t="s">
        <v>191</v>
      </c>
      <c r="M40" s="163" t="s">
        <v>208</v>
      </c>
    </row>
    <row r="41" spans="1:13" x14ac:dyDescent="0.3">
      <c r="A41" s="167" t="s">
        <v>119</v>
      </c>
      <c r="B41" s="181" t="s">
        <v>120</v>
      </c>
      <c r="C41" s="137" t="s">
        <v>88</v>
      </c>
      <c r="D41" s="169">
        <v>1001000</v>
      </c>
      <c r="E41" s="15">
        <f t="shared" si="2"/>
        <v>454999.99999999994</v>
      </c>
      <c r="F41" s="139" t="s">
        <v>106</v>
      </c>
      <c r="G41" s="139" t="s">
        <v>30</v>
      </c>
      <c r="H41" s="22">
        <v>1</v>
      </c>
      <c r="I41" s="22"/>
      <c r="J41" s="140" t="s">
        <v>43</v>
      </c>
      <c r="K41" s="140" t="s">
        <v>44</v>
      </c>
      <c r="L41" s="141" t="s">
        <v>223</v>
      </c>
      <c r="M41" s="142" t="s">
        <v>239</v>
      </c>
    </row>
    <row r="42" spans="1:13" x14ac:dyDescent="0.3">
      <c r="A42" s="167" t="s">
        <v>121</v>
      </c>
      <c r="B42" s="181" t="s">
        <v>122</v>
      </c>
      <c r="C42" s="137" t="s">
        <v>88</v>
      </c>
      <c r="D42" s="169">
        <v>107030</v>
      </c>
      <c r="E42" s="15">
        <f t="shared" si="2"/>
        <v>48649.999999999993</v>
      </c>
      <c r="F42" s="139" t="s">
        <v>106</v>
      </c>
      <c r="G42" s="139" t="s">
        <v>30</v>
      </c>
      <c r="H42" s="22">
        <v>1</v>
      </c>
      <c r="I42" s="22"/>
      <c r="J42" s="140" t="s">
        <v>43</v>
      </c>
      <c r="K42" s="140" t="s">
        <v>44</v>
      </c>
      <c r="L42" s="141" t="s">
        <v>223</v>
      </c>
      <c r="M42" s="142" t="s">
        <v>240</v>
      </c>
    </row>
    <row r="43" spans="1:13" x14ac:dyDescent="0.3">
      <c r="A43" s="167" t="s">
        <v>123</v>
      </c>
      <c r="B43" s="181" t="s">
        <v>241</v>
      </c>
      <c r="C43" s="137" t="s">
        <v>88</v>
      </c>
      <c r="D43" s="169">
        <v>63705</v>
      </c>
      <c r="E43" s="15">
        <f t="shared" si="2"/>
        <v>28956.81818181818</v>
      </c>
      <c r="F43" s="139" t="s">
        <v>106</v>
      </c>
      <c r="G43" s="139" t="s">
        <v>30</v>
      </c>
      <c r="H43" s="22">
        <v>1</v>
      </c>
      <c r="I43" s="22"/>
      <c r="J43" s="140" t="s">
        <v>43</v>
      </c>
      <c r="K43" s="140" t="s">
        <v>44</v>
      </c>
      <c r="L43" s="141" t="s">
        <v>223</v>
      </c>
      <c r="M43" s="142" t="s">
        <v>242</v>
      </c>
    </row>
    <row r="44" spans="1:13" ht="27.6" x14ac:dyDescent="0.3">
      <c r="A44" s="157" t="s">
        <v>125</v>
      </c>
      <c r="B44" s="158" t="s">
        <v>126</v>
      </c>
      <c r="C44" s="159" t="s">
        <v>88</v>
      </c>
      <c r="D44" s="160">
        <v>15000</v>
      </c>
      <c r="E44" s="160">
        <f t="shared" si="2"/>
        <v>6818.181818181818</v>
      </c>
      <c r="F44" s="159" t="s">
        <v>106</v>
      </c>
      <c r="G44" s="159" t="s">
        <v>30</v>
      </c>
      <c r="H44" s="161">
        <v>1</v>
      </c>
      <c r="I44" s="161"/>
      <c r="J44" s="162" t="s">
        <v>49</v>
      </c>
      <c r="K44" s="162" t="s">
        <v>44</v>
      </c>
      <c r="L44" s="162" t="s">
        <v>191</v>
      </c>
      <c r="M44" s="163" t="s">
        <v>243</v>
      </c>
    </row>
    <row r="45" spans="1:13" x14ac:dyDescent="0.3">
      <c r="A45" s="167" t="s">
        <v>127</v>
      </c>
      <c r="B45" s="181" t="s">
        <v>128</v>
      </c>
      <c r="C45" s="137" t="s">
        <v>88</v>
      </c>
      <c r="D45" s="169">
        <v>156000</v>
      </c>
      <c r="E45" s="138">
        <f t="shared" si="2"/>
        <v>70909.090909090897</v>
      </c>
      <c r="F45" s="139" t="s">
        <v>106</v>
      </c>
      <c r="G45" s="139" t="s">
        <v>30</v>
      </c>
      <c r="H45" s="22">
        <v>1</v>
      </c>
      <c r="I45" s="22"/>
      <c r="J45" s="140" t="s">
        <v>49</v>
      </c>
      <c r="K45" s="140" t="s">
        <v>44</v>
      </c>
      <c r="L45" s="141" t="s">
        <v>163</v>
      </c>
      <c r="M45" s="142" t="s">
        <v>244</v>
      </c>
    </row>
    <row r="46" spans="1:13" ht="27.6" x14ac:dyDescent="0.3">
      <c r="A46" s="157" t="s">
        <v>129</v>
      </c>
      <c r="B46" s="158" t="s">
        <v>130</v>
      </c>
      <c r="C46" s="159" t="s">
        <v>88</v>
      </c>
      <c r="D46" s="160">
        <v>30000</v>
      </c>
      <c r="E46" s="160">
        <f t="shared" si="2"/>
        <v>13636.363636363636</v>
      </c>
      <c r="F46" s="159" t="s">
        <v>106</v>
      </c>
      <c r="G46" s="159" t="s">
        <v>30</v>
      </c>
      <c r="H46" s="161">
        <v>1</v>
      </c>
      <c r="I46" s="161"/>
      <c r="J46" s="162" t="s">
        <v>49</v>
      </c>
      <c r="K46" s="162" t="s">
        <v>44</v>
      </c>
      <c r="L46" s="162" t="s">
        <v>191</v>
      </c>
      <c r="M46" s="163" t="s">
        <v>193</v>
      </c>
    </row>
    <row r="47" spans="1:13" ht="27.6" x14ac:dyDescent="0.3">
      <c r="A47" s="167" t="s">
        <v>131</v>
      </c>
      <c r="B47" s="181" t="s">
        <v>132</v>
      </c>
      <c r="C47" s="137" t="s">
        <v>88</v>
      </c>
      <c r="D47" s="36">
        <v>500000</v>
      </c>
      <c r="E47" s="15">
        <f t="shared" si="2"/>
        <v>227272.72727272726</v>
      </c>
      <c r="F47" s="139" t="s">
        <v>106</v>
      </c>
      <c r="G47" s="139" t="s">
        <v>30</v>
      </c>
      <c r="H47" s="22"/>
      <c r="I47" s="22">
        <v>1</v>
      </c>
      <c r="J47" s="140" t="s">
        <v>183</v>
      </c>
      <c r="K47" s="140" t="s">
        <v>38</v>
      </c>
      <c r="L47" s="140" t="s">
        <v>33</v>
      </c>
      <c r="M47" s="149"/>
    </row>
    <row r="48" spans="1:13" ht="27.6" x14ac:dyDescent="0.3">
      <c r="A48" s="167" t="s">
        <v>134</v>
      </c>
      <c r="B48" s="181" t="s">
        <v>135</v>
      </c>
      <c r="C48" s="137" t="s">
        <v>88</v>
      </c>
      <c r="D48" s="36">
        <v>100000</v>
      </c>
      <c r="E48" s="15">
        <f t="shared" si="2"/>
        <v>45454.545454545449</v>
      </c>
      <c r="F48" s="139" t="s">
        <v>106</v>
      </c>
      <c r="G48" s="139" t="s">
        <v>30</v>
      </c>
      <c r="H48" s="22">
        <v>1</v>
      </c>
      <c r="I48" s="22"/>
      <c r="J48" s="140" t="s">
        <v>50</v>
      </c>
      <c r="K48" s="140" t="s">
        <v>59</v>
      </c>
      <c r="L48" s="140" t="s">
        <v>33</v>
      </c>
      <c r="M48" s="149"/>
    </row>
    <row r="49" spans="1:13" x14ac:dyDescent="0.3">
      <c r="A49" s="167" t="s">
        <v>136</v>
      </c>
      <c r="B49" s="136" t="s">
        <v>137</v>
      </c>
      <c r="C49" s="137" t="s">
        <v>62</v>
      </c>
      <c r="D49" s="36">
        <v>400000</v>
      </c>
      <c r="E49" s="15">
        <f t="shared" si="2"/>
        <v>181818.18181818179</v>
      </c>
      <c r="F49" s="139" t="s">
        <v>106</v>
      </c>
      <c r="G49" s="139" t="s">
        <v>30</v>
      </c>
      <c r="H49" s="22">
        <v>1</v>
      </c>
      <c r="I49" s="22"/>
      <c r="J49" s="140" t="s">
        <v>75</v>
      </c>
      <c r="K49" s="140" t="s">
        <v>38</v>
      </c>
      <c r="L49" s="140" t="s">
        <v>33</v>
      </c>
      <c r="M49" s="149"/>
    </row>
    <row r="50" spans="1:13" ht="27.6" x14ac:dyDescent="0.3">
      <c r="A50" s="167" t="s">
        <v>138</v>
      </c>
      <c r="B50" s="136" t="s">
        <v>139</v>
      </c>
      <c r="C50" s="137" t="s">
        <v>78</v>
      </c>
      <c r="D50" s="36">
        <v>1803000</v>
      </c>
      <c r="E50" s="15">
        <f t="shared" si="2"/>
        <v>819545.45454545447</v>
      </c>
      <c r="F50" s="139" t="s">
        <v>106</v>
      </c>
      <c r="G50" s="139" t="s">
        <v>30</v>
      </c>
      <c r="H50" s="22">
        <v>1</v>
      </c>
      <c r="I50" s="22"/>
      <c r="J50" s="141" t="s">
        <v>231</v>
      </c>
      <c r="K50" s="140" t="s">
        <v>59</v>
      </c>
      <c r="L50" s="140" t="s">
        <v>33</v>
      </c>
      <c r="M50" s="149"/>
    </row>
    <row r="51" spans="1:13" ht="41.4" x14ac:dyDescent="0.3">
      <c r="A51" s="167" t="s">
        <v>140</v>
      </c>
      <c r="B51" s="136" t="s">
        <v>141</v>
      </c>
      <c r="C51" s="137" t="s">
        <v>78</v>
      </c>
      <c r="D51" s="36">
        <v>60000</v>
      </c>
      <c r="E51" s="15">
        <f t="shared" si="2"/>
        <v>27272.727272727272</v>
      </c>
      <c r="F51" s="139" t="s">
        <v>106</v>
      </c>
      <c r="G51" s="139" t="s">
        <v>30</v>
      </c>
      <c r="H51" s="22">
        <v>1</v>
      </c>
      <c r="I51" s="22"/>
      <c r="J51" s="140" t="s">
        <v>44</v>
      </c>
      <c r="K51" s="140" t="s">
        <v>56</v>
      </c>
      <c r="L51" s="140" t="s">
        <v>33</v>
      </c>
      <c r="M51" s="149"/>
    </row>
    <row r="52" spans="1:13" ht="27.6" x14ac:dyDescent="0.3">
      <c r="A52" s="167" t="s">
        <v>142</v>
      </c>
      <c r="B52" s="136" t="s">
        <v>143</v>
      </c>
      <c r="C52" s="137" t="s">
        <v>78</v>
      </c>
      <c r="D52" s="36">
        <v>750000</v>
      </c>
      <c r="E52" s="15">
        <f t="shared" si="2"/>
        <v>340909.09090909088</v>
      </c>
      <c r="F52" s="139" t="s">
        <v>106</v>
      </c>
      <c r="G52" s="139" t="s">
        <v>30</v>
      </c>
      <c r="H52" s="22">
        <v>1</v>
      </c>
      <c r="I52" s="22"/>
      <c r="J52" s="140" t="s">
        <v>49</v>
      </c>
      <c r="K52" s="140" t="s">
        <v>50</v>
      </c>
      <c r="L52" s="141" t="s">
        <v>163</v>
      </c>
      <c r="M52" s="149"/>
    </row>
    <row r="53" spans="1:13" ht="41.4" x14ac:dyDescent="0.3">
      <c r="A53" s="157" t="s">
        <v>144</v>
      </c>
      <c r="B53" s="158" t="s">
        <v>202</v>
      </c>
      <c r="C53" s="159" t="s">
        <v>28</v>
      </c>
      <c r="D53" s="160">
        <v>13000</v>
      </c>
      <c r="E53" s="160">
        <f t="shared" si="2"/>
        <v>5909.090909090909</v>
      </c>
      <c r="F53" s="159" t="s">
        <v>106</v>
      </c>
      <c r="G53" s="159" t="s">
        <v>30</v>
      </c>
      <c r="H53" s="161">
        <v>1</v>
      </c>
      <c r="I53" s="161"/>
      <c r="J53" s="162" t="s">
        <v>43</v>
      </c>
      <c r="K53" s="162" t="s">
        <v>43</v>
      </c>
      <c r="L53" s="162" t="s">
        <v>191</v>
      </c>
      <c r="M53" s="163" t="s">
        <v>194</v>
      </c>
    </row>
    <row r="54" spans="1:13" ht="27.6" x14ac:dyDescent="0.3">
      <c r="A54" s="157" t="s">
        <v>147</v>
      </c>
      <c r="B54" s="158" t="s">
        <v>148</v>
      </c>
      <c r="C54" s="159" t="s">
        <v>28</v>
      </c>
      <c r="D54" s="160">
        <v>80000</v>
      </c>
      <c r="E54" s="160">
        <f t="shared" si="2"/>
        <v>36363.63636363636</v>
      </c>
      <c r="F54" s="159" t="s">
        <v>106</v>
      </c>
      <c r="G54" s="159" t="s">
        <v>30</v>
      </c>
      <c r="H54" s="161">
        <v>1</v>
      </c>
      <c r="I54" s="161"/>
      <c r="J54" s="162" t="s">
        <v>43</v>
      </c>
      <c r="K54" s="162" t="s">
        <v>43</v>
      </c>
      <c r="L54" s="162" t="s">
        <v>191</v>
      </c>
      <c r="M54" s="163" t="s">
        <v>195</v>
      </c>
    </row>
    <row r="55" spans="1:13" ht="27.6" x14ac:dyDescent="0.3">
      <c r="A55" s="167" t="s">
        <v>149</v>
      </c>
      <c r="B55" s="156" t="s">
        <v>150</v>
      </c>
      <c r="C55" s="139" t="s">
        <v>73</v>
      </c>
      <c r="D55" s="14">
        <v>150000</v>
      </c>
      <c r="E55" s="15">
        <f t="shared" si="2"/>
        <v>68181.818181818177</v>
      </c>
      <c r="F55" s="139" t="s">
        <v>106</v>
      </c>
      <c r="G55" s="139" t="s">
        <v>30</v>
      </c>
      <c r="H55" s="22">
        <v>1</v>
      </c>
      <c r="I55" s="22"/>
      <c r="J55" s="140" t="s">
        <v>196</v>
      </c>
      <c r="K55" s="140" t="s">
        <v>152</v>
      </c>
      <c r="L55" s="140" t="s">
        <v>33</v>
      </c>
      <c r="M55" s="149"/>
    </row>
    <row r="56" spans="1:13" ht="27.6" x14ac:dyDescent="0.3">
      <c r="A56" s="167" t="s">
        <v>153</v>
      </c>
      <c r="B56" s="156" t="s">
        <v>154</v>
      </c>
      <c r="C56" s="139" t="s">
        <v>105</v>
      </c>
      <c r="D56" s="14">
        <v>200000</v>
      </c>
      <c r="E56" s="15">
        <f t="shared" si="2"/>
        <v>90909.090909090897</v>
      </c>
      <c r="F56" s="139" t="s">
        <v>106</v>
      </c>
      <c r="G56" s="139" t="s">
        <v>30</v>
      </c>
      <c r="H56" s="22">
        <v>1</v>
      </c>
      <c r="I56" s="22"/>
      <c r="J56" s="140" t="s">
        <v>32</v>
      </c>
      <c r="K56" s="140" t="s">
        <v>56</v>
      </c>
      <c r="L56" s="141" t="s">
        <v>163</v>
      </c>
      <c r="M56" s="149"/>
    </row>
    <row r="57" spans="1:13" ht="41.4" x14ac:dyDescent="0.3">
      <c r="A57" s="167" t="s">
        <v>155</v>
      </c>
      <c r="B57" s="156" t="s">
        <v>156</v>
      </c>
      <c r="C57" s="139" t="s">
        <v>105</v>
      </c>
      <c r="D57" s="14">
        <v>180000</v>
      </c>
      <c r="E57" s="15">
        <f t="shared" si="2"/>
        <v>81818.181818181809</v>
      </c>
      <c r="F57" s="139" t="s">
        <v>106</v>
      </c>
      <c r="G57" s="139" t="s">
        <v>30</v>
      </c>
      <c r="H57" s="22">
        <v>1</v>
      </c>
      <c r="I57" s="22"/>
      <c r="J57" s="141" t="s">
        <v>183</v>
      </c>
      <c r="K57" s="140" t="s">
        <v>56</v>
      </c>
      <c r="L57" s="140" t="s">
        <v>33</v>
      </c>
      <c r="M57" s="149"/>
    </row>
    <row r="58" spans="1:13" ht="27.6" x14ac:dyDescent="0.3">
      <c r="A58" s="167" t="s">
        <v>157</v>
      </c>
      <c r="B58" s="156" t="s">
        <v>158</v>
      </c>
      <c r="C58" s="139" t="s">
        <v>73</v>
      </c>
      <c r="D58" s="14">
        <v>20000</v>
      </c>
      <c r="E58" s="15">
        <f t="shared" si="2"/>
        <v>9090.9090909090901</v>
      </c>
      <c r="F58" s="139" t="s">
        <v>95</v>
      </c>
      <c r="G58" s="139" t="s">
        <v>30</v>
      </c>
      <c r="H58" s="22">
        <v>1</v>
      </c>
      <c r="I58" s="22"/>
      <c r="J58" s="141" t="s">
        <v>44</v>
      </c>
      <c r="K58" s="140" t="s">
        <v>97</v>
      </c>
      <c r="L58" s="140" t="s">
        <v>33</v>
      </c>
      <c r="M58" s="149"/>
    </row>
    <row r="59" spans="1:13" x14ac:dyDescent="0.3">
      <c r="A59" s="167" t="s">
        <v>216</v>
      </c>
      <c r="B59" s="156" t="s">
        <v>217</v>
      </c>
      <c r="C59" s="139" t="s">
        <v>88</v>
      </c>
      <c r="D59" s="14">
        <v>15000</v>
      </c>
      <c r="E59" s="15">
        <f t="shared" si="2"/>
        <v>6818.181818181818</v>
      </c>
      <c r="F59" s="153" t="s">
        <v>106</v>
      </c>
      <c r="G59" s="139" t="s">
        <v>30</v>
      </c>
      <c r="H59" s="22">
        <v>1</v>
      </c>
      <c r="I59" s="22"/>
      <c r="J59" s="140" t="s">
        <v>49</v>
      </c>
      <c r="K59" s="140" t="s">
        <v>44</v>
      </c>
      <c r="L59" s="140" t="s">
        <v>33</v>
      </c>
      <c r="M59" s="142" t="s">
        <v>245</v>
      </c>
    </row>
    <row r="60" spans="1:13" ht="27.6" x14ac:dyDescent="0.3">
      <c r="A60" s="172" t="s">
        <v>246</v>
      </c>
      <c r="B60" s="173" t="s">
        <v>247</v>
      </c>
      <c r="C60" s="174" t="s">
        <v>248</v>
      </c>
      <c r="D60" s="175">
        <v>100000</v>
      </c>
      <c r="E60" s="176">
        <f t="shared" si="2"/>
        <v>45454.545454545449</v>
      </c>
      <c r="F60" s="177" t="s">
        <v>106</v>
      </c>
      <c r="G60" s="177" t="s">
        <v>30</v>
      </c>
      <c r="H60" s="178">
        <v>1</v>
      </c>
      <c r="I60" s="178"/>
      <c r="J60" s="179" t="s">
        <v>49</v>
      </c>
      <c r="K60" s="179" t="s">
        <v>44</v>
      </c>
      <c r="L60" s="179" t="s">
        <v>33</v>
      </c>
      <c r="M60" s="180" t="s">
        <v>249</v>
      </c>
    </row>
    <row r="61" spans="1:13" ht="13.5" customHeight="1" x14ac:dyDescent="0.3">
      <c r="A61" s="622" t="s">
        <v>250</v>
      </c>
      <c r="B61" s="622"/>
      <c r="C61" s="165"/>
      <c r="D61" s="166">
        <f>SUMIF(L35:L60,"P",D35:D60)+SUMIF(L35:L60,"EP",D35:D60)+SUMIF(L35:L60,"A",D35:D60)</f>
        <v>6880735</v>
      </c>
      <c r="E61" s="166">
        <f t="shared" si="2"/>
        <v>3127606.8181818179</v>
      </c>
      <c r="F61" s="623"/>
      <c r="G61" s="623"/>
      <c r="H61" s="623"/>
      <c r="I61" s="623"/>
      <c r="J61" s="623"/>
      <c r="K61" s="623"/>
      <c r="L61" s="623"/>
      <c r="M61" s="623"/>
    </row>
    <row r="62" spans="1:13" ht="12.75" customHeight="1" x14ac:dyDescent="0.3">
      <c r="A62" s="619" t="s">
        <v>160</v>
      </c>
      <c r="B62" s="619"/>
      <c r="C62" s="619"/>
      <c r="D62" s="619"/>
      <c r="E62" s="619"/>
      <c r="F62" s="619"/>
      <c r="G62" s="619"/>
      <c r="H62" s="619"/>
      <c r="I62" s="619"/>
      <c r="J62" s="619"/>
      <c r="K62" s="619"/>
      <c r="L62" s="619"/>
      <c r="M62" s="619"/>
    </row>
    <row r="63" spans="1:13" ht="27.6" x14ac:dyDescent="0.3">
      <c r="A63" s="167" t="s">
        <v>161</v>
      </c>
      <c r="B63" s="156" t="s">
        <v>162</v>
      </c>
      <c r="C63" s="34" t="s">
        <v>65</v>
      </c>
      <c r="D63" s="182">
        <v>3481432</v>
      </c>
      <c r="E63" s="183">
        <f>D63/$D$5</f>
        <v>1582469.0909090908</v>
      </c>
      <c r="F63" s="139" t="s">
        <v>48</v>
      </c>
      <c r="G63" s="139" t="s">
        <v>30</v>
      </c>
      <c r="H63" s="22"/>
      <c r="I63" s="22">
        <v>1</v>
      </c>
      <c r="J63" s="140" t="s">
        <v>96</v>
      </c>
      <c r="K63" s="140" t="s">
        <v>32</v>
      </c>
      <c r="L63" s="141" t="s">
        <v>223</v>
      </c>
      <c r="M63" s="149"/>
    </row>
    <row r="64" spans="1:13" ht="13.5" customHeight="1" x14ac:dyDescent="0.3">
      <c r="A64" s="167"/>
      <c r="B64" s="134" t="s">
        <v>251</v>
      </c>
      <c r="C64" s="184"/>
      <c r="D64" s="166">
        <f>SUMIF(L63:L63,"P",D63:D63)+SUMIF(L63:L63,"EP",D63:D63)+SUMIF(L63:L63,"A",D63:D63)</f>
        <v>3481432</v>
      </c>
      <c r="E64" s="166">
        <f>D64/$D$5</f>
        <v>1582469.0909090908</v>
      </c>
      <c r="F64" s="623"/>
      <c r="G64" s="623"/>
      <c r="H64" s="623"/>
      <c r="I64" s="623"/>
      <c r="J64" s="623"/>
      <c r="K64" s="623"/>
      <c r="L64" s="623"/>
      <c r="M64" s="623"/>
    </row>
    <row r="65" spans="1:13" ht="12.9" customHeight="1" x14ac:dyDescent="0.3">
      <c r="A65" s="626" t="s">
        <v>165</v>
      </c>
      <c r="B65" s="626"/>
      <c r="C65" s="626"/>
      <c r="D65" s="626"/>
      <c r="E65" s="626"/>
      <c r="F65" s="626"/>
      <c r="G65" s="626"/>
      <c r="H65" s="626"/>
      <c r="I65" s="626"/>
      <c r="J65" s="626"/>
      <c r="K65" s="626"/>
      <c r="L65" s="626"/>
      <c r="M65" s="626"/>
    </row>
    <row r="66" spans="1:13" ht="27.6" x14ac:dyDescent="0.3">
      <c r="A66" s="167" t="s">
        <v>166</v>
      </c>
      <c r="B66" s="156" t="s">
        <v>167</v>
      </c>
      <c r="C66" s="34" t="s">
        <v>65</v>
      </c>
      <c r="D66" s="183">
        <f>534000+72000</f>
        <v>606000</v>
      </c>
      <c r="E66" s="183">
        <f>D66/$D$5</f>
        <v>275454.54545454541</v>
      </c>
      <c r="F66" s="139" t="s">
        <v>48</v>
      </c>
      <c r="G66" s="139" t="s">
        <v>30</v>
      </c>
      <c r="H66" s="22">
        <v>1</v>
      </c>
      <c r="I66" s="22"/>
      <c r="J66" s="140" t="s">
        <v>43</v>
      </c>
      <c r="K66" s="140" t="s">
        <v>97</v>
      </c>
      <c r="L66" s="141" t="s">
        <v>163</v>
      </c>
      <c r="M66" s="185"/>
    </row>
    <row r="67" spans="1:13" ht="27.6" x14ac:dyDescent="0.3">
      <c r="A67" s="168" t="s">
        <v>203</v>
      </c>
      <c r="B67" s="136" t="s">
        <v>204</v>
      </c>
      <c r="C67" s="27" t="s">
        <v>28</v>
      </c>
      <c r="D67" s="186">
        <v>19902</v>
      </c>
      <c r="E67" s="187">
        <f>D67/$D$5</f>
        <v>9046.363636363636</v>
      </c>
      <c r="F67" s="137" t="s">
        <v>106</v>
      </c>
      <c r="G67" s="137" t="s">
        <v>30</v>
      </c>
      <c r="H67" s="170">
        <v>1</v>
      </c>
      <c r="I67" s="170"/>
      <c r="J67" s="188" t="s">
        <v>43</v>
      </c>
      <c r="K67" s="188" t="s">
        <v>32</v>
      </c>
      <c r="L67" s="171" t="s">
        <v>223</v>
      </c>
      <c r="M67" s="142" t="s">
        <v>252</v>
      </c>
    </row>
    <row r="68" spans="1:13" ht="12.9" customHeight="1" x14ac:dyDescent="0.3">
      <c r="A68" s="627" t="s">
        <v>253</v>
      </c>
      <c r="B68" s="627"/>
      <c r="C68" s="184"/>
      <c r="D68" s="166">
        <f>SUMIF(L66:L67,"P",D66:D67)+SUMIF(L66:L67,"EP",D66:D67)+SUMIF(L66:L67,"A",D66:D67)</f>
        <v>625902</v>
      </c>
      <c r="E68" s="166">
        <f>D68/$D$5</f>
        <v>284500.90909090906</v>
      </c>
      <c r="F68" s="623"/>
      <c r="G68" s="623"/>
      <c r="H68" s="623"/>
      <c r="I68" s="623"/>
      <c r="J68" s="623"/>
      <c r="K68" s="623"/>
      <c r="L68" s="623"/>
      <c r="M68" s="623"/>
    </row>
    <row r="69" spans="1:13" ht="13.5" customHeight="1" x14ac:dyDescent="0.3">
      <c r="A69" s="624" t="s">
        <v>254</v>
      </c>
      <c r="B69" s="624"/>
      <c r="C69" s="624"/>
      <c r="D69" s="189">
        <f>D26+D33+D61+D64+D68</f>
        <v>16769933</v>
      </c>
      <c r="E69" s="189">
        <f>E26+E33+E61+E64+E68</f>
        <v>7622696.8181818184</v>
      </c>
      <c r="F69" s="150">
        <v>15762766</v>
      </c>
      <c r="G69" s="150">
        <f>F69/2</f>
        <v>7881383</v>
      </c>
      <c r="H69" s="190">
        <f>D69/E69</f>
        <v>2.1999999999999997</v>
      </c>
    </row>
    <row r="70" spans="1:13" x14ac:dyDescent="0.3">
      <c r="C70" s="191"/>
      <c r="D70" s="192"/>
      <c r="E70" s="192"/>
      <c r="F70" s="193"/>
    </row>
    <row r="71" spans="1:13" ht="24.75" customHeight="1" x14ac:dyDescent="0.3">
      <c r="A71" s="194" t="s">
        <v>170</v>
      </c>
      <c r="B71" s="625" t="s">
        <v>255</v>
      </c>
      <c r="C71" s="625"/>
      <c r="D71" s="625"/>
      <c r="E71" s="625"/>
      <c r="F71" s="625"/>
      <c r="G71" s="625"/>
      <c r="H71" s="625"/>
      <c r="I71" s="625"/>
      <c r="J71" s="625"/>
      <c r="K71" s="625"/>
      <c r="L71" s="625"/>
      <c r="M71" s="625"/>
    </row>
    <row r="72" spans="1:13" ht="12.9" customHeight="1" x14ac:dyDescent="0.3">
      <c r="B72" s="625" t="s">
        <v>172</v>
      </c>
      <c r="C72" s="625"/>
      <c r="D72" s="625"/>
      <c r="E72" s="625"/>
      <c r="F72" s="625"/>
      <c r="G72" s="625"/>
      <c r="H72" s="625"/>
      <c r="I72" s="625"/>
      <c r="J72" s="625"/>
      <c r="K72" s="625"/>
      <c r="L72" s="625"/>
      <c r="M72" s="625"/>
    </row>
    <row r="73" spans="1:13" x14ac:dyDescent="0.3">
      <c r="B73" s="195" t="s">
        <v>173</v>
      </c>
      <c r="C73" s="196"/>
      <c r="D73" s="192"/>
      <c r="E73" s="192"/>
      <c r="G73" s="150"/>
      <c r="H73" s="150"/>
    </row>
    <row r="74" spans="1:13" x14ac:dyDescent="0.3">
      <c r="B74" s="195" t="s">
        <v>256</v>
      </c>
      <c r="C74" s="196"/>
      <c r="D74" s="192"/>
      <c r="E74" s="192"/>
      <c r="G74" s="150"/>
      <c r="H74" s="150"/>
    </row>
    <row r="75" spans="1:13" ht="15.6" x14ac:dyDescent="0.3">
      <c r="B75" s="195" t="s">
        <v>257</v>
      </c>
      <c r="D75" s="197"/>
      <c r="E75" s="192"/>
      <c r="G75" s="150"/>
      <c r="H75" s="150"/>
    </row>
    <row r="76" spans="1:13" ht="15.6" x14ac:dyDescent="0.3">
      <c r="B76" s="195" t="s">
        <v>258</v>
      </c>
      <c r="D76" s="197"/>
      <c r="G76" s="150"/>
      <c r="H76" s="150"/>
    </row>
    <row r="77" spans="1:13" ht="15.6" x14ac:dyDescent="0.3">
      <c r="B77" s="195" t="s">
        <v>259</v>
      </c>
      <c r="D77" s="197"/>
      <c r="E77" s="192"/>
      <c r="G77" s="150"/>
      <c r="H77" s="150"/>
    </row>
    <row r="78" spans="1:13" ht="15.6" x14ac:dyDescent="0.3">
      <c r="B78" s="198"/>
      <c r="C78" s="126"/>
      <c r="D78" s="197"/>
      <c r="G78" s="150"/>
      <c r="H78" s="150"/>
    </row>
    <row r="79" spans="1:13" ht="15.6" x14ac:dyDescent="0.3">
      <c r="B79" s="199" t="s">
        <v>260</v>
      </c>
      <c r="C79" s="200" t="s">
        <v>223</v>
      </c>
      <c r="D79" s="197">
        <f>SUMIF($L$9:$L$67,C79,$E$9:$E$67)</f>
        <v>2170605.9090909092</v>
      </c>
      <c r="E79" s="201">
        <f>+D79/$D$82</f>
        <v>0.28475563975121437</v>
      </c>
      <c r="G79" s="150"/>
      <c r="H79" s="150"/>
    </row>
    <row r="80" spans="1:13" x14ac:dyDescent="0.3">
      <c r="B80" s="131" t="s">
        <v>261</v>
      </c>
      <c r="C80" s="200" t="s">
        <v>163</v>
      </c>
      <c r="D80" s="197">
        <f>SUMIF($L$9:$L$67,C80,$E$9:$E$67)</f>
        <v>2188318.1818181816</v>
      </c>
      <c r="E80" s="201">
        <f>+D80/$D$82</f>
        <v>0.28707926263032779</v>
      </c>
      <c r="G80" s="150"/>
      <c r="H80" s="150"/>
    </row>
    <row r="81" spans="2:5" x14ac:dyDescent="0.3">
      <c r="B81" s="131" t="s">
        <v>262</v>
      </c>
      <c r="C81" s="200" t="s">
        <v>33</v>
      </c>
      <c r="D81" s="202">
        <f>SUMIF($L$9:$L$67,C81,$E$9:$E$67)</f>
        <v>3263772.7272727261</v>
      </c>
      <c r="E81" s="201">
        <f>+D81/$D$82</f>
        <v>0.42816509761845795</v>
      </c>
    </row>
    <row r="82" spans="2:5" x14ac:dyDescent="0.3">
      <c r="B82" s="131" t="s">
        <v>263</v>
      </c>
      <c r="C82" s="200"/>
      <c r="D82" s="197">
        <f>SUM(D79:D81)</f>
        <v>7622696.8181818165</v>
      </c>
      <c r="E82" s="192"/>
    </row>
    <row r="83" spans="2:5" x14ac:dyDescent="0.3">
      <c r="B83" s="131" t="s">
        <v>264</v>
      </c>
      <c r="C83" s="200" t="s">
        <v>191</v>
      </c>
      <c r="D83" s="197">
        <f>SUMIF($L$9:$L$67,C83,$E$9:$E$67)</f>
        <v>517272.72727272718</v>
      </c>
    </row>
    <row r="84" spans="2:5" x14ac:dyDescent="0.3">
      <c r="D84" s="192"/>
    </row>
    <row r="85" spans="2:5" x14ac:dyDescent="0.3">
      <c r="B85" s="131"/>
      <c r="D85" s="192"/>
    </row>
    <row r="86" spans="2:5" x14ac:dyDescent="0.3">
      <c r="D86" s="192"/>
    </row>
    <row r="87" spans="2:5" x14ac:dyDescent="0.3">
      <c r="D87" s="192"/>
    </row>
    <row r="88" spans="2:5" x14ac:dyDescent="0.3">
      <c r="D88" s="192"/>
    </row>
    <row r="89" spans="2:5" x14ac:dyDescent="0.3">
      <c r="D89" s="192"/>
    </row>
    <row r="90" spans="2:5" x14ac:dyDescent="0.3">
      <c r="D90" s="192"/>
    </row>
  </sheetData>
  <sheetProtection selectLockedCells="1" selectUnlockedCells="1"/>
  <mergeCells count="28">
    <mergeCell ref="A34:M34"/>
    <mergeCell ref="A69:C69"/>
    <mergeCell ref="B71:M71"/>
    <mergeCell ref="B72:M72"/>
    <mergeCell ref="A61:B61"/>
    <mergeCell ref="F61:M61"/>
    <mergeCell ref="A62:M62"/>
    <mergeCell ref="F64:M64"/>
    <mergeCell ref="A65:M65"/>
    <mergeCell ref="A68:B68"/>
    <mergeCell ref="F68:M68"/>
    <mergeCell ref="A26:B26"/>
    <mergeCell ref="F26:M26"/>
    <mergeCell ref="A27:M27"/>
    <mergeCell ref="A33:B33"/>
    <mergeCell ref="F33:M33"/>
    <mergeCell ref="L6:L7"/>
    <mergeCell ref="M6:M7"/>
    <mergeCell ref="A8:M8"/>
    <mergeCell ref="A6:A7"/>
    <mergeCell ref="B6:B7"/>
    <mergeCell ref="C6:C7"/>
    <mergeCell ref="D6:D7"/>
    <mergeCell ref="E6:E7"/>
    <mergeCell ref="F6:F7"/>
    <mergeCell ref="G6:G7"/>
    <mergeCell ref="H6:I6"/>
    <mergeCell ref="J6:K6"/>
  </mergeCells>
  <printOptions horizontalCentered="1"/>
  <pageMargins left="0.39374999999999999" right="0.39374999999999999" top="0.19652777777777777" bottom="0.19652777777777777" header="0.51180555555555551" footer="0.51180555555555551"/>
  <pageSetup paperSize="9" scale="60" firstPageNumber="0" orientation="landscape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AA111"/>
  <sheetViews>
    <sheetView showGridLines="0" topLeftCell="A121" zoomScale="70" zoomScaleNormal="70" workbookViewId="0">
      <selection activeCell="H63" sqref="H63"/>
    </sheetView>
  </sheetViews>
  <sheetFormatPr defaultColWidth="9.109375" defaultRowHeight="14.4" x14ac:dyDescent="0.3"/>
  <cols>
    <col min="1" max="1" width="4.88671875" style="203" customWidth="1"/>
    <col min="2" max="2" width="9.33203125" style="204" customWidth="1"/>
    <col min="3" max="3" width="15.6640625" style="204" customWidth="1"/>
    <col min="4" max="4" width="18.6640625" style="204" customWidth="1"/>
    <col min="5" max="5" width="20.6640625" style="204" customWidth="1"/>
    <col min="6" max="6" width="19.44140625" style="204" customWidth="1"/>
    <col min="7" max="7" width="5.109375" style="204" customWidth="1"/>
    <col min="8" max="8" width="9.44140625" style="205" customWidth="1"/>
    <col min="9" max="9" width="8.44140625" style="206" customWidth="1"/>
    <col min="10" max="10" width="9.109375" style="206"/>
    <col min="11" max="11" width="12.6640625" style="204" customWidth="1"/>
    <col min="12" max="12" width="9.109375" style="207"/>
    <col min="13" max="13" width="3.44140625" style="203" customWidth="1"/>
    <col min="14" max="14" width="11" style="207" customWidth="1"/>
    <col min="15" max="15" width="10.88671875" style="207" customWidth="1"/>
    <col min="16" max="16" width="10.109375" style="204" customWidth="1"/>
    <col min="17" max="17" width="9.6640625" style="204" customWidth="1"/>
    <col min="18" max="18" width="4.109375" style="204" customWidth="1"/>
    <col min="19" max="19" width="8.33203125" style="204" customWidth="1"/>
    <col min="20" max="20" width="9.5546875" style="204" customWidth="1"/>
    <col min="21" max="21" width="16.44140625" style="204" customWidth="1"/>
    <col min="22" max="23" width="9.109375" style="204"/>
    <col min="24" max="25" width="0" style="204" hidden="1" customWidth="1"/>
    <col min="26" max="16384" width="9.109375" style="204"/>
  </cols>
  <sheetData>
    <row r="3" spans="1:27" x14ac:dyDescent="0.3">
      <c r="C3" s="208"/>
      <c r="D3" s="208"/>
      <c r="E3" s="208"/>
      <c r="F3" s="208"/>
      <c r="G3" s="208"/>
      <c r="H3" s="209"/>
      <c r="I3" s="210"/>
      <c r="J3" s="210"/>
      <c r="K3" s="208"/>
      <c r="L3" s="211"/>
      <c r="M3" s="212"/>
      <c r="N3" s="211"/>
      <c r="O3" s="211"/>
      <c r="P3" s="208"/>
      <c r="Q3" s="208"/>
      <c r="R3" s="208"/>
      <c r="S3" s="208"/>
      <c r="T3" s="208"/>
      <c r="U3" s="208"/>
    </row>
    <row r="4" spans="1:27" ht="15.6" customHeight="1" x14ac:dyDescent="0.25">
      <c r="A4" s="207"/>
      <c r="B4" s="628" t="s">
        <v>265</v>
      </c>
      <c r="C4" s="628"/>
      <c r="D4" s="628"/>
      <c r="E4" s="628"/>
      <c r="F4" s="628"/>
      <c r="G4" s="628"/>
      <c r="H4" s="628"/>
      <c r="I4" s="628"/>
      <c r="J4" s="628"/>
      <c r="K4" s="628"/>
      <c r="L4" s="628"/>
      <c r="M4" s="628"/>
      <c r="N4" s="628"/>
      <c r="O4" s="628"/>
      <c r="P4" s="628"/>
      <c r="Q4" s="628"/>
      <c r="R4" s="628"/>
      <c r="S4" s="628"/>
      <c r="T4" s="628"/>
      <c r="U4" s="628"/>
      <c r="V4" s="213"/>
      <c r="W4" s="213"/>
      <c r="X4" s="214"/>
      <c r="Y4" s="215"/>
      <c r="Z4" s="213"/>
      <c r="AA4" s="213"/>
    </row>
    <row r="5" spans="1:27" ht="15.6" customHeight="1" x14ac:dyDescent="0.25">
      <c r="A5" s="207"/>
      <c r="B5" s="629" t="s">
        <v>266</v>
      </c>
      <c r="C5" s="629"/>
      <c r="D5" s="629"/>
      <c r="E5" s="629"/>
      <c r="F5" s="629"/>
      <c r="G5" s="629"/>
      <c r="H5" s="629"/>
      <c r="I5" s="629"/>
      <c r="J5" s="629"/>
      <c r="K5" s="629"/>
      <c r="L5" s="629"/>
      <c r="M5" s="629"/>
      <c r="N5" s="629"/>
      <c r="O5" s="629"/>
      <c r="P5" s="629"/>
      <c r="Q5" s="629"/>
      <c r="R5" s="629"/>
      <c r="S5" s="629"/>
      <c r="T5" s="629"/>
      <c r="U5" s="629"/>
      <c r="V5" s="213"/>
      <c r="W5" s="213"/>
      <c r="X5" s="216" t="s">
        <v>267</v>
      </c>
      <c r="Y5" s="215"/>
      <c r="Z5" s="213"/>
      <c r="AA5" s="213"/>
    </row>
    <row r="6" spans="1:27" ht="12.75" customHeight="1" x14ac:dyDescent="0.25">
      <c r="A6" s="630" t="s">
        <v>268</v>
      </c>
      <c r="B6" s="631" t="s">
        <v>269</v>
      </c>
      <c r="C6" s="632" t="s">
        <v>270</v>
      </c>
      <c r="D6" s="632" t="s">
        <v>271</v>
      </c>
      <c r="E6" s="632" t="s">
        <v>272</v>
      </c>
      <c r="F6" s="632" t="s">
        <v>273</v>
      </c>
      <c r="G6" s="632"/>
      <c r="H6" s="633" t="s">
        <v>274</v>
      </c>
      <c r="I6" s="633"/>
      <c r="J6" s="633"/>
      <c r="K6" s="632" t="s">
        <v>275</v>
      </c>
      <c r="L6" s="632" t="s">
        <v>276</v>
      </c>
      <c r="M6" s="630" t="s">
        <v>277</v>
      </c>
      <c r="N6" s="632" t="s">
        <v>278</v>
      </c>
      <c r="O6" s="632"/>
      <c r="P6" s="630" t="s">
        <v>279</v>
      </c>
      <c r="Q6" s="630" t="s">
        <v>280</v>
      </c>
      <c r="R6" s="630" t="s">
        <v>281</v>
      </c>
      <c r="S6" s="630"/>
      <c r="T6" s="630" t="s">
        <v>282</v>
      </c>
      <c r="U6" s="634" t="s">
        <v>283</v>
      </c>
      <c r="V6" s="213"/>
      <c r="W6" s="213"/>
      <c r="X6" s="216" t="s">
        <v>284</v>
      </c>
      <c r="Y6" s="215"/>
      <c r="Z6" s="213"/>
      <c r="AA6" s="213"/>
    </row>
    <row r="7" spans="1:27" ht="55.2" x14ac:dyDescent="0.3">
      <c r="A7" s="630"/>
      <c r="B7" s="631"/>
      <c r="C7" s="632"/>
      <c r="D7" s="632"/>
      <c r="E7" s="632"/>
      <c r="F7" s="632"/>
      <c r="G7" s="632"/>
      <c r="H7" s="219" t="s">
        <v>285</v>
      </c>
      <c r="I7" s="220" t="s">
        <v>286</v>
      </c>
      <c r="J7" s="220" t="s">
        <v>287</v>
      </c>
      <c r="K7" s="632"/>
      <c r="L7" s="632"/>
      <c r="M7" s="630"/>
      <c r="N7" s="218" t="s">
        <v>288</v>
      </c>
      <c r="O7" s="218" t="s">
        <v>289</v>
      </c>
      <c r="P7" s="630"/>
      <c r="Q7" s="630"/>
      <c r="R7" s="221" t="s">
        <v>290</v>
      </c>
      <c r="S7" s="221" t="s">
        <v>291</v>
      </c>
      <c r="T7" s="630"/>
      <c r="U7" s="634"/>
      <c r="V7" s="213"/>
      <c r="W7" s="213"/>
      <c r="X7" s="222" t="s">
        <v>292</v>
      </c>
      <c r="Y7" s="215"/>
      <c r="Z7" s="213"/>
      <c r="AA7" s="213"/>
    </row>
    <row r="8" spans="1:27" ht="38.25" customHeight="1" x14ac:dyDescent="0.25">
      <c r="A8" s="223" t="s">
        <v>161</v>
      </c>
      <c r="B8" s="224" t="s">
        <v>293</v>
      </c>
      <c r="C8" s="225" t="s">
        <v>294</v>
      </c>
      <c r="D8" s="225" t="s">
        <v>295</v>
      </c>
      <c r="E8" s="225" t="s">
        <v>267</v>
      </c>
      <c r="F8" s="635" t="s">
        <v>296</v>
      </c>
      <c r="G8" s="635"/>
      <c r="H8" s="15">
        <v>1582469</v>
      </c>
      <c r="I8" s="227">
        <v>0</v>
      </c>
      <c r="J8" s="227">
        <v>1</v>
      </c>
      <c r="K8" s="228" t="s">
        <v>297</v>
      </c>
      <c r="L8" s="226" t="s">
        <v>267</v>
      </c>
      <c r="M8" s="229" t="s">
        <v>223</v>
      </c>
      <c r="N8" s="226" t="s">
        <v>146</v>
      </c>
      <c r="O8" s="226" t="s">
        <v>96</v>
      </c>
      <c r="P8" s="230">
        <v>1582469</v>
      </c>
      <c r="Q8" s="231" t="s">
        <v>298</v>
      </c>
      <c r="R8" s="230">
        <v>0</v>
      </c>
      <c r="S8" s="230">
        <v>0</v>
      </c>
      <c r="T8" s="230">
        <f>+P8+S8</f>
        <v>1582469</v>
      </c>
      <c r="U8" s="232" t="s">
        <v>299</v>
      </c>
      <c r="V8" s="213"/>
      <c r="W8" s="213"/>
      <c r="X8" s="216" t="s">
        <v>300</v>
      </c>
      <c r="Y8" s="215"/>
      <c r="Z8" s="213"/>
      <c r="AA8" s="213"/>
    </row>
    <row r="9" spans="1:27" s="247" customFormat="1" ht="51.75" customHeight="1" x14ac:dyDescent="0.25">
      <c r="A9" s="233" t="s">
        <v>301</v>
      </c>
      <c r="B9" s="234" t="s">
        <v>293</v>
      </c>
      <c r="C9" s="235" t="s">
        <v>302</v>
      </c>
      <c r="D9" s="235" t="s">
        <v>303</v>
      </c>
      <c r="E9" s="235" t="s">
        <v>267</v>
      </c>
      <c r="F9" s="636"/>
      <c r="G9" s="636"/>
      <c r="H9" s="237">
        <f>840000/3</f>
        <v>280000</v>
      </c>
      <c r="I9" s="238">
        <v>0</v>
      </c>
      <c r="J9" s="238">
        <v>1</v>
      </c>
      <c r="K9" s="239" t="s">
        <v>304</v>
      </c>
      <c r="L9" s="236" t="s">
        <v>267</v>
      </c>
      <c r="M9" s="236" t="s">
        <v>33</v>
      </c>
      <c r="N9" s="236" t="s">
        <v>50</v>
      </c>
      <c r="O9" s="236" t="s">
        <v>75</v>
      </c>
      <c r="P9" s="240"/>
      <c r="Q9" s="241"/>
      <c r="R9" s="242">
        <v>0</v>
      </c>
      <c r="S9" s="242">
        <v>0</v>
      </c>
      <c r="T9" s="242">
        <f>+P9+S9</f>
        <v>0</v>
      </c>
      <c r="U9" s="243" t="s">
        <v>305</v>
      </c>
      <c r="V9" s="244"/>
      <c r="W9" s="244"/>
      <c r="X9" s="245" t="s">
        <v>300</v>
      </c>
      <c r="Y9" s="246"/>
      <c r="Z9" s="244"/>
      <c r="AA9" s="244"/>
    </row>
    <row r="10" spans="1:27" ht="27.6" x14ac:dyDescent="0.3">
      <c r="X10" s="216" t="s">
        <v>306</v>
      </c>
      <c r="Y10" s="222"/>
    </row>
    <row r="11" spans="1:27" ht="15.75" customHeight="1" x14ac:dyDescent="0.25">
      <c r="A11" s="207"/>
      <c r="B11" s="629" t="s">
        <v>307</v>
      </c>
      <c r="C11" s="629"/>
      <c r="D11" s="629"/>
      <c r="E11" s="629"/>
      <c r="F11" s="629"/>
      <c r="G11" s="629"/>
      <c r="H11" s="629"/>
      <c r="I11" s="629"/>
      <c r="J11" s="629"/>
      <c r="K11" s="629"/>
      <c r="L11" s="629"/>
      <c r="M11" s="629"/>
      <c r="N11" s="629"/>
      <c r="O11" s="629"/>
      <c r="P11" s="629"/>
      <c r="Q11" s="629"/>
      <c r="R11" s="629"/>
      <c r="S11" s="629"/>
      <c r="T11" s="629"/>
      <c r="U11" s="629"/>
      <c r="V11" s="213"/>
      <c r="W11" s="213"/>
      <c r="X11" s="216" t="s">
        <v>308</v>
      </c>
      <c r="Y11" s="215"/>
      <c r="Z11" s="213"/>
      <c r="AA11" s="213"/>
    </row>
    <row r="12" spans="1:27" ht="15" customHeight="1" x14ac:dyDescent="0.25">
      <c r="A12" s="630" t="s">
        <v>268</v>
      </c>
      <c r="B12" s="631" t="s">
        <v>309</v>
      </c>
      <c r="C12" s="632" t="s">
        <v>270</v>
      </c>
      <c r="D12" s="632" t="s">
        <v>271</v>
      </c>
      <c r="E12" s="632" t="s">
        <v>272</v>
      </c>
      <c r="F12" s="632" t="s">
        <v>273</v>
      </c>
      <c r="G12" s="632" t="s">
        <v>310</v>
      </c>
      <c r="H12" s="633" t="s">
        <v>274</v>
      </c>
      <c r="I12" s="633"/>
      <c r="J12" s="633"/>
      <c r="K12" s="632" t="s">
        <v>275</v>
      </c>
      <c r="L12" s="632" t="s">
        <v>276</v>
      </c>
      <c r="M12" s="630" t="s">
        <v>277</v>
      </c>
      <c r="N12" s="632" t="s">
        <v>278</v>
      </c>
      <c r="O12" s="632"/>
      <c r="P12" s="630" t="s">
        <v>279</v>
      </c>
      <c r="Q12" s="630" t="s">
        <v>280</v>
      </c>
      <c r="R12" s="630" t="s">
        <v>281</v>
      </c>
      <c r="S12" s="630"/>
      <c r="T12" s="630" t="s">
        <v>282</v>
      </c>
      <c r="U12" s="634" t="s">
        <v>283</v>
      </c>
      <c r="V12" s="213"/>
      <c r="W12" s="213"/>
      <c r="X12" s="216" t="s">
        <v>311</v>
      </c>
      <c r="Y12" s="215"/>
      <c r="Z12" s="213"/>
      <c r="AA12" s="213"/>
    </row>
    <row r="13" spans="1:27" ht="36" customHeight="1" x14ac:dyDescent="0.25">
      <c r="A13" s="630"/>
      <c r="B13" s="631"/>
      <c r="C13" s="632"/>
      <c r="D13" s="632"/>
      <c r="E13" s="632"/>
      <c r="F13" s="632"/>
      <c r="G13" s="632"/>
      <c r="H13" s="219" t="s">
        <v>285</v>
      </c>
      <c r="I13" s="220" t="s">
        <v>286</v>
      </c>
      <c r="J13" s="220" t="s">
        <v>287</v>
      </c>
      <c r="K13" s="632"/>
      <c r="L13" s="632"/>
      <c r="M13" s="630"/>
      <c r="N13" s="218" t="s">
        <v>288</v>
      </c>
      <c r="O13" s="218" t="s">
        <v>289</v>
      </c>
      <c r="P13" s="630"/>
      <c r="Q13" s="630"/>
      <c r="R13" s="221" t="s">
        <v>290</v>
      </c>
      <c r="S13" s="221" t="s">
        <v>291</v>
      </c>
      <c r="T13" s="630"/>
      <c r="U13" s="634"/>
      <c r="V13" s="213"/>
      <c r="W13" s="213"/>
      <c r="Y13" s="215"/>
      <c r="Z13" s="213"/>
      <c r="AA13" s="213"/>
    </row>
    <row r="14" spans="1:27" ht="82.8" x14ac:dyDescent="0.25">
      <c r="A14" s="223" t="s">
        <v>103</v>
      </c>
      <c r="B14" s="224" t="s">
        <v>293</v>
      </c>
      <c r="C14" s="225" t="s">
        <v>312</v>
      </c>
      <c r="D14" s="136" t="s">
        <v>104</v>
      </c>
      <c r="E14" s="136" t="s">
        <v>267</v>
      </c>
      <c r="F14" s="225" t="s">
        <v>313</v>
      </c>
      <c r="G14" s="225">
        <v>1</v>
      </c>
      <c r="H14" s="15">
        <f>320000/3</f>
        <v>106666.66666666667</v>
      </c>
      <c r="I14" s="227">
        <v>1</v>
      </c>
      <c r="J14" s="227">
        <v>0</v>
      </c>
      <c r="K14" s="228" t="s">
        <v>314</v>
      </c>
      <c r="L14" s="248" t="s">
        <v>284</v>
      </c>
      <c r="M14" s="229" t="s">
        <v>223</v>
      </c>
      <c r="N14" s="226" t="s">
        <v>49</v>
      </c>
      <c r="O14" s="226" t="s">
        <v>50</v>
      </c>
      <c r="P14" s="230">
        <v>91036.18</v>
      </c>
      <c r="Q14" s="231" t="s">
        <v>315</v>
      </c>
      <c r="R14" s="230">
        <v>0</v>
      </c>
      <c r="S14" s="230">
        <v>0</v>
      </c>
      <c r="T14" s="230">
        <f t="shared" ref="T14:T43" si="0">+P14+S14</f>
        <v>91036.18</v>
      </c>
      <c r="U14" s="232" t="s">
        <v>316</v>
      </c>
      <c r="V14" s="213"/>
      <c r="W14" s="213"/>
      <c r="X14" s="216" t="s">
        <v>267</v>
      </c>
      <c r="Y14" s="215"/>
      <c r="Z14" s="213"/>
      <c r="AA14" s="213"/>
    </row>
    <row r="15" spans="1:27" ht="55.2" x14ac:dyDescent="0.25">
      <c r="A15" s="223" t="s">
        <v>107</v>
      </c>
      <c r="B15" s="224" t="s">
        <v>293</v>
      </c>
      <c r="C15" s="225" t="s">
        <v>317</v>
      </c>
      <c r="D15" s="136" t="s">
        <v>108</v>
      </c>
      <c r="E15" s="136" t="s">
        <v>267</v>
      </c>
      <c r="F15" s="225"/>
      <c r="G15" s="225"/>
      <c r="H15" s="15">
        <f>65000/3</f>
        <v>21666.666666666668</v>
      </c>
      <c r="I15" s="227">
        <v>1</v>
      </c>
      <c r="J15" s="227">
        <v>0</v>
      </c>
      <c r="K15" s="228" t="s">
        <v>318</v>
      </c>
      <c r="L15" s="248" t="s">
        <v>284</v>
      </c>
      <c r="M15" s="229" t="s">
        <v>33</v>
      </c>
      <c r="N15" s="226" t="s">
        <v>183</v>
      </c>
      <c r="O15" s="226" t="s">
        <v>56</v>
      </c>
      <c r="P15" s="230"/>
      <c r="Q15" s="231"/>
      <c r="R15" s="230">
        <v>0</v>
      </c>
      <c r="S15" s="230">
        <v>0</v>
      </c>
      <c r="T15" s="230">
        <f t="shared" si="0"/>
        <v>0</v>
      </c>
      <c r="U15" s="232" t="s">
        <v>319</v>
      </c>
      <c r="V15" s="213"/>
      <c r="W15" s="213"/>
      <c r="X15" s="216" t="s">
        <v>320</v>
      </c>
      <c r="Y15" s="215"/>
      <c r="Z15" s="213"/>
      <c r="AA15" s="213"/>
    </row>
    <row r="16" spans="1:27" s="261" customFormat="1" ht="69" x14ac:dyDescent="0.25">
      <c r="A16" s="249" t="s">
        <v>109</v>
      </c>
      <c r="B16" s="250" t="s">
        <v>293</v>
      </c>
      <c r="C16" s="251" t="s">
        <v>321</v>
      </c>
      <c r="D16" s="252" t="s">
        <v>110</v>
      </c>
      <c r="E16" s="252" t="s">
        <v>267</v>
      </c>
      <c r="F16" s="251"/>
      <c r="G16" s="251"/>
      <c r="H16" s="253">
        <v>45454.545454545449</v>
      </c>
      <c r="I16" s="254">
        <v>1</v>
      </c>
      <c r="J16" s="254">
        <v>0</v>
      </c>
      <c r="K16" s="255" t="s">
        <v>322</v>
      </c>
      <c r="L16" s="256" t="s">
        <v>284</v>
      </c>
      <c r="M16" s="257" t="s">
        <v>191</v>
      </c>
      <c r="N16" s="257" t="s">
        <v>49</v>
      </c>
      <c r="O16" s="257" t="s">
        <v>50</v>
      </c>
      <c r="P16" s="230"/>
      <c r="Q16" s="231"/>
      <c r="R16" s="230">
        <v>0</v>
      </c>
      <c r="S16" s="230">
        <v>0</v>
      </c>
      <c r="T16" s="230">
        <f t="shared" si="0"/>
        <v>0</v>
      </c>
      <c r="U16" s="258" t="s">
        <v>214</v>
      </c>
      <c r="V16" s="259"/>
      <c r="W16" s="259"/>
      <c r="X16" s="216" t="s">
        <v>323</v>
      </c>
      <c r="Y16" s="260"/>
      <c r="Z16" s="259"/>
      <c r="AA16" s="259"/>
    </row>
    <row r="17" spans="1:27" ht="41.4" x14ac:dyDescent="0.25">
      <c r="A17" s="223" t="s">
        <v>112</v>
      </c>
      <c r="B17" s="224" t="s">
        <v>293</v>
      </c>
      <c r="C17" s="225" t="s">
        <v>324</v>
      </c>
      <c r="D17" s="136" t="s">
        <v>113</v>
      </c>
      <c r="E17" s="136" t="s">
        <v>267</v>
      </c>
      <c r="F17" s="225"/>
      <c r="G17" s="225"/>
      <c r="H17" s="15">
        <f>250000/3</f>
        <v>83333.333333333328</v>
      </c>
      <c r="I17" s="227">
        <v>1</v>
      </c>
      <c r="J17" s="227">
        <v>0</v>
      </c>
      <c r="K17" s="228" t="s">
        <v>325</v>
      </c>
      <c r="L17" s="248" t="s">
        <v>284</v>
      </c>
      <c r="M17" s="229" t="s">
        <v>33</v>
      </c>
      <c r="N17" s="226" t="s">
        <v>231</v>
      </c>
      <c r="O17" s="226" t="s">
        <v>56</v>
      </c>
      <c r="P17" s="230"/>
      <c r="Q17" s="231"/>
      <c r="R17" s="230">
        <v>0</v>
      </c>
      <c r="S17" s="230">
        <v>0</v>
      </c>
      <c r="T17" s="230">
        <f t="shared" si="0"/>
        <v>0</v>
      </c>
      <c r="U17" s="232" t="s">
        <v>319</v>
      </c>
      <c r="V17" s="213"/>
      <c r="W17" s="213"/>
      <c r="X17" s="216" t="s">
        <v>326</v>
      </c>
      <c r="Y17" s="215"/>
      <c r="Z17" s="213"/>
      <c r="AA17" s="213"/>
    </row>
    <row r="18" spans="1:27" ht="55.2" x14ac:dyDescent="0.25">
      <c r="A18" s="223" t="s">
        <v>115</v>
      </c>
      <c r="B18" s="224" t="s">
        <v>293</v>
      </c>
      <c r="C18" s="225" t="s">
        <v>327</v>
      </c>
      <c r="D18" s="181" t="s">
        <v>116</v>
      </c>
      <c r="E18" s="181" t="s">
        <v>267</v>
      </c>
      <c r="F18" s="225"/>
      <c r="G18" s="225"/>
      <c r="H18" s="15">
        <f>750000/3</f>
        <v>250000</v>
      </c>
      <c r="I18" s="227">
        <v>0</v>
      </c>
      <c r="J18" s="227">
        <v>1</v>
      </c>
      <c r="K18" s="228" t="s">
        <v>328</v>
      </c>
      <c r="L18" s="248" t="s">
        <v>267</v>
      </c>
      <c r="M18" s="229" t="s">
        <v>33</v>
      </c>
      <c r="N18" s="226" t="s">
        <v>50</v>
      </c>
      <c r="O18" s="226" t="s">
        <v>56</v>
      </c>
      <c r="P18" s="230"/>
      <c r="Q18" s="231"/>
      <c r="R18" s="230">
        <v>0</v>
      </c>
      <c r="S18" s="230">
        <v>0</v>
      </c>
      <c r="T18" s="230">
        <f t="shared" si="0"/>
        <v>0</v>
      </c>
      <c r="U18" s="232" t="s">
        <v>319</v>
      </c>
      <c r="V18" s="213"/>
      <c r="W18" s="213"/>
      <c r="X18" s="216" t="s">
        <v>329</v>
      </c>
      <c r="Y18" s="215"/>
      <c r="Z18" s="213"/>
      <c r="AA18" s="213"/>
    </row>
    <row r="19" spans="1:27" s="261" customFormat="1" ht="55.2" x14ac:dyDescent="0.25">
      <c r="A19" s="249" t="s">
        <v>117</v>
      </c>
      <c r="B19" s="250" t="s">
        <v>293</v>
      </c>
      <c r="C19" s="251" t="s">
        <v>118</v>
      </c>
      <c r="D19" s="252" t="s">
        <v>118</v>
      </c>
      <c r="E19" s="252" t="s">
        <v>267</v>
      </c>
      <c r="F19" s="251"/>
      <c r="G19" s="251"/>
      <c r="H19" s="253">
        <v>227272.72727272726</v>
      </c>
      <c r="I19" s="254">
        <v>1</v>
      </c>
      <c r="J19" s="254">
        <v>0</v>
      </c>
      <c r="K19" s="255" t="s">
        <v>328</v>
      </c>
      <c r="L19" s="256" t="s">
        <v>284</v>
      </c>
      <c r="M19" s="257" t="s">
        <v>191</v>
      </c>
      <c r="N19" s="257" t="s">
        <v>32</v>
      </c>
      <c r="O19" s="257" t="s">
        <v>44</v>
      </c>
      <c r="P19" s="230"/>
      <c r="Q19" s="231"/>
      <c r="R19" s="230">
        <v>0</v>
      </c>
      <c r="S19" s="230">
        <v>0</v>
      </c>
      <c r="T19" s="230">
        <f t="shared" si="0"/>
        <v>0</v>
      </c>
      <c r="U19" s="258" t="s">
        <v>208</v>
      </c>
      <c r="V19" s="259"/>
      <c r="W19" s="259"/>
      <c r="X19" s="262"/>
      <c r="Y19" s="260"/>
      <c r="Z19" s="259"/>
      <c r="AA19" s="259"/>
    </row>
    <row r="20" spans="1:27" ht="41.4" x14ac:dyDescent="0.25">
      <c r="A20" s="223" t="s">
        <v>119</v>
      </c>
      <c r="B20" s="224" t="s">
        <v>293</v>
      </c>
      <c r="C20" s="181" t="s">
        <v>120</v>
      </c>
      <c r="D20" s="181" t="s">
        <v>120</v>
      </c>
      <c r="E20" s="181" t="s">
        <v>267</v>
      </c>
      <c r="F20" s="225" t="s">
        <v>330</v>
      </c>
      <c r="G20" s="225">
        <v>1</v>
      </c>
      <c r="H20" s="15">
        <v>454999.99999999994</v>
      </c>
      <c r="I20" s="227">
        <v>1</v>
      </c>
      <c r="J20" s="227">
        <v>0</v>
      </c>
      <c r="K20" s="228" t="s">
        <v>328</v>
      </c>
      <c r="L20" s="248" t="s">
        <v>284</v>
      </c>
      <c r="M20" s="229" t="s">
        <v>223</v>
      </c>
      <c r="N20" s="226" t="s">
        <v>43</v>
      </c>
      <c r="O20" s="226" t="s">
        <v>49</v>
      </c>
      <c r="P20" s="230">
        <v>415611.38</v>
      </c>
      <c r="Q20" s="231" t="s">
        <v>331</v>
      </c>
      <c r="R20" s="230">
        <v>0</v>
      </c>
      <c r="S20" s="230">
        <v>0</v>
      </c>
      <c r="T20" s="230">
        <f t="shared" si="0"/>
        <v>415611.38</v>
      </c>
      <c r="U20" s="232" t="s">
        <v>332</v>
      </c>
      <c r="V20" s="213"/>
      <c r="W20" s="213"/>
      <c r="X20" s="216"/>
      <c r="Y20" s="215"/>
      <c r="Z20" s="213"/>
      <c r="AA20" s="213"/>
    </row>
    <row r="21" spans="1:27" ht="41.4" x14ac:dyDescent="0.25">
      <c r="A21" s="223" t="s">
        <v>121</v>
      </c>
      <c r="B21" s="224" t="s">
        <v>293</v>
      </c>
      <c r="C21" s="181" t="s">
        <v>122</v>
      </c>
      <c r="D21" s="181" t="s">
        <v>122</v>
      </c>
      <c r="E21" s="181" t="s">
        <v>267</v>
      </c>
      <c r="F21" s="225" t="s">
        <v>333</v>
      </c>
      <c r="G21" s="225">
        <v>1</v>
      </c>
      <c r="H21" s="15">
        <v>48649.999999999993</v>
      </c>
      <c r="I21" s="227">
        <v>1</v>
      </c>
      <c r="J21" s="227">
        <v>0</v>
      </c>
      <c r="K21" s="228" t="s">
        <v>328</v>
      </c>
      <c r="L21" s="248" t="s">
        <v>284</v>
      </c>
      <c r="M21" s="229" t="s">
        <v>223</v>
      </c>
      <c r="N21" s="226" t="s">
        <v>43</v>
      </c>
      <c r="O21" s="226" t="s">
        <v>49</v>
      </c>
      <c r="P21" s="230">
        <v>47681.2</v>
      </c>
      <c r="Q21" s="231" t="s">
        <v>334</v>
      </c>
      <c r="R21" s="230">
        <v>0</v>
      </c>
      <c r="S21" s="230">
        <v>0</v>
      </c>
      <c r="T21" s="230">
        <f t="shared" si="0"/>
        <v>47681.2</v>
      </c>
      <c r="U21" s="232" t="s">
        <v>332</v>
      </c>
      <c r="V21" s="213"/>
      <c r="W21" s="213"/>
      <c r="X21" s="216"/>
      <c r="Y21" s="215"/>
      <c r="Z21" s="213"/>
      <c r="AA21" s="213"/>
    </row>
    <row r="22" spans="1:27" ht="41.4" x14ac:dyDescent="0.25">
      <c r="A22" s="223" t="s">
        <v>123</v>
      </c>
      <c r="B22" s="224" t="s">
        <v>293</v>
      </c>
      <c r="C22" s="181" t="s">
        <v>241</v>
      </c>
      <c r="D22" s="181" t="s">
        <v>241</v>
      </c>
      <c r="E22" s="181" t="s">
        <v>267</v>
      </c>
      <c r="F22" s="225" t="s">
        <v>335</v>
      </c>
      <c r="G22" s="225">
        <v>2</v>
      </c>
      <c r="H22" s="15">
        <v>28956.81818181818</v>
      </c>
      <c r="I22" s="227">
        <v>1</v>
      </c>
      <c r="J22" s="227">
        <v>0</v>
      </c>
      <c r="K22" s="228" t="s">
        <v>328</v>
      </c>
      <c r="L22" s="248" t="s">
        <v>284</v>
      </c>
      <c r="M22" s="229" t="s">
        <v>223</v>
      </c>
      <c r="N22" s="226" t="s">
        <v>43</v>
      </c>
      <c r="O22" s="226" t="s">
        <v>49</v>
      </c>
      <c r="P22" s="230">
        <f>3574.91+22229.7</f>
        <v>25804.61</v>
      </c>
      <c r="Q22" s="231" t="s">
        <v>336</v>
      </c>
      <c r="R22" s="230">
        <v>0</v>
      </c>
      <c r="S22" s="230">
        <v>0</v>
      </c>
      <c r="T22" s="230">
        <f t="shared" si="0"/>
        <v>25804.61</v>
      </c>
      <c r="U22" s="232" t="s">
        <v>332</v>
      </c>
      <c r="V22" s="213"/>
      <c r="W22" s="213"/>
      <c r="X22" s="216"/>
      <c r="Y22" s="215"/>
      <c r="Z22" s="213"/>
      <c r="AA22" s="213"/>
    </row>
    <row r="23" spans="1:27" s="261" customFormat="1" ht="41.4" x14ac:dyDescent="0.25">
      <c r="A23" s="249" t="s">
        <v>125</v>
      </c>
      <c r="B23" s="250" t="s">
        <v>293</v>
      </c>
      <c r="C23" s="252" t="s">
        <v>126</v>
      </c>
      <c r="D23" s="252" t="s">
        <v>126</v>
      </c>
      <c r="E23" s="252" t="s">
        <v>267</v>
      </c>
      <c r="F23" s="251"/>
      <c r="G23" s="251"/>
      <c r="H23" s="253">
        <v>6818.181818181818</v>
      </c>
      <c r="I23" s="254">
        <v>1</v>
      </c>
      <c r="J23" s="254">
        <v>0</v>
      </c>
      <c r="K23" s="255" t="s">
        <v>328</v>
      </c>
      <c r="L23" s="256" t="s">
        <v>284</v>
      </c>
      <c r="M23" s="257" t="s">
        <v>191</v>
      </c>
      <c r="N23" s="257" t="s">
        <v>49</v>
      </c>
      <c r="O23" s="257" t="s">
        <v>44</v>
      </c>
      <c r="P23" s="230"/>
      <c r="Q23" s="231"/>
      <c r="R23" s="230">
        <v>0</v>
      </c>
      <c r="S23" s="230">
        <v>0</v>
      </c>
      <c r="T23" s="230">
        <f t="shared" si="0"/>
        <v>0</v>
      </c>
      <c r="U23" s="258" t="s">
        <v>243</v>
      </c>
      <c r="V23" s="259"/>
      <c r="W23" s="259"/>
      <c r="X23" s="262"/>
      <c r="Y23" s="260"/>
      <c r="Z23" s="259"/>
      <c r="AA23" s="259"/>
    </row>
    <row r="24" spans="1:27" ht="41.4" x14ac:dyDescent="0.25">
      <c r="A24" s="223" t="s">
        <v>127</v>
      </c>
      <c r="B24" s="224" t="s">
        <v>293</v>
      </c>
      <c r="C24" s="181" t="s">
        <v>128</v>
      </c>
      <c r="D24" s="181" t="s">
        <v>337</v>
      </c>
      <c r="E24" s="181" t="s">
        <v>267</v>
      </c>
      <c r="F24" s="225" t="s">
        <v>338</v>
      </c>
      <c r="G24" s="225">
        <v>1</v>
      </c>
      <c r="H24" s="15">
        <f>300000/3</f>
        <v>100000</v>
      </c>
      <c r="I24" s="227">
        <v>1</v>
      </c>
      <c r="J24" s="227">
        <v>0</v>
      </c>
      <c r="K24" s="228" t="s">
        <v>328</v>
      </c>
      <c r="L24" s="248" t="s">
        <v>284</v>
      </c>
      <c r="M24" s="229" t="s">
        <v>223</v>
      </c>
      <c r="N24" s="226" t="s">
        <v>49</v>
      </c>
      <c r="O24" s="226" t="s">
        <v>44</v>
      </c>
      <c r="P24" s="230">
        <v>54137.42</v>
      </c>
      <c r="Q24" s="231" t="s">
        <v>339</v>
      </c>
      <c r="R24" s="230">
        <v>0</v>
      </c>
      <c r="S24" s="230">
        <v>0</v>
      </c>
      <c r="T24" s="230">
        <f t="shared" si="0"/>
        <v>54137.42</v>
      </c>
      <c r="U24" s="232" t="s">
        <v>244</v>
      </c>
      <c r="V24" s="213"/>
      <c r="W24" s="213"/>
      <c r="X24" s="216"/>
      <c r="Y24" s="215"/>
      <c r="Z24" s="213"/>
      <c r="AA24" s="213"/>
    </row>
    <row r="25" spans="1:27" s="261" customFormat="1" ht="41.4" x14ac:dyDescent="0.25">
      <c r="A25" s="249" t="s">
        <v>129</v>
      </c>
      <c r="B25" s="250" t="s">
        <v>293</v>
      </c>
      <c r="C25" s="252" t="s">
        <v>130</v>
      </c>
      <c r="D25" s="252" t="s">
        <v>130</v>
      </c>
      <c r="E25" s="252" t="s">
        <v>267</v>
      </c>
      <c r="F25" s="251"/>
      <c r="G25" s="251"/>
      <c r="H25" s="253">
        <v>13636.363636363636</v>
      </c>
      <c r="I25" s="254">
        <v>1</v>
      </c>
      <c r="J25" s="254">
        <v>0</v>
      </c>
      <c r="K25" s="255" t="s">
        <v>328</v>
      </c>
      <c r="L25" s="256" t="s">
        <v>284</v>
      </c>
      <c r="M25" s="257" t="s">
        <v>191</v>
      </c>
      <c r="N25" s="257" t="s">
        <v>49</v>
      </c>
      <c r="O25" s="257" t="s">
        <v>44</v>
      </c>
      <c r="P25" s="230"/>
      <c r="Q25" s="231"/>
      <c r="R25" s="230">
        <v>0</v>
      </c>
      <c r="S25" s="230">
        <v>0</v>
      </c>
      <c r="T25" s="230">
        <f t="shared" si="0"/>
        <v>0</v>
      </c>
      <c r="U25" s="258" t="s">
        <v>193</v>
      </c>
      <c r="V25" s="259"/>
      <c r="W25" s="259"/>
      <c r="X25" s="262"/>
      <c r="Y25" s="260"/>
      <c r="Z25" s="259"/>
      <c r="AA25" s="259"/>
    </row>
    <row r="26" spans="1:27" ht="41.4" x14ac:dyDescent="0.25">
      <c r="A26" s="223" t="s">
        <v>131</v>
      </c>
      <c r="B26" s="224" t="s">
        <v>293</v>
      </c>
      <c r="C26" s="225" t="s">
        <v>340</v>
      </c>
      <c r="D26" s="181" t="s">
        <v>132</v>
      </c>
      <c r="E26" s="181" t="s">
        <v>267</v>
      </c>
      <c r="F26" s="225"/>
      <c r="G26" s="225"/>
      <c r="H26" s="15">
        <f>500000/3</f>
        <v>166666.66666666666</v>
      </c>
      <c r="I26" s="227">
        <v>0</v>
      </c>
      <c r="J26" s="227">
        <v>1</v>
      </c>
      <c r="K26" s="228" t="s">
        <v>328</v>
      </c>
      <c r="L26" s="248" t="s">
        <v>267</v>
      </c>
      <c r="M26" s="229" t="s">
        <v>33</v>
      </c>
      <c r="N26" s="226" t="s">
        <v>56</v>
      </c>
      <c r="O26" s="226" t="s">
        <v>59</v>
      </c>
      <c r="P26" s="230"/>
      <c r="Q26" s="231"/>
      <c r="R26" s="230">
        <v>0</v>
      </c>
      <c r="S26" s="230">
        <v>0</v>
      </c>
      <c r="T26" s="230">
        <f t="shared" si="0"/>
        <v>0</v>
      </c>
      <c r="U26" s="232" t="s">
        <v>319</v>
      </c>
      <c r="V26" s="213"/>
      <c r="W26" s="213"/>
      <c r="X26" s="216"/>
      <c r="Y26" s="215"/>
      <c r="Z26" s="213"/>
      <c r="AA26" s="213"/>
    </row>
    <row r="27" spans="1:27" ht="41.4" x14ac:dyDescent="0.25">
      <c r="A27" s="223" t="s">
        <v>134</v>
      </c>
      <c r="B27" s="224" t="s">
        <v>293</v>
      </c>
      <c r="C27" s="181" t="s">
        <v>135</v>
      </c>
      <c r="D27" s="181" t="s">
        <v>135</v>
      </c>
      <c r="E27" s="181" t="s">
        <v>267</v>
      </c>
      <c r="F27" s="225"/>
      <c r="G27" s="225"/>
      <c r="H27" s="15">
        <f>100000/3</f>
        <v>33333.333333333336</v>
      </c>
      <c r="I27" s="227">
        <v>1</v>
      </c>
      <c r="J27" s="227">
        <v>0</v>
      </c>
      <c r="K27" s="228" t="s">
        <v>328</v>
      </c>
      <c r="L27" s="248" t="s">
        <v>284</v>
      </c>
      <c r="M27" s="229" t="s">
        <v>33</v>
      </c>
      <c r="N27" s="226" t="s">
        <v>56</v>
      </c>
      <c r="O27" s="226" t="s">
        <v>59</v>
      </c>
      <c r="P27" s="230"/>
      <c r="Q27" s="231"/>
      <c r="R27" s="230">
        <v>0</v>
      </c>
      <c r="S27" s="230">
        <v>0</v>
      </c>
      <c r="T27" s="230">
        <f t="shared" si="0"/>
        <v>0</v>
      </c>
      <c r="U27" s="232" t="s">
        <v>319</v>
      </c>
      <c r="V27" s="213"/>
      <c r="W27" s="213"/>
      <c r="X27" s="216"/>
      <c r="Y27" s="215"/>
      <c r="Z27" s="213"/>
      <c r="AA27" s="213"/>
    </row>
    <row r="28" spans="1:27" ht="41.4" x14ac:dyDescent="0.25">
      <c r="A28" s="223" t="s">
        <v>136</v>
      </c>
      <c r="B28" s="224" t="s">
        <v>293</v>
      </c>
      <c r="C28" s="136" t="s">
        <v>341</v>
      </c>
      <c r="D28" s="136" t="s">
        <v>137</v>
      </c>
      <c r="E28" s="136" t="s">
        <v>267</v>
      </c>
      <c r="F28" s="225"/>
      <c r="G28" s="225"/>
      <c r="H28" s="15">
        <f>400000/3</f>
        <v>133333.33333333334</v>
      </c>
      <c r="I28" s="227">
        <v>1</v>
      </c>
      <c r="J28" s="227">
        <v>0</v>
      </c>
      <c r="K28" s="228" t="s">
        <v>342</v>
      </c>
      <c r="L28" s="248" t="s">
        <v>284</v>
      </c>
      <c r="M28" s="229" t="s">
        <v>33</v>
      </c>
      <c r="N28" s="226" t="s">
        <v>75</v>
      </c>
      <c r="O28" s="226" t="s">
        <v>343</v>
      </c>
      <c r="P28" s="230"/>
      <c r="Q28" s="231"/>
      <c r="R28" s="230">
        <v>0</v>
      </c>
      <c r="S28" s="230">
        <v>0</v>
      </c>
      <c r="T28" s="230">
        <f t="shared" si="0"/>
        <v>0</v>
      </c>
      <c r="U28" s="232" t="s">
        <v>319</v>
      </c>
      <c r="V28" s="213"/>
      <c r="W28" s="213"/>
      <c r="X28" s="216"/>
      <c r="Y28" s="215"/>
      <c r="Z28" s="213"/>
      <c r="AA28" s="213"/>
    </row>
    <row r="29" spans="1:27" s="261" customFormat="1" ht="69" x14ac:dyDescent="0.25">
      <c r="A29" s="249" t="s">
        <v>138</v>
      </c>
      <c r="B29" s="250" t="s">
        <v>293</v>
      </c>
      <c r="C29" s="252" t="s">
        <v>344</v>
      </c>
      <c r="D29" s="252" t="s">
        <v>139</v>
      </c>
      <c r="E29" s="252" t="s">
        <v>267</v>
      </c>
      <c r="F29" s="251"/>
      <c r="G29" s="251"/>
      <c r="H29" s="263">
        <v>819545.45454545447</v>
      </c>
      <c r="I29" s="254">
        <v>1</v>
      </c>
      <c r="J29" s="254">
        <v>0</v>
      </c>
      <c r="K29" s="255" t="s">
        <v>304</v>
      </c>
      <c r="L29" s="256" t="s">
        <v>284</v>
      </c>
      <c r="M29" s="257" t="s">
        <v>191</v>
      </c>
      <c r="N29" s="257" t="s">
        <v>231</v>
      </c>
      <c r="O29" s="257" t="s">
        <v>59</v>
      </c>
      <c r="P29" s="230"/>
      <c r="Q29" s="231"/>
      <c r="R29" s="230">
        <v>0</v>
      </c>
      <c r="S29" s="230">
        <v>0</v>
      </c>
      <c r="T29" s="230">
        <f t="shared" si="0"/>
        <v>0</v>
      </c>
      <c r="U29" s="258" t="s">
        <v>345</v>
      </c>
      <c r="V29" s="259"/>
      <c r="W29" s="259"/>
      <c r="Y29" s="260"/>
      <c r="Z29" s="259"/>
      <c r="AA29" s="259"/>
    </row>
    <row r="30" spans="1:27" ht="96.6" x14ac:dyDescent="0.25">
      <c r="A30" s="223" t="s">
        <v>140</v>
      </c>
      <c r="B30" s="224" t="s">
        <v>293</v>
      </c>
      <c r="C30" s="136" t="s">
        <v>346</v>
      </c>
      <c r="D30" s="136" t="s">
        <v>141</v>
      </c>
      <c r="E30" s="136" t="s">
        <v>267</v>
      </c>
      <c r="F30" s="225"/>
      <c r="G30" s="225"/>
      <c r="H30" s="15">
        <f>60590/3</f>
        <v>20196.666666666668</v>
      </c>
      <c r="I30" s="227">
        <v>1</v>
      </c>
      <c r="J30" s="227">
        <v>0</v>
      </c>
      <c r="K30" s="228" t="s">
        <v>304</v>
      </c>
      <c r="L30" s="248" t="s">
        <v>284</v>
      </c>
      <c r="M30" s="229" t="s">
        <v>33</v>
      </c>
      <c r="N30" s="226" t="s">
        <v>50</v>
      </c>
      <c r="O30" s="226" t="s">
        <v>56</v>
      </c>
      <c r="P30" s="230"/>
      <c r="Q30" s="231"/>
      <c r="R30" s="230">
        <v>0</v>
      </c>
      <c r="S30" s="230">
        <v>0</v>
      </c>
      <c r="T30" s="230">
        <f t="shared" si="0"/>
        <v>0</v>
      </c>
      <c r="U30" s="232" t="s">
        <v>319</v>
      </c>
      <c r="V30" s="213"/>
      <c r="W30" s="213"/>
      <c r="X30" s="216"/>
      <c r="Y30" s="215"/>
      <c r="Z30" s="213"/>
      <c r="AA30" s="213"/>
    </row>
    <row r="31" spans="1:27" ht="69" x14ac:dyDescent="0.25">
      <c r="A31" s="223" t="s">
        <v>142</v>
      </c>
      <c r="B31" s="224" t="s">
        <v>293</v>
      </c>
      <c r="C31" s="136" t="s">
        <v>347</v>
      </c>
      <c r="D31" s="136" t="s">
        <v>143</v>
      </c>
      <c r="E31" s="136" t="s">
        <v>267</v>
      </c>
      <c r="F31" s="225" t="s">
        <v>348</v>
      </c>
      <c r="G31" s="225">
        <v>1</v>
      </c>
      <c r="H31" s="15">
        <f>487000/3</f>
        <v>162333.33333333334</v>
      </c>
      <c r="I31" s="227">
        <v>1</v>
      </c>
      <c r="J31" s="227">
        <v>0</v>
      </c>
      <c r="K31" s="228" t="s">
        <v>304</v>
      </c>
      <c r="L31" s="248" t="s">
        <v>284</v>
      </c>
      <c r="M31" s="229" t="s">
        <v>223</v>
      </c>
      <c r="N31" s="226" t="s">
        <v>49</v>
      </c>
      <c r="O31" s="226" t="s">
        <v>183</v>
      </c>
      <c r="P31" s="230">
        <v>160477.16</v>
      </c>
      <c r="Q31" s="231" t="s">
        <v>349</v>
      </c>
      <c r="R31" s="230">
        <v>0</v>
      </c>
      <c r="S31" s="230">
        <v>0</v>
      </c>
      <c r="T31" s="230">
        <f t="shared" si="0"/>
        <v>160477.16</v>
      </c>
      <c r="U31" s="232" t="s">
        <v>350</v>
      </c>
      <c r="V31" s="213"/>
      <c r="W31" s="213"/>
      <c r="X31" s="216"/>
      <c r="Y31" s="215"/>
      <c r="Z31" s="213"/>
      <c r="AA31" s="213"/>
    </row>
    <row r="32" spans="1:27" s="261" customFormat="1" ht="96.6" x14ac:dyDescent="0.25">
      <c r="A32" s="249" t="s">
        <v>144</v>
      </c>
      <c r="B32" s="250" t="s">
        <v>293</v>
      </c>
      <c r="C32" s="252" t="s">
        <v>351</v>
      </c>
      <c r="D32" s="252" t="s">
        <v>202</v>
      </c>
      <c r="E32" s="252" t="s">
        <v>267</v>
      </c>
      <c r="F32" s="251"/>
      <c r="G32" s="251"/>
      <c r="H32" s="253">
        <v>5909.090909090909</v>
      </c>
      <c r="I32" s="254">
        <v>1</v>
      </c>
      <c r="J32" s="254">
        <v>0</v>
      </c>
      <c r="K32" s="251" t="s">
        <v>352</v>
      </c>
      <c r="L32" s="257" t="s">
        <v>284</v>
      </c>
      <c r="M32" s="257" t="s">
        <v>191</v>
      </c>
      <c r="N32" s="257" t="s">
        <v>43</v>
      </c>
      <c r="O32" s="257" t="s">
        <v>43</v>
      </c>
      <c r="P32" s="230"/>
      <c r="Q32" s="231"/>
      <c r="R32" s="230">
        <v>0</v>
      </c>
      <c r="S32" s="230">
        <v>0</v>
      </c>
      <c r="T32" s="230">
        <f t="shared" si="0"/>
        <v>0</v>
      </c>
      <c r="U32" s="258" t="s">
        <v>194</v>
      </c>
      <c r="V32" s="259"/>
      <c r="W32" s="259"/>
      <c r="X32" s="262"/>
      <c r="Y32" s="260"/>
      <c r="Z32" s="259"/>
      <c r="AA32" s="259"/>
    </row>
    <row r="33" spans="1:27" s="261" customFormat="1" ht="41.4" x14ac:dyDescent="0.25">
      <c r="A33" s="249" t="s">
        <v>147</v>
      </c>
      <c r="B33" s="250" t="s">
        <v>293</v>
      </c>
      <c r="C33" s="252" t="s">
        <v>353</v>
      </c>
      <c r="D33" s="252" t="s">
        <v>148</v>
      </c>
      <c r="E33" s="252" t="s">
        <v>267</v>
      </c>
      <c r="F33" s="251"/>
      <c r="G33" s="251"/>
      <c r="H33" s="253">
        <v>36363.63636363636</v>
      </c>
      <c r="I33" s="254">
        <v>1</v>
      </c>
      <c r="J33" s="254">
        <v>0</v>
      </c>
      <c r="K33" s="251" t="s">
        <v>354</v>
      </c>
      <c r="L33" s="257" t="s">
        <v>284</v>
      </c>
      <c r="M33" s="257" t="s">
        <v>191</v>
      </c>
      <c r="N33" s="257" t="s">
        <v>43</v>
      </c>
      <c r="O33" s="257" t="s">
        <v>43</v>
      </c>
      <c r="P33" s="230"/>
      <c r="Q33" s="231"/>
      <c r="R33" s="230">
        <v>0</v>
      </c>
      <c r="S33" s="230">
        <v>0</v>
      </c>
      <c r="T33" s="230">
        <f t="shared" si="0"/>
        <v>0</v>
      </c>
      <c r="U33" s="258" t="s">
        <v>195</v>
      </c>
      <c r="V33" s="259"/>
      <c r="W33" s="259"/>
      <c r="X33" s="262"/>
      <c r="Y33" s="260"/>
      <c r="Z33" s="259"/>
      <c r="AA33" s="259"/>
    </row>
    <row r="34" spans="1:27" ht="82.8" x14ac:dyDescent="0.25">
      <c r="A34" s="223" t="s">
        <v>149</v>
      </c>
      <c r="B34" s="224" t="s">
        <v>293</v>
      </c>
      <c r="C34" s="156" t="s">
        <v>355</v>
      </c>
      <c r="D34" s="156" t="s">
        <v>150</v>
      </c>
      <c r="E34" s="156" t="s">
        <v>267</v>
      </c>
      <c r="F34" s="225"/>
      <c r="G34" s="225"/>
      <c r="H34" s="15">
        <f>150000/3</f>
        <v>50000</v>
      </c>
      <c r="I34" s="227">
        <v>1</v>
      </c>
      <c r="J34" s="227">
        <v>0</v>
      </c>
      <c r="K34" s="228" t="s">
        <v>356</v>
      </c>
      <c r="L34" s="248" t="s">
        <v>284</v>
      </c>
      <c r="M34" s="229" t="s">
        <v>33</v>
      </c>
      <c r="N34" s="226" t="s">
        <v>50</v>
      </c>
      <c r="O34" s="226" t="s">
        <v>56</v>
      </c>
      <c r="P34" s="230"/>
      <c r="Q34" s="231"/>
      <c r="R34" s="230">
        <v>0</v>
      </c>
      <c r="S34" s="230">
        <v>0</v>
      </c>
      <c r="T34" s="230">
        <f t="shared" si="0"/>
        <v>0</v>
      </c>
      <c r="U34" s="232" t="s">
        <v>319</v>
      </c>
      <c r="V34" s="213"/>
      <c r="W34" s="213"/>
      <c r="X34" s="216"/>
      <c r="Y34" s="215"/>
      <c r="Z34" s="213"/>
      <c r="AA34" s="213"/>
    </row>
    <row r="35" spans="1:27" ht="82.8" x14ac:dyDescent="0.25">
      <c r="A35" s="223" t="s">
        <v>153</v>
      </c>
      <c r="B35" s="224" t="s">
        <v>293</v>
      </c>
      <c r="C35" s="156" t="s">
        <v>357</v>
      </c>
      <c r="D35" s="156" t="s">
        <v>154</v>
      </c>
      <c r="E35" s="156" t="s">
        <v>267</v>
      </c>
      <c r="F35" s="225" t="s">
        <v>358</v>
      </c>
      <c r="G35" s="225">
        <v>1</v>
      </c>
      <c r="H35" s="15">
        <f>200000/3</f>
        <v>66666.666666666672</v>
      </c>
      <c r="I35" s="227">
        <v>1</v>
      </c>
      <c r="J35" s="227">
        <v>0</v>
      </c>
      <c r="K35" s="228" t="s">
        <v>314</v>
      </c>
      <c r="L35" s="248" t="s">
        <v>284</v>
      </c>
      <c r="M35" s="229" t="s">
        <v>223</v>
      </c>
      <c r="N35" s="226" t="s">
        <v>32</v>
      </c>
      <c r="O35" s="226" t="s">
        <v>183</v>
      </c>
      <c r="P35" s="230">
        <v>49268.14</v>
      </c>
      <c r="Q35" s="231" t="s">
        <v>359</v>
      </c>
      <c r="R35" s="230">
        <v>0</v>
      </c>
      <c r="S35" s="230">
        <v>0</v>
      </c>
      <c r="T35" s="230">
        <f t="shared" si="0"/>
        <v>49268.14</v>
      </c>
      <c r="U35" s="232" t="s">
        <v>360</v>
      </c>
      <c r="V35" s="213"/>
      <c r="W35" s="213"/>
      <c r="X35" s="216"/>
      <c r="Y35" s="215"/>
      <c r="Z35" s="213"/>
      <c r="AA35" s="213"/>
    </row>
    <row r="36" spans="1:27" ht="96.6" x14ac:dyDescent="0.25">
      <c r="A36" s="223" t="s">
        <v>155</v>
      </c>
      <c r="B36" s="224" t="s">
        <v>293</v>
      </c>
      <c r="C36" s="156" t="s">
        <v>361</v>
      </c>
      <c r="D36" s="156" t="s">
        <v>156</v>
      </c>
      <c r="E36" s="156" t="s">
        <v>267</v>
      </c>
      <c r="F36" s="225"/>
      <c r="G36" s="225"/>
      <c r="H36" s="15">
        <f>180000/3</f>
        <v>60000</v>
      </c>
      <c r="I36" s="227">
        <v>1</v>
      </c>
      <c r="J36" s="227">
        <v>0</v>
      </c>
      <c r="K36" s="228" t="s">
        <v>297</v>
      </c>
      <c r="L36" s="248" t="s">
        <v>284</v>
      </c>
      <c r="M36" s="229" t="s">
        <v>33</v>
      </c>
      <c r="N36" s="226" t="s">
        <v>231</v>
      </c>
      <c r="O36" s="226" t="s">
        <v>343</v>
      </c>
      <c r="P36" s="230"/>
      <c r="Q36" s="231"/>
      <c r="R36" s="230">
        <v>0</v>
      </c>
      <c r="S36" s="230">
        <v>0</v>
      </c>
      <c r="T36" s="230">
        <f t="shared" si="0"/>
        <v>0</v>
      </c>
      <c r="U36" s="232" t="s">
        <v>319</v>
      </c>
      <c r="V36" s="213"/>
      <c r="W36" s="213"/>
      <c r="X36" s="216"/>
      <c r="Y36" s="215"/>
      <c r="Z36" s="213"/>
      <c r="AA36" s="213"/>
    </row>
    <row r="37" spans="1:27" ht="55.2" x14ac:dyDescent="0.25">
      <c r="A37" s="223" t="s">
        <v>157</v>
      </c>
      <c r="B37" s="224" t="s">
        <v>293</v>
      </c>
      <c r="C37" s="156" t="s">
        <v>362</v>
      </c>
      <c r="D37" s="156" t="s">
        <v>363</v>
      </c>
      <c r="E37" s="156" t="s">
        <v>326</v>
      </c>
      <c r="F37" s="225"/>
      <c r="G37" s="225"/>
      <c r="H37" s="15">
        <v>6666.666666666667</v>
      </c>
      <c r="I37" s="227">
        <v>1</v>
      </c>
      <c r="J37" s="227">
        <v>0</v>
      </c>
      <c r="K37" s="228" t="s">
        <v>356</v>
      </c>
      <c r="L37" s="248" t="s">
        <v>284</v>
      </c>
      <c r="M37" s="229" t="s">
        <v>163</v>
      </c>
      <c r="N37" s="226" t="s">
        <v>44</v>
      </c>
      <c r="O37" s="226" t="s">
        <v>50</v>
      </c>
      <c r="P37" s="230"/>
      <c r="Q37" s="231"/>
      <c r="R37" s="230">
        <v>0</v>
      </c>
      <c r="S37" s="230">
        <v>0</v>
      </c>
      <c r="T37" s="230">
        <f t="shared" si="0"/>
        <v>0</v>
      </c>
      <c r="U37" s="232"/>
      <c r="V37" s="213"/>
      <c r="W37" s="213"/>
      <c r="X37" s="216"/>
      <c r="Y37" s="215"/>
      <c r="Z37" s="213"/>
      <c r="AA37" s="213"/>
    </row>
    <row r="38" spans="1:27" ht="41.4" x14ac:dyDescent="0.25">
      <c r="A38" s="223" t="s">
        <v>216</v>
      </c>
      <c r="B38" s="224" t="s">
        <v>293</v>
      </c>
      <c r="C38" s="156" t="s">
        <v>217</v>
      </c>
      <c r="D38" s="156" t="s">
        <v>217</v>
      </c>
      <c r="E38" s="156" t="s">
        <v>267</v>
      </c>
      <c r="F38" s="225" t="s">
        <v>364</v>
      </c>
      <c r="G38" s="225">
        <v>1</v>
      </c>
      <c r="H38" s="15">
        <v>3000</v>
      </c>
      <c r="I38" s="227">
        <v>1</v>
      </c>
      <c r="J38" s="227">
        <v>0</v>
      </c>
      <c r="K38" s="228" t="s">
        <v>328</v>
      </c>
      <c r="L38" s="248" t="s">
        <v>284</v>
      </c>
      <c r="M38" s="229" t="s">
        <v>223</v>
      </c>
      <c r="N38" s="226" t="s">
        <v>74</v>
      </c>
      <c r="O38" s="226" t="s">
        <v>183</v>
      </c>
      <c r="P38" s="230">
        <v>2970.78</v>
      </c>
      <c r="Q38" s="231" t="s">
        <v>365</v>
      </c>
      <c r="R38" s="230">
        <v>0</v>
      </c>
      <c r="S38" s="230">
        <v>0</v>
      </c>
      <c r="T38" s="230">
        <f t="shared" si="0"/>
        <v>2970.78</v>
      </c>
      <c r="U38" s="232" t="s">
        <v>366</v>
      </c>
      <c r="V38" s="213"/>
      <c r="W38" s="213"/>
      <c r="X38" s="216"/>
      <c r="Y38" s="215"/>
      <c r="Z38" s="213"/>
      <c r="AA38" s="213"/>
    </row>
    <row r="39" spans="1:27" s="247" customFormat="1" ht="41.4" x14ac:dyDescent="0.25">
      <c r="A39" s="249" t="s">
        <v>246</v>
      </c>
      <c r="B39" s="250" t="s">
        <v>293</v>
      </c>
      <c r="C39" s="252" t="s">
        <v>247</v>
      </c>
      <c r="D39" s="252" t="s">
        <v>247</v>
      </c>
      <c r="E39" s="252" t="s">
        <v>267</v>
      </c>
      <c r="F39" s="251"/>
      <c r="G39" s="251"/>
      <c r="H39" s="263">
        <v>45454.545454545449</v>
      </c>
      <c r="I39" s="254">
        <v>1</v>
      </c>
      <c r="J39" s="254">
        <v>0</v>
      </c>
      <c r="K39" s="255" t="s">
        <v>328</v>
      </c>
      <c r="L39" s="256" t="s">
        <v>284</v>
      </c>
      <c r="M39" s="257" t="s">
        <v>191</v>
      </c>
      <c r="N39" s="257" t="s">
        <v>44</v>
      </c>
      <c r="O39" s="257" t="s">
        <v>44</v>
      </c>
      <c r="P39" s="230"/>
      <c r="Q39" s="231"/>
      <c r="R39" s="230">
        <v>0</v>
      </c>
      <c r="S39" s="230">
        <v>0</v>
      </c>
      <c r="T39" s="230">
        <f t="shared" si="0"/>
        <v>0</v>
      </c>
      <c r="U39" s="258" t="s">
        <v>367</v>
      </c>
      <c r="V39" s="244"/>
      <c r="W39" s="244"/>
      <c r="X39" s="245"/>
      <c r="Y39" s="246"/>
      <c r="Z39" s="244"/>
      <c r="AA39" s="244"/>
    </row>
    <row r="40" spans="1:27" s="247" customFormat="1" ht="41.4" x14ac:dyDescent="0.25">
      <c r="A40" s="264" t="s">
        <v>368</v>
      </c>
      <c r="B40" s="265" t="s">
        <v>293</v>
      </c>
      <c r="C40" s="266" t="s">
        <v>369</v>
      </c>
      <c r="D40" s="266" t="s">
        <v>370</v>
      </c>
      <c r="E40" s="266" t="s">
        <v>267</v>
      </c>
      <c r="F40" s="267"/>
      <c r="G40" s="267"/>
      <c r="H40" s="268">
        <f>3363214/3</f>
        <v>1121071.3333333333</v>
      </c>
      <c r="I40" s="269">
        <v>1</v>
      </c>
      <c r="J40" s="269">
        <v>0</v>
      </c>
      <c r="K40" s="270" t="s">
        <v>304</v>
      </c>
      <c r="L40" s="271" t="s">
        <v>284</v>
      </c>
      <c r="M40" s="272" t="s">
        <v>33</v>
      </c>
      <c r="N40" s="272" t="s">
        <v>183</v>
      </c>
      <c r="O40" s="272" t="s">
        <v>133</v>
      </c>
      <c r="P40" s="230"/>
      <c r="Q40" s="231"/>
      <c r="R40" s="230">
        <v>0</v>
      </c>
      <c r="S40" s="230">
        <v>0</v>
      </c>
      <c r="T40" s="230">
        <f t="shared" si="0"/>
        <v>0</v>
      </c>
      <c r="U40" s="273" t="s">
        <v>332</v>
      </c>
      <c r="V40" s="244"/>
      <c r="W40" s="244"/>
      <c r="X40" s="245"/>
      <c r="Y40" s="246"/>
      <c r="Z40" s="244"/>
      <c r="AA40" s="244"/>
    </row>
    <row r="41" spans="1:27" s="247" customFormat="1" ht="41.4" x14ac:dyDescent="0.25">
      <c r="A41" s="264" t="s">
        <v>371</v>
      </c>
      <c r="B41" s="265" t="s">
        <v>293</v>
      </c>
      <c r="C41" s="266" t="s">
        <v>372</v>
      </c>
      <c r="D41" s="266" t="s">
        <v>373</v>
      </c>
      <c r="E41" s="266" t="s">
        <v>267</v>
      </c>
      <c r="F41" s="267"/>
      <c r="G41" s="267"/>
      <c r="H41" s="268">
        <f>500000/3</f>
        <v>166666.66666666666</v>
      </c>
      <c r="I41" s="269">
        <v>1</v>
      </c>
      <c r="J41" s="269">
        <v>0</v>
      </c>
      <c r="K41" s="270" t="s">
        <v>328</v>
      </c>
      <c r="L41" s="271" t="s">
        <v>284</v>
      </c>
      <c r="M41" s="272" t="s">
        <v>33</v>
      </c>
      <c r="N41" s="272" t="s">
        <v>183</v>
      </c>
      <c r="O41" s="272" t="s">
        <v>133</v>
      </c>
      <c r="P41" s="230"/>
      <c r="Q41" s="231"/>
      <c r="R41" s="230">
        <v>0</v>
      </c>
      <c r="S41" s="230">
        <v>0</v>
      </c>
      <c r="T41" s="230">
        <f t="shared" si="0"/>
        <v>0</v>
      </c>
      <c r="U41" s="273" t="s">
        <v>319</v>
      </c>
      <c r="V41" s="244"/>
      <c r="W41" s="244"/>
      <c r="X41" s="245"/>
      <c r="Y41" s="246"/>
      <c r="Z41" s="244"/>
      <c r="AA41" s="244"/>
    </row>
    <row r="42" spans="1:27" s="247" customFormat="1" ht="41.4" x14ac:dyDescent="0.25">
      <c r="A42" s="264" t="s">
        <v>374</v>
      </c>
      <c r="B42" s="265" t="s">
        <v>293</v>
      </c>
      <c r="C42" s="266" t="s">
        <v>375</v>
      </c>
      <c r="D42" s="266" t="s">
        <v>376</v>
      </c>
      <c r="E42" s="266" t="s">
        <v>267</v>
      </c>
      <c r="F42" s="267"/>
      <c r="G42" s="267"/>
      <c r="H42" s="268">
        <f>400000/3</f>
        <v>133333.33333333334</v>
      </c>
      <c r="I42" s="269">
        <v>1</v>
      </c>
      <c r="J42" s="269">
        <v>0</v>
      </c>
      <c r="K42" s="270" t="s">
        <v>297</v>
      </c>
      <c r="L42" s="271" t="s">
        <v>284</v>
      </c>
      <c r="M42" s="272" t="s">
        <v>33</v>
      </c>
      <c r="N42" s="272" t="s">
        <v>183</v>
      </c>
      <c r="O42" s="272" t="s">
        <v>133</v>
      </c>
      <c r="P42" s="230"/>
      <c r="Q42" s="231"/>
      <c r="R42" s="230">
        <v>0</v>
      </c>
      <c r="S42" s="230">
        <v>0</v>
      </c>
      <c r="T42" s="230">
        <f t="shared" si="0"/>
        <v>0</v>
      </c>
      <c r="U42" s="273" t="s">
        <v>332</v>
      </c>
      <c r="V42" s="244"/>
      <c r="W42" s="244"/>
      <c r="X42" s="245"/>
      <c r="Y42" s="246"/>
      <c r="Z42" s="244"/>
      <c r="AA42" s="244"/>
    </row>
    <row r="43" spans="1:27" s="247" customFormat="1" ht="41.4" x14ac:dyDescent="0.25">
      <c r="A43" s="233" t="s">
        <v>377</v>
      </c>
      <c r="B43" s="234" t="s">
        <v>293</v>
      </c>
      <c r="C43" s="274" t="s">
        <v>378</v>
      </c>
      <c r="D43" s="274" t="s">
        <v>379</v>
      </c>
      <c r="E43" s="274" t="s">
        <v>267</v>
      </c>
      <c r="F43" s="235"/>
      <c r="G43" s="235"/>
      <c r="H43" s="237">
        <f>4000/3</f>
        <v>1333.3333333333333</v>
      </c>
      <c r="I43" s="238">
        <v>1</v>
      </c>
      <c r="J43" s="238">
        <v>0</v>
      </c>
      <c r="K43" s="239" t="s">
        <v>328</v>
      </c>
      <c r="L43" s="275" t="s">
        <v>284</v>
      </c>
      <c r="M43" s="236" t="s">
        <v>33</v>
      </c>
      <c r="N43" s="236" t="s">
        <v>183</v>
      </c>
      <c r="O43" s="236" t="s">
        <v>133</v>
      </c>
      <c r="P43" s="242"/>
      <c r="Q43" s="276"/>
      <c r="R43" s="242">
        <v>0</v>
      </c>
      <c r="S43" s="242">
        <v>0</v>
      </c>
      <c r="T43" s="242">
        <f t="shared" si="0"/>
        <v>0</v>
      </c>
      <c r="U43" s="243" t="s">
        <v>319</v>
      </c>
      <c r="V43" s="244"/>
      <c r="W43" s="244"/>
      <c r="X43" s="245"/>
      <c r="Y43" s="246"/>
      <c r="Z43" s="244"/>
      <c r="AA43" s="244"/>
    </row>
    <row r="44" spans="1:27" ht="27.6" x14ac:dyDescent="0.3">
      <c r="X44" s="216" t="s">
        <v>267</v>
      </c>
      <c r="Y44" s="222"/>
    </row>
    <row r="45" spans="1:27" ht="15.75" customHeight="1" x14ac:dyDescent="0.3">
      <c r="A45" s="207"/>
      <c r="B45" s="629" t="s">
        <v>380</v>
      </c>
      <c r="C45" s="629"/>
      <c r="D45" s="629"/>
      <c r="E45" s="629"/>
      <c r="F45" s="629"/>
      <c r="G45" s="629"/>
      <c r="H45" s="629"/>
      <c r="I45" s="629"/>
      <c r="J45" s="629"/>
      <c r="K45" s="629"/>
      <c r="L45" s="629"/>
      <c r="M45" s="629"/>
      <c r="N45" s="629"/>
      <c r="O45" s="629"/>
      <c r="P45" s="629"/>
      <c r="Q45" s="629"/>
      <c r="R45" s="629"/>
      <c r="S45" s="629"/>
      <c r="T45" s="629"/>
      <c r="U45" s="629"/>
      <c r="X45" s="216" t="s">
        <v>381</v>
      </c>
      <c r="Y45" s="222"/>
    </row>
    <row r="46" spans="1:27" ht="15" customHeight="1" x14ac:dyDescent="0.3">
      <c r="A46" s="630" t="s">
        <v>268</v>
      </c>
      <c r="B46" s="631" t="s">
        <v>309</v>
      </c>
      <c r="C46" s="632" t="s">
        <v>270</v>
      </c>
      <c r="D46" s="632" t="s">
        <v>271</v>
      </c>
      <c r="E46" s="632" t="s">
        <v>272</v>
      </c>
      <c r="F46" s="632" t="s">
        <v>273</v>
      </c>
      <c r="G46" s="632" t="s">
        <v>310</v>
      </c>
      <c r="H46" s="633" t="s">
        <v>274</v>
      </c>
      <c r="I46" s="633"/>
      <c r="J46" s="633"/>
      <c r="K46" s="632" t="s">
        <v>275</v>
      </c>
      <c r="L46" s="632" t="s">
        <v>276</v>
      </c>
      <c r="M46" s="630" t="s">
        <v>277</v>
      </c>
      <c r="N46" s="632" t="s">
        <v>278</v>
      </c>
      <c r="O46" s="632"/>
      <c r="P46" s="630" t="s">
        <v>279</v>
      </c>
      <c r="Q46" s="630" t="s">
        <v>280</v>
      </c>
      <c r="R46" s="637" t="s">
        <v>281</v>
      </c>
      <c r="S46" s="637"/>
      <c r="T46" s="630" t="s">
        <v>282</v>
      </c>
      <c r="U46" s="634" t="s">
        <v>283</v>
      </c>
      <c r="X46" s="216" t="s">
        <v>382</v>
      </c>
      <c r="Y46" s="222"/>
    </row>
    <row r="47" spans="1:27" ht="36.75" customHeight="1" x14ac:dyDescent="0.3">
      <c r="A47" s="630"/>
      <c r="B47" s="631"/>
      <c r="C47" s="632"/>
      <c r="D47" s="632"/>
      <c r="E47" s="632"/>
      <c r="F47" s="632"/>
      <c r="G47" s="632"/>
      <c r="H47" s="219" t="s">
        <v>285</v>
      </c>
      <c r="I47" s="220" t="s">
        <v>286</v>
      </c>
      <c r="J47" s="220" t="s">
        <v>287</v>
      </c>
      <c r="K47" s="632"/>
      <c r="L47" s="632"/>
      <c r="M47" s="630"/>
      <c r="N47" s="218" t="s">
        <v>383</v>
      </c>
      <c r="O47" s="218" t="s">
        <v>289</v>
      </c>
      <c r="P47" s="630"/>
      <c r="Q47" s="630"/>
      <c r="R47" s="221" t="s">
        <v>290</v>
      </c>
      <c r="S47" s="217" t="s">
        <v>291</v>
      </c>
      <c r="T47" s="630"/>
      <c r="U47" s="634"/>
      <c r="X47" s="216" t="s">
        <v>384</v>
      </c>
      <c r="Y47" s="222"/>
    </row>
    <row r="48" spans="1:27" s="261" customFormat="1" ht="55.2" x14ac:dyDescent="0.3">
      <c r="A48" s="249" t="s">
        <v>92</v>
      </c>
      <c r="B48" s="250" t="s">
        <v>293</v>
      </c>
      <c r="C48" s="251" t="s">
        <v>385</v>
      </c>
      <c r="D48" s="277" t="s">
        <v>386</v>
      </c>
      <c r="E48" s="252" t="s">
        <v>326</v>
      </c>
      <c r="F48" s="251"/>
      <c r="G48" s="251"/>
      <c r="H48" s="278">
        <v>92727.272727272721</v>
      </c>
      <c r="I48" s="254">
        <v>1</v>
      </c>
      <c r="J48" s="254">
        <v>0</v>
      </c>
      <c r="K48" s="251" t="s">
        <v>387</v>
      </c>
      <c r="L48" s="257" t="s">
        <v>284</v>
      </c>
      <c r="M48" s="257" t="s">
        <v>191</v>
      </c>
      <c r="N48" s="257" t="s">
        <v>44</v>
      </c>
      <c r="O48" s="257" t="s">
        <v>97</v>
      </c>
      <c r="P48" s="279"/>
      <c r="Q48" s="280"/>
      <c r="R48" s="281">
        <v>0</v>
      </c>
      <c r="S48" s="281">
        <v>0</v>
      </c>
      <c r="T48" s="281">
        <f>+P48+S48</f>
        <v>0</v>
      </c>
      <c r="U48" s="258" t="s">
        <v>388</v>
      </c>
      <c r="X48" s="282"/>
      <c r="Y48" s="283"/>
    </row>
    <row r="49" spans="1:25" ht="41.4" x14ac:dyDescent="0.3">
      <c r="A49" s="223" t="s">
        <v>98</v>
      </c>
      <c r="B49" s="224" t="s">
        <v>293</v>
      </c>
      <c r="C49" s="156" t="s">
        <v>99</v>
      </c>
      <c r="D49" s="156" t="s">
        <v>389</v>
      </c>
      <c r="E49" s="136" t="s">
        <v>326</v>
      </c>
      <c r="F49" s="225"/>
      <c r="G49" s="225"/>
      <c r="H49" s="284">
        <f>35000/3</f>
        <v>11666.666666666666</v>
      </c>
      <c r="I49" s="227">
        <v>1</v>
      </c>
      <c r="J49" s="227">
        <v>0</v>
      </c>
      <c r="K49" s="228" t="s">
        <v>356</v>
      </c>
      <c r="L49" s="226" t="s">
        <v>284</v>
      </c>
      <c r="M49" s="229" t="s">
        <v>33</v>
      </c>
      <c r="N49" s="226" t="s">
        <v>183</v>
      </c>
      <c r="O49" s="226" t="s">
        <v>50</v>
      </c>
      <c r="P49" s="285"/>
      <c r="Q49" s="231"/>
      <c r="R49" s="230">
        <v>0</v>
      </c>
      <c r="S49" s="230">
        <v>0</v>
      </c>
      <c r="T49" s="230">
        <f>+P49+S49</f>
        <v>0</v>
      </c>
      <c r="U49" s="232"/>
      <c r="X49" s="214"/>
      <c r="Y49" s="222"/>
    </row>
    <row r="50" spans="1:25" ht="69" x14ac:dyDescent="0.3">
      <c r="A50" s="223" t="s">
        <v>189</v>
      </c>
      <c r="B50" s="224" t="s">
        <v>293</v>
      </c>
      <c r="C50" s="156" t="s">
        <v>390</v>
      </c>
      <c r="D50" s="156" t="s">
        <v>190</v>
      </c>
      <c r="E50" s="136" t="s">
        <v>267</v>
      </c>
      <c r="F50" s="225"/>
      <c r="G50" s="225"/>
      <c r="H50" s="284">
        <f>100000/3</f>
        <v>33333.333333333336</v>
      </c>
      <c r="I50" s="227">
        <v>1</v>
      </c>
      <c r="J50" s="227">
        <v>0</v>
      </c>
      <c r="K50" s="225" t="s">
        <v>322</v>
      </c>
      <c r="L50" s="226" t="s">
        <v>284</v>
      </c>
      <c r="M50" s="229" t="s">
        <v>163</v>
      </c>
      <c r="N50" s="226" t="s">
        <v>50</v>
      </c>
      <c r="O50" s="226" t="s">
        <v>75</v>
      </c>
      <c r="P50" s="285"/>
      <c r="Q50" s="231"/>
      <c r="R50" s="230">
        <v>0</v>
      </c>
      <c r="S50" s="230">
        <v>0</v>
      </c>
      <c r="T50" s="230">
        <f>+P50+S50</f>
        <v>0</v>
      </c>
      <c r="U50" s="232" t="s">
        <v>332</v>
      </c>
      <c r="X50" s="214"/>
      <c r="Y50" s="222"/>
    </row>
    <row r="51" spans="1:25" ht="82.8" x14ac:dyDescent="0.3">
      <c r="A51" s="223" t="s">
        <v>209</v>
      </c>
      <c r="B51" s="224" t="s">
        <v>293</v>
      </c>
      <c r="C51" s="225" t="s">
        <v>391</v>
      </c>
      <c r="D51" s="136" t="s">
        <v>392</v>
      </c>
      <c r="E51" s="136" t="s">
        <v>267</v>
      </c>
      <c r="F51" s="225"/>
      <c r="G51" s="225"/>
      <c r="H51" s="284">
        <f>545454/3</f>
        <v>181818</v>
      </c>
      <c r="I51" s="227">
        <v>1</v>
      </c>
      <c r="J51" s="227">
        <v>0</v>
      </c>
      <c r="K51" s="225" t="s">
        <v>393</v>
      </c>
      <c r="L51" s="226" t="s">
        <v>284</v>
      </c>
      <c r="M51" s="229" t="s">
        <v>163</v>
      </c>
      <c r="N51" s="226" t="s">
        <v>50</v>
      </c>
      <c r="O51" s="226" t="s">
        <v>56</v>
      </c>
      <c r="P51" s="285"/>
      <c r="Q51" s="231"/>
      <c r="R51" s="230">
        <v>0</v>
      </c>
      <c r="S51" s="230">
        <v>0</v>
      </c>
      <c r="T51" s="230">
        <f>+P51+S51</f>
        <v>0</v>
      </c>
      <c r="U51" s="232" t="s">
        <v>332</v>
      </c>
      <c r="X51" s="214"/>
      <c r="Y51" s="222"/>
    </row>
    <row r="52" spans="1:25" ht="41.4" x14ac:dyDescent="0.3">
      <c r="A52" s="286" t="s">
        <v>235</v>
      </c>
      <c r="B52" s="287" t="s">
        <v>293</v>
      </c>
      <c r="C52" s="288" t="s">
        <v>394</v>
      </c>
      <c r="D52" s="289" t="s">
        <v>236</v>
      </c>
      <c r="E52" s="289" t="s">
        <v>267</v>
      </c>
      <c r="F52" s="288" t="s">
        <v>395</v>
      </c>
      <c r="G52" s="288">
        <v>1</v>
      </c>
      <c r="H52" s="290">
        <v>70454.545454545456</v>
      </c>
      <c r="I52" s="291">
        <v>1</v>
      </c>
      <c r="J52" s="291">
        <v>0</v>
      </c>
      <c r="K52" s="288" t="s">
        <v>396</v>
      </c>
      <c r="L52" s="292" t="s">
        <v>284</v>
      </c>
      <c r="M52" s="293" t="s">
        <v>223</v>
      </c>
      <c r="N52" s="292" t="s">
        <v>32</v>
      </c>
      <c r="O52" s="292" t="s">
        <v>183</v>
      </c>
      <c r="P52" s="294">
        <v>59900.62</v>
      </c>
      <c r="Q52" s="276" t="s">
        <v>397</v>
      </c>
      <c r="R52" s="242">
        <v>0</v>
      </c>
      <c r="S52" s="242">
        <v>0</v>
      </c>
      <c r="T52" s="242">
        <f>+P52+S52</f>
        <v>59900.62</v>
      </c>
      <c r="U52" s="295" t="s">
        <v>332</v>
      </c>
      <c r="X52" s="214"/>
      <c r="Y52" s="222"/>
    </row>
    <row r="53" spans="1:25" ht="27.6" x14ac:dyDescent="0.3">
      <c r="X53" s="216" t="s">
        <v>267</v>
      </c>
      <c r="Y53" s="222"/>
    </row>
    <row r="54" spans="1:25" ht="15.6" customHeight="1" x14ac:dyDescent="0.3">
      <c r="A54" s="207"/>
      <c r="B54" s="629" t="s">
        <v>398</v>
      </c>
      <c r="C54" s="629"/>
      <c r="D54" s="629"/>
      <c r="E54" s="629"/>
      <c r="F54" s="629"/>
      <c r="G54" s="629"/>
      <c r="H54" s="629"/>
      <c r="I54" s="629"/>
      <c r="J54" s="629"/>
      <c r="K54" s="629"/>
      <c r="L54" s="629"/>
      <c r="M54" s="629"/>
      <c r="N54" s="629"/>
      <c r="O54" s="629"/>
      <c r="P54" s="629"/>
      <c r="Q54" s="629"/>
      <c r="R54" s="629"/>
      <c r="S54" s="629"/>
      <c r="T54" s="629"/>
      <c r="U54" s="629"/>
      <c r="X54" s="216" t="s">
        <v>381</v>
      </c>
      <c r="Y54" s="222"/>
    </row>
    <row r="55" spans="1:25" ht="15" customHeight="1" x14ac:dyDescent="0.3">
      <c r="A55" s="630" t="s">
        <v>268</v>
      </c>
      <c r="B55" s="631" t="s">
        <v>309</v>
      </c>
      <c r="C55" s="632" t="s">
        <v>270</v>
      </c>
      <c r="D55" s="632" t="s">
        <v>271</v>
      </c>
      <c r="E55" s="632" t="s">
        <v>272</v>
      </c>
      <c r="F55" s="632" t="s">
        <v>273</v>
      </c>
      <c r="G55" s="632" t="s">
        <v>310</v>
      </c>
      <c r="H55" s="633" t="s">
        <v>274</v>
      </c>
      <c r="I55" s="633"/>
      <c r="J55" s="633"/>
      <c r="K55" s="632" t="s">
        <v>275</v>
      </c>
      <c r="L55" s="632" t="s">
        <v>276</v>
      </c>
      <c r="M55" s="630" t="s">
        <v>277</v>
      </c>
      <c r="N55" s="632" t="s">
        <v>278</v>
      </c>
      <c r="O55" s="632"/>
      <c r="P55" s="630" t="s">
        <v>279</v>
      </c>
      <c r="Q55" s="630" t="s">
        <v>280</v>
      </c>
      <c r="R55" s="637" t="s">
        <v>281</v>
      </c>
      <c r="S55" s="637"/>
      <c r="T55" s="630" t="s">
        <v>282</v>
      </c>
      <c r="U55" s="634" t="s">
        <v>283</v>
      </c>
      <c r="X55" s="216" t="s">
        <v>382</v>
      </c>
      <c r="Y55" s="222"/>
    </row>
    <row r="56" spans="1:25" ht="36.75" customHeight="1" x14ac:dyDescent="0.3">
      <c r="A56" s="630"/>
      <c r="B56" s="631"/>
      <c r="C56" s="632"/>
      <c r="D56" s="632"/>
      <c r="E56" s="632"/>
      <c r="F56" s="632"/>
      <c r="G56" s="632"/>
      <c r="H56" s="219" t="s">
        <v>285</v>
      </c>
      <c r="I56" s="220" t="s">
        <v>286</v>
      </c>
      <c r="J56" s="220" t="s">
        <v>287</v>
      </c>
      <c r="K56" s="632"/>
      <c r="L56" s="632"/>
      <c r="M56" s="630"/>
      <c r="N56" s="218" t="s">
        <v>383</v>
      </c>
      <c r="O56" s="218" t="s">
        <v>289</v>
      </c>
      <c r="P56" s="630"/>
      <c r="Q56" s="630"/>
      <c r="R56" s="221" t="s">
        <v>290</v>
      </c>
      <c r="S56" s="217" t="s">
        <v>291</v>
      </c>
      <c r="T56" s="630"/>
      <c r="U56" s="634"/>
      <c r="X56" s="216" t="s">
        <v>384</v>
      </c>
      <c r="Y56" s="222"/>
    </row>
    <row r="57" spans="1:25" ht="69" x14ac:dyDescent="0.3">
      <c r="A57" s="168" t="s">
        <v>166</v>
      </c>
      <c r="B57" s="224" t="s">
        <v>293</v>
      </c>
      <c r="C57" s="156" t="s">
        <v>167</v>
      </c>
      <c r="D57" s="156" t="s">
        <v>399</v>
      </c>
      <c r="E57" s="136" t="s">
        <v>267</v>
      </c>
      <c r="F57" s="225" t="s">
        <v>298</v>
      </c>
      <c r="G57" s="225" t="s">
        <v>298</v>
      </c>
      <c r="H57" s="284">
        <f>606000/3</f>
        <v>202000</v>
      </c>
      <c r="I57" s="227">
        <v>1</v>
      </c>
      <c r="J57" s="227">
        <v>0</v>
      </c>
      <c r="K57" s="225" t="s">
        <v>297</v>
      </c>
      <c r="L57" s="226" t="s">
        <v>284</v>
      </c>
      <c r="M57" s="229" t="s">
        <v>163</v>
      </c>
      <c r="N57" s="140" t="s">
        <v>43</v>
      </c>
      <c r="O57" s="140" t="s">
        <v>43</v>
      </c>
      <c r="P57" s="285" t="s">
        <v>298</v>
      </c>
      <c r="Q57" s="231" t="s">
        <v>298</v>
      </c>
      <c r="R57" s="230">
        <v>0</v>
      </c>
      <c r="S57" s="230">
        <v>0</v>
      </c>
      <c r="T57" s="230">
        <v>0</v>
      </c>
      <c r="U57" s="232" t="s">
        <v>400</v>
      </c>
      <c r="X57" s="216" t="s">
        <v>401</v>
      </c>
      <c r="Y57" s="222"/>
    </row>
    <row r="58" spans="1:25" ht="41.4" x14ac:dyDescent="0.3">
      <c r="A58" s="168" t="s">
        <v>203</v>
      </c>
      <c r="B58" s="224" t="s">
        <v>293</v>
      </c>
      <c r="C58" s="136" t="s">
        <v>402</v>
      </c>
      <c r="D58" s="136" t="s">
        <v>402</v>
      </c>
      <c r="E58" s="136" t="s">
        <v>267</v>
      </c>
      <c r="F58" s="225" t="s">
        <v>403</v>
      </c>
      <c r="G58" s="225">
        <v>1</v>
      </c>
      <c r="H58" s="284">
        <v>9046</v>
      </c>
      <c r="I58" s="227">
        <v>1</v>
      </c>
      <c r="J58" s="227">
        <v>0</v>
      </c>
      <c r="K58" s="225" t="s">
        <v>352</v>
      </c>
      <c r="L58" s="226" t="s">
        <v>284</v>
      </c>
      <c r="M58" s="229" t="s">
        <v>223</v>
      </c>
      <c r="N58" s="188" t="s">
        <v>43</v>
      </c>
      <c r="O58" s="188" t="s">
        <v>32</v>
      </c>
      <c r="P58" s="296">
        <f>19902.4/2.2764</f>
        <v>8742.9274292742921</v>
      </c>
      <c r="Q58" s="231" t="s">
        <v>404</v>
      </c>
      <c r="R58" s="230">
        <v>0</v>
      </c>
      <c r="S58" s="230">
        <v>0</v>
      </c>
      <c r="T58" s="230">
        <f>+P58+S58</f>
        <v>8742.9274292742921</v>
      </c>
      <c r="U58" s="232" t="s">
        <v>405</v>
      </c>
      <c r="X58" s="214"/>
      <c r="Y58" s="222"/>
    </row>
    <row r="59" spans="1:25" ht="69" x14ac:dyDescent="0.3">
      <c r="X59" s="216" t="s">
        <v>406</v>
      </c>
      <c r="Y59" s="222"/>
    </row>
    <row r="60" spans="1:25" ht="15.75" customHeight="1" x14ac:dyDescent="0.3">
      <c r="A60" s="207"/>
      <c r="B60" s="629" t="s">
        <v>407</v>
      </c>
      <c r="C60" s="629"/>
      <c r="D60" s="629"/>
      <c r="E60" s="629"/>
      <c r="F60" s="629"/>
      <c r="G60" s="629"/>
      <c r="H60" s="629"/>
      <c r="I60" s="629"/>
      <c r="J60" s="629"/>
      <c r="K60" s="629"/>
      <c r="L60" s="629"/>
      <c r="M60" s="629"/>
      <c r="N60" s="629"/>
      <c r="O60" s="629"/>
      <c r="P60" s="629"/>
      <c r="Q60" s="629"/>
      <c r="R60" s="629"/>
      <c r="S60" s="629"/>
      <c r="T60" s="629"/>
      <c r="U60" s="629"/>
      <c r="X60" s="216" t="s">
        <v>408</v>
      </c>
      <c r="Y60" s="222"/>
    </row>
    <row r="61" spans="1:25" ht="15" customHeight="1" x14ac:dyDescent="0.3">
      <c r="A61" s="630" t="s">
        <v>268</v>
      </c>
      <c r="B61" s="631" t="s">
        <v>309</v>
      </c>
      <c r="C61" s="632" t="s">
        <v>270</v>
      </c>
      <c r="D61" s="632" t="s">
        <v>271</v>
      </c>
      <c r="E61" s="632" t="s">
        <v>272</v>
      </c>
      <c r="F61" s="632" t="s">
        <v>273</v>
      </c>
      <c r="G61" s="632"/>
      <c r="H61" s="633" t="s">
        <v>274</v>
      </c>
      <c r="I61" s="633"/>
      <c r="J61" s="633"/>
      <c r="K61" s="632" t="s">
        <v>275</v>
      </c>
      <c r="L61" s="632" t="s">
        <v>276</v>
      </c>
      <c r="M61" s="630" t="s">
        <v>277</v>
      </c>
      <c r="N61" s="632" t="s">
        <v>278</v>
      </c>
      <c r="O61" s="632"/>
      <c r="P61" s="630" t="s">
        <v>279</v>
      </c>
      <c r="Q61" s="630" t="s">
        <v>280</v>
      </c>
      <c r="R61" s="630" t="s">
        <v>281</v>
      </c>
      <c r="S61" s="630"/>
      <c r="T61" s="630" t="s">
        <v>282</v>
      </c>
      <c r="U61" s="634" t="s">
        <v>283</v>
      </c>
      <c r="X61" s="216" t="s">
        <v>409</v>
      </c>
      <c r="Y61" s="222"/>
    </row>
    <row r="62" spans="1:25" ht="38.25" customHeight="1" x14ac:dyDescent="0.3">
      <c r="A62" s="630"/>
      <c r="B62" s="631"/>
      <c r="C62" s="632"/>
      <c r="D62" s="632"/>
      <c r="E62" s="632"/>
      <c r="F62" s="632"/>
      <c r="G62" s="632"/>
      <c r="H62" s="218" t="s">
        <v>285</v>
      </c>
      <c r="I62" s="220" t="s">
        <v>286</v>
      </c>
      <c r="J62" s="220" t="s">
        <v>287</v>
      </c>
      <c r="K62" s="632"/>
      <c r="L62" s="632"/>
      <c r="M62" s="630"/>
      <c r="N62" s="218" t="s">
        <v>410</v>
      </c>
      <c r="O62" s="218" t="s">
        <v>289</v>
      </c>
      <c r="P62" s="630"/>
      <c r="Q62" s="630"/>
      <c r="R62" s="221" t="s">
        <v>290</v>
      </c>
      <c r="S62" s="221" t="s">
        <v>291</v>
      </c>
      <c r="T62" s="630"/>
      <c r="U62" s="634"/>
      <c r="X62" s="216" t="s">
        <v>411</v>
      </c>
      <c r="Y62" s="222"/>
    </row>
    <row r="63" spans="1:25" ht="35.1" customHeight="1" x14ac:dyDescent="0.25">
      <c r="A63" s="223" t="s">
        <v>34</v>
      </c>
      <c r="B63" s="224" t="s">
        <v>293</v>
      </c>
      <c r="C63" s="225" t="s">
        <v>35</v>
      </c>
      <c r="D63" s="143" t="s">
        <v>412</v>
      </c>
      <c r="E63" s="143" t="s">
        <v>413</v>
      </c>
      <c r="F63" s="638" t="s">
        <v>414</v>
      </c>
      <c r="G63" s="638"/>
      <c r="H63" s="298">
        <v>121818</v>
      </c>
      <c r="I63" s="227">
        <v>0.8</v>
      </c>
      <c r="J63" s="227">
        <v>0.2</v>
      </c>
      <c r="K63" s="228" t="s">
        <v>354</v>
      </c>
      <c r="L63" s="297" t="s">
        <v>292</v>
      </c>
      <c r="M63" s="145" t="s">
        <v>223</v>
      </c>
      <c r="N63" s="188" t="s">
        <v>43</v>
      </c>
      <c r="O63" s="188" t="s">
        <v>74</v>
      </c>
      <c r="P63" s="285">
        <v>64698.01</v>
      </c>
      <c r="Q63" s="231" t="s">
        <v>415</v>
      </c>
      <c r="R63" s="230">
        <v>0</v>
      </c>
      <c r="S63" s="230">
        <v>0</v>
      </c>
      <c r="T63" s="230">
        <f t="shared" ref="T63:T77" si="1">+P63+S63</f>
        <v>64698.01</v>
      </c>
      <c r="U63" s="232"/>
      <c r="X63" s="216" t="s">
        <v>416</v>
      </c>
      <c r="Y63" s="214"/>
    </row>
    <row r="64" spans="1:25" ht="63.75" customHeight="1" x14ac:dyDescent="0.25">
      <c r="A64" s="223" t="s">
        <v>39</v>
      </c>
      <c r="B64" s="224" t="s">
        <v>293</v>
      </c>
      <c r="C64" s="225" t="s">
        <v>417</v>
      </c>
      <c r="D64" s="143" t="s">
        <v>418</v>
      </c>
      <c r="E64" s="143" t="s">
        <v>408</v>
      </c>
      <c r="F64" s="638"/>
      <c r="G64" s="638"/>
      <c r="H64" s="298">
        <v>8333.3333333333339</v>
      </c>
      <c r="I64" s="227">
        <v>1</v>
      </c>
      <c r="J64" s="227">
        <v>0</v>
      </c>
      <c r="K64" s="228" t="s">
        <v>419</v>
      </c>
      <c r="L64" s="297" t="s">
        <v>284</v>
      </c>
      <c r="M64" s="140" t="s">
        <v>33</v>
      </c>
      <c r="N64" s="188" t="s">
        <v>75</v>
      </c>
      <c r="O64" s="188" t="s">
        <v>56</v>
      </c>
      <c r="P64" s="231"/>
      <c r="Q64" s="231"/>
      <c r="R64" s="230">
        <v>0</v>
      </c>
      <c r="S64" s="230">
        <v>0</v>
      </c>
      <c r="T64" s="230">
        <f t="shared" si="1"/>
        <v>0</v>
      </c>
      <c r="U64" s="232"/>
      <c r="X64" s="216" t="s">
        <v>267</v>
      </c>
      <c r="Y64" s="214"/>
    </row>
    <row r="65" spans="1:25" ht="76.5" customHeight="1" x14ac:dyDescent="0.25">
      <c r="A65" s="223" t="s">
        <v>45</v>
      </c>
      <c r="B65" s="224" t="s">
        <v>293</v>
      </c>
      <c r="C65" s="225" t="s">
        <v>420</v>
      </c>
      <c r="D65" s="136" t="s">
        <v>421</v>
      </c>
      <c r="E65" s="136" t="s">
        <v>267</v>
      </c>
      <c r="F65" s="638"/>
      <c r="G65" s="638"/>
      <c r="H65" s="298">
        <f>205000/3</f>
        <v>68333.333333333328</v>
      </c>
      <c r="I65" s="227">
        <v>0</v>
      </c>
      <c r="J65" s="227">
        <v>1</v>
      </c>
      <c r="K65" s="228" t="s">
        <v>422</v>
      </c>
      <c r="L65" s="297" t="s">
        <v>267</v>
      </c>
      <c r="M65" s="140" t="s">
        <v>223</v>
      </c>
      <c r="N65" s="188" t="s">
        <v>74</v>
      </c>
      <c r="O65" s="188" t="s">
        <v>44</v>
      </c>
      <c r="P65" s="285">
        <f>205000/3</f>
        <v>68333.333333333328</v>
      </c>
      <c r="Q65" s="231" t="s">
        <v>298</v>
      </c>
      <c r="R65" s="230">
        <v>0</v>
      </c>
      <c r="S65" s="230">
        <v>0</v>
      </c>
      <c r="T65" s="230">
        <f t="shared" si="1"/>
        <v>68333.333333333328</v>
      </c>
      <c r="U65" s="232" t="s">
        <v>423</v>
      </c>
      <c r="X65" s="216"/>
      <c r="Y65" s="214"/>
    </row>
    <row r="66" spans="1:25" ht="55.2" x14ac:dyDescent="0.25">
      <c r="A66" s="223" t="s">
        <v>51</v>
      </c>
      <c r="B66" s="224" t="s">
        <v>293</v>
      </c>
      <c r="C66" s="225" t="s">
        <v>424</v>
      </c>
      <c r="D66" s="136" t="s">
        <v>425</v>
      </c>
      <c r="E66" s="136" t="s">
        <v>413</v>
      </c>
      <c r="F66" s="638"/>
      <c r="G66" s="638"/>
      <c r="H66" s="298">
        <f>900000/3</f>
        <v>300000</v>
      </c>
      <c r="I66" s="227">
        <v>1</v>
      </c>
      <c r="J66" s="227">
        <v>0</v>
      </c>
      <c r="K66" s="228" t="s">
        <v>419</v>
      </c>
      <c r="L66" s="297" t="s">
        <v>292</v>
      </c>
      <c r="M66" s="140" t="s">
        <v>33</v>
      </c>
      <c r="N66" s="188" t="s">
        <v>50</v>
      </c>
      <c r="O66" s="188" t="s">
        <v>56</v>
      </c>
      <c r="P66" s="231"/>
      <c r="Q66" s="231"/>
      <c r="R66" s="230">
        <v>0</v>
      </c>
      <c r="S66" s="230">
        <v>0</v>
      </c>
      <c r="T66" s="230">
        <f t="shared" si="1"/>
        <v>0</v>
      </c>
      <c r="U66" s="232"/>
      <c r="X66" s="216"/>
      <c r="Y66" s="214"/>
    </row>
    <row r="67" spans="1:25" ht="110.4" x14ac:dyDescent="0.25">
      <c r="A67" s="223" t="s">
        <v>53</v>
      </c>
      <c r="B67" s="224" t="s">
        <v>293</v>
      </c>
      <c r="C67" s="225" t="s">
        <v>426</v>
      </c>
      <c r="D67" s="136" t="s">
        <v>54</v>
      </c>
      <c r="E67" s="136" t="s">
        <v>409</v>
      </c>
      <c r="F67" s="638"/>
      <c r="G67" s="638"/>
      <c r="H67" s="298">
        <v>90136.363636363632</v>
      </c>
      <c r="I67" s="227">
        <v>1</v>
      </c>
      <c r="J67" s="227">
        <v>0</v>
      </c>
      <c r="K67" s="228" t="s">
        <v>318</v>
      </c>
      <c r="L67" s="297" t="s">
        <v>292</v>
      </c>
      <c r="M67" s="140" t="s">
        <v>223</v>
      </c>
      <c r="N67" s="188" t="s">
        <v>32</v>
      </c>
      <c r="O67" s="188" t="s">
        <v>74</v>
      </c>
      <c r="P67" s="285">
        <v>68691.759999999995</v>
      </c>
      <c r="Q67" s="231" t="s">
        <v>427</v>
      </c>
      <c r="R67" s="230">
        <v>0</v>
      </c>
      <c r="S67" s="230">
        <v>0</v>
      </c>
      <c r="T67" s="230">
        <f t="shared" si="1"/>
        <v>68691.759999999995</v>
      </c>
      <c r="U67" s="232"/>
      <c r="X67" s="216"/>
      <c r="Y67" s="214"/>
    </row>
    <row r="68" spans="1:25" s="261" customFormat="1" ht="55.2" x14ac:dyDescent="0.25">
      <c r="A68" s="249" t="s">
        <v>57</v>
      </c>
      <c r="B68" s="250" t="s">
        <v>293</v>
      </c>
      <c r="C68" s="251" t="s">
        <v>428</v>
      </c>
      <c r="D68" s="252" t="s">
        <v>58</v>
      </c>
      <c r="E68" s="252" t="s">
        <v>408</v>
      </c>
      <c r="F68" s="638"/>
      <c r="G68" s="638"/>
      <c r="H68" s="299">
        <v>27681.81818181818</v>
      </c>
      <c r="I68" s="254">
        <v>1</v>
      </c>
      <c r="J68" s="254">
        <v>0</v>
      </c>
      <c r="K68" s="255" t="s">
        <v>318</v>
      </c>
      <c r="L68" s="249" t="s">
        <v>284</v>
      </c>
      <c r="M68" s="300" t="s">
        <v>191</v>
      </c>
      <c r="N68" s="301" t="s">
        <v>227</v>
      </c>
      <c r="O68" s="301" t="s">
        <v>59</v>
      </c>
      <c r="P68" s="280"/>
      <c r="Q68" s="280"/>
      <c r="R68" s="230">
        <v>0</v>
      </c>
      <c r="S68" s="230">
        <v>0</v>
      </c>
      <c r="T68" s="230">
        <f t="shared" si="1"/>
        <v>0</v>
      </c>
      <c r="U68" s="258" t="s">
        <v>429</v>
      </c>
      <c r="X68" s="262"/>
      <c r="Y68" s="282"/>
    </row>
    <row r="69" spans="1:25" ht="96.6" x14ac:dyDescent="0.25">
      <c r="A69" s="223" t="s">
        <v>60</v>
      </c>
      <c r="B69" s="224" t="s">
        <v>293</v>
      </c>
      <c r="C69" s="225" t="s">
        <v>430</v>
      </c>
      <c r="D69" s="151" t="s">
        <v>61</v>
      </c>
      <c r="E69" s="151" t="s">
        <v>408</v>
      </c>
      <c r="F69" s="638"/>
      <c r="G69" s="638"/>
      <c r="H69" s="298">
        <f>500000/3</f>
        <v>166666.66666666666</v>
      </c>
      <c r="I69" s="227">
        <v>1</v>
      </c>
      <c r="J69" s="227">
        <v>0</v>
      </c>
      <c r="K69" s="228" t="s">
        <v>342</v>
      </c>
      <c r="L69" s="297" t="s">
        <v>284</v>
      </c>
      <c r="M69" s="140" t="s">
        <v>33</v>
      </c>
      <c r="N69" s="188" t="s">
        <v>133</v>
      </c>
      <c r="O69" s="188" t="s">
        <v>70</v>
      </c>
      <c r="P69" s="231"/>
      <c r="Q69" s="231"/>
      <c r="R69" s="230">
        <v>0</v>
      </c>
      <c r="S69" s="230">
        <v>0</v>
      </c>
      <c r="T69" s="230">
        <f t="shared" si="1"/>
        <v>0</v>
      </c>
      <c r="U69" s="232"/>
      <c r="X69" s="216"/>
      <c r="Y69" s="214"/>
    </row>
    <row r="70" spans="1:25" s="261" customFormat="1" ht="124.2" x14ac:dyDescent="0.25">
      <c r="A70" s="249" t="s">
        <v>63</v>
      </c>
      <c r="B70" s="250" t="s">
        <v>293</v>
      </c>
      <c r="C70" s="251" t="s">
        <v>431</v>
      </c>
      <c r="D70" s="252" t="s">
        <v>432</v>
      </c>
      <c r="E70" s="252" t="s">
        <v>408</v>
      </c>
      <c r="F70" s="638"/>
      <c r="G70" s="638"/>
      <c r="H70" s="299">
        <v>181818.18181818179</v>
      </c>
      <c r="I70" s="254">
        <v>1</v>
      </c>
      <c r="J70" s="254">
        <v>0</v>
      </c>
      <c r="K70" s="255" t="s">
        <v>297</v>
      </c>
      <c r="L70" s="249" t="s">
        <v>284</v>
      </c>
      <c r="M70" s="300" t="s">
        <v>191</v>
      </c>
      <c r="N70" s="301" t="s">
        <v>183</v>
      </c>
      <c r="O70" s="301" t="s">
        <v>38</v>
      </c>
      <c r="P70" s="280"/>
      <c r="Q70" s="280"/>
      <c r="R70" s="230">
        <v>0</v>
      </c>
      <c r="S70" s="230">
        <v>0</v>
      </c>
      <c r="T70" s="230">
        <f t="shared" si="1"/>
        <v>0</v>
      </c>
      <c r="U70" s="258" t="s">
        <v>433</v>
      </c>
      <c r="X70" s="262"/>
      <c r="Y70" s="282"/>
    </row>
    <row r="71" spans="1:25" ht="82.8" x14ac:dyDescent="0.25">
      <c r="A71" s="223" t="s">
        <v>66</v>
      </c>
      <c r="B71" s="224" t="s">
        <v>293</v>
      </c>
      <c r="C71" s="225" t="s">
        <v>434</v>
      </c>
      <c r="D71" s="225" t="s">
        <v>435</v>
      </c>
      <c r="E71" s="225" t="s">
        <v>406</v>
      </c>
      <c r="F71" s="638"/>
      <c r="G71" s="638"/>
      <c r="H71" s="298">
        <v>500000</v>
      </c>
      <c r="I71" s="227">
        <v>1</v>
      </c>
      <c r="J71" s="227">
        <v>0</v>
      </c>
      <c r="K71" s="228" t="s">
        <v>436</v>
      </c>
      <c r="L71" s="297" t="s">
        <v>284</v>
      </c>
      <c r="M71" s="140" t="s">
        <v>163</v>
      </c>
      <c r="N71" s="188" t="s">
        <v>183</v>
      </c>
      <c r="O71" s="188" t="s">
        <v>133</v>
      </c>
      <c r="P71" s="231"/>
      <c r="Q71" s="231"/>
      <c r="R71" s="230">
        <v>0</v>
      </c>
      <c r="S71" s="230">
        <v>0</v>
      </c>
      <c r="T71" s="230">
        <f t="shared" si="1"/>
        <v>0</v>
      </c>
      <c r="U71" s="232"/>
      <c r="X71" s="216"/>
      <c r="Y71" s="214"/>
    </row>
    <row r="72" spans="1:25" ht="57.45" customHeight="1" x14ac:dyDescent="0.25">
      <c r="A72" s="223" t="s">
        <v>71</v>
      </c>
      <c r="B72" s="224" t="s">
        <v>293</v>
      </c>
      <c r="C72" s="225" t="s">
        <v>437</v>
      </c>
      <c r="D72" s="136" t="s">
        <v>438</v>
      </c>
      <c r="E72" s="136" t="s">
        <v>408</v>
      </c>
      <c r="F72" s="638" t="s">
        <v>439</v>
      </c>
      <c r="G72" s="638"/>
      <c r="H72" s="298">
        <f>360000/3</f>
        <v>120000</v>
      </c>
      <c r="I72" s="227">
        <v>1</v>
      </c>
      <c r="J72" s="227">
        <v>0</v>
      </c>
      <c r="K72" s="228" t="s">
        <v>356</v>
      </c>
      <c r="L72" s="297" t="s">
        <v>284</v>
      </c>
      <c r="M72" s="140" t="s">
        <v>223</v>
      </c>
      <c r="N72" s="188" t="s">
        <v>74</v>
      </c>
      <c r="O72" s="188" t="s">
        <v>44</v>
      </c>
      <c r="P72" s="302">
        <v>115994.34</v>
      </c>
      <c r="Q72" s="231" t="s">
        <v>440</v>
      </c>
      <c r="R72" s="230">
        <v>0</v>
      </c>
      <c r="S72" s="230">
        <v>0</v>
      </c>
      <c r="T72" s="230">
        <f t="shared" si="1"/>
        <v>115994.34</v>
      </c>
      <c r="U72" s="232"/>
      <c r="X72" s="216"/>
      <c r="Y72" s="214"/>
    </row>
    <row r="73" spans="1:25" s="261" customFormat="1" ht="57.45" customHeight="1" x14ac:dyDescent="0.25">
      <c r="A73" s="249" t="s">
        <v>76</v>
      </c>
      <c r="B73" s="250" t="s">
        <v>293</v>
      </c>
      <c r="C73" s="251" t="s">
        <v>441</v>
      </c>
      <c r="D73" s="252" t="s">
        <v>442</v>
      </c>
      <c r="E73" s="252" t="s">
        <v>408</v>
      </c>
      <c r="F73" s="638" t="s">
        <v>225</v>
      </c>
      <c r="G73" s="638"/>
      <c r="H73" s="299">
        <v>113181.81818181818</v>
      </c>
      <c r="I73" s="254">
        <v>1</v>
      </c>
      <c r="J73" s="254">
        <v>0</v>
      </c>
      <c r="K73" s="255" t="s">
        <v>304</v>
      </c>
      <c r="L73" s="249" t="s">
        <v>284</v>
      </c>
      <c r="M73" s="300" t="s">
        <v>191</v>
      </c>
      <c r="N73" s="301" t="s">
        <v>231</v>
      </c>
      <c r="O73" s="301" t="s">
        <v>59</v>
      </c>
      <c r="P73" s="280"/>
      <c r="Q73" s="280"/>
      <c r="R73" s="230">
        <v>0</v>
      </c>
      <c r="S73" s="230">
        <v>0</v>
      </c>
      <c r="T73" s="230">
        <f t="shared" si="1"/>
        <v>0</v>
      </c>
      <c r="U73" s="258" t="s">
        <v>345</v>
      </c>
      <c r="X73" s="262"/>
      <c r="Y73" s="282"/>
    </row>
    <row r="74" spans="1:25" ht="55.2" x14ac:dyDescent="0.25">
      <c r="A74" s="223" t="s">
        <v>79</v>
      </c>
      <c r="B74" s="224" t="s">
        <v>293</v>
      </c>
      <c r="C74" s="225" t="s">
        <v>443</v>
      </c>
      <c r="D74" s="156" t="s">
        <v>80</v>
      </c>
      <c r="E74" s="136" t="s">
        <v>408</v>
      </c>
      <c r="F74" s="638"/>
      <c r="G74" s="638"/>
      <c r="H74" s="298">
        <f>427800/3</f>
        <v>142600</v>
      </c>
      <c r="I74" s="227">
        <v>1</v>
      </c>
      <c r="J74" s="227">
        <v>0</v>
      </c>
      <c r="K74" s="228" t="s">
        <v>297</v>
      </c>
      <c r="L74" s="297" t="s">
        <v>284</v>
      </c>
      <c r="M74" s="140" t="s">
        <v>33</v>
      </c>
      <c r="N74" s="188" t="s">
        <v>56</v>
      </c>
      <c r="O74" s="188" t="s">
        <v>343</v>
      </c>
      <c r="P74" s="231"/>
      <c r="Q74" s="231"/>
      <c r="R74" s="230">
        <v>0</v>
      </c>
      <c r="S74" s="230">
        <v>0</v>
      </c>
      <c r="T74" s="230">
        <f t="shared" si="1"/>
        <v>0</v>
      </c>
      <c r="U74" s="232"/>
      <c r="X74" s="216"/>
      <c r="Y74" s="214"/>
    </row>
    <row r="75" spans="1:25" ht="55.2" x14ac:dyDescent="0.25">
      <c r="A75" s="223" t="s">
        <v>81</v>
      </c>
      <c r="B75" s="224" t="s">
        <v>293</v>
      </c>
      <c r="C75" s="225" t="s">
        <v>444</v>
      </c>
      <c r="D75" s="156" t="s">
        <v>82</v>
      </c>
      <c r="E75" s="136" t="s">
        <v>408</v>
      </c>
      <c r="F75" s="638"/>
      <c r="G75" s="638"/>
      <c r="H75" s="298">
        <f>135600/3</f>
        <v>45200</v>
      </c>
      <c r="I75" s="227">
        <v>1</v>
      </c>
      <c r="J75" s="227">
        <v>0</v>
      </c>
      <c r="K75" s="228" t="s">
        <v>297</v>
      </c>
      <c r="L75" s="297" t="s">
        <v>284</v>
      </c>
      <c r="M75" s="140" t="s">
        <v>33</v>
      </c>
      <c r="N75" s="188" t="s">
        <v>56</v>
      </c>
      <c r="O75" s="188" t="s">
        <v>343</v>
      </c>
      <c r="P75" s="231"/>
      <c r="Q75" s="231"/>
      <c r="R75" s="230">
        <v>0</v>
      </c>
      <c r="S75" s="230">
        <v>0</v>
      </c>
      <c r="T75" s="230">
        <f t="shared" si="1"/>
        <v>0</v>
      </c>
      <c r="U75" s="232"/>
      <c r="X75" s="216"/>
      <c r="Y75" s="214"/>
    </row>
    <row r="76" spans="1:25" s="261" customFormat="1" ht="110.4" x14ac:dyDescent="0.25">
      <c r="A76" s="249" t="s">
        <v>83</v>
      </c>
      <c r="B76" s="250" t="s">
        <v>293</v>
      </c>
      <c r="C76" s="251" t="s">
        <v>445</v>
      </c>
      <c r="D76" s="252" t="s">
        <v>446</v>
      </c>
      <c r="E76" s="252" t="s">
        <v>408</v>
      </c>
      <c r="F76" s="638"/>
      <c r="G76" s="638"/>
      <c r="H76" s="299">
        <v>181818.18181818179</v>
      </c>
      <c r="I76" s="254">
        <v>1</v>
      </c>
      <c r="J76" s="254">
        <v>0</v>
      </c>
      <c r="K76" s="255" t="s">
        <v>447</v>
      </c>
      <c r="L76" s="249" t="s">
        <v>284</v>
      </c>
      <c r="M76" s="301" t="s">
        <v>191</v>
      </c>
      <c r="N76" s="301" t="s">
        <v>183</v>
      </c>
      <c r="O76" s="301" t="s">
        <v>38</v>
      </c>
      <c r="P76" s="280"/>
      <c r="Q76" s="280"/>
      <c r="R76" s="230">
        <v>0</v>
      </c>
      <c r="S76" s="230">
        <v>0</v>
      </c>
      <c r="T76" s="230">
        <f t="shared" si="1"/>
        <v>0</v>
      </c>
      <c r="U76" s="258"/>
      <c r="X76" s="262"/>
      <c r="Y76" s="282"/>
    </row>
    <row r="77" spans="1:25" ht="41.4" x14ac:dyDescent="0.25">
      <c r="A77" s="286" t="s">
        <v>86</v>
      </c>
      <c r="B77" s="287" t="s">
        <v>293</v>
      </c>
      <c r="C77" s="288" t="s">
        <v>87</v>
      </c>
      <c r="D77" s="303" t="s">
        <v>87</v>
      </c>
      <c r="E77" s="289" t="s">
        <v>408</v>
      </c>
      <c r="F77" s="639"/>
      <c r="G77" s="639"/>
      <c r="H77" s="305">
        <f>200000/3</f>
        <v>66666.666666666672</v>
      </c>
      <c r="I77" s="291">
        <v>1</v>
      </c>
      <c r="J77" s="291">
        <v>0</v>
      </c>
      <c r="K77" s="306" t="s">
        <v>328</v>
      </c>
      <c r="L77" s="304" t="s">
        <v>284</v>
      </c>
      <c r="M77" s="307" t="s">
        <v>33</v>
      </c>
      <c r="N77" s="308" t="s">
        <v>50</v>
      </c>
      <c r="O77" s="308" t="s">
        <v>231</v>
      </c>
      <c r="P77" s="276"/>
      <c r="Q77" s="276"/>
      <c r="R77" s="242">
        <v>0</v>
      </c>
      <c r="S77" s="242">
        <v>0</v>
      </c>
      <c r="T77" s="242">
        <f t="shared" si="1"/>
        <v>0</v>
      </c>
      <c r="U77" s="295"/>
      <c r="X77" s="216"/>
      <c r="Y77" s="214"/>
    </row>
    <row r="78" spans="1:25" ht="27.6" x14ac:dyDescent="0.3">
      <c r="X78" s="309" t="s">
        <v>448</v>
      </c>
      <c r="Y78" s="309" t="s">
        <v>449</v>
      </c>
    </row>
    <row r="79" spans="1:25" ht="15.6" customHeight="1" x14ac:dyDescent="0.25">
      <c r="A79" s="207"/>
      <c r="B79" s="629" t="s">
        <v>450</v>
      </c>
      <c r="C79" s="629"/>
      <c r="D79" s="629"/>
      <c r="E79" s="629"/>
      <c r="F79" s="629"/>
      <c r="G79" s="629"/>
      <c r="H79" s="629"/>
      <c r="I79" s="629"/>
      <c r="J79" s="629"/>
      <c r="K79" s="629"/>
      <c r="L79" s="629"/>
      <c r="M79" s="629"/>
      <c r="N79" s="629"/>
      <c r="O79" s="629"/>
      <c r="P79" s="629"/>
      <c r="Q79" s="629"/>
      <c r="R79" s="629"/>
      <c r="S79" s="629"/>
      <c r="T79" s="629"/>
      <c r="U79" s="629"/>
      <c r="X79" s="309" t="s">
        <v>451</v>
      </c>
      <c r="Y79" s="309" t="s">
        <v>449</v>
      </c>
    </row>
    <row r="80" spans="1:25" ht="15" customHeight="1" x14ac:dyDescent="0.25">
      <c r="A80" s="630" t="s">
        <v>268</v>
      </c>
      <c r="B80" s="631" t="s">
        <v>309</v>
      </c>
      <c r="C80" s="632" t="s">
        <v>270</v>
      </c>
      <c r="D80" s="632" t="s">
        <v>271</v>
      </c>
      <c r="E80" s="632" t="s">
        <v>272</v>
      </c>
      <c r="F80" s="632" t="s">
        <v>452</v>
      </c>
      <c r="G80" s="632"/>
      <c r="H80" s="633" t="s">
        <v>274</v>
      </c>
      <c r="I80" s="633"/>
      <c r="J80" s="633"/>
      <c r="K80" s="632" t="s">
        <v>275</v>
      </c>
      <c r="L80" s="632" t="s">
        <v>276</v>
      </c>
      <c r="M80" s="630" t="s">
        <v>277</v>
      </c>
      <c r="N80" s="632" t="s">
        <v>278</v>
      </c>
      <c r="O80" s="632"/>
      <c r="P80" s="630" t="s">
        <v>279</v>
      </c>
      <c r="Q80" s="630" t="s">
        <v>280</v>
      </c>
      <c r="R80" s="630" t="s">
        <v>281</v>
      </c>
      <c r="S80" s="630"/>
      <c r="T80" s="630" t="s">
        <v>282</v>
      </c>
      <c r="U80" s="634" t="s">
        <v>283</v>
      </c>
      <c r="X80" s="309" t="s">
        <v>453</v>
      </c>
      <c r="Y80" s="309" t="s">
        <v>454</v>
      </c>
    </row>
    <row r="81" spans="1:25" ht="38.25" customHeight="1" x14ac:dyDescent="0.25">
      <c r="A81" s="630"/>
      <c r="B81" s="631"/>
      <c r="C81" s="632"/>
      <c r="D81" s="632"/>
      <c r="E81" s="632"/>
      <c r="F81" s="632"/>
      <c r="G81" s="632"/>
      <c r="H81" s="219" t="s">
        <v>285</v>
      </c>
      <c r="I81" s="220" t="s">
        <v>286</v>
      </c>
      <c r="J81" s="220" t="s">
        <v>287</v>
      </c>
      <c r="K81" s="632"/>
      <c r="L81" s="632"/>
      <c r="M81" s="630"/>
      <c r="N81" s="218" t="s">
        <v>455</v>
      </c>
      <c r="O81" s="218" t="s">
        <v>456</v>
      </c>
      <c r="P81" s="630"/>
      <c r="Q81" s="630"/>
      <c r="R81" s="221" t="s">
        <v>290</v>
      </c>
      <c r="S81" s="221" t="s">
        <v>291</v>
      </c>
      <c r="T81" s="630"/>
      <c r="U81" s="634"/>
      <c r="X81" s="309" t="s">
        <v>448</v>
      </c>
      <c r="Y81" s="309" t="s">
        <v>454</v>
      </c>
    </row>
    <row r="82" spans="1:25" ht="46.35" customHeight="1" x14ac:dyDescent="0.25">
      <c r="A82" s="223" t="s">
        <v>26</v>
      </c>
      <c r="B82" s="224" t="s">
        <v>293</v>
      </c>
      <c r="C82" s="225" t="s">
        <v>457</v>
      </c>
      <c r="D82" s="136" t="s">
        <v>458</v>
      </c>
      <c r="E82" s="225" t="s">
        <v>459</v>
      </c>
      <c r="F82" s="635" t="s">
        <v>460</v>
      </c>
      <c r="G82" s="635"/>
      <c r="H82" s="298">
        <v>46483.63636363636</v>
      </c>
      <c r="I82" s="227">
        <v>1</v>
      </c>
      <c r="J82" s="227">
        <v>0</v>
      </c>
      <c r="K82" s="228" t="s">
        <v>352</v>
      </c>
      <c r="L82" s="297" t="s">
        <v>284</v>
      </c>
      <c r="M82" s="140" t="s">
        <v>223</v>
      </c>
      <c r="N82" s="188" t="s">
        <v>43</v>
      </c>
      <c r="O82" s="188" t="s">
        <v>32</v>
      </c>
      <c r="P82" s="285">
        <v>44731</v>
      </c>
      <c r="Q82" s="231" t="s">
        <v>461</v>
      </c>
      <c r="R82" s="231">
        <v>0</v>
      </c>
      <c r="S82" s="231">
        <v>0</v>
      </c>
      <c r="T82" s="230">
        <f>+P82+S82</f>
        <v>44731</v>
      </c>
      <c r="U82" s="232" t="s">
        <v>462</v>
      </c>
      <c r="X82" s="309" t="s">
        <v>463</v>
      </c>
      <c r="Y82" s="309" t="s">
        <v>464</v>
      </c>
    </row>
    <row r="83" spans="1:25" ht="35.1" customHeight="1" x14ac:dyDescent="0.25">
      <c r="A83" s="286" t="s">
        <v>187</v>
      </c>
      <c r="B83" s="287" t="s">
        <v>293</v>
      </c>
      <c r="C83" s="288" t="s">
        <v>465</v>
      </c>
      <c r="D83" s="288" t="s">
        <v>466</v>
      </c>
      <c r="E83" s="288" t="s">
        <v>459</v>
      </c>
      <c r="F83" s="640" t="s">
        <v>467</v>
      </c>
      <c r="G83" s="640"/>
      <c r="H83" s="305">
        <v>84090.909090909088</v>
      </c>
      <c r="I83" s="311">
        <v>1</v>
      </c>
      <c r="J83" s="311">
        <v>0</v>
      </c>
      <c r="K83" s="288" t="s">
        <v>352</v>
      </c>
      <c r="L83" s="292" t="s">
        <v>284</v>
      </c>
      <c r="M83" s="293" t="s">
        <v>223</v>
      </c>
      <c r="N83" s="292" t="s">
        <v>43</v>
      </c>
      <c r="O83" s="292" t="s">
        <v>74</v>
      </c>
      <c r="P83" s="305">
        <v>81720.240000000005</v>
      </c>
      <c r="Q83" s="276" t="s">
        <v>397</v>
      </c>
      <c r="R83" s="276">
        <v>0</v>
      </c>
      <c r="S83" s="276">
        <v>0</v>
      </c>
      <c r="T83" s="312">
        <f>+P83+S83</f>
        <v>81720.240000000005</v>
      </c>
      <c r="U83" s="295" t="s">
        <v>468</v>
      </c>
      <c r="X83" s="309"/>
      <c r="Y83" s="309" t="s">
        <v>464</v>
      </c>
    </row>
    <row r="84" spans="1:25" ht="27.6" x14ac:dyDescent="0.3">
      <c r="X84" s="309" t="s">
        <v>469</v>
      </c>
      <c r="Y84" s="309" t="s">
        <v>470</v>
      </c>
    </row>
    <row r="85" spans="1:25" ht="15.75" customHeight="1" x14ac:dyDescent="0.25">
      <c r="A85" s="207"/>
      <c r="B85" s="629" t="s">
        <v>471</v>
      </c>
      <c r="C85" s="629"/>
      <c r="D85" s="629"/>
      <c r="E85" s="629"/>
      <c r="F85" s="629"/>
      <c r="G85" s="629"/>
      <c r="H85" s="629"/>
      <c r="I85" s="629"/>
      <c r="J85" s="629"/>
      <c r="K85" s="629"/>
      <c r="L85" s="629"/>
      <c r="M85" s="629"/>
      <c r="N85" s="629"/>
      <c r="O85" s="629"/>
      <c r="P85" s="629"/>
      <c r="Q85" s="629"/>
      <c r="R85" s="629"/>
      <c r="S85" s="629"/>
      <c r="T85" s="629"/>
      <c r="U85" s="629"/>
      <c r="X85" s="309" t="s">
        <v>472</v>
      </c>
      <c r="Y85" s="309" t="s">
        <v>470</v>
      </c>
    </row>
    <row r="86" spans="1:25" ht="15" customHeight="1" x14ac:dyDescent="0.25">
      <c r="A86" s="630" t="s">
        <v>268</v>
      </c>
      <c r="B86" s="631" t="s">
        <v>309</v>
      </c>
      <c r="C86" s="632" t="s">
        <v>270</v>
      </c>
      <c r="D86" s="632" t="s">
        <v>271</v>
      </c>
      <c r="E86" s="632" t="s">
        <v>272</v>
      </c>
      <c r="F86" s="632" t="s">
        <v>452</v>
      </c>
      <c r="G86" s="632"/>
      <c r="H86" s="633" t="s">
        <v>274</v>
      </c>
      <c r="I86" s="633"/>
      <c r="J86" s="633"/>
      <c r="K86" s="632" t="s">
        <v>275</v>
      </c>
      <c r="L86" s="632" t="s">
        <v>276</v>
      </c>
      <c r="M86" s="630" t="s">
        <v>277</v>
      </c>
      <c r="N86" s="632" t="s">
        <v>278</v>
      </c>
      <c r="O86" s="632"/>
      <c r="P86" s="630" t="s">
        <v>279</v>
      </c>
      <c r="Q86" s="630" t="s">
        <v>280</v>
      </c>
      <c r="R86" s="630" t="s">
        <v>281</v>
      </c>
      <c r="S86" s="630"/>
      <c r="T86" s="630" t="s">
        <v>282</v>
      </c>
      <c r="U86" s="634" t="s">
        <v>283</v>
      </c>
      <c r="X86" s="309" t="s">
        <v>473</v>
      </c>
      <c r="Y86" s="309" t="s">
        <v>474</v>
      </c>
    </row>
    <row r="87" spans="1:25" ht="38.25" customHeight="1" x14ac:dyDescent="0.25">
      <c r="A87" s="630"/>
      <c r="B87" s="631"/>
      <c r="C87" s="632"/>
      <c r="D87" s="632"/>
      <c r="E87" s="632"/>
      <c r="F87" s="632"/>
      <c r="G87" s="632"/>
      <c r="H87" s="218" t="s">
        <v>285</v>
      </c>
      <c r="I87" s="220" t="s">
        <v>286</v>
      </c>
      <c r="J87" s="220" t="s">
        <v>287</v>
      </c>
      <c r="K87" s="632"/>
      <c r="L87" s="632"/>
      <c r="M87" s="630"/>
      <c r="N87" s="218" t="s">
        <v>410</v>
      </c>
      <c r="O87" s="218" t="s">
        <v>289</v>
      </c>
      <c r="P87" s="630"/>
      <c r="Q87" s="630"/>
      <c r="R87" s="221" t="s">
        <v>290</v>
      </c>
      <c r="S87" s="221" t="s">
        <v>291</v>
      </c>
      <c r="T87" s="630"/>
      <c r="U87" s="634"/>
      <c r="X87" s="309"/>
      <c r="Y87" s="309" t="s">
        <v>474</v>
      </c>
    </row>
    <row r="88" spans="1:25" s="247" customFormat="1" ht="55.2" x14ac:dyDescent="0.25">
      <c r="A88" s="272" t="s">
        <v>475</v>
      </c>
      <c r="B88" s="265" t="s">
        <v>293</v>
      </c>
      <c r="C88" s="267" t="s">
        <v>476</v>
      </c>
      <c r="D88" s="267" t="s">
        <v>477</v>
      </c>
      <c r="E88" s="267" t="s">
        <v>267</v>
      </c>
      <c r="F88" s="641"/>
      <c r="G88" s="641"/>
      <c r="H88" s="313">
        <f>48000/3</f>
        <v>16000</v>
      </c>
      <c r="I88" s="314">
        <v>1</v>
      </c>
      <c r="J88" s="269">
        <v>0</v>
      </c>
      <c r="K88" s="270" t="s">
        <v>419</v>
      </c>
      <c r="L88" s="272" t="s">
        <v>284</v>
      </c>
      <c r="M88" s="315" t="s">
        <v>33</v>
      </c>
      <c r="N88" s="316" t="s">
        <v>70</v>
      </c>
      <c r="O88" s="316" t="s">
        <v>343</v>
      </c>
      <c r="P88" s="317"/>
      <c r="Q88" s="317"/>
      <c r="R88" s="317"/>
      <c r="S88" s="317"/>
      <c r="T88" s="317"/>
      <c r="U88" s="273" t="s">
        <v>478</v>
      </c>
      <c r="X88" s="318"/>
      <c r="Y88" s="319"/>
    </row>
    <row r="89" spans="1:25" s="247" customFormat="1" ht="55.2" x14ac:dyDescent="0.25">
      <c r="A89" s="272" t="s">
        <v>479</v>
      </c>
      <c r="B89" s="265" t="s">
        <v>293</v>
      </c>
      <c r="C89" s="267" t="s">
        <v>480</v>
      </c>
      <c r="D89" s="267" t="s">
        <v>481</v>
      </c>
      <c r="E89" s="267" t="s">
        <v>267</v>
      </c>
      <c r="F89" s="641"/>
      <c r="G89" s="641"/>
      <c r="H89" s="313">
        <f>30000/3</f>
        <v>10000</v>
      </c>
      <c r="I89" s="314">
        <v>1</v>
      </c>
      <c r="J89" s="269">
        <v>0</v>
      </c>
      <c r="K89" s="270" t="s">
        <v>318</v>
      </c>
      <c r="L89" s="272" t="s">
        <v>284</v>
      </c>
      <c r="M89" s="315" t="s">
        <v>33</v>
      </c>
      <c r="N89" s="316" t="s">
        <v>133</v>
      </c>
      <c r="O89" s="316" t="s">
        <v>56</v>
      </c>
      <c r="P89" s="317"/>
      <c r="Q89" s="317"/>
      <c r="R89" s="317"/>
      <c r="S89" s="317"/>
      <c r="T89" s="317"/>
      <c r="U89" s="273" t="s">
        <v>478</v>
      </c>
      <c r="X89" s="319"/>
      <c r="Y89" s="318" t="s">
        <v>449</v>
      </c>
    </row>
    <row r="90" spans="1:25" s="247" customFormat="1" ht="69" x14ac:dyDescent="0.25">
      <c r="A90" s="272" t="s">
        <v>482</v>
      </c>
      <c r="B90" s="265" t="s">
        <v>293</v>
      </c>
      <c r="C90" s="267" t="s">
        <v>483</v>
      </c>
      <c r="D90" s="267" t="s">
        <v>484</v>
      </c>
      <c r="E90" s="267" t="s">
        <v>267</v>
      </c>
      <c r="F90" s="641"/>
      <c r="G90" s="641"/>
      <c r="H90" s="313">
        <f>24000/2</f>
        <v>12000</v>
      </c>
      <c r="I90" s="314">
        <v>0</v>
      </c>
      <c r="J90" s="269">
        <v>1</v>
      </c>
      <c r="K90" s="270" t="s">
        <v>354</v>
      </c>
      <c r="L90" s="272" t="s">
        <v>284</v>
      </c>
      <c r="M90" s="315" t="s">
        <v>33</v>
      </c>
      <c r="N90" s="316" t="s">
        <v>70</v>
      </c>
      <c r="O90" s="316" t="s">
        <v>343</v>
      </c>
      <c r="P90" s="317"/>
      <c r="Q90" s="317"/>
      <c r="R90" s="317"/>
      <c r="S90" s="317"/>
      <c r="T90" s="317"/>
      <c r="U90" s="273" t="s">
        <v>478</v>
      </c>
      <c r="X90" s="318" t="s">
        <v>485</v>
      </c>
      <c r="Y90" s="318" t="s">
        <v>449</v>
      </c>
    </row>
    <row r="91" spans="1:25" s="247" customFormat="1" ht="69" x14ac:dyDescent="0.25">
      <c r="A91" s="236" t="s">
        <v>486</v>
      </c>
      <c r="B91" s="234" t="s">
        <v>293</v>
      </c>
      <c r="C91" s="235" t="s">
        <v>487</v>
      </c>
      <c r="D91" s="235" t="s">
        <v>488</v>
      </c>
      <c r="E91" s="235" t="s">
        <v>267</v>
      </c>
      <c r="F91" s="636"/>
      <c r="G91" s="636"/>
      <c r="H91" s="320">
        <f>24000/2</f>
        <v>12000</v>
      </c>
      <c r="I91" s="321">
        <v>0</v>
      </c>
      <c r="J91" s="238">
        <v>1</v>
      </c>
      <c r="K91" s="239" t="s">
        <v>354</v>
      </c>
      <c r="L91" s="236" t="s">
        <v>284</v>
      </c>
      <c r="M91" s="322" t="s">
        <v>33</v>
      </c>
      <c r="N91" s="323" t="s">
        <v>70</v>
      </c>
      <c r="O91" s="323" t="s">
        <v>343</v>
      </c>
      <c r="P91" s="241"/>
      <c r="Q91" s="241"/>
      <c r="R91" s="241"/>
      <c r="S91" s="241"/>
      <c r="T91" s="241"/>
      <c r="U91" s="243" t="s">
        <v>478</v>
      </c>
      <c r="X91" s="318" t="s">
        <v>485</v>
      </c>
      <c r="Y91" s="318" t="s">
        <v>449</v>
      </c>
    </row>
    <row r="92" spans="1:25" ht="55.2" x14ac:dyDescent="0.25">
      <c r="A92" s="324"/>
      <c r="B92" s="325"/>
      <c r="C92" s="325"/>
      <c r="D92" s="325"/>
      <c r="E92" s="325"/>
      <c r="F92" s="325"/>
      <c r="G92" s="325"/>
      <c r="H92" s="325"/>
      <c r="I92" s="326"/>
      <c r="J92" s="326"/>
      <c r="K92" s="327"/>
      <c r="L92" s="328"/>
      <c r="M92" s="324"/>
      <c r="N92" s="328"/>
      <c r="O92" s="328"/>
      <c r="P92" s="325"/>
      <c r="Q92" s="325"/>
      <c r="R92" s="325"/>
      <c r="S92" s="325"/>
      <c r="T92" s="325"/>
      <c r="U92" s="325"/>
      <c r="X92" s="309" t="s">
        <v>489</v>
      </c>
      <c r="Y92" s="309"/>
    </row>
    <row r="93" spans="1:25" ht="13.8" hidden="1" x14ac:dyDescent="0.25">
      <c r="A93" s="324"/>
      <c r="F93" s="325"/>
      <c r="G93" s="325"/>
      <c r="H93" s="325"/>
      <c r="I93" s="326"/>
      <c r="J93" s="326"/>
      <c r="K93" s="327"/>
      <c r="L93" s="328"/>
      <c r="M93" s="324"/>
      <c r="N93" s="328"/>
      <c r="O93" s="328"/>
      <c r="P93" s="325"/>
      <c r="Q93" s="325"/>
      <c r="R93" s="325"/>
      <c r="S93" s="325"/>
      <c r="T93" s="325"/>
      <c r="U93" s="325"/>
      <c r="X93" s="309"/>
      <c r="Y93" s="309" t="s">
        <v>449</v>
      </c>
    </row>
    <row r="94" spans="1:25" ht="12.75" hidden="1" customHeight="1" x14ac:dyDescent="0.25">
      <c r="A94" s="207"/>
      <c r="B94" s="629" t="s">
        <v>490</v>
      </c>
      <c r="C94" s="629"/>
      <c r="D94" s="629"/>
      <c r="E94" s="629"/>
      <c r="F94" s="629"/>
      <c r="G94" s="629"/>
      <c r="H94" s="629"/>
      <c r="I94" s="629"/>
      <c r="J94" s="629"/>
      <c r="K94" s="629"/>
      <c r="L94" s="629"/>
      <c r="M94" s="629"/>
      <c r="N94" s="629"/>
      <c r="O94" s="629"/>
      <c r="P94" s="629"/>
      <c r="Q94" s="629"/>
      <c r="R94" s="629"/>
      <c r="S94" s="629"/>
      <c r="T94" s="629"/>
      <c r="U94" s="629"/>
      <c r="X94" s="309" t="s">
        <v>491</v>
      </c>
      <c r="Y94" s="309" t="s">
        <v>449</v>
      </c>
    </row>
    <row r="95" spans="1:25" ht="12.75" hidden="1" customHeight="1" x14ac:dyDescent="0.25">
      <c r="A95" s="630" t="s">
        <v>492</v>
      </c>
      <c r="B95" s="631" t="s">
        <v>309</v>
      </c>
      <c r="C95" s="632" t="s">
        <v>493</v>
      </c>
      <c r="D95" s="632" t="s">
        <v>271</v>
      </c>
      <c r="E95" s="632"/>
      <c r="F95" s="632" t="s">
        <v>452</v>
      </c>
      <c r="G95" s="632"/>
      <c r="H95" s="633" t="s">
        <v>274</v>
      </c>
      <c r="I95" s="633"/>
      <c r="J95" s="633"/>
      <c r="K95" s="632" t="s">
        <v>275</v>
      </c>
      <c r="L95" s="643" t="s">
        <v>494</v>
      </c>
      <c r="M95" s="630" t="s">
        <v>277</v>
      </c>
      <c r="N95" s="632" t="s">
        <v>278</v>
      </c>
      <c r="O95" s="632"/>
      <c r="P95" s="630" t="s">
        <v>279</v>
      </c>
      <c r="Q95" s="630" t="s">
        <v>280</v>
      </c>
      <c r="R95" s="630" t="s">
        <v>281</v>
      </c>
      <c r="S95" s="630"/>
      <c r="T95" s="630" t="s">
        <v>282</v>
      </c>
      <c r="U95" s="634" t="s">
        <v>495</v>
      </c>
      <c r="X95" s="309" t="s">
        <v>496</v>
      </c>
      <c r="Y95" s="309" t="s">
        <v>449</v>
      </c>
    </row>
    <row r="96" spans="1:25" ht="110.4" hidden="1" x14ac:dyDescent="0.25">
      <c r="A96" s="630"/>
      <c r="B96" s="631"/>
      <c r="C96" s="632"/>
      <c r="D96" s="632"/>
      <c r="E96" s="632"/>
      <c r="F96" s="632"/>
      <c r="G96" s="632"/>
      <c r="H96" s="218" t="s">
        <v>285</v>
      </c>
      <c r="I96" s="220" t="s">
        <v>286</v>
      </c>
      <c r="J96" s="220" t="s">
        <v>497</v>
      </c>
      <c r="K96" s="632"/>
      <c r="L96" s="643"/>
      <c r="M96" s="630"/>
      <c r="N96" s="218" t="s">
        <v>498</v>
      </c>
      <c r="O96" s="218" t="s">
        <v>499</v>
      </c>
      <c r="P96" s="630"/>
      <c r="Q96" s="630"/>
      <c r="R96" s="221" t="s">
        <v>500</v>
      </c>
      <c r="S96" s="221" t="s">
        <v>291</v>
      </c>
      <c r="T96" s="630"/>
      <c r="U96" s="634"/>
      <c r="X96" s="309" t="s">
        <v>501</v>
      </c>
      <c r="Y96" s="309" t="s">
        <v>449</v>
      </c>
    </row>
    <row r="97" spans="1:25" ht="96.6" hidden="1" x14ac:dyDescent="0.25">
      <c r="A97" s="229"/>
      <c r="B97" s="224"/>
      <c r="C97" s="225"/>
      <c r="D97" s="635"/>
      <c r="E97" s="635"/>
      <c r="F97" s="226"/>
      <c r="G97" s="226"/>
      <c r="H97" s="225"/>
      <c r="I97" s="227"/>
      <c r="J97" s="227"/>
      <c r="K97" s="228"/>
      <c r="L97" s="248"/>
      <c r="M97" s="229"/>
      <c r="N97" s="226"/>
      <c r="O97" s="226"/>
      <c r="P97" s="231"/>
      <c r="Q97" s="231"/>
      <c r="R97" s="231"/>
      <c r="S97" s="231"/>
      <c r="T97" s="231"/>
      <c r="U97" s="232"/>
      <c r="X97" s="309" t="s">
        <v>502</v>
      </c>
      <c r="Y97" s="214"/>
    </row>
    <row r="98" spans="1:25" ht="13.8" hidden="1" x14ac:dyDescent="0.25">
      <c r="A98" s="229"/>
      <c r="B98" s="224"/>
      <c r="C98" s="225"/>
      <c r="D98" s="635"/>
      <c r="E98" s="635"/>
      <c r="F98" s="226"/>
      <c r="G98" s="226"/>
      <c r="H98" s="225"/>
      <c r="I98" s="227"/>
      <c r="J98" s="227"/>
      <c r="K98" s="228"/>
      <c r="L98" s="248"/>
      <c r="M98" s="229"/>
      <c r="N98" s="226"/>
      <c r="O98" s="226"/>
      <c r="P98" s="231"/>
      <c r="Q98" s="231"/>
      <c r="R98" s="231"/>
      <c r="S98" s="231"/>
      <c r="T98" s="231"/>
      <c r="U98" s="232"/>
      <c r="X98" s="214"/>
      <c r="Y98" s="309" t="s">
        <v>454</v>
      </c>
    </row>
    <row r="99" spans="1:25" ht="69" hidden="1" x14ac:dyDescent="0.25">
      <c r="A99" s="229"/>
      <c r="B99" s="224"/>
      <c r="C99" s="225"/>
      <c r="D99" s="635"/>
      <c r="E99" s="635"/>
      <c r="F99" s="226"/>
      <c r="G99" s="226"/>
      <c r="H99" s="225"/>
      <c r="I99" s="227"/>
      <c r="J99" s="227"/>
      <c r="K99" s="228"/>
      <c r="L99" s="248"/>
      <c r="M99" s="229"/>
      <c r="N99" s="226"/>
      <c r="O99" s="226"/>
      <c r="P99" s="231"/>
      <c r="Q99" s="231"/>
      <c r="R99" s="231"/>
      <c r="S99" s="231"/>
      <c r="T99" s="231"/>
      <c r="U99" s="232"/>
      <c r="X99" s="309" t="s">
        <v>503</v>
      </c>
      <c r="Y99" s="309" t="s">
        <v>454</v>
      </c>
    </row>
    <row r="100" spans="1:25" ht="55.2" hidden="1" x14ac:dyDescent="0.25">
      <c r="A100" s="229"/>
      <c r="B100" s="224"/>
      <c r="C100" s="225"/>
      <c r="D100" s="635"/>
      <c r="E100" s="635"/>
      <c r="F100" s="226"/>
      <c r="G100" s="226"/>
      <c r="H100" s="225"/>
      <c r="I100" s="227"/>
      <c r="J100" s="227"/>
      <c r="K100" s="228"/>
      <c r="L100" s="248"/>
      <c r="M100" s="229"/>
      <c r="N100" s="226"/>
      <c r="O100" s="226"/>
      <c r="P100" s="231"/>
      <c r="Q100" s="231"/>
      <c r="R100" s="231"/>
      <c r="S100" s="231"/>
      <c r="T100" s="231"/>
      <c r="U100" s="232"/>
      <c r="X100" s="309" t="s">
        <v>504</v>
      </c>
      <c r="Y100" s="309" t="s">
        <v>454</v>
      </c>
    </row>
    <row r="101" spans="1:25" ht="55.2" hidden="1" x14ac:dyDescent="0.25">
      <c r="A101" s="293"/>
      <c r="B101" s="287"/>
      <c r="C101" s="288"/>
      <c r="D101" s="642"/>
      <c r="E101" s="642"/>
      <c r="F101" s="292"/>
      <c r="G101" s="292"/>
      <c r="H101" s="288"/>
      <c r="I101" s="291"/>
      <c r="J101" s="291"/>
      <c r="K101" s="306"/>
      <c r="L101" s="329"/>
      <c r="M101" s="293"/>
      <c r="N101" s="292"/>
      <c r="O101" s="292"/>
      <c r="P101" s="276"/>
      <c r="Q101" s="276"/>
      <c r="R101" s="276"/>
      <c r="S101" s="276"/>
      <c r="T101" s="276"/>
      <c r="U101" s="295"/>
      <c r="X101" s="309" t="s">
        <v>505</v>
      </c>
      <c r="Y101" s="309" t="s">
        <v>454</v>
      </c>
    </row>
    <row r="102" spans="1:25" ht="12.75" hidden="1" customHeight="1" x14ac:dyDescent="0.3">
      <c r="X102" s="309" t="s">
        <v>506</v>
      </c>
      <c r="Y102" s="309" t="s">
        <v>454</v>
      </c>
    </row>
    <row r="103" spans="1:25" ht="13.8" x14ac:dyDescent="0.3">
      <c r="A103" s="194" t="s">
        <v>170</v>
      </c>
      <c r="B103" s="126" t="s">
        <v>507</v>
      </c>
      <c r="C103" s="330"/>
      <c r="D103" s="330"/>
      <c r="E103" s="330"/>
      <c r="F103" s="330"/>
      <c r="G103" s="330"/>
      <c r="H103" s="330"/>
      <c r="I103" s="331"/>
      <c r="J103" s="331"/>
      <c r="K103" s="330"/>
      <c r="L103" s="330"/>
      <c r="M103" s="330"/>
      <c r="X103" s="214"/>
      <c r="Y103" s="309"/>
    </row>
    <row r="104" spans="1:25" ht="15.6" x14ac:dyDescent="0.3">
      <c r="A104" s="125"/>
      <c r="B104" s="126" t="s">
        <v>508</v>
      </c>
      <c r="C104" s="332"/>
      <c r="D104" s="332"/>
      <c r="E104" s="332"/>
      <c r="F104" s="332"/>
      <c r="G104" s="332"/>
      <c r="H104" s="332"/>
      <c r="I104" s="333"/>
      <c r="J104" s="333"/>
      <c r="K104" s="332"/>
      <c r="L104" s="332"/>
      <c r="M104" s="332"/>
      <c r="X104" s="214"/>
      <c r="Y104" s="214"/>
    </row>
    <row r="105" spans="1:25" ht="69" x14ac:dyDescent="0.3">
      <c r="A105" s="125"/>
      <c r="B105" s="126" t="s">
        <v>509</v>
      </c>
      <c r="C105" s="196"/>
      <c r="D105" s="192"/>
      <c r="E105" s="192"/>
      <c r="F105" s="126"/>
      <c r="G105" s="150"/>
      <c r="H105" s="150"/>
      <c r="I105" s="334"/>
      <c r="J105" s="334"/>
      <c r="K105" s="126"/>
      <c r="L105" s="126"/>
      <c r="M105" s="128"/>
      <c r="X105" s="214"/>
      <c r="Y105" s="309" t="s">
        <v>464</v>
      </c>
    </row>
    <row r="106" spans="1:25" ht="27.6" x14ac:dyDescent="0.3">
      <c r="A106" s="125"/>
      <c r="B106" s="126" t="s">
        <v>510</v>
      </c>
      <c r="C106" s="125"/>
      <c r="D106" s="335"/>
      <c r="E106" s="192"/>
      <c r="F106" s="126"/>
      <c r="G106" s="150"/>
      <c r="H106" s="150"/>
      <c r="I106" s="334"/>
      <c r="J106" s="334"/>
      <c r="K106" s="126"/>
      <c r="L106" s="126"/>
      <c r="M106" s="128"/>
      <c r="X106" s="214"/>
      <c r="Y106" s="309" t="s">
        <v>470</v>
      </c>
    </row>
    <row r="107" spans="1:25" ht="82.8" x14ac:dyDescent="0.3">
      <c r="A107" s="125"/>
      <c r="B107" s="336" t="s">
        <v>511</v>
      </c>
      <c r="C107" s="125"/>
      <c r="D107" s="335"/>
      <c r="E107" s="127"/>
      <c r="F107" s="126"/>
      <c r="G107" s="150"/>
      <c r="H107" s="150"/>
      <c r="I107" s="334"/>
      <c r="J107" s="334"/>
      <c r="K107" s="126"/>
      <c r="L107" s="126"/>
      <c r="M107" s="128"/>
      <c r="X107" s="309" t="s">
        <v>512</v>
      </c>
      <c r="Y107" s="309" t="s">
        <v>470</v>
      </c>
    </row>
    <row r="108" spans="1:25" ht="27.6" x14ac:dyDescent="0.3">
      <c r="A108" s="125"/>
      <c r="C108" s="125"/>
      <c r="D108" s="335"/>
      <c r="E108" s="192"/>
      <c r="F108" s="126"/>
      <c r="G108" s="150"/>
      <c r="H108" s="150"/>
      <c r="I108" s="334"/>
      <c r="J108" s="334"/>
      <c r="K108" s="126"/>
      <c r="L108" s="126"/>
      <c r="M108" s="128"/>
      <c r="X108" s="309" t="s">
        <v>513</v>
      </c>
      <c r="Y108" s="214"/>
    </row>
    <row r="109" spans="1:25" ht="69" x14ac:dyDescent="0.3">
      <c r="X109" s="216" t="s">
        <v>459</v>
      </c>
      <c r="Y109" s="214"/>
    </row>
    <row r="110" spans="1:25" ht="27.6" x14ac:dyDescent="0.3">
      <c r="X110" s="216" t="s">
        <v>329</v>
      </c>
      <c r="Y110" s="214"/>
    </row>
    <row r="111" spans="1:25" ht="27.6" x14ac:dyDescent="0.3">
      <c r="X111" s="216" t="s">
        <v>267</v>
      </c>
      <c r="Y111" s="222"/>
    </row>
  </sheetData>
  <sheetProtection selectLockedCells="1" selectUnlockedCells="1"/>
  <mergeCells count="167">
    <mergeCell ref="P95:P96"/>
    <mergeCell ref="Q95:Q96"/>
    <mergeCell ref="R95:S95"/>
    <mergeCell ref="F90:G90"/>
    <mergeCell ref="F91:G91"/>
    <mergeCell ref="B94:U94"/>
    <mergeCell ref="K95:K96"/>
    <mergeCell ref="D101:E101"/>
    <mergeCell ref="T95:T96"/>
    <mergeCell ref="U95:U96"/>
    <mergeCell ref="D97:E97"/>
    <mergeCell ref="D98:E98"/>
    <mergeCell ref="D99:E99"/>
    <mergeCell ref="D100:E100"/>
    <mergeCell ref="L95:L96"/>
    <mergeCell ref="M95:M96"/>
    <mergeCell ref="N95:O95"/>
    <mergeCell ref="F88:G88"/>
    <mergeCell ref="F89:G89"/>
    <mergeCell ref="H86:J86"/>
    <mergeCell ref="K86:K87"/>
    <mergeCell ref="L86:L87"/>
    <mergeCell ref="M86:M87"/>
    <mergeCell ref="A95:A96"/>
    <mergeCell ref="B95:B96"/>
    <mergeCell ref="C95:C96"/>
    <mergeCell ref="D95:E96"/>
    <mergeCell ref="F95:G96"/>
    <mergeCell ref="H95:J95"/>
    <mergeCell ref="A86:A87"/>
    <mergeCell ref="B86:B87"/>
    <mergeCell ref="C86:C87"/>
    <mergeCell ref="D86:D87"/>
    <mergeCell ref="E86:E87"/>
    <mergeCell ref="F86:G87"/>
    <mergeCell ref="A80:A81"/>
    <mergeCell ref="B80:B81"/>
    <mergeCell ref="C80:C81"/>
    <mergeCell ref="D80:D81"/>
    <mergeCell ref="E80:E81"/>
    <mergeCell ref="R80:S80"/>
    <mergeCell ref="T80:T81"/>
    <mergeCell ref="U80:U81"/>
    <mergeCell ref="Q86:Q87"/>
    <mergeCell ref="R86:S86"/>
    <mergeCell ref="T86:T87"/>
    <mergeCell ref="F82:G82"/>
    <mergeCell ref="F83:G83"/>
    <mergeCell ref="B85:U85"/>
    <mergeCell ref="K80:K81"/>
    <mergeCell ref="L80:L81"/>
    <mergeCell ref="M80:M81"/>
    <mergeCell ref="N80:O80"/>
    <mergeCell ref="N86:O86"/>
    <mergeCell ref="P86:P87"/>
    <mergeCell ref="U86:U87"/>
    <mergeCell ref="P80:P81"/>
    <mergeCell ref="Q80:Q81"/>
    <mergeCell ref="F68:G68"/>
    <mergeCell ref="F69:G69"/>
    <mergeCell ref="F80:G81"/>
    <mergeCell ref="H80:J80"/>
    <mergeCell ref="F70:G70"/>
    <mergeCell ref="F71:G71"/>
    <mergeCell ref="F72:G72"/>
    <mergeCell ref="F73:G73"/>
    <mergeCell ref="F74:G74"/>
    <mergeCell ref="F75:G75"/>
    <mergeCell ref="F76:G76"/>
    <mergeCell ref="F77:G77"/>
    <mergeCell ref="B79:U79"/>
    <mergeCell ref="F63:G63"/>
    <mergeCell ref="F61:G62"/>
    <mergeCell ref="H61:J61"/>
    <mergeCell ref="K61:K62"/>
    <mergeCell ref="L61:L62"/>
    <mergeCell ref="F64:G64"/>
    <mergeCell ref="F65:G65"/>
    <mergeCell ref="F66:G66"/>
    <mergeCell ref="F67:G67"/>
    <mergeCell ref="N61:O61"/>
    <mergeCell ref="Q55:Q56"/>
    <mergeCell ref="R55:S55"/>
    <mergeCell ref="T55:T56"/>
    <mergeCell ref="U55:U56"/>
    <mergeCell ref="B60:U60"/>
    <mergeCell ref="K55:K56"/>
    <mergeCell ref="L55:L56"/>
    <mergeCell ref="M55:M56"/>
    <mergeCell ref="P61:P62"/>
    <mergeCell ref="Q61:Q62"/>
    <mergeCell ref="R61:S61"/>
    <mergeCell ref="T61:T62"/>
    <mergeCell ref="U61:U62"/>
    <mergeCell ref="N55:O55"/>
    <mergeCell ref="P55:P56"/>
    <mergeCell ref="A61:A62"/>
    <mergeCell ref="B61:B62"/>
    <mergeCell ref="C61:C62"/>
    <mergeCell ref="D61:D62"/>
    <mergeCell ref="E61:E62"/>
    <mergeCell ref="H55:J55"/>
    <mergeCell ref="F55:F56"/>
    <mergeCell ref="G55:G56"/>
    <mergeCell ref="M61:M62"/>
    <mergeCell ref="T46:T47"/>
    <mergeCell ref="U46:U47"/>
    <mergeCell ref="B54:U54"/>
    <mergeCell ref="A55:A56"/>
    <mergeCell ref="B55:B56"/>
    <mergeCell ref="C55:C56"/>
    <mergeCell ref="D55:D56"/>
    <mergeCell ref="E55:E56"/>
    <mergeCell ref="B45:U45"/>
    <mergeCell ref="A46:A47"/>
    <mergeCell ref="B46:B47"/>
    <mergeCell ref="C46:C47"/>
    <mergeCell ref="D46:D47"/>
    <mergeCell ref="E46:E47"/>
    <mergeCell ref="F46:F47"/>
    <mergeCell ref="G46:G47"/>
    <mergeCell ref="H46:J46"/>
    <mergeCell ref="K46:K47"/>
    <mergeCell ref="L46:L47"/>
    <mergeCell ref="M46:M47"/>
    <mergeCell ref="N46:O46"/>
    <mergeCell ref="P46:P47"/>
    <mergeCell ref="Q46:Q47"/>
    <mergeCell ref="R46:S46"/>
    <mergeCell ref="F8:G8"/>
    <mergeCell ref="F9:G9"/>
    <mergeCell ref="B11:U11"/>
    <mergeCell ref="A12:A13"/>
    <mergeCell ref="B12:B13"/>
    <mergeCell ref="C12:C13"/>
    <mergeCell ref="D12:D13"/>
    <mergeCell ref="E12:E13"/>
    <mergeCell ref="F12:F13"/>
    <mergeCell ref="G12:G13"/>
    <mergeCell ref="H12:J12"/>
    <mergeCell ref="K12:K13"/>
    <mergeCell ref="L12:L13"/>
    <mergeCell ref="M12:M13"/>
    <mergeCell ref="N12:O12"/>
    <mergeCell ref="P12:P13"/>
    <mergeCell ref="Q12:Q13"/>
    <mergeCell ref="R12:S12"/>
    <mergeCell ref="T12:T13"/>
    <mergeCell ref="U12:U13"/>
    <mergeCell ref="B4:U4"/>
    <mergeCell ref="B5:U5"/>
    <mergeCell ref="A6:A7"/>
    <mergeCell ref="B6:B7"/>
    <mergeCell ref="C6:C7"/>
    <mergeCell ref="D6:D7"/>
    <mergeCell ref="E6:E7"/>
    <mergeCell ref="F6:G7"/>
    <mergeCell ref="H6:J6"/>
    <mergeCell ref="K6:K7"/>
    <mergeCell ref="L6:L7"/>
    <mergeCell ref="M6:M7"/>
    <mergeCell ref="N6:O6"/>
    <mergeCell ref="P6:P7"/>
    <mergeCell ref="Q6:Q7"/>
    <mergeCell ref="R6:S6"/>
    <mergeCell ref="T6:T7"/>
    <mergeCell ref="U6:U7"/>
  </mergeCells>
  <dataValidations count="8">
    <dataValidation type="list" allowBlank="1" showErrorMessage="1" sqref="E82:E83" xr:uid="{00000000-0002-0000-0500-000000000000}">
      <formula1>$X$109:$X$111</formula1>
      <formula2>0</formula2>
    </dataValidation>
    <dataValidation type="list" allowBlank="1" showErrorMessage="1" sqref="M63:M77 M82:M83 M88:M91" xr:uid="{00000000-0002-0000-0500-000001000000}">
      <formula1>"A,C,EP,P"</formula1>
      <formula2>0</formula2>
    </dataValidation>
    <dataValidation type="list" allowBlank="1" showErrorMessage="1" sqref="E88:E92" xr:uid="{00000000-0002-0000-0500-000002000000}">
      <formula1>$X$60:$X$64</formula1>
      <formula2>0</formula2>
    </dataValidation>
    <dataValidation type="list" allowBlank="1" showErrorMessage="1" sqref="L8:L9 L14:L43 L48:L52 L57:L58 L63:L77 L82:L83 L88:L91" xr:uid="{00000000-0002-0000-0500-000003000000}">
      <formula1>$X$5:$X$7</formula1>
      <formula2>0</formula2>
    </dataValidation>
    <dataValidation type="list" allowBlank="1" showErrorMessage="1" sqref="L92:M93" xr:uid="{00000000-0002-0000-0500-000004000000}">
      <formula1>$X$5:$X$6</formula1>
      <formula2>0</formula2>
    </dataValidation>
    <dataValidation type="list" allowBlank="1" showErrorMessage="1" sqref="E63:E77" xr:uid="{00000000-0002-0000-0500-000005000000}">
      <formula1>$X$59:$X$64</formula1>
      <formula2>0</formula2>
    </dataValidation>
    <dataValidation type="list" allowBlank="1" showErrorMessage="1" sqref="E14:E43 E48:E52 E57:E58" xr:uid="{00000000-0002-0000-0500-000006000000}">
      <formula1>$X$14:$X$18</formula1>
      <formula2>0</formula2>
    </dataValidation>
    <dataValidation type="list" allowBlank="1" showErrorMessage="1" sqref="E8:E9" xr:uid="{00000000-0002-0000-0500-000007000000}">
      <formula1>$X$31:$X$47</formula1>
      <formula2>0</formula2>
    </dataValidation>
  </dataValidations>
  <pageMargins left="0.31527777777777777" right="0.31527777777777777" top="0.59027777777777779" bottom="0.59027777777777779" header="0.51180555555555551" footer="0.51180555555555551"/>
  <pageSetup paperSize="9" scale="90" firstPageNumber="0" orientation="landscape" horizontalDpi="300" vertic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AA123"/>
  <sheetViews>
    <sheetView showGridLines="0" topLeftCell="A86" zoomScale="70" zoomScaleNormal="70" workbookViewId="0">
      <selection activeCell="F62" sqref="F62"/>
    </sheetView>
  </sheetViews>
  <sheetFormatPr defaultColWidth="9.109375" defaultRowHeight="14.4" x14ac:dyDescent="0.3"/>
  <cols>
    <col min="1" max="1" width="4.88671875" style="203" customWidth="1"/>
    <col min="2" max="2" width="9.33203125" style="204" customWidth="1"/>
    <col min="3" max="3" width="15.6640625" style="204" customWidth="1"/>
    <col min="4" max="4" width="18.6640625" style="204" customWidth="1"/>
    <col min="5" max="5" width="20.6640625" style="204" customWidth="1"/>
    <col min="6" max="6" width="19.44140625" style="204" customWidth="1"/>
    <col min="7" max="7" width="5.109375" style="204" customWidth="1"/>
    <col min="8" max="8" width="9.44140625" style="205" customWidth="1"/>
    <col min="9" max="9" width="8.44140625" style="206" customWidth="1"/>
    <col min="10" max="10" width="9.109375" style="206"/>
    <col min="11" max="11" width="12.6640625" style="204" customWidth="1"/>
    <col min="12" max="12" width="9.109375" style="207"/>
    <col min="13" max="13" width="3.44140625" style="203" customWidth="1"/>
    <col min="14" max="14" width="11" style="207" customWidth="1"/>
    <col min="15" max="15" width="10.88671875" style="207" customWidth="1"/>
    <col min="16" max="16" width="10.109375" style="204" customWidth="1"/>
    <col min="17" max="17" width="9.6640625" style="204" customWidth="1"/>
    <col min="18" max="18" width="4.109375" style="204" customWidth="1"/>
    <col min="19" max="19" width="8.33203125" style="204" customWidth="1"/>
    <col min="20" max="20" width="9.5546875" style="204" customWidth="1"/>
    <col min="21" max="21" width="16.44140625" style="204" customWidth="1"/>
    <col min="22" max="23" width="9.109375" style="204"/>
    <col min="24" max="25" width="0" style="204" hidden="1" customWidth="1"/>
    <col min="26" max="16384" width="9.109375" style="204"/>
  </cols>
  <sheetData>
    <row r="3" spans="1:27" x14ac:dyDescent="0.3">
      <c r="C3" s="208"/>
      <c r="D3" s="208"/>
      <c r="E3" s="208"/>
      <c r="F3" s="208"/>
      <c r="G3" s="208"/>
      <c r="H3" s="209"/>
      <c r="I3" s="210"/>
      <c r="J3" s="210"/>
      <c r="K3" s="208"/>
      <c r="L3" s="211"/>
      <c r="M3" s="212"/>
      <c r="N3" s="211"/>
      <c r="O3" s="211"/>
      <c r="P3" s="208"/>
      <c r="Q3" s="208"/>
      <c r="R3" s="208"/>
      <c r="S3" s="208"/>
      <c r="T3" s="208"/>
      <c r="U3" s="208"/>
    </row>
    <row r="4" spans="1:27" x14ac:dyDescent="0.3">
      <c r="C4" s="208"/>
      <c r="D4" s="208"/>
      <c r="E4" s="208"/>
      <c r="F4" s="208"/>
      <c r="G4" s="208"/>
      <c r="H4" s="209"/>
      <c r="I4" s="210"/>
      <c r="J4" s="210"/>
      <c r="K4" s="208"/>
      <c r="L4" s="211"/>
      <c r="M4" s="212"/>
      <c r="N4" s="211"/>
      <c r="O4" s="211"/>
      <c r="P4" s="208"/>
      <c r="Q4" s="208"/>
      <c r="R4" s="208"/>
      <c r="S4" s="208"/>
      <c r="T4" s="208"/>
      <c r="U4" s="208"/>
    </row>
    <row r="5" spans="1:27" x14ac:dyDescent="0.3">
      <c r="C5" s="208"/>
      <c r="D5" s="208"/>
      <c r="E5" s="208"/>
      <c r="F5" s="208"/>
      <c r="G5" s="208"/>
      <c r="H5" s="209"/>
      <c r="I5" s="210"/>
      <c r="J5" s="210"/>
      <c r="K5" s="208"/>
      <c r="L5" s="211"/>
      <c r="M5" s="212"/>
      <c r="N5" s="211"/>
      <c r="O5" s="211"/>
      <c r="P5" s="208"/>
      <c r="Q5" s="208"/>
      <c r="R5" s="208"/>
      <c r="S5" s="208"/>
      <c r="T5" s="208"/>
      <c r="U5" s="208"/>
    </row>
    <row r="6" spans="1:27" s="126" customFormat="1" ht="13.8" x14ac:dyDescent="0.3">
      <c r="B6" s="129" t="s">
        <v>514</v>
      </c>
      <c r="C6" s="125"/>
      <c r="D6" s="127"/>
      <c r="E6" s="127"/>
      <c r="I6" s="130" t="s">
        <v>1</v>
      </c>
      <c r="O6" s="129" t="s">
        <v>2</v>
      </c>
    </row>
    <row r="7" spans="1:27" s="126" customFormat="1" ht="13.8" x14ac:dyDescent="0.3">
      <c r="B7" s="129" t="s">
        <v>515</v>
      </c>
      <c r="C7" s="125"/>
      <c r="D7" s="127"/>
      <c r="E7" s="127"/>
      <c r="I7" s="130" t="s">
        <v>4</v>
      </c>
      <c r="O7" s="128" t="s">
        <v>5</v>
      </c>
    </row>
    <row r="8" spans="1:27" s="126" customFormat="1" ht="13.8" x14ac:dyDescent="0.3">
      <c r="B8" s="129" t="s">
        <v>516</v>
      </c>
      <c r="C8" s="125"/>
      <c r="D8" s="127"/>
      <c r="E8" s="127"/>
      <c r="O8" s="128" t="s">
        <v>7</v>
      </c>
    </row>
    <row r="9" spans="1:27" s="126" customFormat="1" ht="22.5" customHeight="1" x14ac:dyDescent="0.3">
      <c r="A9" s="125"/>
      <c r="C9" s="337" t="s">
        <v>8</v>
      </c>
      <c r="D9" s="338">
        <v>3</v>
      </c>
      <c r="E9" s="127"/>
      <c r="O9" s="133" t="s">
        <v>221</v>
      </c>
    </row>
    <row r="10" spans="1:27" ht="27.6" x14ac:dyDescent="0.25">
      <c r="A10" s="207"/>
      <c r="B10" s="339" t="s">
        <v>266</v>
      </c>
      <c r="C10" s="340"/>
      <c r="D10" s="340"/>
      <c r="E10" s="340"/>
      <c r="F10" s="340"/>
      <c r="G10" s="340"/>
      <c r="H10" s="340"/>
      <c r="I10" s="340"/>
      <c r="J10" s="340"/>
      <c r="K10" s="340"/>
      <c r="L10" s="340"/>
      <c r="M10" s="340"/>
      <c r="N10" s="340"/>
      <c r="O10" s="340"/>
      <c r="P10" s="340"/>
      <c r="Q10" s="340"/>
      <c r="R10" s="340"/>
      <c r="S10" s="340"/>
      <c r="T10" s="340"/>
      <c r="U10" s="341"/>
      <c r="V10" s="213"/>
      <c r="W10" s="213"/>
      <c r="X10" s="216" t="s">
        <v>267</v>
      </c>
      <c r="Y10" s="215"/>
      <c r="Z10" s="213"/>
      <c r="AA10" s="213"/>
    </row>
    <row r="11" spans="1:27" ht="12.75" customHeight="1" x14ac:dyDescent="0.25">
      <c r="A11" s="630" t="s">
        <v>268</v>
      </c>
      <c r="B11" s="631" t="s">
        <v>269</v>
      </c>
      <c r="C11" s="632" t="s">
        <v>270</v>
      </c>
      <c r="D11" s="632" t="s">
        <v>271</v>
      </c>
      <c r="E11" s="632" t="s">
        <v>272</v>
      </c>
      <c r="F11" s="632" t="s">
        <v>273</v>
      </c>
      <c r="G11" s="632"/>
      <c r="H11" s="633" t="s">
        <v>274</v>
      </c>
      <c r="I11" s="633"/>
      <c r="J11" s="633"/>
      <c r="K11" s="632" t="s">
        <v>275</v>
      </c>
      <c r="L11" s="632" t="s">
        <v>276</v>
      </c>
      <c r="M11" s="630" t="s">
        <v>277</v>
      </c>
      <c r="N11" s="632" t="s">
        <v>278</v>
      </c>
      <c r="O11" s="632"/>
      <c r="P11" s="630" t="s">
        <v>279</v>
      </c>
      <c r="Q11" s="630" t="s">
        <v>280</v>
      </c>
      <c r="R11" s="630" t="s">
        <v>281</v>
      </c>
      <c r="S11" s="630"/>
      <c r="T11" s="630" t="s">
        <v>282</v>
      </c>
      <c r="U11" s="634" t="s">
        <v>283</v>
      </c>
      <c r="V11" s="213"/>
      <c r="W11" s="213"/>
      <c r="X11" s="216" t="s">
        <v>284</v>
      </c>
      <c r="Y11" s="215"/>
      <c r="Z11" s="213"/>
      <c r="AA11" s="213"/>
    </row>
    <row r="12" spans="1:27" ht="55.2" x14ac:dyDescent="0.3">
      <c r="A12" s="630"/>
      <c r="B12" s="631"/>
      <c r="C12" s="632"/>
      <c r="D12" s="632"/>
      <c r="E12" s="632"/>
      <c r="F12" s="632"/>
      <c r="G12" s="632"/>
      <c r="H12" s="219" t="s">
        <v>285</v>
      </c>
      <c r="I12" s="220" t="s">
        <v>286</v>
      </c>
      <c r="J12" s="220" t="s">
        <v>287</v>
      </c>
      <c r="K12" s="632"/>
      <c r="L12" s="632"/>
      <c r="M12" s="630"/>
      <c r="N12" s="218" t="s">
        <v>288</v>
      </c>
      <c r="O12" s="218" t="s">
        <v>289</v>
      </c>
      <c r="P12" s="630"/>
      <c r="Q12" s="630"/>
      <c r="R12" s="221" t="s">
        <v>290</v>
      </c>
      <c r="S12" s="221" t="s">
        <v>291</v>
      </c>
      <c r="T12" s="630"/>
      <c r="U12" s="634"/>
      <c r="V12" s="213"/>
      <c r="W12" s="213"/>
      <c r="X12" s="222" t="s">
        <v>292</v>
      </c>
      <c r="Y12" s="215"/>
      <c r="Z12" s="213"/>
      <c r="AA12" s="213"/>
    </row>
    <row r="13" spans="1:27" ht="38.25" customHeight="1" x14ac:dyDescent="0.25">
      <c r="A13" s="223" t="s">
        <v>161</v>
      </c>
      <c r="B13" s="224" t="s">
        <v>293</v>
      </c>
      <c r="C13" s="225" t="s">
        <v>294</v>
      </c>
      <c r="D13" s="225" t="s">
        <v>295</v>
      </c>
      <c r="E13" s="225" t="s">
        <v>267</v>
      </c>
      <c r="F13" s="635" t="s">
        <v>296</v>
      </c>
      <c r="G13" s="635"/>
      <c r="H13" s="15">
        <v>1582469</v>
      </c>
      <c r="I13" s="227">
        <v>0</v>
      </c>
      <c r="J13" s="227">
        <v>1</v>
      </c>
      <c r="K13" s="228" t="s">
        <v>297</v>
      </c>
      <c r="L13" s="226" t="s">
        <v>267</v>
      </c>
      <c r="M13" s="229" t="s">
        <v>223</v>
      </c>
      <c r="N13" s="226" t="s">
        <v>146</v>
      </c>
      <c r="O13" s="226" t="s">
        <v>96</v>
      </c>
      <c r="P13" s="230">
        <v>1582469</v>
      </c>
      <c r="Q13" s="231" t="s">
        <v>298</v>
      </c>
      <c r="R13" s="230">
        <v>0</v>
      </c>
      <c r="S13" s="230">
        <v>0</v>
      </c>
      <c r="T13" s="230">
        <f>+P13+S13</f>
        <v>1582469</v>
      </c>
      <c r="U13" s="232" t="s">
        <v>299</v>
      </c>
      <c r="V13" s="213"/>
      <c r="W13" s="213"/>
      <c r="X13" s="216" t="s">
        <v>300</v>
      </c>
      <c r="Y13" s="215"/>
      <c r="Z13" s="213"/>
      <c r="AA13" s="213"/>
    </row>
    <row r="14" spans="1:27" s="247" customFormat="1" ht="51.75" customHeight="1" x14ac:dyDescent="0.25">
      <c r="A14" s="304" t="s">
        <v>301</v>
      </c>
      <c r="B14" s="287" t="s">
        <v>293</v>
      </c>
      <c r="C14" s="288" t="s">
        <v>302</v>
      </c>
      <c r="D14" s="288" t="s">
        <v>303</v>
      </c>
      <c r="E14" s="288" t="s">
        <v>267</v>
      </c>
      <c r="F14" s="642"/>
      <c r="G14" s="642"/>
      <c r="H14" s="342">
        <f>840000/D9</f>
        <v>280000</v>
      </c>
      <c r="I14" s="291">
        <v>0</v>
      </c>
      <c r="J14" s="291">
        <v>1</v>
      </c>
      <c r="K14" s="306" t="s">
        <v>304</v>
      </c>
      <c r="L14" s="292" t="s">
        <v>267</v>
      </c>
      <c r="M14" s="292" t="s">
        <v>33</v>
      </c>
      <c r="N14" s="292" t="s">
        <v>50</v>
      </c>
      <c r="O14" s="292" t="s">
        <v>75</v>
      </c>
      <c r="P14" s="242"/>
      <c r="Q14" s="276"/>
      <c r="R14" s="242">
        <v>0</v>
      </c>
      <c r="S14" s="242">
        <v>0</v>
      </c>
      <c r="T14" s="242">
        <f>+P14+S14</f>
        <v>0</v>
      </c>
      <c r="U14" s="295" t="s">
        <v>305</v>
      </c>
      <c r="V14" s="244"/>
      <c r="W14" s="244"/>
      <c r="X14" s="245" t="s">
        <v>300</v>
      </c>
      <c r="Y14" s="246"/>
      <c r="Z14" s="244"/>
      <c r="AA14" s="244"/>
    </row>
    <row r="15" spans="1:27" ht="27.6" x14ac:dyDescent="0.3">
      <c r="X15" s="216" t="s">
        <v>306</v>
      </c>
      <c r="Y15" s="222"/>
    </row>
    <row r="16" spans="1:27" ht="41.4" x14ac:dyDescent="0.25">
      <c r="A16" s="207"/>
      <c r="B16" s="339" t="s">
        <v>307</v>
      </c>
      <c r="C16" s="340"/>
      <c r="D16" s="340"/>
      <c r="E16" s="340"/>
      <c r="F16" s="340"/>
      <c r="G16" s="340"/>
      <c r="H16" s="340"/>
      <c r="I16" s="340"/>
      <c r="J16" s="340"/>
      <c r="K16" s="340"/>
      <c r="L16" s="340"/>
      <c r="M16" s="340"/>
      <c r="N16" s="340"/>
      <c r="O16" s="340"/>
      <c r="P16" s="340"/>
      <c r="Q16" s="340"/>
      <c r="R16" s="340"/>
      <c r="S16" s="340"/>
      <c r="T16" s="340"/>
      <c r="U16" s="341"/>
      <c r="V16" s="213"/>
      <c r="W16" s="213"/>
      <c r="X16" s="216" t="s">
        <v>308</v>
      </c>
      <c r="Y16" s="215"/>
      <c r="Z16" s="213"/>
      <c r="AA16" s="213"/>
    </row>
    <row r="17" spans="1:27" ht="15" customHeight="1" x14ac:dyDescent="0.25">
      <c r="A17" s="630" t="s">
        <v>268</v>
      </c>
      <c r="B17" s="631" t="s">
        <v>309</v>
      </c>
      <c r="C17" s="632" t="s">
        <v>270</v>
      </c>
      <c r="D17" s="632" t="s">
        <v>271</v>
      </c>
      <c r="E17" s="632" t="s">
        <v>272</v>
      </c>
      <c r="F17" s="632" t="s">
        <v>273</v>
      </c>
      <c r="G17" s="632" t="s">
        <v>310</v>
      </c>
      <c r="H17" s="633" t="s">
        <v>274</v>
      </c>
      <c r="I17" s="633"/>
      <c r="J17" s="633"/>
      <c r="K17" s="632" t="s">
        <v>275</v>
      </c>
      <c r="L17" s="632" t="s">
        <v>276</v>
      </c>
      <c r="M17" s="630" t="s">
        <v>277</v>
      </c>
      <c r="N17" s="632" t="s">
        <v>278</v>
      </c>
      <c r="O17" s="632"/>
      <c r="P17" s="630" t="s">
        <v>279</v>
      </c>
      <c r="Q17" s="630" t="s">
        <v>280</v>
      </c>
      <c r="R17" s="630" t="s">
        <v>281</v>
      </c>
      <c r="S17" s="630"/>
      <c r="T17" s="630" t="s">
        <v>282</v>
      </c>
      <c r="U17" s="634" t="s">
        <v>283</v>
      </c>
      <c r="V17" s="213"/>
      <c r="W17" s="213"/>
      <c r="X17" s="216" t="s">
        <v>311</v>
      </c>
      <c r="Y17" s="215"/>
      <c r="Z17" s="213"/>
      <c r="AA17" s="213"/>
    </row>
    <row r="18" spans="1:27" ht="36" customHeight="1" x14ac:dyDescent="0.25">
      <c r="A18" s="630"/>
      <c r="B18" s="631"/>
      <c r="C18" s="632"/>
      <c r="D18" s="632"/>
      <c r="E18" s="632"/>
      <c r="F18" s="632"/>
      <c r="G18" s="632"/>
      <c r="H18" s="219" t="s">
        <v>285</v>
      </c>
      <c r="I18" s="220" t="s">
        <v>286</v>
      </c>
      <c r="J18" s="220" t="s">
        <v>287</v>
      </c>
      <c r="K18" s="632"/>
      <c r="L18" s="632"/>
      <c r="M18" s="630"/>
      <c r="N18" s="218" t="s">
        <v>288</v>
      </c>
      <c r="O18" s="218" t="s">
        <v>289</v>
      </c>
      <c r="P18" s="630"/>
      <c r="Q18" s="630"/>
      <c r="R18" s="221" t="s">
        <v>290</v>
      </c>
      <c r="S18" s="221" t="s">
        <v>291</v>
      </c>
      <c r="T18" s="630"/>
      <c r="U18" s="634"/>
      <c r="V18" s="213"/>
      <c r="W18" s="213"/>
      <c r="Y18" s="215"/>
      <c r="Z18" s="213"/>
      <c r="AA18" s="213"/>
    </row>
    <row r="19" spans="1:27" ht="82.8" x14ac:dyDescent="0.25">
      <c r="A19" s="223" t="s">
        <v>103</v>
      </c>
      <c r="B19" s="224" t="s">
        <v>293</v>
      </c>
      <c r="C19" s="225" t="s">
        <v>312</v>
      </c>
      <c r="D19" s="136" t="s">
        <v>104</v>
      </c>
      <c r="E19" s="136" t="s">
        <v>267</v>
      </c>
      <c r="F19" s="225" t="s">
        <v>313</v>
      </c>
      <c r="G19" s="225">
        <v>1</v>
      </c>
      <c r="H19" s="15">
        <f>320000/D9</f>
        <v>106666.66666666667</v>
      </c>
      <c r="I19" s="227">
        <v>1</v>
      </c>
      <c r="J19" s="227">
        <v>0</v>
      </c>
      <c r="K19" s="228" t="s">
        <v>314</v>
      </c>
      <c r="L19" s="248" t="s">
        <v>284</v>
      </c>
      <c r="M19" s="229" t="s">
        <v>223</v>
      </c>
      <c r="N19" s="226" t="s">
        <v>49</v>
      </c>
      <c r="O19" s="226" t="s">
        <v>50</v>
      </c>
      <c r="P19" s="230">
        <v>91036.18</v>
      </c>
      <c r="Q19" s="231" t="s">
        <v>315</v>
      </c>
      <c r="R19" s="230">
        <v>0</v>
      </c>
      <c r="S19" s="230">
        <v>0</v>
      </c>
      <c r="T19" s="230">
        <f t="shared" ref="T19:T50" si="0">+P19+S19</f>
        <v>91036.18</v>
      </c>
      <c r="U19" s="232" t="s">
        <v>316</v>
      </c>
      <c r="V19" s="213"/>
      <c r="W19" s="213"/>
      <c r="X19" s="216" t="s">
        <v>267</v>
      </c>
      <c r="Y19" s="215"/>
      <c r="Z19" s="213"/>
      <c r="AA19" s="213"/>
    </row>
    <row r="20" spans="1:27" ht="55.2" x14ac:dyDescent="0.25">
      <c r="A20" s="223" t="s">
        <v>107</v>
      </c>
      <c r="B20" s="224" t="s">
        <v>293</v>
      </c>
      <c r="C20" s="225" t="s">
        <v>317</v>
      </c>
      <c r="D20" s="136" t="s">
        <v>108</v>
      </c>
      <c r="E20" s="136" t="s">
        <v>267</v>
      </c>
      <c r="F20" s="225"/>
      <c r="G20" s="225"/>
      <c r="H20" s="15">
        <f>65000/D9</f>
        <v>21666.666666666668</v>
      </c>
      <c r="I20" s="227">
        <v>1</v>
      </c>
      <c r="J20" s="227">
        <v>0</v>
      </c>
      <c r="K20" s="228" t="s">
        <v>318</v>
      </c>
      <c r="L20" s="248" t="s">
        <v>284</v>
      </c>
      <c r="M20" s="229" t="s">
        <v>33</v>
      </c>
      <c r="N20" s="226" t="s">
        <v>183</v>
      </c>
      <c r="O20" s="226" t="s">
        <v>56</v>
      </c>
      <c r="P20" s="230"/>
      <c r="Q20" s="231"/>
      <c r="R20" s="230">
        <v>0</v>
      </c>
      <c r="S20" s="230">
        <v>0</v>
      </c>
      <c r="T20" s="230">
        <f t="shared" si="0"/>
        <v>0</v>
      </c>
      <c r="U20" s="232" t="s">
        <v>319</v>
      </c>
      <c r="V20" s="213"/>
      <c r="W20" s="213"/>
      <c r="X20" s="216" t="s">
        <v>320</v>
      </c>
      <c r="Y20" s="215"/>
      <c r="Z20" s="213"/>
      <c r="AA20" s="213"/>
    </row>
    <row r="21" spans="1:27" s="261" customFormat="1" ht="69" x14ac:dyDescent="0.25">
      <c r="A21" s="249" t="s">
        <v>109</v>
      </c>
      <c r="B21" s="250" t="s">
        <v>293</v>
      </c>
      <c r="C21" s="251" t="s">
        <v>321</v>
      </c>
      <c r="D21" s="252" t="s">
        <v>110</v>
      </c>
      <c r="E21" s="252" t="s">
        <v>267</v>
      </c>
      <c r="F21" s="251"/>
      <c r="G21" s="251"/>
      <c r="H21" s="253">
        <v>45454.545454545449</v>
      </c>
      <c r="I21" s="254">
        <v>1</v>
      </c>
      <c r="J21" s="254">
        <v>0</v>
      </c>
      <c r="K21" s="255" t="s">
        <v>322</v>
      </c>
      <c r="L21" s="256" t="s">
        <v>284</v>
      </c>
      <c r="M21" s="257" t="s">
        <v>191</v>
      </c>
      <c r="N21" s="257" t="s">
        <v>49</v>
      </c>
      <c r="O21" s="257" t="s">
        <v>50</v>
      </c>
      <c r="P21" s="230"/>
      <c r="Q21" s="231"/>
      <c r="R21" s="230">
        <v>0</v>
      </c>
      <c r="S21" s="230">
        <v>0</v>
      </c>
      <c r="T21" s="230">
        <f t="shared" si="0"/>
        <v>0</v>
      </c>
      <c r="U21" s="258" t="s">
        <v>214</v>
      </c>
      <c r="V21" s="259"/>
      <c r="W21" s="259"/>
      <c r="X21" s="216" t="s">
        <v>323</v>
      </c>
      <c r="Y21" s="260"/>
      <c r="Z21" s="259"/>
      <c r="AA21" s="259"/>
    </row>
    <row r="22" spans="1:27" ht="41.4" x14ac:dyDescent="0.25">
      <c r="A22" s="223" t="s">
        <v>112</v>
      </c>
      <c r="B22" s="224" t="s">
        <v>293</v>
      </c>
      <c r="C22" s="225" t="s">
        <v>324</v>
      </c>
      <c r="D22" s="136" t="s">
        <v>113</v>
      </c>
      <c r="E22" s="136" t="s">
        <v>267</v>
      </c>
      <c r="F22" s="225"/>
      <c r="G22" s="225"/>
      <c r="H22" s="15">
        <f>250000/D9</f>
        <v>83333.333333333328</v>
      </c>
      <c r="I22" s="227">
        <v>1</v>
      </c>
      <c r="J22" s="227">
        <v>0</v>
      </c>
      <c r="K22" s="228" t="s">
        <v>325</v>
      </c>
      <c r="L22" s="248" t="s">
        <v>284</v>
      </c>
      <c r="M22" s="229" t="s">
        <v>33</v>
      </c>
      <c r="N22" s="226" t="s">
        <v>231</v>
      </c>
      <c r="O22" s="226" t="s">
        <v>56</v>
      </c>
      <c r="P22" s="230"/>
      <c r="Q22" s="231"/>
      <c r="R22" s="230">
        <v>0</v>
      </c>
      <c r="S22" s="230">
        <v>0</v>
      </c>
      <c r="T22" s="230">
        <f t="shared" si="0"/>
        <v>0</v>
      </c>
      <c r="U22" s="232" t="s">
        <v>319</v>
      </c>
      <c r="V22" s="213"/>
      <c r="W22" s="213"/>
      <c r="X22" s="216" t="s">
        <v>326</v>
      </c>
      <c r="Y22" s="215"/>
      <c r="Z22" s="213"/>
      <c r="AA22" s="213"/>
    </row>
    <row r="23" spans="1:27" ht="55.2" x14ac:dyDescent="0.25">
      <c r="A23" s="223" t="s">
        <v>115</v>
      </c>
      <c r="B23" s="224" t="s">
        <v>293</v>
      </c>
      <c r="C23" s="225" t="s">
        <v>327</v>
      </c>
      <c r="D23" s="181" t="s">
        <v>116</v>
      </c>
      <c r="E23" s="181" t="s">
        <v>267</v>
      </c>
      <c r="F23" s="225"/>
      <c r="G23" s="225"/>
      <c r="H23" s="15">
        <f>750000/D9</f>
        <v>250000</v>
      </c>
      <c r="I23" s="227">
        <v>0</v>
      </c>
      <c r="J23" s="227">
        <v>1</v>
      </c>
      <c r="K23" s="228" t="s">
        <v>328</v>
      </c>
      <c r="L23" s="248" t="s">
        <v>267</v>
      </c>
      <c r="M23" s="229" t="s">
        <v>33</v>
      </c>
      <c r="N23" s="226" t="s">
        <v>50</v>
      </c>
      <c r="O23" s="226" t="s">
        <v>56</v>
      </c>
      <c r="P23" s="230"/>
      <c r="Q23" s="231"/>
      <c r="R23" s="230">
        <v>0</v>
      </c>
      <c r="S23" s="230">
        <v>0</v>
      </c>
      <c r="T23" s="230">
        <f t="shared" si="0"/>
        <v>0</v>
      </c>
      <c r="U23" s="232" t="s">
        <v>319</v>
      </c>
      <c r="V23" s="213"/>
      <c r="W23" s="213"/>
      <c r="X23" s="216" t="s">
        <v>329</v>
      </c>
      <c r="Y23" s="215"/>
      <c r="Z23" s="213"/>
      <c r="AA23" s="213"/>
    </row>
    <row r="24" spans="1:27" s="261" customFormat="1" ht="55.2" x14ac:dyDescent="0.25">
      <c r="A24" s="249" t="s">
        <v>117</v>
      </c>
      <c r="B24" s="250" t="s">
        <v>293</v>
      </c>
      <c r="C24" s="251" t="s">
        <v>118</v>
      </c>
      <c r="D24" s="252" t="s">
        <v>118</v>
      </c>
      <c r="E24" s="252" t="s">
        <v>267</v>
      </c>
      <c r="F24" s="251"/>
      <c r="G24" s="251"/>
      <c r="H24" s="253">
        <v>227272.72727272726</v>
      </c>
      <c r="I24" s="254">
        <v>1</v>
      </c>
      <c r="J24" s="254">
        <v>0</v>
      </c>
      <c r="K24" s="255" t="s">
        <v>328</v>
      </c>
      <c r="L24" s="256" t="s">
        <v>284</v>
      </c>
      <c r="M24" s="257" t="s">
        <v>191</v>
      </c>
      <c r="N24" s="257" t="s">
        <v>32</v>
      </c>
      <c r="O24" s="257" t="s">
        <v>44</v>
      </c>
      <c r="P24" s="230"/>
      <c r="Q24" s="231"/>
      <c r="R24" s="230">
        <v>0</v>
      </c>
      <c r="S24" s="230">
        <v>0</v>
      </c>
      <c r="T24" s="230">
        <f t="shared" si="0"/>
        <v>0</v>
      </c>
      <c r="U24" s="258" t="s">
        <v>208</v>
      </c>
      <c r="V24" s="259"/>
      <c r="W24" s="259"/>
      <c r="X24" s="262"/>
      <c r="Y24" s="260"/>
      <c r="Z24" s="259"/>
      <c r="AA24" s="259"/>
    </row>
    <row r="25" spans="1:27" ht="41.4" x14ac:dyDescent="0.25">
      <c r="A25" s="223" t="s">
        <v>119</v>
      </c>
      <c r="B25" s="224" t="s">
        <v>293</v>
      </c>
      <c r="C25" s="181" t="s">
        <v>120</v>
      </c>
      <c r="D25" s="181" t="s">
        <v>120</v>
      </c>
      <c r="E25" s="181" t="s">
        <v>267</v>
      </c>
      <c r="F25" s="225" t="s">
        <v>330</v>
      </c>
      <c r="G25" s="225">
        <v>1</v>
      </c>
      <c r="H25" s="15">
        <v>454999.99999999994</v>
      </c>
      <c r="I25" s="227">
        <v>1</v>
      </c>
      <c r="J25" s="227">
        <v>0</v>
      </c>
      <c r="K25" s="228" t="s">
        <v>328</v>
      </c>
      <c r="L25" s="248" t="s">
        <v>284</v>
      </c>
      <c r="M25" s="229" t="s">
        <v>223</v>
      </c>
      <c r="N25" s="226" t="s">
        <v>43</v>
      </c>
      <c r="O25" s="226" t="s">
        <v>49</v>
      </c>
      <c r="P25" s="230">
        <v>415611.38</v>
      </c>
      <c r="Q25" s="231" t="s">
        <v>331</v>
      </c>
      <c r="R25" s="230">
        <v>0</v>
      </c>
      <c r="S25" s="230">
        <v>0</v>
      </c>
      <c r="T25" s="230">
        <f t="shared" si="0"/>
        <v>415611.38</v>
      </c>
      <c r="U25" s="232" t="s">
        <v>332</v>
      </c>
      <c r="V25" s="213"/>
      <c r="W25" s="213"/>
      <c r="X25" s="216"/>
      <c r="Y25" s="215"/>
      <c r="Z25" s="213"/>
      <c r="AA25" s="213"/>
    </row>
    <row r="26" spans="1:27" ht="41.4" x14ac:dyDescent="0.25">
      <c r="A26" s="223" t="s">
        <v>121</v>
      </c>
      <c r="B26" s="224" t="s">
        <v>293</v>
      </c>
      <c r="C26" s="181" t="s">
        <v>122</v>
      </c>
      <c r="D26" s="181" t="s">
        <v>122</v>
      </c>
      <c r="E26" s="181" t="s">
        <v>267</v>
      </c>
      <c r="F26" s="225" t="s">
        <v>333</v>
      </c>
      <c r="G26" s="225">
        <v>1</v>
      </c>
      <c r="H26" s="15">
        <v>48649.999999999993</v>
      </c>
      <c r="I26" s="227">
        <v>1</v>
      </c>
      <c r="J26" s="227">
        <v>0</v>
      </c>
      <c r="K26" s="228" t="s">
        <v>328</v>
      </c>
      <c r="L26" s="248" t="s">
        <v>284</v>
      </c>
      <c r="M26" s="229" t="s">
        <v>223</v>
      </c>
      <c r="N26" s="226" t="s">
        <v>43</v>
      </c>
      <c r="O26" s="226" t="s">
        <v>49</v>
      </c>
      <c r="P26" s="230">
        <v>47681.2</v>
      </c>
      <c r="Q26" s="231" t="s">
        <v>334</v>
      </c>
      <c r="R26" s="230">
        <v>0</v>
      </c>
      <c r="S26" s="230">
        <v>0</v>
      </c>
      <c r="T26" s="230">
        <f t="shared" si="0"/>
        <v>47681.2</v>
      </c>
      <c r="U26" s="232" t="s">
        <v>332</v>
      </c>
      <c r="V26" s="213"/>
      <c r="W26" s="213"/>
      <c r="X26" s="216"/>
      <c r="Y26" s="215"/>
      <c r="Z26" s="213"/>
      <c r="AA26" s="213"/>
    </row>
    <row r="27" spans="1:27" ht="41.4" x14ac:dyDescent="0.25">
      <c r="A27" s="223" t="s">
        <v>123</v>
      </c>
      <c r="B27" s="224" t="s">
        <v>293</v>
      </c>
      <c r="C27" s="181" t="s">
        <v>241</v>
      </c>
      <c r="D27" s="181" t="s">
        <v>241</v>
      </c>
      <c r="E27" s="181" t="s">
        <v>267</v>
      </c>
      <c r="F27" s="225" t="s">
        <v>335</v>
      </c>
      <c r="G27" s="225">
        <v>2</v>
      </c>
      <c r="H27" s="15">
        <v>28956.81818181818</v>
      </c>
      <c r="I27" s="227">
        <v>1</v>
      </c>
      <c r="J27" s="227">
        <v>0</v>
      </c>
      <c r="K27" s="228" t="s">
        <v>328</v>
      </c>
      <c r="L27" s="248" t="s">
        <v>284</v>
      </c>
      <c r="M27" s="229" t="s">
        <v>223</v>
      </c>
      <c r="N27" s="226" t="s">
        <v>43</v>
      </c>
      <c r="O27" s="226" t="s">
        <v>49</v>
      </c>
      <c r="P27" s="230">
        <f>3574.91+22229.7</f>
        <v>25804.61</v>
      </c>
      <c r="Q27" s="231" t="s">
        <v>336</v>
      </c>
      <c r="R27" s="230">
        <v>0</v>
      </c>
      <c r="S27" s="230">
        <v>0</v>
      </c>
      <c r="T27" s="230">
        <f t="shared" si="0"/>
        <v>25804.61</v>
      </c>
      <c r="U27" s="232" t="s">
        <v>332</v>
      </c>
      <c r="V27" s="213"/>
      <c r="W27" s="213"/>
      <c r="X27" s="216"/>
      <c r="Y27" s="215"/>
      <c r="Z27" s="213"/>
      <c r="AA27" s="213"/>
    </row>
    <row r="28" spans="1:27" s="261" customFormat="1" ht="41.4" x14ac:dyDescent="0.25">
      <c r="A28" s="249" t="s">
        <v>125</v>
      </c>
      <c r="B28" s="250" t="s">
        <v>293</v>
      </c>
      <c r="C28" s="252" t="s">
        <v>126</v>
      </c>
      <c r="D28" s="252" t="s">
        <v>126</v>
      </c>
      <c r="E28" s="252" t="s">
        <v>267</v>
      </c>
      <c r="F28" s="251"/>
      <c r="G28" s="251"/>
      <c r="H28" s="253">
        <v>6818.181818181818</v>
      </c>
      <c r="I28" s="254">
        <v>1</v>
      </c>
      <c r="J28" s="254">
        <v>0</v>
      </c>
      <c r="K28" s="255" t="s">
        <v>328</v>
      </c>
      <c r="L28" s="256" t="s">
        <v>284</v>
      </c>
      <c r="M28" s="257" t="s">
        <v>191</v>
      </c>
      <c r="N28" s="257" t="s">
        <v>49</v>
      </c>
      <c r="O28" s="257" t="s">
        <v>44</v>
      </c>
      <c r="P28" s="230"/>
      <c r="Q28" s="231"/>
      <c r="R28" s="230">
        <v>0</v>
      </c>
      <c r="S28" s="230">
        <v>0</v>
      </c>
      <c r="T28" s="230">
        <f t="shared" si="0"/>
        <v>0</v>
      </c>
      <c r="U28" s="258" t="s">
        <v>243</v>
      </c>
      <c r="V28" s="259"/>
      <c r="W28" s="259"/>
      <c r="X28" s="262"/>
      <c r="Y28" s="260"/>
      <c r="Z28" s="259"/>
      <c r="AA28" s="259"/>
    </row>
    <row r="29" spans="1:27" ht="41.4" x14ac:dyDescent="0.25">
      <c r="A29" s="223" t="s">
        <v>127</v>
      </c>
      <c r="B29" s="224" t="s">
        <v>293</v>
      </c>
      <c r="C29" s="181" t="s">
        <v>128</v>
      </c>
      <c r="D29" s="181" t="s">
        <v>337</v>
      </c>
      <c r="E29" s="181" t="s">
        <v>267</v>
      </c>
      <c r="F29" s="225" t="s">
        <v>338</v>
      </c>
      <c r="G29" s="225">
        <v>1</v>
      </c>
      <c r="H29" s="15">
        <f>300000/D9</f>
        <v>100000</v>
      </c>
      <c r="I29" s="227">
        <v>1</v>
      </c>
      <c r="J29" s="227">
        <v>0</v>
      </c>
      <c r="K29" s="228" t="s">
        <v>328</v>
      </c>
      <c r="L29" s="248" t="s">
        <v>284</v>
      </c>
      <c r="M29" s="229" t="s">
        <v>223</v>
      </c>
      <c r="N29" s="226" t="s">
        <v>49</v>
      </c>
      <c r="O29" s="226" t="s">
        <v>44</v>
      </c>
      <c r="P29" s="230">
        <v>54137.42</v>
      </c>
      <c r="Q29" s="231" t="s">
        <v>339</v>
      </c>
      <c r="R29" s="230">
        <v>0</v>
      </c>
      <c r="S29" s="230">
        <v>0</v>
      </c>
      <c r="T29" s="230">
        <f t="shared" si="0"/>
        <v>54137.42</v>
      </c>
      <c r="U29" s="232" t="s">
        <v>244</v>
      </c>
      <c r="V29" s="213"/>
      <c r="W29" s="213"/>
      <c r="X29" s="216"/>
      <c r="Y29" s="215"/>
      <c r="Z29" s="213"/>
      <c r="AA29" s="213"/>
    </row>
    <row r="30" spans="1:27" s="261" customFormat="1" ht="41.4" x14ac:dyDescent="0.25">
      <c r="A30" s="249" t="s">
        <v>129</v>
      </c>
      <c r="B30" s="250" t="s">
        <v>293</v>
      </c>
      <c r="C30" s="252" t="s">
        <v>130</v>
      </c>
      <c r="D30" s="252" t="s">
        <v>130</v>
      </c>
      <c r="E30" s="252" t="s">
        <v>267</v>
      </c>
      <c r="F30" s="251"/>
      <c r="G30" s="251"/>
      <c r="H30" s="253">
        <v>13636.363636363636</v>
      </c>
      <c r="I30" s="254">
        <v>1</v>
      </c>
      <c r="J30" s="254">
        <v>0</v>
      </c>
      <c r="K30" s="255" t="s">
        <v>328</v>
      </c>
      <c r="L30" s="256" t="s">
        <v>284</v>
      </c>
      <c r="M30" s="257" t="s">
        <v>191</v>
      </c>
      <c r="N30" s="257" t="s">
        <v>49</v>
      </c>
      <c r="O30" s="257" t="s">
        <v>44</v>
      </c>
      <c r="P30" s="230"/>
      <c r="Q30" s="231"/>
      <c r="R30" s="230">
        <v>0</v>
      </c>
      <c r="S30" s="230">
        <v>0</v>
      </c>
      <c r="T30" s="230">
        <f t="shared" si="0"/>
        <v>0</v>
      </c>
      <c r="U30" s="258" t="s">
        <v>193</v>
      </c>
      <c r="V30" s="259"/>
      <c r="W30" s="259"/>
      <c r="X30" s="262"/>
      <c r="Y30" s="260"/>
      <c r="Z30" s="259"/>
      <c r="AA30" s="259"/>
    </row>
    <row r="31" spans="1:27" ht="41.4" x14ac:dyDescent="0.25">
      <c r="A31" s="223" t="s">
        <v>131</v>
      </c>
      <c r="B31" s="224" t="s">
        <v>293</v>
      </c>
      <c r="C31" s="225" t="s">
        <v>340</v>
      </c>
      <c r="D31" s="181" t="s">
        <v>132</v>
      </c>
      <c r="E31" s="181" t="s">
        <v>267</v>
      </c>
      <c r="F31" s="225"/>
      <c r="G31" s="225"/>
      <c r="H31" s="138">
        <f>200000/D9</f>
        <v>66666.666666666672</v>
      </c>
      <c r="I31" s="227">
        <v>0</v>
      </c>
      <c r="J31" s="227">
        <v>1</v>
      </c>
      <c r="K31" s="228" t="s">
        <v>328</v>
      </c>
      <c r="L31" s="248" t="s">
        <v>267</v>
      </c>
      <c r="M31" s="229" t="s">
        <v>33</v>
      </c>
      <c r="N31" s="226" t="s">
        <v>56</v>
      </c>
      <c r="O31" s="226" t="s">
        <v>59</v>
      </c>
      <c r="P31" s="230"/>
      <c r="Q31" s="231"/>
      <c r="R31" s="230">
        <v>0</v>
      </c>
      <c r="S31" s="230">
        <v>0</v>
      </c>
      <c r="T31" s="230">
        <f t="shared" si="0"/>
        <v>0</v>
      </c>
      <c r="U31" s="232" t="s">
        <v>319</v>
      </c>
      <c r="V31" s="213"/>
      <c r="W31" s="213"/>
      <c r="X31" s="216"/>
      <c r="Y31" s="215"/>
      <c r="Z31" s="213"/>
      <c r="AA31" s="213"/>
    </row>
    <row r="32" spans="1:27" ht="41.4" x14ac:dyDescent="0.25">
      <c r="A32" s="223" t="s">
        <v>134</v>
      </c>
      <c r="B32" s="224" t="s">
        <v>293</v>
      </c>
      <c r="C32" s="181" t="s">
        <v>135</v>
      </c>
      <c r="D32" s="181" t="s">
        <v>135</v>
      </c>
      <c r="E32" s="181" t="s">
        <v>267</v>
      </c>
      <c r="F32" s="225"/>
      <c r="G32" s="225"/>
      <c r="H32" s="15">
        <f>100000/D9</f>
        <v>33333.333333333336</v>
      </c>
      <c r="I32" s="227">
        <v>1</v>
      </c>
      <c r="J32" s="227">
        <v>0</v>
      </c>
      <c r="K32" s="228" t="s">
        <v>328</v>
      </c>
      <c r="L32" s="248" t="s">
        <v>284</v>
      </c>
      <c r="M32" s="229" t="s">
        <v>33</v>
      </c>
      <c r="N32" s="226" t="s">
        <v>56</v>
      </c>
      <c r="O32" s="226" t="s">
        <v>59</v>
      </c>
      <c r="P32" s="230"/>
      <c r="Q32" s="231"/>
      <c r="R32" s="230">
        <v>0</v>
      </c>
      <c r="S32" s="230">
        <v>0</v>
      </c>
      <c r="T32" s="230">
        <f t="shared" si="0"/>
        <v>0</v>
      </c>
      <c r="U32" s="232" t="s">
        <v>319</v>
      </c>
      <c r="V32" s="213"/>
      <c r="W32" s="213"/>
      <c r="X32" s="216"/>
      <c r="Y32" s="215"/>
      <c r="Z32" s="213"/>
      <c r="AA32" s="213"/>
    </row>
    <row r="33" spans="1:27" ht="41.4" x14ac:dyDescent="0.25">
      <c r="A33" s="223" t="s">
        <v>136</v>
      </c>
      <c r="B33" s="224" t="s">
        <v>293</v>
      </c>
      <c r="C33" s="136" t="s">
        <v>341</v>
      </c>
      <c r="D33" s="136" t="s">
        <v>137</v>
      </c>
      <c r="E33" s="136" t="s">
        <v>267</v>
      </c>
      <c r="F33" s="225"/>
      <c r="G33" s="225"/>
      <c r="H33" s="15">
        <f>400000/D9</f>
        <v>133333.33333333334</v>
      </c>
      <c r="I33" s="227">
        <v>1</v>
      </c>
      <c r="J33" s="227">
        <v>0</v>
      </c>
      <c r="K33" s="228" t="s">
        <v>342</v>
      </c>
      <c r="L33" s="248" t="s">
        <v>284</v>
      </c>
      <c r="M33" s="229" t="s">
        <v>33</v>
      </c>
      <c r="N33" s="226" t="s">
        <v>75</v>
      </c>
      <c r="O33" s="226" t="s">
        <v>343</v>
      </c>
      <c r="P33" s="230"/>
      <c r="Q33" s="231"/>
      <c r="R33" s="230">
        <v>0</v>
      </c>
      <c r="S33" s="230">
        <v>0</v>
      </c>
      <c r="T33" s="230">
        <f t="shared" si="0"/>
        <v>0</v>
      </c>
      <c r="U33" s="232" t="s">
        <v>319</v>
      </c>
      <c r="V33" s="213"/>
      <c r="W33" s="213"/>
      <c r="X33" s="216"/>
      <c r="Y33" s="215"/>
      <c r="Z33" s="213"/>
      <c r="AA33" s="213"/>
    </row>
    <row r="34" spans="1:27" s="261" customFormat="1" ht="69" x14ac:dyDescent="0.25">
      <c r="A34" s="249" t="s">
        <v>138</v>
      </c>
      <c r="B34" s="250" t="s">
        <v>293</v>
      </c>
      <c r="C34" s="252" t="s">
        <v>344</v>
      </c>
      <c r="D34" s="252" t="s">
        <v>139</v>
      </c>
      <c r="E34" s="252" t="s">
        <v>267</v>
      </c>
      <c r="F34" s="251"/>
      <c r="G34" s="251"/>
      <c r="H34" s="263">
        <v>819545.45454545447</v>
      </c>
      <c r="I34" s="254">
        <v>1</v>
      </c>
      <c r="J34" s="254">
        <v>0</v>
      </c>
      <c r="K34" s="255" t="s">
        <v>304</v>
      </c>
      <c r="L34" s="256" t="s">
        <v>284</v>
      </c>
      <c r="M34" s="257" t="s">
        <v>191</v>
      </c>
      <c r="N34" s="257" t="s">
        <v>231</v>
      </c>
      <c r="O34" s="257" t="s">
        <v>59</v>
      </c>
      <c r="P34" s="230"/>
      <c r="Q34" s="231"/>
      <c r="R34" s="230">
        <v>0</v>
      </c>
      <c r="S34" s="230">
        <v>0</v>
      </c>
      <c r="T34" s="230">
        <f t="shared" si="0"/>
        <v>0</v>
      </c>
      <c r="U34" s="258" t="s">
        <v>345</v>
      </c>
      <c r="V34" s="259"/>
      <c r="W34" s="259"/>
      <c r="Y34" s="260"/>
      <c r="Z34" s="259"/>
      <c r="AA34" s="259"/>
    </row>
    <row r="35" spans="1:27" ht="96.6" x14ac:dyDescent="0.25">
      <c r="A35" s="223" t="s">
        <v>140</v>
      </c>
      <c r="B35" s="224" t="s">
        <v>293</v>
      </c>
      <c r="C35" s="136" t="s">
        <v>346</v>
      </c>
      <c r="D35" s="136" t="s">
        <v>141</v>
      </c>
      <c r="E35" s="136" t="s">
        <v>267</v>
      </c>
      <c r="F35" s="225"/>
      <c r="G35" s="225"/>
      <c r="H35" s="15">
        <f>60590/D9</f>
        <v>20196.666666666668</v>
      </c>
      <c r="I35" s="227">
        <v>1</v>
      </c>
      <c r="J35" s="227">
        <v>0</v>
      </c>
      <c r="K35" s="228" t="s">
        <v>304</v>
      </c>
      <c r="L35" s="248" t="s">
        <v>284</v>
      </c>
      <c r="M35" s="229" t="s">
        <v>33</v>
      </c>
      <c r="N35" s="226" t="s">
        <v>50</v>
      </c>
      <c r="O35" s="226" t="s">
        <v>56</v>
      </c>
      <c r="P35" s="230"/>
      <c r="Q35" s="231"/>
      <c r="R35" s="230">
        <v>0</v>
      </c>
      <c r="S35" s="230">
        <v>0</v>
      </c>
      <c r="T35" s="230">
        <f t="shared" si="0"/>
        <v>0</v>
      </c>
      <c r="U35" s="232" t="s">
        <v>319</v>
      </c>
      <c r="V35" s="213"/>
      <c r="W35" s="213"/>
      <c r="X35" s="216"/>
      <c r="Y35" s="215"/>
      <c r="Z35" s="213"/>
      <c r="AA35" s="213"/>
    </row>
    <row r="36" spans="1:27" ht="69" x14ac:dyDescent="0.25">
      <c r="A36" s="223" t="s">
        <v>142</v>
      </c>
      <c r="B36" s="224" t="s">
        <v>293</v>
      </c>
      <c r="C36" s="136" t="s">
        <v>347</v>
      </c>
      <c r="D36" s="136" t="s">
        <v>143</v>
      </c>
      <c r="E36" s="136" t="s">
        <v>267</v>
      </c>
      <c r="F36" s="225" t="s">
        <v>348</v>
      </c>
      <c r="G36" s="225">
        <v>1</v>
      </c>
      <c r="H36" s="15">
        <f>487000/D9</f>
        <v>162333.33333333334</v>
      </c>
      <c r="I36" s="227">
        <v>1</v>
      </c>
      <c r="J36" s="227">
        <v>0</v>
      </c>
      <c r="K36" s="228" t="s">
        <v>304</v>
      </c>
      <c r="L36" s="248" t="s">
        <v>284</v>
      </c>
      <c r="M36" s="229" t="s">
        <v>223</v>
      </c>
      <c r="N36" s="226" t="s">
        <v>49</v>
      </c>
      <c r="O36" s="226" t="s">
        <v>183</v>
      </c>
      <c r="P36" s="230">
        <v>160477.16</v>
      </c>
      <c r="Q36" s="231" t="s">
        <v>349</v>
      </c>
      <c r="R36" s="230">
        <v>0</v>
      </c>
      <c r="S36" s="230">
        <v>0</v>
      </c>
      <c r="T36" s="230">
        <f t="shared" si="0"/>
        <v>160477.16</v>
      </c>
      <c r="U36" s="232" t="s">
        <v>350</v>
      </c>
      <c r="V36" s="213"/>
      <c r="W36" s="213"/>
      <c r="X36" s="216"/>
      <c r="Y36" s="215"/>
      <c r="Z36" s="213"/>
      <c r="AA36" s="213"/>
    </row>
    <row r="37" spans="1:27" s="261" customFormat="1" ht="96.6" x14ac:dyDescent="0.25">
      <c r="A37" s="249" t="s">
        <v>144</v>
      </c>
      <c r="B37" s="250" t="s">
        <v>293</v>
      </c>
      <c r="C37" s="252" t="s">
        <v>351</v>
      </c>
      <c r="D37" s="252" t="s">
        <v>202</v>
      </c>
      <c r="E37" s="252" t="s">
        <v>267</v>
      </c>
      <c r="F37" s="251"/>
      <c r="G37" s="251"/>
      <c r="H37" s="253">
        <v>5909.090909090909</v>
      </c>
      <c r="I37" s="254">
        <v>1</v>
      </c>
      <c r="J37" s="254">
        <v>0</v>
      </c>
      <c r="K37" s="251" t="s">
        <v>352</v>
      </c>
      <c r="L37" s="257" t="s">
        <v>284</v>
      </c>
      <c r="M37" s="257" t="s">
        <v>191</v>
      </c>
      <c r="N37" s="257" t="s">
        <v>43</v>
      </c>
      <c r="O37" s="257" t="s">
        <v>43</v>
      </c>
      <c r="P37" s="230"/>
      <c r="Q37" s="231"/>
      <c r="R37" s="230">
        <v>0</v>
      </c>
      <c r="S37" s="230">
        <v>0</v>
      </c>
      <c r="T37" s="230">
        <f t="shared" si="0"/>
        <v>0</v>
      </c>
      <c r="U37" s="258" t="s">
        <v>194</v>
      </c>
      <c r="V37" s="259"/>
      <c r="W37" s="259"/>
      <c r="X37" s="262"/>
      <c r="Y37" s="260"/>
      <c r="Z37" s="259"/>
      <c r="AA37" s="259"/>
    </row>
    <row r="38" spans="1:27" s="261" customFormat="1" ht="41.4" x14ac:dyDescent="0.25">
      <c r="A38" s="249" t="s">
        <v>147</v>
      </c>
      <c r="B38" s="250" t="s">
        <v>293</v>
      </c>
      <c r="C38" s="252" t="s">
        <v>353</v>
      </c>
      <c r="D38" s="252" t="s">
        <v>148</v>
      </c>
      <c r="E38" s="252" t="s">
        <v>267</v>
      </c>
      <c r="F38" s="251"/>
      <c r="G38" s="251"/>
      <c r="H38" s="253">
        <v>36363.63636363636</v>
      </c>
      <c r="I38" s="254">
        <v>1</v>
      </c>
      <c r="J38" s="254">
        <v>0</v>
      </c>
      <c r="K38" s="251" t="s">
        <v>354</v>
      </c>
      <c r="L38" s="257" t="s">
        <v>284</v>
      </c>
      <c r="M38" s="257" t="s">
        <v>191</v>
      </c>
      <c r="N38" s="257" t="s">
        <v>43</v>
      </c>
      <c r="O38" s="257" t="s">
        <v>43</v>
      </c>
      <c r="P38" s="230"/>
      <c r="Q38" s="231"/>
      <c r="R38" s="230">
        <v>0</v>
      </c>
      <c r="S38" s="230">
        <v>0</v>
      </c>
      <c r="T38" s="230">
        <f t="shared" si="0"/>
        <v>0</v>
      </c>
      <c r="U38" s="258" t="s">
        <v>195</v>
      </c>
      <c r="V38" s="259"/>
      <c r="W38" s="259"/>
      <c r="X38" s="262"/>
      <c r="Y38" s="260"/>
      <c r="Z38" s="259"/>
      <c r="AA38" s="259"/>
    </row>
    <row r="39" spans="1:27" ht="82.8" x14ac:dyDescent="0.25">
      <c r="A39" s="223" t="s">
        <v>149</v>
      </c>
      <c r="B39" s="224" t="s">
        <v>293</v>
      </c>
      <c r="C39" s="156" t="s">
        <v>355</v>
      </c>
      <c r="D39" s="156" t="s">
        <v>150</v>
      </c>
      <c r="E39" s="156" t="s">
        <v>267</v>
      </c>
      <c r="F39" s="225"/>
      <c r="G39" s="225"/>
      <c r="H39" s="15">
        <f>150000/D9</f>
        <v>50000</v>
      </c>
      <c r="I39" s="227">
        <v>1</v>
      </c>
      <c r="J39" s="227">
        <v>0</v>
      </c>
      <c r="K39" s="228" t="s">
        <v>356</v>
      </c>
      <c r="L39" s="248" t="s">
        <v>284</v>
      </c>
      <c r="M39" s="229" t="s">
        <v>33</v>
      </c>
      <c r="N39" s="226" t="s">
        <v>50</v>
      </c>
      <c r="O39" s="226" t="s">
        <v>56</v>
      </c>
      <c r="P39" s="230"/>
      <c r="Q39" s="231"/>
      <c r="R39" s="230">
        <v>0</v>
      </c>
      <c r="S39" s="230">
        <v>0</v>
      </c>
      <c r="T39" s="230">
        <f t="shared" si="0"/>
        <v>0</v>
      </c>
      <c r="U39" s="232" t="s">
        <v>319</v>
      </c>
      <c r="V39" s="213"/>
      <c r="W39" s="213"/>
      <c r="X39" s="216"/>
      <c r="Y39" s="215"/>
      <c r="Z39" s="213"/>
      <c r="AA39" s="213"/>
    </row>
    <row r="40" spans="1:27" ht="82.8" x14ac:dyDescent="0.25">
      <c r="A40" s="223" t="s">
        <v>153</v>
      </c>
      <c r="B40" s="224" t="s">
        <v>293</v>
      </c>
      <c r="C40" s="156" t="s">
        <v>357</v>
      </c>
      <c r="D40" s="156" t="s">
        <v>154</v>
      </c>
      <c r="E40" s="156" t="s">
        <v>267</v>
      </c>
      <c r="F40" s="225" t="s">
        <v>358</v>
      </c>
      <c r="G40" s="225">
        <v>1</v>
      </c>
      <c r="H40" s="15">
        <f>200000/D9</f>
        <v>66666.666666666672</v>
      </c>
      <c r="I40" s="227">
        <v>1</v>
      </c>
      <c r="J40" s="227">
        <v>0</v>
      </c>
      <c r="K40" s="228" t="s">
        <v>314</v>
      </c>
      <c r="L40" s="248" t="s">
        <v>284</v>
      </c>
      <c r="M40" s="229" t="s">
        <v>223</v>
      </c>
      <c r="N40" s="226" t="s">
        <v>32</v>
      </c>
      <c r="O40" s="226" t="s">
        <v>183</v>
      </c>
      <c r="P40" s="230">
        <v>49268.14</v>
      </c>
      <c r="Q40" s="231" t="s">
        <v>359</v>
      </c>
      <c r="R40" s="230">
        <v>0</v>
      </c>
      <c r="S40" s="230">
        <v>0</v>
      </c>
      <c r="T40" s="230">
        <f t="shared" si="0"/>
        <v>49268.14</v>
      </c>
      <c r="U40" s="232" t="s">
        <v>360</v>
      </c>
      <c r="V40" s="213"/>
      <c r="W40" s="213"/>
      <c r="X40" s="216"/>
      <c r="Y40" s="215"/>
      <c r="Z40" s="213"/>
      <c r="AA40" s="213"/>
    </row>
    <row r="41" spans="1:27" ht="96.6" x14ac:dyDescent="0.25">
      <c r="A41" s="223" t="s">
        <v>155</v>
      </c>
      <c r="B41" s="224" t="s">
        <v>293</v>
      </c>
      <c r="C41" s="156" t="s">
        <v>361</v>
      </c>
      <c r="D41" s="156" t="s">
        <v>156</v>
      </c>
      <c r="E41" s="156" t="s">
        <v>267</v>
      </c>
      <c r="F41" s="225"/>
      <c r="G41" s="225"/>
      <c r="H41" s="15">
        <f>180000/D9</f>
        <v>60000</v>
      </c>
      <c r="I41" s="227">
        <v>1</v>
      </c>
      <c r="J41" s="227">
        <v>0</v>
      </c>
      <c r="K41" s="228" t="s">
        <v>297</v>
      </c>
      <c r="L41" s="248" t="s">
        <v>284</v>
      </c>
      <c r="M41" s="229" t="s">
        <v>33</v>
      </c>
      <c r="N41" s="226" t="s">
        <v>231</v>
      </c>
      <c r="O41" s="226" t="s">
        <v>343</v>
      </c>
      <c r="P41" s="230"/>
      <c r="Q41" s="231"/>
      <c r="R41" s="230">
        <v>0</v>
      </c>
      <c r="S41" s="230">
        <v>0</v>
      </c>
      <c r="T41" s="230">
        <f t="shared" si="0"/>
        <v>0</v>
      </c>
      <c r="U41" s="232" t="s">
        <v>319</v>
      </c>
      <c r="V41" s="213"/>
      <c r="W41" s="213"/>
      <c r="X41" s="216"/>
      <c r="Y41" s="215"/>
      <c r="Z41" s="213"/>
      <c r="AA41" s="213"/>
    </row>
    <row r="42" spans="1:27" ht="55.2" x14ac:dyDescent="0.25">
      <c r="A42" s="223" t="s">
        <v>157</v>
      </c>
      <c r="B42" s="224" t="s">
        <v>293</v>
      </c>
      <c r="C42" s="156" t="s">
        <v>362</v>
      </c>
      <c r="D42" s="156" t="s">
        <v>363</v>
      </c>
      <c r="E42" s="156" t="s">
        <v>326</v>
      </c>
      <c r="F42" s="225"/>
      <c r="G42" s="225"/>
      <c r="H42" s="15">
        <v>6666.666666666667</v>
      </c>
      <c r="I42" s="227">
        <v>1</v>
      </c>
      <c r="J42" s="227">
        <v>0</v>
      </c>
      <c r="K42" s="228" t="s">
        <v>356</v>
      </c>
      <c r="L42" s="248" t="s">
        <v>284</v>
      </c>
      <c r="M42" s="229" t="s">
        <v>163</v>
      </c>
      <c r="N42" s="226" t="s">
        <v>44</v>
      </c>
      <c r="O42" s="226" t="s">
        <v>50</v>
      </c>
      <c r="P42" s="230"/>
      <c r="Q42" s="231"/>
      <c r="R42" s="230">
        <v>0</v>
      </c>
      <c r="S42" s="230">
        <v>0</v>
      </c>
      <c r="T42" s="230">
        <f t="shared" si="0"/>
        <v>0</v>
      </c>
      <c r="U42" s="232"/>
      <c r="V42" s="213"/>
      <c r="W42" s="213"/>
      <c r="X42" s="216"/>
      <c r="Y42" s="215"/>
      <c r="Z42" s="213"/>
      <c r="AA42" s="213"/>
    </row>
    <row r="43" spans="1:27" ht="41.4" x14ac:dyDescent="0.25">
      <c r="A43" s="223" t="s">
        <v>216</v>
      </c>
      <c r="B43" s="224" t="s">
        <v>293</v>
      </c>
      <c r="C43" s="156" t="s">
        <v>217</v>
      </c>
      <c r="D43" s="156" t="s">
        <v>217</v>
      </c>
      <c r="E43" s="156" t="s">
        <v>267</v>
      </c>
      <c r="F43" s="225" t="s">
        <v>364</v>
      </c>
      <c r="G43" s="225">
        <v>1</v>
      </c>
      <c r="H43" s="15">
        <v>3000</v>
      </c>
      <c r="I43" s="227">
        <v>1</v>
      </c>
      <c r="J43" s="227">
        <v>0</v>
      </c>
      <c r="K43" s="228" t="s">
        <v>328</v>
      </c>
      <c r="L43" s="248" t="s">
        <v>284</v>
      </c>
      <c r="M43" s="229" t="s">
        <v>223</v>
      </c>
      <c r="N43" s="226" t="s">
        <v>74</v>
      </c>
      <c r="O43" s="226" t="s">
        <v>183</v>
      </c>
      <c r="P43" s="230">
        <v>2970.78</v>
      </c>
      <c r="Q43" s="231" t="s">
        <v>365</v>
      </c>
      <c r="R43" s="230">
        <v>0</v>
      </c>
      <c r="S43" s="230">
        <v>0</v>
      </c>
      <c r="T43" s="230">
        <f t="shared" si="0"/>
        <v>2970.78</v>
      </c>
      <c r="U43" s="232" t="s">
        <v>366</v>
      </c>
      <c r="V43" s="213"/>
      <c r="W43" s="213"/>
      <c r="X43" s="216"/>
      <c r="Y43" s="215"/>
      <c r="Z43" s="213"/>
      <c r="AA43" s="213"/>
    </row>
    <row r="44" spans="1:27" s="247" customFormat="1" ht="41.4" x14ac:dyDescent="0.25">
      <c r="A44" s="249" t="s">
        <v>246</v>
      </c>
      <c r="B44" s="250" t="s">
        <v>293</v>
      </c>
      <c r="C44" s="252" t="s">
        <v>247</v>
      </c>
      <c r="D44" s="252" t="s">
        <v>247</v>
      </c>
      <c r="E44" s="252" t="s">
        <v>267</v>
      </c>
      <c r="F44" s="251"/>
      <c r="G44" s="251"/>
      <c r="H44" s="263">
        <v>45454.545454545449</v>
      </c>
      <c r="I44" s="254">
        <v>1</v>
      </c>
      <c r="J44" s="254">
        <v>0</v>
      </c>
      <c r="K44" s="255" t="s">
        <v>328</v>
      </c>
      <c r="L44" s="256" t="s">
        <v>284</v>
      </c>
      <c r="M44" s="257" t="s">
        <v>191</v>
      </c>
      <c r="N44" s="257" t="s">
        <v>44</v>
      </c>
      <c r="O44" s="257" t="s">
        <v>44</v>
      </c>
      <c r="P44" s="230"/>
      <c r="Q44" s="231"/>
      <c r="R44" s="230">
        <v>0</v>
      </c>
      <c r="S44" s="230">
        <v>0</v>
      </c>
      <c r="T44" s="230">
        <f t="shared" si="0"/>
        <v>0</v>
      </c>
      <c r="U44" s="258" t="s">
        <v>367</v>
      </c>
      <c r="V44" s="244"/>
      <c r="W44" s="244"/>
      <c r="X44" s="245"/>
      <c r="Y44" s="246"/>
      <c r="Z44" s="244"/>
      <c r="AA44" s="244"/>
    </row>
    <row r="45" spans="1:27" s="247" customFormat="1" ht="41.4" x14ac:dyDescent="0.25">
      <c r="A45" s="297" t="s">
        <v>368</v>
      </c>
      <c r="B45" s="224" t="s">
        <v>293</v>
      </c>
      <c r="C45" s="136" t="s">
        <v>369</v>
      </c>
      <c r="D45" s="136" t="s">
        <v>370</v>
      </c>
      <c r="E45" s="136" t="s">
        <v>267</v>
      </c>
      <c r="F45" s="225"/>
      <c r="G45" s="225"/>
      <c r="H45" s="138">
        <f>5900000/D9</f>
        <v>1966666.6666666667</v>
      </c>
      <c r="I45" s="227">
        <v>1</v>
      </c>
      <c r="J45" s="227">
        <v>0</v>
      </c>
      <c r="K45" s="228" t="s">
        <v>304</v>
      </c>
      <c r="L45" s="248" t="s">
        <v>284</v>
      </c>
      <c r="M45" s="226" t="s">
        <v>33</v>
      </c>
      <c r="N45" s="226" t="s">
        <v>183</v>
      </c>
      <c r="O45" s="226" t="s">
        <v>133</v>
      </c>
      <c r="P45" s="230"/>
      <c r="Q45" s="231"/>
      <c r="R45" s="230">
        <v>0</v>
      </c>
      <c r="S45" s="230">
        <v>0</v>
      </c>
      <c r="T45" s="230">
        <f t="shared" si="0"/>
        <v>0</v>
      </c>
      <c r="U45" s="232" t="s">
        <v>332</v>
      </c>
      <c r="V45" s="244"/>
      <c r="W45" s="244"/>
      <c r="X45" s="245"/>
      <c r="Y45" s="246"/>
      <c r="Z45" s="244"/>
      <c r="AA45" s="244"/>
    </row>
    <row r="46" spans="1:27" s="247" customFormat="1" ht="41.4" x14ac:dyDescent="0.25">
      <c r="A46" s="297" t="s">
        <v>371</v>
      </c>
      <c r="B46" s="224" t="s">
        <v>293</v>
      </c>
      <c r="C46" s="136" t="s">
        <v>372</v>
      </c>
      <c r="D46" s="136" t="s">
        <v>373</v>
      </c>
      <c r="E46" s="136" t="s">
        <v>267</v>
      </c>
      <c r="F46" s="225"/>
      <c r="G46" s="225"/>
      <c r="H46" s="138">
        <f>110000/D9</f>
        <v>36666.666666666664</v>
      </c>
      <c r="I46" s="227">
        <v>1</v>
      </c>
      <c r="J46" s="227">
        <v>0</v>
      </c>
      <c r="K46" s="228" t="s">
        <v>328</v>
      </c>
      <c r="L46" s="248" t="s">
        <v>284</v>
      </c>
      <c r="M46" s="226" t="s">
        <v>33</v>
      </c>
      <c r="N46" s="226" t="s">
        <v>183</v>
      </c>
      <c r="O46" s="226" t="s">
        <v>133</v>
      </c>
      <c r="P46" s="230"/>
      <c r="Q46" s="231"/>
      <c r="R46" s="230">
        <v>0</v>
      </c>
      <c r="S46" s="230">
        <v>0</v>
      </c>
      <c r="T46" s="230">
        <f t="shared" si="0"/>
        <v>0</v>
      </c>
      <c r="U46" s="232" t="s">
        <v>319</v>
      </c>
      <c r="V46" s="244"/>
      <c r="W46" s="244"/>
      <c r="X46" s="245"/>
      <c r="Y46" s="246"/>
      <c r="Z46" s="244"/>
      <c r="AA46" s="244"/>
    </row>
    <row r="47" spans="1:27" s="247" customFormat="1" ht="41.4" x14ac:dyDescent="0.25">
      <c r="A47" s="297" t="s">
        <v>374</v>
      </c>
      <c r="B47" s="224" t="s">
        <v>293</v>
      </c>
      <c r="C47" s="136" t="s">
        <v>375</v>
      </c>
      <c r="D47" s="136" t="s">
        <v>376</v>
      </c>
      <c r="E47" s="136" t="s">
        <v>267</v>
      </c>
      <c r="F47" s="225"/>
      <c r="G47" s="225"/>
      <c r="H47" s="15">
        <f>400000/D9</f>
        <v>133333.33333333334</v>
      </c>
      <c r="I47" s="227">
        <v>1</v>
      </c>
      <c r="J47" s="227">
        <v>0</v>
      </c>
      <c r="K47" s="228" t="s">
        <v>297</v>
      </c>
      <c r="L47" s="248" t="s">
        <v>284</v>
      </c>
      <c r="M47" s="226" t="s">
        <v>33</v>
      </c>
      <c r="N47" s="226" t="s">
        <v>183</v>
      </c>
      <c r="O47" s="226" t="s">
        <v>133</v>
      </c>
      <c r="P47" s="230"/>
      <c r="Q47" s="231"/>
      <c r="R47" s="230">
        <v>0</v>
      </c>
      <c r="S47" s="230">
        <v>0</v>
      </c>
      <c r="T47" s="230">
        <f t="shared" si="0"/>
        <v>0</v>
      </c>
      <c r="U47" s="232" t="s">
        <v>332</v>
      </c>
      <c r="V47" s="244"/>
      <c r="W47" s="244"/>
      <c r="X47" s="245"/>
      <c r="Y47" s="246"/>
      <c r="Z47" s="244"/>
      <c r="AA47" s="244"/>
    </row>
    <row r="48" spans="1:27" s="247" customFormat="1" ht="41.4" x14ac:dyDescent="0.25">
      <c r="A48" s="249" t="s">
        <v>377</v>
      </c>
      <c r="B48" s="250" t="s">
        <v>293</v>
      </c>
      <c r="C48" s="252" t="s">
        <v>378</v>
      </c>
      <c r="D48" s="252" t="s">
        <v>379</v>
      </c>
      <c r="E48" s="252" t="s">
        <v>267</v>
      </c>
      <c r="F48" s="251"/>
      <c r="G48" s="251"/>
      <c r="H48" s="263">
        <f>4000/D9</f>
        <v>1333.3333333333333</v>
      </c>
      <c r="I48" s="254">
        <v>1</v>
      </c>
      <c r="J48" s="254">
        <v>0</v>
      </c>
      <c r="K48" s="255" t="s">
        <v>328</v>
      </c>
      <c r="L48" s="256" t="s">
        <v>284</v>
      </c>
      <c r="M48" s="257" t="s">
        <v>191</v>
      </c>
      <c r="N48" s="257" t="s">
        <v>183</v>
      </c>
      <c r="O48" s="257" t="s">
        <v>133</v>
      </c>
      <c r="P48" s="281"/>
      <c r="Q48" s="280"/>
      <c r="R48" s="281">
        <v>0</v>
      </c>
      <c r="S48" s="281">
        <v>0</v>
      </c>
      <c r="T48" s="281">
        <f t="shared" si="0"/>
        <v>0</v>
      </c>
      <c r="U48" s="258" t="s">
        <v>517</v>
      </c>
      <c r="V48" s="244"/>
      <c r="W48" s="244"/>
      <c r="X48" s="245"/>
      <c r="Y48" s="246"/>
      <c r="Z48" s="244"/>
      <c r="AA48" s="244"/>
    </row>
    <row r="49" spans="1:27" s="247" customFormat="1" ht="41.4" x14ac:dyDescent="0.25">
      <c r="A49" s="343" t="s">
        <v>518</v>
      </c>
      <c r="B49" s="344" t="s">
        <v>293</v>
      </c>
      <c r="C49" s="345" t="s">
        <v>519</v>
      </c>
      <c r="D49" s="345" t="s">
        <v>520</v>
      </c>
      <c r="E49" s="346" t="s">
        <v>267</v>
      </c>
      <c r="F49" s="345"/>
      <c r="G49" s="345"/>
      <c r="H49" s="347">
        <f>2400000/D9</f>
        <v>800000</v>
      </c>
      <c r="I49" s="348">
        <v>1</v>
      </c>
      <c r="J49" s="348">
        <v>0</v>
      </c>
      <c r="K49" s="345" t="s">
        <v>297</v>
      </c>
      <c r="L49" s="349" t="s">
        <v>284</v>
      </c>
      <c r="M49" s="349" t="s">
        <v>163</v>
      </c>
      <c r="N49" s="349" t="s">
        <v>50</v>
      </c>
      <c r="O49" s="349" t="s">
        <v>75</v>
      </c>
      <c r="P49" s="350"/>
      <c r="Q49" s="351"/>
      <c r="R49" s="352">
        <v>0</v>
      </c>
      <c r="S49" s="352">
        <v>0</v>
      </c>
      <c r="T49" s="352">
        <f t="shared" si="0"/>
        <v>0</v>
      </c>
      <c r="U49" s="353" t="s">
        <v>332</v>
      </c>
      <c r="V49" s="244"/>
      <c r="W49" s="244"/>
      <c r="X49" s="245"/>
      <c r="Y49" s="246"/>
      <c r="Z49" s="244"/>
      <c r="AA49" s="244"/>
    </row>
    <row r="50" spans="1:27" s="247" customFormat="1" ht="55.2" x14ac:dyDescent="0.25">
      <c r="A50" s="354" t="s">
        <v>521</v>
      </c>
      <c r="B50" s="355" t="s">
        <v>293</v>
      </c>
      <c r="C50" s="356" t="s">
        <v>522</v>
      </c>
      <c r="D50" s="356" t="s">
        <v>523</v>
      </c>
      <c r="E50" s="357" t="s">
        <v>267</v>
      </c>
      <c r="F50" s="356"/>
      <c r="G50" s="356"/>
      <c r="H50" s="358">
        <f>350000/D9</f>
        <v>116666.66666666667</v>
      </c>
      <c r="I50" s="359">
        <v>1</v>
      </c>
      <c r="J50" s="359">
        <v>0</v>
      </c>
      <c r="K50" s="356" t="s">
        <v>328</v>
      </c>
      <c r="L50" s="360" t="s">
        <v>284</v>
      </c>
      <c r="M50" s="360" t="s">
        <v>33</v>
      </c>
      <c r="N50" s="360" t="s">
        <v>50</v>
      </c>
      <c r="O50" s="360" t="s">
        <v>56</v>
      </c>
      <c r="P50" s="361"/>
      <c r="Q50" s="362"/>
      <c r="R50" s="363">
        <v>0</v>
      </c>
      <c r="S50" s="363">
        <v>0</v>
      </c>
      <c r="T50" s="363">
        <f t="shared" si="0"/>
        <v>0</v>
      </c>
      <c r="U50" s="364" t="s">
        <v>332</v>
      </c>
      <c r="V50" s="244"/>
      <c r="W50" s="244"/>
      <c r="X50" s="245"/>
      <c r="Y50" s="246"/>
      <c r="Z50" s="244"/>
      <c r="AA50" s="244"/>
    </row>
    <row r="51" spans="1:27" ht="27.6" x14ac:dyDescent="0.3">
      <c r="X51" s="216" t="s">
        <v>267</v>
      </c>
      <c r="Y51" s="222"/>
    </row>
    <row r="52" spans="1:27" ht="15.75" customHeight="1" x14ac:dyDescent="0.3">
      <c r="A52" s="207"/>
      <c r="B52" s="339" t="s">
        <v>380</v>
      </c>
      <c r="C52" s="340"/>
      <c r="D52" s="340"/>
      <c r="E52" s="340"/>
      <c r="F52" s="340"/>
      <c r="G52" s="340"/>
      <c r="H52" s="340"/>
      <c r="I52" s="340"/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1"/>
      <c r="X52" s="216" t="s">
        <v>381</v>
      </c>
      <c r="Y52" s="222"/>
    </row>
    <row r="53" spans="1:27" ht="15" customHeight="1" x14ac:dyDescent="0.3">
      <c r="A53" s="630" t="s">
        <v>268</v>
      </c>
      <c r="B53" s="631" t="s">
        <v>309</v>
      </c>
      <c r="C53" s="632" t="s">
        <v>270</v>
      </c>
      <c r="D53" s="632" t="s">
        <v>271</v>
      </c>
      <c r="E53" s="632" t="s">
        <v>272</v>
      </c>
      <c r="F53" s="632" t="s">
        <v>273</v>
      </c>
      <c r="G53" s="632" t="s">
        <v>310</v>
      </c>
      <c r="H53" s="633" t="s">
        <v>274</v>
      </c>
      <c r="I53" s="633"/>
      <c r="J53" s="633"/>
      <c r="K53" s="632" t="s">
        <v>275</v>
      </c>
      <c r="L53" s="632" t="s">
        <v>276</v>
      </c>
      <c r="M53" s="630" t="s">
        <v>277</v>
      </c>
      <c r="N53" s="632" t="s">
        <v>278</v>
      </c>
      <c r="O53" s="632"/>
      <c r="P53" s="630" t="s">
        <v>279</v>
      </c>
      <c r="Q53" s="630" t="s">
        <v>280</v>
      </c>
      <c r="R53" s="637" t="s">
        <v>281</v>
      </c>
      <c r="S53" s="637"/>
      <c r="T53" s="630" t="s">
        <v>282</v>
      </c>
      <c r="U53" s="634" t="s">
        <v>283</v>
      </c>
      <c r="X53" s="216" t="s">
        <v>382</v>
      </c>
      <c r="Y53" s="222"/>
    </row>
    <row r="54" spans="1:27" ht="36.75" customHeight="1" x14ac:dyDescent="0.3">
      <c r="A54" s="630"/>
      <c r="B54" s="631"/>
      <c r="C54" s="632"/>
      <c r="D54" s="632"/>
      <c r="E54" s="632"/>
      <c r="F54" s="632"/>
      <c r="G54" s="632"/>
      <c r="H54" s="219" t="s">
        <v>285</v>
      </c>
      <c r="I54" s="220" t="s">
        <v>286</v>
      </c>
      <c r="J54" s="220" t="s">
        <v>287</v>
      </c>
      <c r="K54" s="632"/>
      <c r="L54" s="632"/>
      <c r="M54" s="630"/>
      <c r="N54" s="218" t="s">
        <v>383</v>
      </c>
      <c r="O54" s="218" t="s">
        <v>289</v>
      </c>
      <c r="P54" s="630"/>
      <c r="Q54" s="630"/>
      <c r="R54" s="221" t="s">
        <v>290</v>
      </c>
      <c r="S54" s="217" t="s">
        <v>291</v>
      </c>
      <c r="T54" s="630"/>
      <c r="U54" s="634"/>
      <c r="X54" s="216" t="s">
        <v>384</v>
      </c>
      <c r="Y54" s="222"/>
    </row>
    <row r="55" spans="1:27" s="261" customFormat="1" ht="55.2" x14ac:dyDescent="0.3">
      <c r="A55" s="249" t="s">
        <v>92</v>
      </c>
      <c r="B55" s="250" t="s">
        <v>293</v>
      </c>
      <c r="C55" s="251" t="s">
        <v>385</v>
      </c>
      <c r="D55" s="277" t="s">
        <v>386</v>
      </c>
      <c r="E55" s="252" t="s">
        <v>326</v>
      </c>
      <c r="F55" s="251"/>
      <c r="G55" s="251"/>
      <c r="H55" s="278">
        <v>92727.272727272721</v>
      </c>
      <c r="I55" s="254">
        <v>1</v>
      </c>
      <c r="J55" s="254">
        <v>0</v>
      </c>
      <c r="K55" s="251" t="s">
        <v>387</v>
      </c>
      <c r="L55" s="257" t="s">
        <v>284</v>
      </c>
      <c r="M55" s="257" t="s">
        <v>191</v>
      </c>
      <c r="N55" s="257" t="s">
        <v>44</v>
      </c>
      <c r="O55" s="257" t="s">
        <v>97</v>
      </c>
      <c r="P55" s="279"/>
      <c r="Q55" s="280"/>
      <c r="R55" s="281">
        <v>0</v>
      </c>
      <c r="S55" s="281">
        <v>0</v>
      </c>
      <c r="T55" s="281">
        <f t="shared" ref="T55:T62" si="1">+P55+S55</f>
        <v>0</v>
      </c>
      <c r="U55" s="258" t="s">
        <v>388</v>
      </c>
      <c r="X55" s="282"/>
      <c r="Y55" s="283"/>
    </row>
    <row r="56" spans="1:27" ht="41.4" x14ac:dyDescent="0.3">
      <c r="A56" s="223" t="s">
        <v>98</v>
      </c>
      <c r="B56" s="224" t="s">
        <v>293</v>
      </c>
      <c r="C56" s="156" t="s">
        <v>99</v>
      </c>
      <c r="D56" s="156" t="s">
        <v>389</v>
      </c>
      <c r="E56" s="136" t="s">
        <v>326</v>
      </c>
      <c r="F56" s="225"/>
      <c r="G56" s="225"/>
      <c r="H56" s="284">
        <f>35000/D9</f>
        <v>11666.666666666666</v>
      </c>
      <c r="I56" s="227">
        <v>1</v>
      </c>
      <c r="J56" s="227">
        <v>0</v>
      </c>
      <c r="K56" s="228" t="s">
        <v>356</v>
      </c>
      <c r="L56" s="226" t="s">
        <v>284</v>
      </c>
      <c r="M56" s="229" t="s">
        <v>33</v>
      </c>
      <c r="N56" s="226" t="s">
        <v>183</v>
      </c>
      <c r="O56" s="226" t="s">
        <v>50</v>
      </c>
      <c r="P56" s="285"/>
      <c r="Q56" s="231"/>
      <c r="R56" s="230">
        <v>0</v>
      </c>
      <c r="S56" s="230">
        <v>0</v>
      </c>
      <c r="T56" s="230">
        <f t="shared" si="1"/>
        <v>0</v>
      </c>
      <c r="U56" s="232"/>
      <c r="X56" s="214"/>
      <c r="Y56" s="222"/>
    </row>
    <row r="57" spans="1:27" ht="69" x14ac:dyDescent="0.3">
      <c r="A57" s="223" t="s">
        <v>189</v>
      </c>
      <c r="B57" s="224" t="s">
        <v>293</v>
      </c>
      <c r="C57" s="156" t="s">
        <v>390</v>
      </c>
      <c r="D57" s="156" t="s">
        <v>190</v>
      </c>
      <c r="E57" s="136" t="s">
        <v>267</v>
      </c>
      <c r="F57" s="225"/>
      <c r="G57" s="225"/>
      <c r="H57" s="365">
        <f>30000/D9</f>
        <v>10000</v>
      </c>
      <c r="I57" s="227">
        <v>1</v>
      </c>
      <c r="J57" s="227">
        <v>0</v>
      </c>
      <c r="K57" s="225" t="s">
        <v>322</v>
      </c>
      <c r="L57" s="226" t="s">
        <v>284</v>
      </c>
      <c r="M57" s="229" t="s">
        <v>163</v>
      </c>
      <c r="N57" s="226" t="s">
        <v>50</v>
      </c>
      <c r="O57" s="226" t="s">
        <v>75</v>
      </c>
      <c r="P57" s="285"/>
      <c r="Q57" s="231"/>
      <c r="R57" s="230">
        <v>0</v>
      </c>
      <c r="S57" s="230">
        <v>0</v>
      </c>
      <c r="T57" s="230">
        <f t="shared" si="1"/>
        <v>0</v>
      </c>
      <c r="U57" s="232" t="s">
        <v>332</v>
      </c>
      <c r="X57" s="214"/>
      <c r="Y57" s="222"/>
    </row>
    <row r="58" spans="1:27" ht="82.8" x14ac:dyDescent="0.3">
      <c r="A58" s="223" t="s">
        <v>209</v>
      </c>
      <c r="B58" s="224" t="s">
        <v>293</v>
      </c>
      <c r="C58" s="225" t="s">
        <v>391</v>
      </c>
      <c r="D58" s="136" t="s">
        <v>392</v>
      </c>
      <c r="E58" s="136" t="s">
        <v>267</v>
      </c>
      <c r="F58" s="225"/>
      <c r="G58" s="225"/>
      <c r="H58" s="365">
        <f>260000/D9</f>
        <v>86666.666666666672</v>
      </c>
      <c r="I58" s="227">
        <v>1</v>
      </c>
      <c r="J58" s="227">
        <v>0</v>
      </c>
      <c r="K58" s="225" t="s">
        <v>393</v>
      </c>
      <c r="L58" s="226" t="s">
        <v>284</v>
      </c>
      <c r="M58" s="229" t="s">
        <v>163</v>
      </c>
      <c r="N58" s="226" t="s">
        <v>50</v>
      </c>
      <c r="O58" s="226" t="s">
        <v>56</v>
      </c>
      <c r="P58" s="285"/>
      <c r="Q58" s="231"/>
      <c r="R58" s="230">
        <v>0</v>
      </c>
      <c r="S58" s="230">
        <v>0</v>
      </c>
      <c r="T58" s="230">
        <f t="shared" si="1"/>
        <v>0</v>
      </c>
      <c r="U58" s="232" t="s">
        <v>332</v>
      </c>
      <c r="X58" s="214"/>
      <c r="Y58" s="222"/>
    </row>
    <row r="59" spans="1:27" ht="41.4" x14ac:dyDescent="0.3">
      <c r="A59" s="223" t="s">
        <v>235</v>
      </c>
      <c r="B59" s="224" t="s">
        <v>293</v>
      </c>
      <c r="C59" s="225" t="s">
        <v>394</v>
      </c>
      <c r="D59" s="136" t="s">
        <v>236</v>
      </c>
      <c r="E59" s="136" t="s">
        <v>267</v>
      </c>
      <c r="F59" s="225" t="s">
        <v>395</v>
      </c>
      <c r="G59" s="225">
        <v>1</v>
      </c>
      <c r="H59" s="284">
        <v>70454.545454545456</v>
      </c>
      <c r="I59" s="227">
        <v>1</v>
      </c>
      <c r="J59" s="227">
        <v>0</v>
      </c>
      <c r="K59" s="225" t="s">
        <v>396</v>
      </c>
      <c r="L59" s="226" t="s">
        <v>284</v>
      </c>
      <c r="M59" s="229" t="s">
        <v>223</v>
      </c>
      <c r="N59" s="226" t="s">
        <v>32</v>
      </c>
      <c r="O59" s="226" t="s">
        <v>183</v>
      </c>
      <c r="P59" s="285">
        <v>59900.62</v>
      </c>
      <c r="Q59" s="231" t="s">
        <v>397</v>
      </c>
      <c r="R59" s="230">
        <v>0</v>
      </c>
      <c r="S59" s="230">
        <v>0</v>
      </c>
      <c r="T59" s="230">
        <f t="shared" si="1"/>
        <v>59900.62</v>
      </c>
      <c r="U59" s="232" t="s">
        <v>332</v>
      </c>
      <c r="X59" s="214"/>
      <c r="Y59" s="222"/>
    </row>
    <row r="60" spans="1:27" ht="41.4" x14ac:dyDescent="0.3">
      <c r="A60" s="343" t="s">
        <v>524</v>
      </c>
      <c r="B60" s="344" t="s">
        <v>293</v>
      </c>
      <c r="C60" s="345" t="s">
        <v>525</v>
      </c>
      <c r="D60" s="345" t="s">
        <v>526</v>
      </c>
      <c r="E60" s="346" t="s">
        <v>326</v>
      </c>
      <c r="F60" s="345"/>
      <c r="G60" s="345"/>
      <c r="H60" s="347">
        <f>34000/D9</f>
        <v>11333.333333333334</v>
      </c>
      <c r="I60" s="348">
        <v>1</v>
      </c>
      <c r="J60" s="348">
        <v>0</v>
      </c>
      <c r="K60" s="345" t="s">
        <v>396</v>
      </c>
      <c r="L60" s="349" t="s">
        <v>284</v>
      </c>
      <c r="M60" s="349" t="s">
        <v>163</v>
      </c>
      <c r="N60" s="349" t="s">
        <v>50</v>
      </c>
      <c r="O60" s="349" t="s">
        <v>133</v>
      </c>
      <c r="P60" s="350"/>
      <c r="Q60" s="351"/>
      <c r="R60" s="352">
        <v>0</v>
      </c>
      <c r="S60" s="352">
        <v>0</v>
      </c>
      <c r="T60" s="352">
        <f t="shared" si="1"/>
        <v>0</v>
      </c>
      <c r="U60" s="353"/>
      <c r="X60" s="214"/>
      <c r="Y60" s="222"/>
    </row>
    <row r="61" spans="1:27" ht="55.2" x14ac:dyDescent="0.3">
      <c r="A61" s="343" t="s">
        <v>527</v>
      </c>
      <c r="B61" s="344" t="s">
        <v>293</v>
      </c>
      <c r="C61" s="345" t="s">
        <v>528</v>
      </c>
      <c r="D61" s="345" t="s">
        <v>529</v>
      </c>
      <c r="E61" s="346" t="s">
        <v>326</v>
      </c>
      <c r="F61" s="345"/>
      <c r="G61" s="345"/>
      <c r="H61" s="347">
        <f>350000/D9</f>
        <v>116666.66666666667</v>
      </c>
      <c r="I61" s="348">
        <v>1</v>
      </c>
      <c r="J61" s="348">
        <v>0</v>
      </c>
      <c r="K61" s="345" t="s">
        <v>396</v>
      </c>
      <c r="L61" s="349" t="s">
        <v>284</v>
      </c>
      <c r="M61" s="349" t="s">
        <v>163</v>
      </c>
      <c r="N61" s="349" t="s">
        <v>50</v>
      </c>
      <c r="O61" s="349" t="s">
        <v>133</v>
      </c>
      <c r="P61" s="350"/>
      <c r="Q61" s="351"/>
      <c r="R61" s="352">
        <v>0</v>
      </c>
      <c r="S61" s="352">
        <v>0</v>
      </c>
      <c r="T61" s="352">
        <f t="shared" si="1"/>
        <v>0</v>
      </c>
      <c r="U61" s="353"/>
      <c r="X61" s="214"/>
      <c r="Y61" s="222"/>
    </row>
    <row r="62" spans="1:27" ht="41.4" x14ac:dyDescent="0.3">
      <c r="A62" s="354" t="s">
        <v>530</v>
      </c>
      <c r="B62" s="355" t="s">
        <v>293</v>
      </c>
      <c r="C62" s="356" t="s">
        <v>531</v>
      </c>
      <c r="D62" s="356" t="s">
        <v>532</v>
      </c>
      <c r="E62" s="357" t="s">
        <v>267</v>
      </c>
      <c r="F62" s="356"/>
      <c r="G62" s="356"/>
      <c r="H62" s="358">
        <f>600000/D9</f>
        <v>200000</v>
      </c>
      <c r="I62" s="359">
        <v>1</v>
      </c>
      <c r="J62" s="359">
        <v>0</v>
      </c>
      <c r="K62" s="356" t="s">
        <v>396</v>
      </c>
      <c r="L62" s="360" t="s">
        <v>284</v>
      </c>
      <c r="M62" s="360" t="s">
        <v>33</v>
      </c>
      <c r="N62" s="360" t="s">
        <v>133</v>
      </c>
      <c r="O62" s="360" t="s">
        <v>75</v>
      </c>
      <c r="P62" s="361"/>
      <c r="Q62" s="362"/>
      <c r="R62" s="363">
        <v>0</v>
      </c>
      <c r="S62" s="363">
        <v>0</v>
      </c>
      <c r="T62" s="363">
        <f t="shared" si="1"/>
        <v>0</v>
      </c>
      <c r="U62" s="364" t="s">
        <v>319</v>
      </c>
      <c r="X62" s="214"/>
      <c r="Y62" s="222"/>
    </row>
    <row r="63" spans="1:27" ht="27.6" x14ac:dyDescent="0.3">
      <c r="X63" s="216" t="s">
        <v>267</v>
      </c>
      <c r="Y63" s="222"/>
    </row>
    <row r="64" spans="1:27" ht="15.75" customHeight="1" x14ac:dyDescent="0.3">
      <c r="A64" s="207"/>
      <c r="B64" s="629" t="s">
        <v>398</v>
      </c>
      <c r="C64" s="629"/>
      <c r="D64" s="629"/>
      <c r="E64" s="629"/>
      <c r="F64" s="629"/>
      <c r="G64" s="629"/>
      <c r="H64" s="629"/>
      <c r="I64" s="629"/>
      <c r="J64" s="629"/>
      <c r="K64" s="629"/>
      <c r="L64" s="629"/>
      <c r="M64" s="629"/>
      <c r="N64" s="629"/>
      <c r="O64" s="629"/>
      <c r="P64" s="629"/>
      <c r="Q64" s="629"/>
      <c r="R64" s="629"/>
      <c r="S64" s="629"/>
      <c r="T64" s="629"/>
      <c r="U64" s="629"/>
      <c r="X64" s="216" t="s">
        <v>381</v>
      </c>
      <c r="Y64" s="222"/>
    </row>
    <row r="65" spans="1:25" ht="15" customHeight="1" x14ac:dyDescent="0.3">
      <c r="A65" s="630" t="s">
        <v>268</v>
      </c>
      <c r="B65" s="631" t="s">
        <v>309</v>
      </c>
      <c r="C65" s="632" t="s">
        <v>270</v>
      </c>
      <c r="D65" s="632" t="s">
        <v>271</v>
      </c>
      <c r="E65" s="632" t="s">
        <v>272</v>
      </c>
      <c r="F65" s="632" t="s">
        <v>273</v>
      </c>
      <c r="G65" s="632" t="s">
        <v>310</v>
      </c>
      <c r="H65" s="633" t="s">
        <v>274</v>
      </c>
      <c r="I65" s="633"/>
      <c r="J65" s="633"/>
      <c r="K65" s="632" t="s">
        <v>275</v>
      </c>
      <c r="L65" s="632" t="s">
        <v>276</v>
      </c>
      <c r="M65" s="630" t="s">
        <v>277</v>
      </c>
      <c r="N65" s="632" t="s">
        <v>278</v>
      </c>
      <c r="O65" s="632"/>
      <c r="P65" s="630" t="s">
        <v>279</v>
      </c>
      <c r="Q65" s="630" t="s">
        <v>280</v>
      </c>
      <c r="R65" s="637" t="s">
        <v>281</v>
      </c>
      <c r="S65" s="637"/>
      <c r="T65" s="630" t="s">
        <v>282</v>
      </c>
      <c r="U65" s="634" t="s">
        <v>283</v>
      </c>
      <c r="X65" s="216" t="s">
        <v>382</v>
      </c>
      <c r="Y65" s="222"/>
    </row>
    <row r="66" spans="1:25" ht="36.75" customHeight="1" x14ac:dyDescent="0.3">
      <c r="A66" s="630"/>
      <c r="B66" s="631"/>
      <c r="C66" s="632"/>
      <c r="D66" s="632"/>
      <c r="E66" s="632"/>
      <c r="F66" s="632"/>
      <c r="G66" s="632"/>
      <c r="H66" s="219" t="s">
        <v>285</v>
      </c>
      <c r="I66" s="220" t="s">
        <v>286</v>
      </c>
      <c r="J66" s="220" t="s">
        <v>287</v>
      </c>
      <c r="K66" s="632"/>
      <c r="L66" s="632"/>
      <c r="M66" s="630"/>
      <c r="N66" s="218" t="s">
        <v>383</v>
      </c>
      <c r="O66" s="218" t="s">
        <v>289</v>
      </c>
      <c r="P66" s="630"/>
      <c r="Q66" s="630"/>
      <c r="R66" s="221" t="s">
        <v>290</v>
      </c>
      <c r="S66" s="217" t="s">
        <v>291</v>
      </c>
      <c r="T66" s="630"/>
      <c r="U66" s="634"/>
      <c r="X66" s="216" t="s">
        <v>384</v>
      </c>
      <c r="Y66" s="222"/>
    </row>
    <row r="67" spans="1:25" ht="69" x14ac:dyDescent="0.3">
      <c r="A67" s="168" t="s">
        <v>166</v>
      </c>
      <c r="B67" s="224" t="s">
        <v>293</v>
      </c>
      <c r="C67" s="156" t="s">
        <v>167</v>
      </c>
      <c r="D67" s="156" t="s">
        <v>399</v>
      </c>
      <c r="E67" s="136" t="s">
        <v>267</v>
      </c>
      <c r="F67" s="225" t="s">
        <v>298</v>
      </c>
      <c r="G67" s="225" t="s">
        <v>298</v>
      </c>
      <c r="H67" s="284">
        <f>606000/D9</f>
        <v>202000</v>
      </c>
      <c r="I67" s="227">
        <v>1</v>
      </c>
      <c r="J67" s="227">
        <v>0</v>
      </c>
      <c r="K67" s="225" t="s">
        <v>297</v>
      </c>
      <c r="L67" s="226" t="s">
        <v>284</v>
      </c>
      <c r="M67" s="229" t="s">
        <v>163</v>
      </c>
      <c r="N67" s="140" t="s">
        <v>43</v>
      </c>
      <c r="O67" s="140" t="s">
        <v>43</v>
      </c>
      <c r="P67" s="285" t="s">
        <v>298</v>
      </c>
      <c r="Q67" s="231" t="s">
        <v>298</v>
      </c>
      <c r="R67" s="230">
        <v>0</v>
      </c>
      <c r="S67" s="230">
        <v>0</v>
      </c>
      <c r="T67" s="230">
        <v>0</v>
      </c>
      <c r="U67" s="232" t="s">
        <v>400</v>
      </c>
      <c r="X67" s="216" t="s">
        <v>401</v>
      </c>
      <c r="Y67" s="222"/>
    </row>
    <row r="68" spans="1:25" ht="41.4" x14ac:dyDescent="0.3">
      <c r="A68" s="168" t="s">
        <v>203</v>
      </c>
      <c r="B68" s="224" t="s">
        <v>293</v>
      </c>
      <c r="C68" s="136" t="s">
        <v>402</v>
      </c>
      <c r="D68" s="136" t="s">
        <v>402</v>
      </c>
      <c r="E68" s="136" t="s">
        <v>267</v>
      </c>
      <c r="F68" s="225" t="s">
        <v>403</v>
      </c>
      <c r="G68" s="225">
        <v>1</v>
      </c>
      <c r="H68" s="284">
        <v>9046</v>
      </c>
      <c r="I68" s="227">
        <v>1</v>
      </c>
      <c r="J68" s="227">
        <v>0</v>
      </c>
      <c r="K68" s="225" t="s">
        <v>352</v>
      </c>
      <c r="L68" s="226" t="s">
        <v>284</v>
      </c>
      <c r="M68" s="229" t="s">
        <v>223</v>
      </c>
      <c r="N68" s="188" t="s">
        <v>43</v>
      </c>
      <c r="O68" s="188" t="s">
        <v>32</v>
      </c>
      <c r="P68" s="296">
        <f>19902.4/2.2764</f>
        <v>8742.9274292742921</v>
      </c>
      <c r="Q68" s="231" t="s">
        <v>404</v>
      </c>
      <c r="R68" s="230">
        <v>0</v>
      </c>
      <c r="S68" s="230">
        <v>0</v>
      </c>
      <c r="T68" s="230">
        <f>+P68+S68</f>
        <v>8742.9274292742921</v>
      </c>
      <c r="U68" s="232" t="s">
        <v>405</v>
      </c>
      <c r="X68" s="214"/>
      <c r="Y68" s="222"/>
    </row>
    <row r="69" spans="1:25" ht="69" x14ac:dyDescent="0.3">
      <c r="X69" s="216" t="s">
        <v>406</v>
      </c>
      <c r="Y69" s="222"/>
    </row>
    <row r="70" spans="1:25" ht="15.75" customHeight="1" x14ac:dyDescent="0.3">
      <c r="A70" s="207"/>
      <c r="B70" s="629" t="s">
        <v>407</v>
      </c>
      <c r="C70" s="629"/>
      <c r="D70" s="629"/>
      <c r="E70" s="629"/>
      <c r="F70" s="629"/>
      <c r="G70" s="629"/>
      <c r="H70" s="629"/>
      <c r="I70" s="629"/>
      <c r="J70" s="629"/>
      <c r="K70" s="629"/>
      <c r="L70" s="629"/>
      <c r="M70" s="629"/>
      <c r="N70" s="629"/>
      <c r="O70" s="629"/>
      <c r="P70" s="629"/>
      <c r="Q70" s="629"/>
      <c r="R70" s="629"/>
      <c r="S70" s="629"/>
      <c r="T70" s="629"/>
      <c r="U70" s="629"/>
      <c r="X70" s="216" t="s">
        <v>408</v>
      </c>
      <c r="Y70" s="222"/>
    </row>
    <row r="71" spans="1:25" ht="15" customHeight="1" x14ac:dyDescent="0.3">
      <c r="A71" s="630" t="s">
        <v>268</v>
      </c>
      <c r="B71" s="631" t="s">
        <v>309</v>
      </c>
      <c r="C71" s="632" t="s">
        <v>270</v>
      </c>
      <c r="D71" s="632" t="s">
        <v>271</v>
      </c>
      <c r="E71" s="632" t="s">
        <v>272</v>
      </c>
      <c r="F71" s="632" t="s">
        <v>273</v>
      </c>
      <c r="G71" s="632"/>
      <c r="H71" s="633" t="s">
        <v>274</v>
      </c>
      <c r="I71" s="633"/>
      <c r="J71" s="633"/>
      <c r="K71" s="632" t="s">
        <v>275</v>
      </c>
      <c r="L71" s="632" t="s">
        <v>276</v>
      </c>
      <c r="M71" s="630" t="s">
        <v>277</v>
      </c>
      <c r="N71" s="632" t="s">
        <v>278</v>
      </c>
      <c r="O71" s="632"/>
      <c r="P71" s="630" t="s">
        <v>279</v>
      </c>
      <c r="Q71" s="630" t="s">
        <v>280</v>
      </c>
      <c r="R71" s="630" t="s">
        <v>281</v>
      </c>
      <c r="S71" s="630"/>
      <c r="T71" s="630" t="s">
        <v>282</v>
      </c>
      <c r="U71" s="634" t="s">
        <v>283</v>
      </c>
      <c r="X71" s="216" t="s">
        <v>409</v>
      </c>
      <c r="Y71" s="222"/>
    </row>
    <row r="72" spans="1:25" ht="38.25" customHeight="1" x14ac:dyDescent="0.3">
      <c r="A72" s="630"/>
      <c r="B72" s="631"/>
      <c r="C72" s="632"/>
      <c r="D72" s="632"/>
      <c r="E72" s="632"/>
      <c r="F72" s="632"/>
      <c r="G72" s="632"/>
      <c r="H72" s="218" t="s">
        <v>285</v>
      </c>
      <c r="I72" s="220" t="s">
        <v>286</v>
      </c>
      <c r="J72" s="220" t="s">
        <v>287</v>
      </c>
      <c r="K72" s="632"/>
      <c r="L72" s="632"/>
      <c r="M72" s="630"/>
      <c r="N72" s="218" t="s">
        <v>410</v>
      </c>
      <c r="O72" s="218" t="s">
        <v>289</v>
      </c>
      <c r="P72" s="630"/>
      <c r="Q72" s="630"/>
      <c r="R72" s="221" t="s">
        <v>290</v>
      </c>
      <c r="S72" s="221" t="s">
        <v>291</v>
      </c>
      <c r="T72" s="630"/>
      <c r="U72" s="634"/>
      <c r="X72" s="216" t="s">
        <v>411</v>
      </c>
      <c r="Y72" s="222"/>
    </row>
    <row r="73" spans="1:25" ht="35.1" customHeight="1" x14ac:dyDescent="0.25">
      <c r="A73" s="223" t="s">
        <v>34</v>
      </c>
      <c r="B73" s="224" t="s">
        <v>293</v>
      </c>
      <c r="C73" s="225" t="s">
        <v>35</v>
      </c>
      <c r="D73" s="143" t="s">
        <v>412</v>
      </c>
      <c r="E73" s="143" t="s">
        <v>413</v>
      </c>
      <c r="F73" s="638" t="s">
        <v>414</v>
      </c>
      <c r="G73" s="638"/>
      <c r="H73" s="298">
        <v>121818</v>
      </c>
      <c r="I73" s="227">
        <v>0.8</v>
      </c>
      <c r="J73" s="227">
        <v>0.2</v>
      </c>
      <c r="K73" s="228" t="s">
        <v>354</v>
      </c>
      <c r="L73" s="297" t="s">
        <v>292</v>
      </c>
      <c r="M73" s="145" t="s">
        <v>223</v>
      </c>
      <c r="N73" s="188" t="s">
        <v>43</v>
      </c>
      <c r="O73" s="188" t="s">
        <v>74</v>
      </c>
      <c r="P73" s="285">
        <v>64698.01</v>
      </c>
      <c r="Q73" s="231" t="s">
        <v>415</v>
      </c>
      <c r="R73" s="230">
        <v>0</v>
      </c>
      <c r="S73" s="230">
        <v>0</v>
      </c>
      <c r="T73" s="230">
        <f t="shared" ref="T73:T89" si="2">+P73+S73</f>
        <v>64698.01</v>
      </c>
      <c r="U73" s="232"/>
      <c r="X73" s="216" t="s">
        <v>416</v>
      </c>
      <c r="Y73" s="214"/>
    </row>
    <row r="74" spans="1:25" ht="69" x14ac:dyDescent="0.25">
      <c r="A74" s="223" t="s">
        <v>39</v>
      </c>
      <c r="B74" s="224" t="s">
        <v>293</v>
      </c>
      <c r="C74" s="225" t="s">
        <v>417</v>
      </c>
      <c r="D74" s="143" t="s">
        <v>418</v>
      </c>
      <c r="E74" s="143" t="s">
        <v>408</v>
      </c>
      <c r="F74" s="638"/>
      <c r="G74" s="638"/>
      <c r="H74" s="298">
        <v>8333.3333333333339</v>
      </c>
      <c r="I74" s="227">
        <v>1</v>
      </c>
      <c r="J74" s="227">
        <v>0</v>
      </c>
      <c r="K74" s="228" t="s">
        <v>419</v>
      </c>
      <c r="L74" s="297" t="s">
        <v>284</v>
      </c>
      <c r="M74" s="140" t="s">
        <v>33</v>
      </c>
      <c r="N74" s="188" t="s">
        <v>75</v>
      </c>
      <c r="O74" s="188" t="s">
        <v>56</v>
      </c>
      <c r="P74" s="231"/>
      <c r="Q74" s="231"/>
      <c r="R74" s="230">
        <v>0</v>
      </c>
      <c r="S74" s="230">
        <v>0</v>
      </c>
      <c r="T74" s="230">
        <f t="shared" si="2"/>
        <v>0</v>
      </c>
      <c r="U74" s="232"/>
      <c r="X74" s="216" t="s">
        <v>267</v>
      </c>
      <c r="Y74" s="214"/>
    </row>
    <row r="75" spans="1:25" ht="82.8" x14ac:dyDescent="0.25">
      <c r="A75" s="223" t="s">
        <v>45</v>
      </c>
      <c r="B75" s="224" t="s">
        <v>293</v>
      </c>
      <c r="C75" s="225" t="s">
        <v>420</v>
      </c>
      <c r="D75" s="136" t="s">
        <v>421</v>
      </c>
      <c r="E75" s="136" t="s">
        <v>267</v>
      </c>
      <c r="F75" s="638"/>
      <c r="G75" s="638"/>
      <c r="H75" s="298">
        <f>205000/D9</f>
        <v>68333.333333333328</v>
      </c>
      <c r="I75" s="227">
        <v>0</v>
      </c>
      <c r="J75" s="227">
        <v>1</v>
      </c>
      <c r="K75" s="228" t="s">
        <v>422</v>
      </c>
      <c r="L75" s="297" t="s">
        <v>267</v>
      </c>
      <c r="M75" s="140" t="s">
        <v>223</v>
      </c>
      <c r="N75" s="188" t="s">
        <v>74</v>
      </c>
      <c r="O75" s="188" t="s">
        <v>44</v>
      </c>
      <c r="P75" s="285">
        <f>205000/3</f>
        <v>68333.333333333328</v>
      </c>
      <c r="Q75" s="231" t="s">
        <v>298</v>
      </c>
      <c r="R75" s="230">
        <v>0</v>
      </c>
      <c r="S75" s="230">
        <v>0</v>
      </c>
      <c r="T75" s="230">
        <f t="shared" si="2"/>
        <v>68333.333333333328</v>
      </c>
      <c r="U75" s="232" t="s">
        <v>423</v>
      </c>
      <c r="X75" s="216"/>
      <c r="Y75" s="214"/>
    </row>
    <row r="76" spans="1:25" ht="55.2" x14ac:dyDescent="0.25">
      <c r="A76" s="223" t="s">
        <v>51</v>
      </c>
      <c r="B76" s="224" t="s">
        <v>293</v>
      </c>
      <c r="C76" s="225" t="s">
        <v>424</v>
      </c>
      <c r="D76" s="136" t="s">
        <v>425</v>
      </c>
      <c r="E76" s="136" t="s">
        <v>413</v>
      </c>
      <c r="F76" s="638"/>
      <c r="G76" s="638"/>
      <c r="H76" s="298">
        <f>900000/D9</f>
        <v>300000</v>
      </c>
      <c r="I76" s="227">
        <v>1</v>
      </c>
      <c r="J76" s="227">
        <v>0</v>
      </c>
      <c r="K76" s="228" t="s">
        <v>419</v>
      </c>
      <c r="L76" s="297" t="s">
        <v>292</v>
      </c>
      <c r="M76" s="140" t="s">
        <v>33</v>
      </c>
      <c r="N76" s="188" t="s">
        <v>50</v>
      </c>
      <c r="O76" s="188" t="s">
        <v>56</v>
      </c>
      <c r="P76" s="231"/>
      <c r="Q76" s="231"/>
      <c r="R76" s="230">
        <v>0</v>
      </c>
      <c r="S76" s="230">
        <v>0</v>
      </c>
      <c r="T76" s="230">
        <f t="shared" si="2"/>
        <v>0</v>
      </c>
      <c r="U76" s="232"/>
      <c r="X76" s="216"/>
      <c r="Y76" s="214"/>
    </row>
    <row r="77" spans="1:25" ht="110.4" x14ac:dyDescent="0.25">
      <c r="A77" s="223" t="s">
        <v>53</v>
      </c>
      <c r="B77" s="224" t="s">
        <v>293</v>
      </c>
      <c r="C77" s="225" t="s">
        <v>426</v>
      </c>
      <c r="D77" s="136" t="s">
        <v>54</v>
      </c>
      <c r="E77" s="136" t="s">
        <v>409</v>
      </c>
      <c r="F77" s="638"/>
      <c r="G77" s="638"/>
      <c r="H77" s="298">
        <v>90136.363636363632</v>
      </c>
      <c r="I77" s="227">
        <v>1</v>
      </c>
      <c r="J77" s="227">
        <v>0</v>
      </c>
      <c r="K77" s="228" t="s">
        <v>318</v>
      </c>
      <c r="L77" s="297" t="s">
        <v>292</v>
      </c>
      <c r="M77" s="140" t="s">
        <v>223</v>
      </c>
      <c r="N77" s="188" t="s">
        <v>32</v>
      </c>
      <c r="O77" s="188" t="s">
        <v>74</v>
      </c>
      <c r="P77" s="285">
        <v>68691.759999999995</v>
      </c>
      <c r="Q77" s="231" t="s">
        <v>427</v>
      </c>
      <c r="R77" s="230">
        <v>0</v>
      </c>
      <c r="S77" s="230">
        <v>0</v>
      </c>
      <c r="T77" s="230">
        <f t="shared" si="2"/>
        <v>68691.759999999995</v>
      </c>
      <c r="U77" s="232"/>
      <c r="X77" s="216"/>
      <c r="Y77" s="214"/>
    </row>
    <row r="78" spans="1:25" s="261" customFormat="1" ht="55.2" x14ac:dyDescent="0.25">
      <c r="A78" s="249" t="s">
        <v>57</v>
      </c>
      <c r="B78" s="250" t="s">
        <v>293</v>
      </c>
      <c r="C78" s="251" t="s">
        <v>428</v>
      </c>
      <c r="D78" s="252" t="s">
        <v>58</v>
      </c>
      <c r="E78" s="252" t="s">
        <v>408</v>
      </c>
      <c r="F78" s="638"/>
      <c r="G78" s="638"/>
      <c r="H78" s="299">
        <v>27681.81818181818</v>
      </c>
      <c r="I78" s="254">
        <v>1</v>
      </c>
      <c r="J78" s="254">
        <v>0</v>
      </c>
      <c r="K78" s="255" t="s">
        <v>318</v>
      </c>
      <c r="L78" s="249" t="s">
        <v>284</v>
      </c>
      <c r="M78" s="300" t="s">
        <v>191</v>
      </c>
      <c r="N78" s="301" t="s">
        <v>227</v>
      </c>
      <c r="O78" s="301" t="s">
        <v>59</v>
      </c>
      <c r="P78" s="280"/>
      <c r="Q78" s="280"/>
      <c r="R78" s="230">
        <v>0</v>
      </c>
      <c r="S78" s="230">
        <v>0</v>
      </c>
      <c r="T78" s="230">
        <f t="shared" si="2"/>
        <v>0</v>
      </c>
      <c r="U78" s="258" t="s">
        <v>429</v>
      </c>
      <c r="X78" s="262"/>
      <c r="Y78" s="282"/>
    </row>
    <row r="79" spans="1:25" ht="96.6" x14ac:dyDescent="0.25">
      <c r="A79" s="223" t="s">
        <v>60</v>
      </c>
      <c r="B79" s="224" t="s">
        <v>293</v>
      </c>
      <c r="C79" s="225" t="s">
        <v>430</v>
      </c>
      <c r="D79" s="151" t="s">
        <v>61</v>
      </c>
      <c r="E79" s="151" t="s">
        <v>408</v>
      </c>
      <c r="F79" s="638"/>
      <c r="G79" s="638"/>
      <c r="H79" s="298">
        <f>500000/D9</f>
        <v>166666.66666666666</v>
      </c>
      <c r="I79" s="227">
        <v>1</v>
      </c>
      <c r="J79" s="227">
        <v>0</v>
      </c>
      <c r="K79" s="228" t="s">
        <v>342</v>
      </c>
      <c r="L79" s="297" t="s">
        <v>284</v>
      </c>
      <c r="M79" s="140" t="s">
        <v>33</v>
      </c>
      <c r="N79" s="188" t="s">
        <v>133</v>
      </c>
      <c r="O79" s="188" t="s">
        <v>70</v>
      </c>
      <c r="P79" s="231"/>
      <c r="Q79" s="231"/>
      <c r="R79" s="230">
        <v>0</v>
      </c>
      <c r="S79" s="230">
        <v>0</v>
      </c>
      <c r="T79" s="230">
        <f t="shared" si="2"/>
        <v>0</v>
      </c>
      <c r="U79" s="232"/>
      <c r="X79" s="216"/>
      <c r="Y79" s="214"/>
    </row>
    <row r="80" spans="1:25" s="261" customFormat="1" ht="124.2" x14ac:dyDescent="0.25">
      <c r="A80" s="249" t="s">
        <v>63</v>
      </c>
      <c r="B80" s="250" t="s">
        <v>293</v>
      </c>
      <c r="C80" s="251" t="s">
        <v>431</v>
      </c>
      <c r="D80" s="252" t="s">
        <v>432</v>
      </c>
      <c r="E80" s="252" t="s">
        <v>408</v>
      </c>
      <c r="F80" s="638"/>
      <c r="G80" s="638"/>
      <c r="H80" s="299">
        <v>181818.18181818179</v>
      </c>
      <c r="I80" s="254">
        <v>1</v>
      </c>
      <c r="J80" s="254">
        <v>0</v>
      </c>
      <c r="K80" s="255" t="s">
        <v>297</v>
      </c>
      <c r="L80" s="249" t="s">
        <v>284</v>
      </c>
      <c r="M80" s="300" t="s">
        <v>191</v>
      </c>
      <c r="N80" s="301" t="s">
        <v>183</v>
      </c>
      <c r="O80" s="301" t="s">
        <v>38</v>
      </c>
      <c r="P80" s="280"/>
      <c r="Q80" s="280"/>
      <c r="R80" s="230">
        <v>0</v>
      </c>
      <c r="S80" s="230">
        <v>0</v>
      </c>
      <c r="T80" s="230">
        <f t="shared" si="2"/>
        <v>0</v>
      </c>
      <c r="U80" s="258" t="s">
        <v>433</v>
      </c>
      <c r="X80" s="262"/>
      <c r="Y80" s="282"/>
    </row>
    <row r="81" spans="1:25" ht="82.8" x14ac:dyDescent="0.25">
      <c r="A81" s="223" t="s">
        <v>66</v>
      </c>
      <c r="B81" s="224" t="s">
        <v>293</v>
      </c>
      <c r="C81" s="225" t="s">
        <v>434</v>
      </c>
      <c r="D81" s="225" t="s">
        <v>435</v>
      </c>
      <c r="E81" s="225" t="s">
        <v>406</v>
      </c>
      <c r="F81" s="638"/>
      <c r="G81" s="638"/>
      <c r="H81" s="298">
        <v>500000</v>
      </c>
      <c r="I81" s="227">
        <v>1</v>
      </c>
      <c r="J81" s="227">
        <v>0</v>
      </c>
      <c r="K81" s="228" t="s">
        <v>436</v>
      </c>
      <c r="L81" s="297" t="s">
        <v>284</v>
      </c>
      <c r="M81" s="140" t="s">
        <v>163</v>
      </c>
      <c r="N81" s="188" t="s">
        <v>183</v>
      </c>
      <c r="O81" s="188" t="s">
        <v>133</v>
      </c>
      <c r="P81" s="231"/>
      <c r="Q81" s="231"/>
      <c r="R81" s="230">
        <v>0</v>
      </c>
      <c r="S81" s="230">
        <v>0</v>
      </c>
      <c r="T81" s="230">
        <f t="shared" si="2"/>
        <v>0</v>
      </c>
      <c r="U81" s="232"/>
      <c r="X81" s="216"/>
      <c r="Y81" s="214"/>
    </row>
    <row r="82" spans="1:25" ht="57.45" customHeight="1" x14ac:dyDescent="0.25">
      <c r="A82" s="223" t="s">
        <v>71</v>
      </c>
      <c r="B82" s="224" t="s">
        <v>293</v>
      </c>
      <c r="C82" s="225" t="s">
        <v>437</v>
      </c>
      <c r="D82" s="136" t="s">
        <v>438</v>
      </c>
      <c r="E82" s="136" t="s">
        <v>408</v>
      </c>
      <c r="F82" s="638" t="s">
        <v>439</v>
      </c>
      <c r="G82" s="638"/>
      <c r="H82" s="298">
        <f>360000/D9</f>
        <v>120000</v>
      </c>
      <c r="I82" s="227">
        <v>1</v>
      </c>
      <c r="J82" s="227">
        <v>0</v>
      </c>
      <c r="K82" s="228" t="s">
        <v>356</v>
      </c>
      <c r="L82" s="297" t="s">
        <v>284</v>
      </c>
      <c r="M82" s="140" t="s">
        <v>223</v>
      </c>
      <c r="N82" s="188" t="s">
        <v>74</v>
      </c>
      <c r="O82" s="188" t="s">
        <v>44</v>
      </c>
      <c r="P82" s="302">
        <v>115994.34</v>
      </c>
      <c r="Q82" s="231" t="s">
        <v>440</v>
      </c>
      <c r="R82" s="230">
        <v>0</v>
      </c>
      <c r="S82" s="230">
        <v>0</v>
      </c>
      <c r="T82" s="230">
        <f t="shared" si="2"/>
        <v>115994.34</v>
      </c>
      <c r="U82" s="232"/>
      <c r="X82" s="216"/>
      <c r="Y82" s="214"/>
    </row>
    <row r="83" spans="1:25" s="261" customFormat="1" ht="57.45" customHeight="1" x14ac:dyDescent="0.25">
      <c r="A83" s="249" t="s">
        <v>76</v>
      </c>
      <c r="B83" s="250" t="s">
        <v>293</v>
      </c>
      <c r="C83" s="251" t="s">
        <v>441</v>
      </c>
      <c r="D83" s="252" t="s">
        <v>442</v>
      </c>
      <c r="E83" s="252" t="s">
        <v>408</v>
      </c>
      <c r="F83" s="638" t="s">
        <v>225</v>
      </c>
      <c r="G83" s="638"/>
      <c r="H83" s="299">
        <v>113181.81818181818</v>
      </c>
      <c r="I83" s="254">
        <v>1</v>
      </c>
      <c r="J83" s="254">
        <v>0</v>
      </c>
      <c r="K83" s="255" t="s">
        <v>304</v>
      </c>
      <c r="L83" s="249" t="s">
        <v>284</v>
      </c>
      <c r="M83" s="300" t="s">
        <v>191</v>
      </c>
      <c r="N83" s="301" t="s">
        <v>231</v>
      </c>
      <c r="O83" s="301" t="s">
        <v>59</v>
      </c>
      <c r="P83" s="280"/>
      <c r="Q83" s="280"/>
      <c r="R83" s="230">
        <v>0</v>
      </c>
      <c r="S83" s="230">
        <v>0</v>
      </c>
      <c r="T83" s="230">
        <f t="shared" si="2"/>
        <v>0</v>
      </c>
      <c r="U83" s="258" t="s">
        <v>345</v>
      </c>
      <c r="X83" s="262"/>
      <c r="Y83" s="282"/>
    </row>
    <row r="84" spans="1:25" ht="55.2" x14ac:dyDescent="0.25">
      <c r="A84" s="223" t="s">
        <v>79</v>
      </c>
      <c r="B84" s="224" t="s">
        <v>293</v>
      </c>
      <c r="C84" s="225" t="s">
        <v>443</v>
      </c>
      <c r="D84" s="156" t="s">
        <v>80</v>
      </c>
      <c r="E84" s="136" t="s">
        <v>408</v>
      </c>
      <c r="F84" s="638"/>
      <c r="G84" s="638"/>
      <c r="H84" s="298">
        <f>427800/D9</f>
        <v>142600</v>
      </c>
      <c r="I84" s="227">
        <v>1</v>
      </c>
      <c r="J84" s="227">
        <v>0</v>
      </c>
      <c r="K84" s="228" t="s">
        <v>297</v>
      </c>
      <c r="L84" s="297" t="s">
        <v>284</v>
      </c>
      <c r="M84" s="140" t="s">
        <v>33</v>
      </c>
      <c r="N84" s="188" t="s">
        <v>56</v>
      </c>
      <c r="O84" s="188" t="s">
        <v>343</v>
      </c>
      <c r="P84" s="231"/>
      <c r="Q84" s="231"/>
      <c r="R84" s="230">
        <v>0</v>
      </c>
      <c r="S84" s="230">
        <v>0</v>
      </c>
      <c r="T84" s="230">
        <f t="shared" si="2"/>
        <v>0</v>
      </c>
      <c r="U84" s="232"/>
      <c r="X84" s="216"/>
      <c r="Y84" s="214"/>
    </row>
    <row r="85" spans="1:25" ht="55.2" x14ac:dyDescent="0.25">
      <c r="A85" s="223" t="s">
        <v>81</v>
      </c>
      <c r="B85" s="224" t="s">
        <v>293</v>
      </c>
      <c r="C85" s="225" t="s">
        <v>444</v>
      </c>
      <c r="D85" s="156" t="s">
        <v>82</v>
      </c>
      <c r="E85" s="136" t="s">
        <v>408</v>
      </c>
      <c r="F85" s="638"/>
      <c r="G85" s="638"/>
      <c r="H85" s="298">
        <f>135600/D9</f>
        <v>45200</v>
      </c>
      <c r="I85" s="227">
        <v>1</v>
      </c>
      <c r="J85" s="227">
        <v>0</v>
      </c>
      <c r="K85" s="228" t="s">
        <v>297</v>
      </c>
      <c r="L85" s="297" t="s">
        <v>284</v>
      </c>
      <c r="M85" s="140" t="s">
        <v>33</v>
      </c>
      <c r="N85" s="188" t="s">
        <v>56</v>
      </c>
      <c r="O85" s="188" t="s">
        <v>343</v>
      </c>
      <c r="P85" s="231"/>
      <c r="Q85" s="231"/>
      <c r="R85" s="230">
        <v>0</v>
      </c>
      <c r="S85" s="230">
        <v>0</v>
      </c>
      <c r="T85" s="230">
        <f t="shared" si="2"/>
        <v>0</v>
      </c>
      <c r="U85" s="232"/>
      <c r="X85" s="216"/>
      <c r="Y85" s="214"/>
    </row>
    <row r="86" spans="1:25" s="261" customFormat="1" ht="110.4" x14ac:dyDescent="0.25">
      <c r="A86" s="249" t="s">
        <v>83</v>
      </c>
      <c r="B86" s="250" t="s">
        <v>293</v>
      </c>
      <c r="C86" s="251" t="s">
        <v>445</v>
      </c>
      <c r="D86" s="252" t="s">
        <v>446</v>
      </c>
      <c r="E86" s="252" t="s">
        <v>408</v>
      </c>
      <c r="F86" s="638"/>
      <c r="G86" s="638"/>
      <c r="H86" s="299">
        <v>181818.18181818179</v>
      </c>
      <c r="I86" s="254">
        <v>1</v>
      </c>
      <c r="J86" s="254">
        <v>0</v>
      </c>
      <c r="K86" s="255" t="s">
        <v>447</v>
      </c>
      <c r="L86" s="249" t="s">
        <v>284</v>
      </c>
      <c r="M86" s="301" t="s">
        <v>191</v>
      </c>
      <c r="N86" s="301" t="s">
        <v>183</v>
      </c>
      <c r="O86" s="301" t="s">
        <v>38</v>
      </c>
      <c r="P86" s="280"/>
      <c r="Q86" s="280"/>
      <c r="R86" s="230">
        <v>0</v>
      </c>
      <c r="S86" s="230">
        <v>0</v>
      </c>
      <c r="T86" s="230">
        <f t="shared" si="2"/>
        <v>0</v>
      </c>
      <c r="U86" s="258"/>
      <c r="X86" s="262"/>
      <c r="Y86" s="282"/>
    </row>
    <row r="87" spans="1:25" ht="41.4" x14ac:dyDescent="0.25">
      <c r="A87" s="223" t="s">
        <v>86</v>
      </c>
      <c r="B87" s="224" t="s">
        <v>293</v>
      </c>
      <c r="C87" s="225" t="s">
        <v>87</v>
      </c>
      <c r="D87" s="156" t="s">
        <v>87</v>
      </c>
      <c r="E87" s="136" t="s">
        <v>408</v>
      </c>
      <c r="F87" s="638"/>
      <c r="G87" s="638"/>
      <c r="H87" s="298">
        <f>200000/D9</f>
        <v>66666.666666666672</v>
      </c>
      <c r="I87" s="227">
        <v>1</v>
      </c>
      <c r="J87" s="227">
        <v>0</v>
      </c>
      <c r="K87" s="228" t="s">
        <v>328</v>
      </c>
      <c r="L87" s="297" t="s">
        <v>284</v>
      </c>
      <c r="M87" s="140" t="s">
        <v>33</v>
      </c>
      <c r="N87" s="188" t="s">
        <v>50</v>
      </c>
      <c r="O87" s="188" t="s">
        <v>231</v>
      </c>
      <c r="P87" s="231"/>
      <c r="Q87" s="231"/>
      <c r="R87" s="230">
        <v>0</v>
      </c>
      <c r="S87" s="230">
        <v>0</v>
      </c>
      <c r="T87" s="230">
        <f t="shared" si="2"/>
        <v>0</v>
      </c>
      <c r="U87" s="232"/>
      <c r="X87" s="216"/>
      <c r="Y87" s="214"/>
    </row>
    <row r="88" spans="1:25" ht="41.4" x14ac:dyDescent="0.25">
      <c r="A88" s="343" t="s">
        <v>187</v>
      </c>
      <c r="B88" s="344" t="s">
        <v>293</v>
      </c>
      <c r="C88" s="345" t="s">
        <v>533</v>
      </c>
      <c r="D88" s="366" t="s">
        <v>534</v>
      </c>
      <c r="E88" s="346" t="s">
        <v>408</v>
      </c>
      <c r="F88" s="644"/>
      <c r="G88" s="644"/>
      <c r="H88" s="367">
        <f>100000/D9</f>
        <v>33333.333333333336</v>
      </c>
      <c r="I88" s="348">
        <v>1</v>
      </c>
      <c r="J88" s="348">
        <v>0</v>
      </c>
      <c r="K88" s="368" t="s">
        <v>328</v>
      </c>
      <c r="L88" s="343" t="s">
        <v>284</v>
      </c>
      <c r="M88" s="369" t="s">
        <v>33</v>
      </c>
      <c r="N88" s="370" t="s">
        <v>50</v>
      </c>
      <c r="O88" s="370" t="s">
        <v>56</v>
      </c>
      <c r="P88" s="231"/>
      <c r="Q88" s="231"/>
      <c r="R88" s="230">
        <v>0</v>
      </c>
      <c r="S88" s="230">
        <v>0</v>
      </c>
      <c r="T88" s="230">
        <f t="shared" si="2"/>
        <v>0</v>
      </c>
      <c r="U88" s="232"/>
      <c r="X88" s="216"/>
      <c r="Y88" s="214"/>
    </row>
    <row r="89" spans="1:25" ht="41.4" x14ac:dyDescent="0.25">
      <c r="A89" s="354" t="s">
        <v>535</v>
      </c>
      <c r="B89" s="355" t="s">
        <v>293</v>
      </c>
      <c r="C89" s="356" t="s">
        <v>536</v>
      </c>
      <c r="D89" s="371" t="s">
        <v>537</v>
      </c>
      <c r="E89" s="357" t="s">
        <v>408</v>
      </c>
      <c r="F89" s="645"/>
      <c r="G89" s="645"/>
      <c r="H89" s="372">
        <f>135000/D9</f>
        <v>45000</v>
      </c>
      <c r="I89" s="359">
        <v>1</v>
      </c>
      <c r="J89" s="359">
        <v>0</v>
      </c>
      <c r="K89" s="373" t="s">
        <v>328</v>
      </c>
      <c r="L89" s="354" t="s">
        <v>284</v>
      </c>
      <c r="M89" s="374" t="s">
        <v>33</v>
      </c>
      <c r="N89" s="375" t="s">
        <v>50</v>
      </c>
      <c r="O89" s="375" t="s">
        <v>75</v>
      </c>
      <c r="P89" s="376"/>
      <c r="Q89" s="376"/>
      <c r="R89" s="377">
        <v>0</v>
      </c>
      <c r="S89" s="377">
        <v>0</v>
      </c>
      <c r="T89" s="377">
        <f t="shared" si="2"/>
        <v>0</v>
      </c>
      <c r="U89" s="378"/>
      <c r="X89" s="216"/>
      <c r="Y89" s="214"/>
    </row>
    <row r="90" spans="1:25" ht="27.6" x14ac:dyDescent="0.3">
      <c r="X90" s="309" t="s">
        <v>448</v>
      </c>
      <c r="Y90" s="309" t="s">
        <v>449</v>
      </c>
    </row>
    <row r="91" spans="1:25" ht="15.6" customHeight="1" x14ac:dyDescent="0.25">
      <c r="A91" s="207"/>
      <c r="B91" s="629" t="s">
        <v>450</v>
      </c>
      <c r="C91" s="629"/>
      <c r="D91" s="629"/>
      <c r="E91" s="629"/>
      <c r="F91" s="629"/>
      <c r="G91" s="629"/>
      <c r="H91" s="629"/>
      <c r="I91" s="629"/>
      <c r="J91" s="629"/>
      <c r="K91" s="629"/>
      <c r="L91" s="629"/>
      <c r="M91" s="629"/>
      <c r="N91" s="629"/>
      <c r="O91" s="629"/>
      <c r="P91" s="629"/>
      <c r="Q91" s="629"/>
      <c r="R91" s="629"/>
      <c r="S91" s="629"/>
      <c r="T91" s="629"/>
      <c r="U91" s="629"/>
      <c r="X91" s="309" t="s">
        <v>451</v>
      </c>
      <c r="Y91" s="309" t="s">
        <v>449</v>
      </c>
    </row>
    <row r="92" spans="1:25" ht="15" customHeight="1" x14ac:dyDescent="0.25">
      <c r="A92" s="630" t="s">
        <v>268</v>
      </c>
      <c r="B92" s="631" t="s">
        <v>309</v>
      </c>
      <c r="C92" s="632" t="s">
        <v>270</v>
      </c>
      <c r="D92" s="632" t="s">
        <v>271</v>
      </c>
      <c r="E92" s="632" t="s">
        <v>272</v>
      </c>
      <c r="F92" s="632" t="s">
        <v>452</v>
      </c>
      <c r="G92" s="632"/>
      <c r="H92" s="633" t="s">
        <v>274</v>
      </c>
      <c r="I92" s="633"/>
      <c r="J92" s="633"/>
      <c r="K92" s="632" t="s">
        <v>275</v>
      </c>
      <c r="L92" s="632" t="s">
        <v>276</v>
      </c>
      <c r="M92" s="630" t="s">
        <v>277</v>
      </c>
      <c r="N92" s="632" t="s">
        <v>278</v>
      </c>
      <c r="O92" s="632"/>
      <c r="P92" s="630" t="s">
        <v>279</v>
      </c>
      <c r="Q92" s="630" t="s">
        <v>280</v>
      </c>
      <c r="R92" s="630" t="s">
        <v>281</v>
      </c>
      <c r="S92" s="630"/>
      <c r="T92" s="630" t="s">
        <v>282</v>
      </c>
      <c r="U92" s="634" t="s">
        <v>283</v>
      </c>
      <c r="X92" s="309" t="s">
        <v>453</v>
      </c>
      <c r="Y92" s="309" t="s">
        <v>454</v>
      </c>
    </row>
    <row r="93" spans="1:25" ht="38.25" customHeight="1" x14ac:dyDescent="0.25">
      <c r="A93" s="630"/>
      <c r="B93" s="631"/>
      <c r="C93" s="632"/>
      <c r="D93" s="632"/>
      <c r="E93" s="632"/>
      <c r="F93" s="632"/>
      <c r="G93" s="632"/>
      <c r="H93" s="219" t="s">
        <v>285</v>
      </c>
      <c r="I93" s="220" t="s">
        <v>286</v>
      </c>
      <c r="J93" s="220" t="s">
        <v>287</v>
      </c>
      <c r="K93" s="632"/>
      <c r="L93" s="632"/>
      <c r="M93" s="630"/>
      <c r="N93" s="218" t="s">
        <v>455</v>
      </c>
      <c r="O93" s="218" t="s">
        <v>456</v>
      </c>
      <c r="P93" s="630"/>
      <c r="Q93" s="630"/>
      <c r="R93" s="221" t="s">
        <v>290</v>
      </c>
      <c r="S93" s="221" t="s">
        <v>291</v>
      </c>
      <c r="T93" s="630"/>
      <c r="U93" s="634"/>
      <c r="X93" s="309" t="s">
        <v>448</v>
      </c>
      <c r="Y93" s="309" t="s">
        <v>454</v>
      </c>
    </row>
    <row r="94" spans="1:25" ht="46.35" customHeight="1" x14ac:dyDescent="0.25">
      <c r="A94" s="223" t="s">
        <v>26</v>
      </c>
      <c r="B94" s="224" t="s">
        <v>293</v>
      </c>
      <c r="C94" s="225" t="s">
        <v>457</v>
      </c>
      <c r="D94" s="136" t="s">
        <v>458</v>
      </c>
      <c r="E94" s="225" t="s">
        <v>459</v>
      </c>
      <c r="F94" s="635" t="s">
        <v>460</v>
      </c>
      <c r="G94" s="635"/>
      <c r="H94" s="298">
        <v>46483.63636363636</v>
      </c>
      <c r="I94" s="227">
        <v>1</v>
      </c>
      <c r="J94" s="227">
        <v>0</v>
      </c>
      <c r="K94" s="228" t="s">
        <v>352</v>
      </c>
      <c r="L94" s="297" t="s">
        <v>284</v>
      </c>
      <c r="M94" s="140" t="s">
        <v>223</v>
      </c>
      <c r="N94" s="188" t="s">
        <v>43</v>
      </c>
      <c r="O94" s="188" t="s">
        <v>32</v>
      </c>
      <c r="P94" s="285">
        <v>44731</v>
      </c>
      <c r="Q94" s="231" t="s">
        <v>461</v>
      </c>
      <c r="R94" s="231">
        <v>0</v>
      </c>
      <c r="S94" s="231">
        <v>0</v>
      </c>
      <c r="T94" s="230">
        <f>+P94+S94</f>
        <v>44731</v>
      </c>
      <c r="U94" s="232" t="s">
        <v>462</v>
      </c>
      <c r="X94" s="309" t="s">
        <v>463</v>
      </c>
      <c r="Y94" s="309" t="s">
        <v>464</v>
      </c>
    </row>
    <row r="95" spans="1:25" ht="35.1" customHeight="1" x14ac:dyDescent="0.25">
      <c r="A95" s="286" t="s">
        <v>187</v>
      </c>
      <c r="B95" s="287" t="s">
        <v>293</v>
      </c>
      <c r="C95" s="288" t="s">
        <v>465</v>
      </c>
      <c r="D95" s="288" t="s">
        <v>466</v>
      </c>
      <c r="E95" s="288" t="s">
        <v>459</v>
      </c>
      <c r="F95" s="640" t="s">
        <v>467</v>
      </c>
      <c r="G95" s="640"/>
      <c r="H95" s="305">
        <v>84090.909090909088</v>
      </c>
      <c r="I95" s="311">
        <v>1</v>
      </c>
      <c r="J95" s="311">
        <v>0</v>
      </c>
      <c r="K95" s="288" t="s">
        <v>352</v>
      </c>
      <c r="L95" s="292" t="s">
        <v>284</v>
      </c>
      <c r="M95" s="293" t="s">
        <v>223</v>
      </c>
      <c r="N95" s="292" t="s">
        <v>43</v>
      </c>
      <c r="O95" s="292" t="s">
        <v>74</v>
      </c>
      <c r="P95" s="305">
        <v>81720.240000000005</v>
      </c>
      <c r="Q95" s="276" t="s">
        <v>397</v>
      </c>
      <c r="R95" s="276">
        <v>0</v>
      </c>
      <c r="S95" s="276">
        <v>0</v>
      </c>
      <c r="T95" s="312">
        <f>+P95+S95</f>
        <v>81720.240000000005</v>
      </c>
      <c r="U95" s="295" t="s">
        <v>468</v>
      </c>
      <c r="X95" s="309"/>
      <c r="Y95" s="309" t="s">
        <v>464</v>
      </c>
    </row>
    <row r="96" spans="1:25" ht="27.6" x14ac:dyDescent="0.3">
      <c r="X96" s="309" t="s">
        <v>469</v>
      </c>
      <c r="Y96" s="309" t="s">
        <v>470</v>
      </c>
    </row>
    <row r="97" spans="1:25" ht="15.75" customHeight="1" x14ac:dyDescent="0.25">
      <c r="A97" s="207"/>
      <c r="B97" s="629" t="s">
        <v>471</v>
      </c>
      <c r="C97" s="629"/>
      <c r="D97" s="629"/>
      <c r="E97" s="629"/>
      <c r="F97" s="629"/>
      <c r="G97" s="629"/>
      <c r="H97" s="629"/>
      <c r="I97" s="629"/>
      <c r="J97" s="629"/>
      <c r="K97" s="629"/>
      <c r="L97" s="629"/>
      <c r="M97" s="629"/>
      <c r="N97" s="629"/>
      <c r="O97" s="629"/>
      <c r="P97" s="629"/>
      <c r="Q97" s="629"/>
      <c r="R97" s="629"/>
      <c r="S97" s="629"/>
      <c r="T97" s="629"/>
      <c r="U97" s="629"/>
      <c r="X97" s="309" t="s">
        <v>472</v>
      </c>
      <c r="Y97" s="309" t="s">
        <v>470</v>
      </c>
    </row>
    <row r="98" spans="1:25" ht="15" customHeight="1" x14ac:dyDescent="0.25">
      <c r="A98" s="630" t="s">
        <v>268</v>
      </c>
      <c r="B98" s="631" t="s">
        <v>309</v>
      </c>
      <c r="C98" s="632" t="s">
        <v>270</v>
      </c>
      <c r="D98" s="632" t="s">
        <v>271</v>
      </c>
      <c r="E98" s="632" t="s">
        <v>272</v>
      </c>
      <c r="F98" s="632" t="s">
        <v>452</v>
      </c>
      <c r="G98" s="632"/>
      <c r="H98" s="633" t="s">
        <v>274</v>
      </c>
      <c r="I98" s="633"/>
      <c r="J98" s="633"/>
      <c r="K98" s="632" t="s">
        <v>275</v>
      </c>
      <c r="L98" s="632" t="s">
        <v>276</v>
      </c>
      <c r="M98" s="630" t="s">
        <v>277</v>
      </c>
      <c r="N98" s="632" t="s">
        <v>278</v>
      </c>
      <c r="O98" s="632"/>
      <c r="P98" s="630" t="s">
        <v>279</v>
      </c>
      <c r="Q98" s="630" t="s">
        <v>280</v>
      </c>
      <c r="R98" s="630" t="s">
        <v>281</v>
      </c>
      <c r="S98" s="630"/>
      <c r="T98" s="630" t="s">
        <v>282</v>
      </c>
      <c r="U98" s="634" t="s">
        <v>283</v>
      </c>
      <c r="X98" s="309" t="s">
        <v>473</v>
      </c>
      <c r="Y98" s="309" t="s">
        <v>474</v>
      </c>
    </row>
    <row r="99" spans="1:25" ht="38.25" customHeight="1" x14ac:dyDescent="0.25">
      <c r="A99" s="630"/>
      <c r="B99" s="631"/>
      <c r="C99" s="632"/>
      <c r="D99" s="632"/>
      <c r="E99" s="632"/>
      <c r="F99" s="632"/>
      <c r="G99" s="632"/>
      <c r="H99" s="218" t="s">
        <v>285</v>
      </c>
      <c r="I99" s="220" t="s">
        <v>286</v>
      </c>
      <c r="J99" s="220" t="s">
        <v>287</v>
      </c>
      <c r="K99" s="632"/>
      <c r="L99" s="632"/>
      <c r="M99" s="630"/>
      <c r="N99" s="218" t="s">
        <v>410</v>
      </c>
      <c r="O99" s="218" t="s">
        <v>289</v>
      </c>
      <c r="P99" s="630"/>
      <c r="Q99" s="630"/>
      <c r="R99" s="221" t="s">
        <v>290</v>
      </c>
      <c r="S99" s="221" t="s">
        <v>291</v>
      </c>
      <c r="T99" s="630"/>
      <c r="U99" s="634"/>
      <c r="X99" s="309"/>
      <c r="Y99" s="309" t="s">
        <v>474</v>
      </c>
    </row>
    <row r="100" spans="1:25" s="247" customFormat="1" ht="55.2" x14ac:dyDescent="0.25">
      <c r="A100" s="226" t="s">
        <v>475</v>
      </c>
      <c r="B100" s="224" t="s">
        <v>293</v>
      </c>
      <c r="C100" s="225" t="s">
        <v>476</v>
      </c>
      <c r="D100" s="225" t="s">
        <v>477</v>
      </c>
      <c r="E100" s="225" t="s">
        <v>267</v>
      </c>
      <c r="F100" s="635"/>
      <c r="G100" s="635"/>
      <c r="H100" s="298">
        <f>48000/D9</f>
        <v>16000</v>
      </c>
      <c r="I100" s="379">
        <v>1</v>
      </c>
      <c r="J100" s="227">
        <v>0</v>
      </c>
      <c r="K100" s="228" t="s">
        <v>419</v>
      </c>
      <c r="L100" s="226" t="s">
        <v>284</v>
      </c>
      <c r="M100" s="140" t="s">
        <v>33</v>
      </c>
      <c r="N100" s="188" t="s">
        <v>70</v>
      </c>
      <c r="O100" s="188" t="s">
        <v>343</v>
      </c>
      <c r="P100" s="231"/>
      <c r="Q100" s="231"/>
      <c r="R100" s="231"/>
      <c r="S100" s="231"/>
      <c r="T100" s="231"/>
      <c r="U100" s="232" t="s">
        <v>478</v>
      </c>
      <c r="X100" s="318"/>
      <c r="Y100" s="319"/>
    </row>
    <row r="101" spans="1:25" s="247" customFormat="1" ht="55.2" x14ac:dyDescent="0.25">
      <c r="A101" s="226" t="s">
        <v>479</v>
      </c>
      <c r="B101" s="224" t="s">
        <v>293</v>
      </c>
      <c r="C101" s="225" t="s">
        <v>480</v>
      </c>
      <c r="D101" s="225" t="s">
        <v>481</v>
      </c>
      <c r="E101" s="225" t="s">
        <v>267</v>
      </c>
      <c r="F101" s="635"/>
      <c r="G101" s="635"/>
      <c r="H101" s="298">
        <f>30000/D9</f>
        <v>10000</v>
      </c>
      <c r="I101" s="379">
        <v>1</v>
      </c>
      <c r="J101" s="227">
        <v>0</v>
      </c>
      <c r="K101" s="228" t="s">
        <v>318</v>
      </c>
      <c r="L101" s="226" t="s">
        <v>284</v>
      </c>
      <c r="M101" s="140" t="s">
        <v>33</v>
      </c>
      <c r="N101" s="188" t="s">
        <v>133</v>
      </c>
      <c r="O101" s="188" t="s">
        <v>56</v>
      </c>
      <c r="P101" s="231"/>
      <c r="Q101" s="231"/>
      <c r="R101" s="231"/>
      <c r="S101" s="231"/>
      <c r="T101" s="231"/>
      <c r="U101" s="232" t="s">
        <v>478</v>
      </c>
      <c r="X101" s="319"/>
      <c r="Y101" s="318" t="s">
        <v>449</v>
      </c>
    </row>
    <row r="102" spans="1:25" s="247" customFormat="1" ht="69" x14ac:dyDescent="0.25">
      <c r="A102" s="226" t="s">
        <v>482</v>
      </c>
      <c r="B102" s="224" t="s">
        <v>293</v>
      </c>
      <c r="C102" s="225" t="s">
        <v>483</v>
      </c>
      <c r="D102" s="225" t="s">
        <v>484</v>
      </c>
      <c r="E102" s="225" t="s">
        <v>267</v>
      </c>
      <c r="F102" s="635"/>
      <c r="G102" s="635"/>
      <c r="H102" s="298">
        <f>24000/2</f>
        <v>12000</v>
      </c>
      <c r="I102" s="379">
        <v>0</v>
      </c>
      <c r="J102" s="227">
        <v>1</v>
      </c>
      <c r="K102" s="228" t="s">
        <v>354</v>
      </c>
      <c r="L102" s="226" t="s">
        <v>284</v>
      </c>
      <c r="M102" s="140" t="s">
        <v>33</v>
      </c>
      <c r="N102" s="188" t="s">
        <v>70</v>
      </c>
      <c r="O102" s="188" t="s">
        <v>343</v>
      </c>
      <c r="P102" s="231"/>
      <c r="Q102" s="231"/>
      <c r="R102" s="231"/>
      <c r="S102" s="231"/>
      <c r="T102" s="231"/>
      <c r="U102" s="232" t="s">
        <v>478</v>
      </c>
      <c r="X102" s="318" t="s">
        <v>485</v>
      </c>
      <c r="Y102" s="318" t="s">
        <v>449</v>
      </c>
    </row>
    <row r="103" spans="1:25" s="247" customFormat="1" ht="69" x14ac:dyDescent="0.25">
      <c r="A103" s="292" t="s">
        <v>486</v>
      </c>
      <c r="B103" s="287" t="s">
        <v>293</v>
      </c>
      <c r="C103" s="288" t="s">
        <v>487</v>
      </c>
      <c r="D103" s="288" t="s">
        <v>488</v>
      </c>
      <c r="E103" s="288" t="s">
        <v>267</v>
      </c>
      <c r="F103" s="642"/>
      <c r="G103" s="642"/>
      <c r="H103" s="305">
        <f>24000/2</f>
        <v>12000</v>
      </c>
      <c r="I103" s="380">
        <v>0</v>
      </c>
      <c r="J103" s="291">
        <v>1</v>
      </c>
      <c r="K103" s="306" t="s">
        <v>354</v>
      </c>
      <c r="L103" s="292" t="s">
        <v>284</v>
      </c>
      <c r="M103" s="307" t="s">
        <v>33</v>
      </c>
      <c r="N103" s="308" t="s">
        <v>70</v>
      </c>
      <c r="O103" s="308" t="s">
        <v>343</v>
      </c>
      <c r="P103" s="276"/>
      <c r="Q103" s="276"/>
      <c r="R103" s="276"/>
      <c r="S103" s="276"/>
      <c r="T103" s="276"/>
      <c r="U103" s="295" t="s">
        <v>478</v>
      </c>
      <c r="X103" s="318" t="s">
        <v>485</v>
      </c>
      <c r="Y103" s="318" t="s">
        <v>449</v>
      </c>
    </row>
    <row r="104" spans="1:25" ht="55.2" x14ac:dyDescent="0.25">
      <c r="A104" s="324"/>
      <c r="B104" s="325"/>
      <c r="C104" s="325"/>
      <c r="D104" s="325"/>
      <c r="E104" s="325"/>
      <c r="F104" s="325"/>
      <c r="G104" s="325"/>
      <c r="H104" s="325"/>
      <c r="I104" s="326"/>
      <c r="J104" s="326"/>
      <c r="K104" s="327"/>
      <c r="L104" s="328"/>
      <c r="M104" s="324"/>
      <c r="N104" s="328"/>
      <c r="O104" s="328"/>
      <c r="P104" s="325"/>
      <c r="Q104" s="325"/>
      <c r="R104" s="325"/>
      <c r="S104" s="325"/>
      <c r="T104" s="325"/>
      <c r="U104" s="325"/>
      <c r="X104" s="309" t="s">
        <v>489</v>
      </c>
      <c r="Y104" s="309"/>
    </row>
    <row r="105" spans="1:25" ht="13.8" hidden="1" x14ac:dyDescent="0.25">
      <c r="A105" s="324"/>
      <c r="F105" s="325"/>
      <c r="G105" s="325"/>
      <c r="H105" s="325"/>
      <c r="I105" s="326"/>
      <c r="J105" s="326"/>
      <c r="K105" s="327"/>
      <c r="L105" s="328"/>
      <c r="M105" s="324"/>
      <c r="N105" s="328"/>
      <c r="O105" s="328"/>
      <c r="P105" s="325"/>
      <c r="Q105" s="325"/>
      <c r="R105" s="325"/>
      <c r="S105" s="325"/>
      <c r="T105" s="325"/>
      <c r="U105" s="325"/>
      <c r="X105" s="309"/>
      <c r="Y105" s="309" t="s">
        <v>449</v>
      </c>
    </row>
    <row r="106" spans="1:25" ht="12.75" hidden="1" customHeight="1" x14ac:dyDescent="0.25">
      <c r="A106" s="207"/>
      <c r="B106" s="629" t="s">
        <v>490</v>
      </c>
      <c r="C106" s="629"/>
      <c r="D106" s="629"/>
      <c r="E106" s="629"/>
      <c r="F106" s="629"/>
      <c r="G106" s="629"/>
      <c r="H106" s="629"/>
      <c r="I106" s="629"/>
      <c r="J106" s="629"/>
      <c r="K106" s="629"/>
      <c r="L106" s="629"/>
      <c r="M106" s="629"/>
      <c r="N106" s="629"/>
      <c r="O106" s="629"/>
      <c r="P106" s="629"/>
      <c r="Q106" s="629"/>
      <c r="R106" s="629"/>
      <c r="S106" s="629"/>
      <c r="T106" s="629"/>
      <c r="U106" s="629"/>
      <c r="X106" s="309" t="s">
        <v>491</v>
      </c>
      <c r="Y106" s="309" t="s">
        <v>449</v>
      </c>
    </row>
    <row r="107" spans="1:25" ht="12.75" hidden="1" customHeight="1" x14ac:dyDescent="0.25">
      <c r="A107" s="630" t="s">
        <v>492</v>
      </c>
      <c r="B107" s="631" t="s">
        <v>309</v>
      </c>
      <c r="C107" s="632" t="s">
        <v>493</v>
      </c>
      <c r="D107" s="632" t="s">
        <v>271</v>
      </c>
      <c r="E107" s="632"/>
      <c r="F107" s="632" t="s">
        <v>452</v>
      </c>
      <c r="G107" s="632"/>
      <c r="H107" s="633" t="s">
        <v>274</v>
      </c>
      <c r="I107" s="633"/>
      <c r="J107" s="633"/>
      <c r="K107" s="632" t="s">
        <v>275</v>
      </c>
      <c r="L107" s="643" t="s">
        <v>494</v>
      </c>
      <c r="M107" s="630" t="s">
        <v>277</v>
      </c>
      <c r="N107" s="632" t="s">
        <v>278</v>
      </c>
      <c r="O107" s="632"/>
      <c r="P107" s="630" t="s">
        <v>279</v>
      </c>
      <c r="Q107" s="630" t="s">
        <v>280</v>
      </c>
      <c r="R107" s="630" t="s">
        <v>281</v>
      </c>
      <c r="S107" s="630"/>
      <c r="T107" s="630" t="s">
        <v>282</v>
      </c>
      <c r="U107" s="634" t="s">
        <v>495</v>
      </c>
      <c r="X107" s="309" t="s">
        <v>496</v>
      </c>
      <c r="Y107" s="309" t="s">
        <v>449</v>
      </c>
    </row>
    <row r="108" spans="1:25" ht="110.4" hidden="1" x14ac:dyDescent="0.25">
      <c r="A108" s="630"/>
      <c r="B108" s="631"/>
      <c r="C108" s="632"/>
      <c r="D108" s="632"/>
      <c r="E108" s="632"/>
      <c r="F108" s="632"/>
      <c r="G108" s="632"/>
      <c r="H108" s="218" t="s">
        <v>285</v>
      </c>
      <c r="I108" s="220" t="s">
        <v>286</v>
      </c>
      <c r="J108" s="220" t="s">
        <v>497</v>
      </c>
      <c r="K108" s="632"/>
      <c r="L108" s="643"/>
      <c r="M108" s="630"/>
      <c r="N108" s="218" t="s">
        <v>498</v>
      </c>
      <c r="O108" s="218" t="s">
        <v>499</v>
      </c>
      <c r="P108" s="630"/>
      <c r="Q108" s="630"/>
      <c r="R108" s="221" t="s">
        <v>500</v>
      </c>
      <c r="S108" s="221" t="s">
        <v>291</v>
      </c>
      <c r="T108" s="630"/>
      <c r="U108" s="634"/>
      <c r="X108" s="309" t="s">
        <v>501</v>
      </c>
      <c r="Y108" s="309" t="s">
        <v>449</v>
      </c>
    </row>
    <row r="109" spans="1:25" ht="96.6" hidden="1" x14ac:dyDescent="0.25">
      <c r="A109" s="229"/>
      <c r="B109" s="224"/>
      <c r="C109" s="225"/>
      <c r="D109" s="635"/>
      <c r="E109" s="635"/>
      <c r="F109" s="226"/>
      <c r="G109" s="226"/>
      <c r="H109" s="225"/>
      <c r="I109" s="227"/>
      <c r="J109" s="227"/>
      <c r="K109" s="228"/>
      <c r="L109" s="248"/>
      <c r="M109" s="229"/>
      <c r="N109" s="226"/>
      <c r="O109" s="226"/>
      <c r="P109" s="231"/>
      <c r="Q109" s="231"/>
      <c r="R109" s="231"/>
      <c r="S109" s="231"/>
      <c r="T109" s="231"/>
      <c r="U109" s="232"/>
      <c r="X109" s="309" t="s">
        <v>502</v>
      </c>
      <c r="Y109" s="214"/>
    </row>
    <row r="110" spans="1:25" ht="13.8" hidden="1" x14ac:dyDescent="0.25">
      <c r="A110" s="229"/>
      <c r="B110" s="224"/>
      <c r="C110" s="225"/>
      <c r="D110" s="635"/>
      <c r="E110" s="635"/>
      <c r="F110" s="226"/>
      <c r="G110" s="226"/>
      <c r="H110" s="225"/>
      <c r="I110" s="227"/>
      <c r="J110" s="227"/>
      <c r="K110" s="228"/>
      <c r="L110" s="248"/>
      <c r="M110" s="229"/>
      <c r="N110" s="226"/>
      <c r="O110" s="226"/>
      <c r="P110" s="231"/>
      <c r="Q110" s="231"/>
      <c r="R110" s="231"/>
      <c r="S110" s="231"/>
      <c r="T110" s="231"/>
      <c r="U110" s="232"/>
      <c r="X110" s="214"/>
      <c r="Y110" s="309" t="s">
        <v>454</v>
      </c>
    </row>
    <row r="111" spans="1:25" ht="69" hidden="1" x14ac:dyDescent="0.25">
      <c r="A111" s="229"/>
      <c r="B111" s="224"/>
      <c r="C111" s="225"/>
      <c r="D111" s="635"/>
      <c r="E111" s="635"/>
      <c r="F111" s="226"/>
      <c r="G111" s="226"/>
      <c r="H111" s="225"/>
      <c r="I111" s="227"/>
      <c r="J111" s="227"/>
      <c r="K111" s="228"/>
      <c r="L111" s="248"/>
      <c r="M111" s="229"/>
      <c r="N111" s="226"/>
      <c r="O111" s="226"/>
      <c r="P111" s="231"/>
      <c r="Q111" s="231"/>
      <c r="R111" s="231"/>
      <c r="S111" s="231"/>
      <c r="T111" s="231"/>
      <c r="U111" s="232"/>
      <c r="X111" s="309" t="s">
        <v>503</v>
      </c>
      <c r="Y111" s="309" t="s">
        <v>454</v>
      </c>
    </row>
    <row r="112" spans="1:25" ht="55.2" hidden="1" x14ac:dyDescent="0.25">
      <c r="A112" s="229"/>
      <c r="B112" s="224"/>
      <c r="C112" s="225"/>
      <c r="D112" s="635"/>
      <c r="E112" s="635"/>
      <c r="F112" s="226"/>
      <c r="G112" s="226"/>
      <c r="H112" s="225"/>
      <c r="I112" s="227"/>
      <c r="J112" s="227"/>
      <c r="K112" s="228"/>
      <c r="L112" s="248"/>
      <c r="M112" s="229"/>
      <c r="N112" s="226"/>
      <c r="O112" s="226"/>
      <c r="P112" s="231"/>
      <c r="Q112" s="231"/>
      <c r="R112" s="231"/>
      <c r="S112" s="231"/>
      <c r="T112" s="231"/>
      <c r="U112" s="232"/>
      <c r="X112" s="309" t="s">
        <v>504</v>
      </c>
      <c r="Y112" s="309" t="s">
        <v>454</v>
      </c>
    </row>
    <row r="113" spans="1:25" ht="55.2" hidden="1" x14ac:dyDescent="0.25">
      <c r="A113" s="293"/>
      <c r="B113" s="287"/>
      <c r="C113" s="288"/>
      <c r="D113" s="642"/>
      <c r="E113" s="642"/>
      <c r="F113" s="292"/>
      <c r="G113" s="292"/>
      <c r="H113" s="288"/>
      <c r="I113" s="291"/>
      <c r="J113" s="291"/>
      <c r="K113" s="306"/>
      <c r="L113" s="329"/>
      <c r="M113" s="293"/>
      <c r="N113" s="292"/>
      <c r="O113" s="292"/>
      <c r="P113" s="276"/>
      <c r="Q113" s="276"/>
      <c r="R113" s="276"/>
      <c r="S113" s="276"/>
      <c r="T113" s="276"/>
      <c r="U113" s="295"/>
      <c r="X113" s="309" t="s">
        <v>505</v>
      </c>
      <c r="Y113" s="309" t="s">
        <v>454</v>
      </c>
    </row>
    <row r="114" spans="1:25" ht="12.75" hidden="1" customHeight="1" x14ac:dyDescent="0.3">
      <c r="X114" s="309" t="s">
        <v>506</v>
      </c>
      <c r="Y114" s="309" t="s">
        <v>454</v>
      </c>
    </row>
    <row r="115" spans="1:25" ht="13.8" x14ac:dyDescent="0.3">
      <c r="A115" s="194" t="s">
        <v>170</v>
      </c>
      <c r="B115" s="126" t="s">
        <v>507</v>
      </c>
      <c r="C115" s="330"/>
      <c r="D115" s="330"/>
      <c r="E115" s="330"/>
      <c r="F115" s="330"/>
      <c r="G115" s="330"/>
      <c r="H115" s="330"/>
      <c r="I115" s="331"/>
      <c r="J115" s="331"/>
      <c r="K115" s="330"/>
      <c r="L115" s="330"/>
      <c r="M115" s="330"/>
      <c r="X115" s="214"/>
      <c r="Y115" s="309"/>
    </row>
    <row r="116" spans="1:25" ht="15.6" x14ac:dyDescent="0.3">
      <c r="A116" s="125"/>
      <c r="B116" s="126" t="s">
        <v>508</v>
      </c>
      <c r="C116" s="332"/>
      <c r="D116" s="332"/>
      <c r="E116" s="332"/>
      <c r="F116" s="332"/>
      <c r="G116" s="332"/>
      <c r="H116" s="332"/>
      <c r="I116" s="333"/>
      <c r="J116" s="333"/>
      <c r="K116" s="332"/>
      <c r="L116" s="332"/>
      <c r="M116" s="332"/>
      <c r="X116" s="214"/>
      <c r="Y116" s="214"/>
    </row>
    <row r="117" spans="1:25" ht="69" x14ac:dyDescent="0.3">
      <c r="A117" s="125"/>
      <c r="B117" s="126" t="s">
        <v>509</v>
      </c>
      <c r="C117" s="196"/>
      <c r="D117" s="192"/>
      <c r="E117" s="192"/>
      <c r="F117" s="126"/>
      <c r="G117" s="150"/>
      <c r="H117" s="150"/>
      <c r="I117" s="334"/>
      <c r="J117" s="334"/>
      <c r="K117" s="126"/>
      <c r="L117" s="126"/>
      <c r="M117" s="128"/>
      <c r="X117" s="214"/>
      <c r="Y117" s="309" t="s">
        <v>464</v>
      </c>
    </row>
    <row r="118" spans="1:25" ht="27.6" x14ac:dyDescent="0.3">
      <c r="A118" s="125"/>
      <c r="B118" s="126" t="s">
        <v>510</v>
      </c>
      <c r="C118" s="125"/>
      <c r="D118" s="335"/>
      <c r="E118" s="192"/>
      <c r="F118" s="126"/>
      <c r="G118" s="150"/>
      <c r="H118" s="150"/>
      <c r="I118" s="334"/>
      <c r="J118" s="334"/>
      <c r="K118" s="126"/>
      <c r="L118" s="126"/>
      <c r="M118" s="128"/>
      <c r="X118" s="214"/>
      <c r="Y118" s="309" t="s">
        <v>470</v>
      </c>
    </row>
    <row r="119" spans="1:25" ht="82.8" x14ac:dyDescent="0.3">
      <c r="A119" s="125"/>
      <c r="B119" s="336"/>
      <c r="C119" s="125"/>
      <c r="D119" s="335"/>
      <c r="E119" s="127"/>
      <c r="F119" s="126"/>
      <c r="G119" s="150"/>
      <c r="H119" s="150"/>
      <c r="I119" s="334"/>
      <c r="J119" s="334"/>
      <c r="K119" s="126"/>
      <c r="L119" s="126"/>
      <c r="M119" s="128"/>
      <c r="X119" s="309" t="s">
        <v>512</v>
      </c>
      <c r="Y119" s="309" t="s">
        <v>470</v>
      </c>
    </row>
    <row r="120" spans="1:25" ht="27.6" x14ac:dyDescent="0.3">
      <c r="A120" s="125"/>
      <c r="C120" s="125"/>
      <c r="D120" s="335"/>
      <c r="E120" s="192"/>
      <c r="F120" s="126"/>
      <c r="G120" s="150"/>
      <c r="H120" s="150"/>
      <c r="I120" s="334"/>
      <c r="J120" s="334"/>
      <c r="K120" s="126"/>
      <c r="L120" s="126"/>
      <c r="M120" s="128"/>
      <c r="X120" s="309" t="s">
        <v>513</v>
      </c>
      <c r="Y120" s="214"/>
    </row>
    <row r="121" spans="1:25" ht="69" x14ac:dyDescent="0.3">
      <c r="X121" s="216" t="s">
        <v>459</v>
      </c>
      <c r="Y121" s="214"/>
    </row>
    <row r="122" spans="1:25" ht="27.6" x14ac:dyDescent="0.3">
      <c r="X122" s="216" t="s">
        <v>329</v>
      </c>
      <c r="Y122" s="214"/>
    </row>
    <row r="123" spans="1:25" ht="27.6" x14ac:dyDescent="0.3">
      <c r="X123" s="216" t="s">
        <v>267</v>
      </c>
      <c r="Y123" s="222"/>
    </row>
  </sheetData>
  <sheetProtection selectLockedCells="1" selectUnlockedCells="1"/>
  <mergeCells count="165">
    <mergeCell ref="P107:P108"/>
    <mergeCell ref="Q107:Q108"/>
    <mergeCell ref="R107:S107"/>
    <mergeCell ref="F102:G102"/>
    <mergeCell ref="F103:G103"/>
    <mergeCell ref="B106:U106"/>
    <mergeCell ref="K107:K108"/>
    <mergeCell ref="D113:E113"/>
    <mergeCell ref="T107:T108"/>
    <mergeCell ref="U107:U108"/>
    <mergeCell ref="D109:E109"/>
    <mergeCell ref="D110:E110"/>
    <mergeCell ref="D111:E111"/>
    <mergeCell ref="D112:E112"/>
    <mergeCell ref="L107:L108"/>
    <mergeCell ref="M107:M108"/>
    <mergeCell ref="N107:O107"/>
    <mergeCell ref="F100:G100"/>
    <mergeCell ref="F101:G101"/>
    <mergeCell ref="H98:J98"/>
    <mergeCell ref="K98:K99"/>
    <mergeCell ref="L98:L99"/>
    <mergeCell ref="M98:M99"/>
    <mergeCell ref="A107:A108"/>
    <mergeCell ref="B107:B108"/>
    <mergeCell ref="C107:C108"/>
    <mergeCell ref="D107:E108"/>
    <mergeCell ref="F107:G108"/>
    <mergeCell ref="H107:J107"/>
    <mergeCell ref="A98:A99"/>
    <mergeCell ref="B98:B99"/>
    <mergeCell ref="C98:C99"/>
    <mergeCell ref="D98:D99"/>
    <mergeCell ref="E98:E99"/>
    <mergeCell ref="F98:G99"/>
    <mergeCell ref="A92:A93"/>
    <mergeCell ref="B92:B93"/>
    <mergeCell ref="C92:C93"/>
    <mergeCell ref="D92:D93"/>
    <mergeCell ref="E92:E93"/>
    <mergeCell ref="R92:S92"/>
    <mergeCell ref="T92:T93"/>
    <mergeCell ref="U92:U93"/>
    <mergeCell ref="Q98:Q99"/>
    <mergeCell ref="R98:S98"/>
    <mergeCell ref="T98:T99"/>
    <mergeCell ref="F94:G94"/>
    <mergeCell ref="F95:G95"/>
    <mergeCell ref="B97:U97"/>
    <mergeCell ref="K92:K93"/>
    <mergeCell ref="L92:L93"/>
    <mergeCell ref="M92:M93"/>
    <mergeCell ref="N92:O92"/>
    <mergeCell ref="N98:O98"/>
    <mergeCell ref="P98:P99"/>
    <mergeCell ref="U98:U99"/>
    <mergeCell ref="P92:P93"/>
    <mergeCell ref="Q92:Q93"/>
    <mergeCell ref="F78:G78"/>
    <mergeCell ref="F79:G79"/>
    <mergeCell ref="F80:G80"/>
    <mergeCell ref="F81:G81"/>
    <mergeCell ref="F92:G93"/>
    <mergeCell ref="H92:J92"/>
    <mergeCell ref="F82:G82"/>
    <mergeCell ref="F83:G83"/>
    <mergeCell ref="F84:G84"/>
    <mergeCell ref="F85:G85"/>
    <mergeCell ref="F86:G86"/>
    <mergeCell ref="F87:G87"/>
    <mergeCell ref="F88:G88"/>
    <mergeCell ref="F89:G89"/>
    <mergeCell ref="B91:U91"/>
    <mergeCell ref="F73:G73"/>
    <mergeCell ref="F74:G74"/>
    <mergeCell ref="F75:G75"/>
    <mergeCell ref="K71:K72"/>
    <mergeCell ref="L71:L72"/>
    <mergeCell ref="M71:M72"/>
    <mergeCell ref="N71:O71"/>
    <mergeCell ref="F76:G76"/>
    <mergeCell ref="F77:G77"/>
    <mergeCell ref="Q71:Q72"/>
    <mergeCell ref="T65:T66"/>
    <mergeCell ref="U65:U66"/>
    <mergeCell ref="B70:U70"/>
    <mergeCell ref="A71:A72"/>
    <mergeCell ref="B71:B72"/>
    <mergeCell ref="C71:C72"/>
    <mergeCell ref="D71:D72"/>
    <mergeCell ref="E71:E72"/>
    <mergeCell ref="R71:S71"/>
    <mergeCell ref="T71:T72"/>
    <mergeCell ref="U71:U72"/>
    <mergeCell ref="F71:G72"/>
    <mergeCell ref="H71:J71"/>
    <mergeCell ref="L65:L66"/>
    <mergeCell ref="M65:M66"/>
    <mergeCell ref="N65:O65"/>
    <mergeCell ref="P65:P66"/>
    <mergeCell ref="H65:J65"/>
    <mergeCell ref="K65:K66"/>
    <mergeCell ref="P71:P72"/>
    <mergeCell ref="U53:U54"/>
    <mergeCell ref="Q65:Q66"/>
    <mergeCell ref="R65:S65"/>
    <mergeCell ref="B64:U64"/>
    <mergeCell ref="A65:A66"/>
    <mergeCell ref="B65:B66"/>
    <mergeCell ref="C65:C66"/>
    <mergeCell ref="D65:D66"/>
    <mergeCell ref="E65:E66"/>
    <mergeCell ref="F65:F66"/>
    <mergeCell ref="G65:G66"/>
    <mergeCell ref="L17:L18"/>
    <mergeCell ref="M17:M18"/>
    <mergeCell ref="N17:O17"/>
    <mergeCell ref="P17:P18"/>
    <mergeCell ref="Q17:Q18"/>
    <mergeCell ref="R17:S17"/>
    <mergeCell ref="T17:T18"/>
    <mergeCell ref="U17:U18"/>
    <mergeCell ref="A53:A54"/>
    <mergeCell ref="B53:B54"/>
    <mergeCell ref="C53:C54"/>
    <mergeCell ref="D53:D54"/>
    <mergeCell ref="E53:E54"/>
    <mergeCell ref="F53:F54"/>
    <mergeCell ref="G53:G54"/>
    <mergeCell ref="H53:J53"/>
    <mergeCell ref="K53:K54"/>
    <mergeCell ref="L53:L54"/>
    <mergeCell ref="M53:M54"/>
    <mergeCell ref="N53:O53"/>
    <mergeCell ref="P53:P54"/>
    <mergeCell ref="Q53:Q54"/>
    <mergeCell ref="R53:S53"/>
    <mergeCell ref="T53:T54"/>
    <mergeCell ref="A17:A18"/>
    <mergeCell ref="B17:B18"/>
    <mergeCell ref="C17:C18"/>
    <mergeCell ref="D17:D18"/>
    <mergeCell ref="E17:E18"/>
    <mergeCell ref="F17:F18"/>
    <mergeCell ref="G17:G18"/>
    <mergeCell ref="H17:J17"/>
    <mergeCell ref="K17:K18"/>
    <mergeCell ref="U11:U12"/>
    <mergeCell ref="F13:G13"/>
    <mergeCell ref="F14:G14"/>
    <mergeCell ref="H11:J11"/>
    <mergeCell ref="K11:K12"/>
    <mergeCell ref="L11:L12"/>
    <mergeCell ref="M11:M12"/>
    <mergeCell ref="N11:O11"/>
    <mergeCell ref="P11:P12"/>
    <mergeCell ref="A11:A12"/>
    <mergeCell ref="B11:B12"/>
    <mergeCell ref="C11:C12"/>
    <mergeCell ref="D11:D12"/>
    <mergeCell ref="E11:E12"/>
    <mergeCell ref="F11:G12"/>
    <mergeCell ref="Q11:Q12"/>
    <mergeCell ref="R11:S11"/>
    <mergeCell ref="T11:T12"/>
  </mergeCells>
  <dataValidations count="8">
    <dataValidation type="list" allowBlank="1" showErrorMessage="1" sqref="E13:E14" xr:uid="{00000000-0002-0000-0600-000000000000}">
      <formula1>$X$36:$X$54</formula1>
      <formula2>0</formula2>
    </dataValidation>
    <dataValidation type="list" allowBlank="1" showErrorMessage="1" sqref="E19:E50 E55:E62 E67:E68" xr:uid="{00000000-0002-0000-0600-000001000000}">
      <formula1>$X$19:$X$23</formula1>
      <formula2>0</formula2>
    </dataValidation>
    <dataValidation type="list" allowBlank="1" showErrorMessage="1" sqref="E73:E89" xr:uid="{00000000-0002-0000-0600-000002000000}">
      <formula1>$X$69:$X$74</formula1>
      <formula2>0</formula2>
    </dataValidation>
    <dataValidation type="list" allowBlank="1" showErrorMessage="1" sqref="L104:M105" xr:uid="{00000000-0002-0000-0600-000003000000}">
      <formula1>$X$10:$X$11</formula1>
      <formula2>0</formula2>
    </dataValidation>
    <dataValidation type="list" allowBlank="1" showErrorMessage="1" sqref="L13:L14 L19:L50 L55:L62 L67:L68 L73:L89 L94:L95 L100:L103" xr:uid="{00000000-0002-0000-0600-000004000000}">
      <formula1>$X$10:$X$12</formula1>
      <formula2>0</formula2>
    </dataValidation>
    <dataValidation type="list" allowBlank="1" showErrorMessage="1" sqref="E100:E104" xr:uid="{00000000-0002-0000-0600-000005000000}">
      <formula1>$X$70:$X$74</formula1>
      <formula2>0</formula2>
    </dataValidation>
    <dataValidation type="list" allowBlank="1" showErrorMessage="1" sqref="M73:M89 M94:M95 M100:M103" xr:uid="{00000000-0002-0000-0600-000006000000}">
      <formula1>"A,C,EP,P"</formula1>
      <formula2>0</formula2>
    </dataValidation>
    <dataValidation type="list" allowBlank="1" showErrorMessage="1" sqref="E94:E95" xr:uid="{00000000-0002-0000-0600-000007000000}">
      <formula1>$X$121:$X$123</formula1>
      <formula2>0</formula2>
    </dataValidation>
  </dataValidations>
  <pageMargins left="0.39374999999999999" right="0.39374999999999999" top="0.59027777777777779" bottom="0.59027777777777779" header="0.51180555555555551" footer="0.51180555555555551"/>
  <pageSetup paperSize="9" scale="62" firstPageNumber="0" orientation="landscape" horizontalDpi="300" vertic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AA130"/>
  <sheetViews>
    <sheetView showGridLines="0" topLeftCell="A43" zoomScale="70" zoomScaleNormal="70" workbookViewId="0">
      <selection activeCell="E20" sqref="E20"/>
    </sheetView>
  </sheetViews>
  <sheetFormatPr defaultColWidth="9.109375" defaultRowHeight="14.4" x14ac:dyDescent="0.3"/>
  <cols>
    <col min="1" max="1" width="4.88671875" style="203" customWidth="1"/>
    <col min="2" max="2" width="9.33203125" style="204" customWidth="1"/>
    <col min="3" max="3" width="15.6640625" style="204" customWidth="1"/>
    <col min="4" max="4" width="18.6640625" style="204" customWidth="1"/>
    <col min="5" max="5" width="20.6640625" style="204" customWidth="1"/>
    <col min="6" max="6" width="19.44140625" style="204" customWidth="1"/>
    <col min="7" max="7" width="5.109375" style="204" customWidth="1"/>
    <col min="8" max="8" width="9.44140625" style="205" customWidth="1"/>
    <col min="9" max="9" width="8.44140625" style="206" customWidth="1"/>
    <col min="10" max="10" width="9.109375" style="206"/>
    <col min="11" max="11" width="12.6640625" style="204" customWidth="1"/>
    <col min="12" max="12" width="9.109375" style="207"/>
    <col min="13" max="13" width="3.44140625" style="203" customWidth="1"/>
    <col min="14" max="14" width="11" style="207" customWidth="1"/>
    <col min="15" max="15" width="10.88671875" style="207" customWidth="1"/>
    <col min="16" max="16" width="10.109375" style="204" customWidth="1"/>
    <col min="17" max="17" width="9.6640625" style="204" customWidth="1"/>
    <col min="18" max="18" width="4.109375" style="204" customWidth="1"/>
    <col min="19" max="19" width="8.33203125" style="204" customWidth="1"/>
    <col min="20" max="20" width="9.5546875" style="204" customWidth="1"/>
    <col min="21" max="21" width="16.44140625" style="204" customWidth="1"/>
    <col min="22" max="23" width="9.109375" style="204"/>
    <col min="24" max="25" width="0" style="204" hidden="1" customWidth="1"/>
    <col min="26" max="16384" width="9.109375" style="204"/>
  </cols>
  <sheetData>
    <row r="3" spans="1:27" x14ac:dyDescent="0.3">
      <c r="C3" s="208"/>
      <c r="D3" s="208"/>
      <c r="E3" s="208"/>
      <c r="F3" s="208"/>
      <c r="G3" s="208"/>
      <c r="H3" s="209"/>
      <c r="I3" s="210"/>
      <c r="J3" s="210"/>
      <c r="K3" s="208"/>
      <c r="L3" s="211"/>
      <c r="M3" s="212"/>
      <c r="N3" s="211"/>
      <c r="O3" s="211"/>
      <c r="P3" s="208"/>
      <c r="Q3" s="208"/>
      <c r="R3" s="208"/>
      <c r="S3" s="208"/>
      <c r="T3" s="208"/>
      <c r="U3" s="208"/>
    </row>
    <row r="4" spans="1:27" x14ac:dyDescent="0.3">
      <c r="C4" s="208"/>
      <c r="D4" s="208"/>
      <c r="E4" s="208"/>
      <c r="F4" s="208"/>
      <c r="G4" s="208"/>
      <c r="H4" s="209"/>
      <c r="I4" s="210"/>
      <c r="J4" s="210"/>
      <c r="K4" s="208"/>
      <c r="L4" s="211"/>
      <c r="M4" s="212"/>
      <c r="N4" s="211"/>
      <c r="O4" s="211"/>
      <c r="P4" s="208"/>
      <c r="Q4" s="208"/>
      <c r="R4" s="208"/>
      <c r="S4" s="208"/>
      <c r="T4" s="208"/>
      <c r="U4" s="208"/>
    </row>
    <row r="5" spans="1:27" x14ac:dyDescent="0.3">
      <c r="C5" s="208"/>
      <c r="D5" s="208"/>
      <c r="E5" s="208"/>
      <c r="F5" s="208"/>
      <c r="G5" s="208"/>
      <c r="H5" s="209"/>
      <c r="I5" s="210"/>
      <c r="J5" s="210"/>
      <c r="K5" s="208"/>
      <c r="L5" s="211"/>
      <c r="M5" s="212"/>
      <c r="N5" s="211"/>
      <c r="O5" s="211"/>
      <c r="P5" s="208"/>
      <c r="Q5" s="208"/>
      <c r="R5" s="208"/>
      <c r="S5" s="208"/>
      <c r="T5" s="208"/>
      <c r="U5" s="208"/>
    </row>
    <row r="6" spans="1:27" s="126" customFormat="1" ht="13.8" x14ac:dyDescent="0.3">
      <c r="B6" s="129" t="s">
        <v>538</v>
      </c>
      <c r="C6" s="125"/>
      <c r="D6" s="127"/>
      <c r="E6" s="127"/>
      <c r="I6" s="130" t="s">
        <v>1</v>
      </c>
      <c r="O6" s="129" t="s">
        <v>2</v>
      </c>
    </row>
    <row r="7" spans="1:27" s="126" customFormat="1" ht="13.8" x14ac:dyDescent="0.3">
      <c r="B7" s="129" t="s">
        <v>539</v>
      </c>
      <c r="C7" s="125"/>
      <c r="D7" s="127"/>
      <c r="E7" s="127"/>
      <c r="I7" s="130" t="s">
        <v>4</v>
      </c>
      <c r="O7" s="128" t="s">
        <v>5</v>
      </c>
    </row>
    <row r="8" spans="1:27" s="126" customFormat="1" ht="13.8" x14ac:dyDescent="0.3">
      <c r="B8" s="129" t="s">
        <v>516</v>
      </c>
      <c r="C8" s="125"/>
      <c r="D8" s="127"/>
      <c r="E8" s="127"/>
      <c r="O8" s="128" t="s">
        <v>7</v>
      </c>
    </row>
    <row r="9" spans="1:27" s="126" customFormat="1" ht="22.5" customHeight="1" x14ac:dyDescent="0.3">
      <c r="A9" s="125"/>
      <c r="C9" s="337" t="s">
        <v>8</v>
      </c>
      <c r="D9" s="338">
        <v>3.75</v>
      </c>
      <c r="E9" s="127"/>
      <c r="O9" s="133" t="s">
        <v>221</v>
      </c>
    </row>
    <row r="10" spans="1:27" ht="27.6" x14ac:dyDescent="0.25">
      <c r="A10" s="207"/>
      <c r="B10" s="339" t="s">
        <v>266</v>
      </c>
      <c r="C10" s="340"/>
      <c r="D10" s="340"/>
      <c r="E10" s="340"/>
      <c r="F10" s="340"/>
      <c r="G10" s="340"/>
      <c r="H10" s="340"/>
      <c r="I10" s="340"/>
      <c r="J10" s="340"/>
      <c r="K10" s="340"/>
      <c r="L10" s="340"/>
      <c r="M10" s="340"/>
      <c r="N10" s="340"/>
      <c r="O10" s="340"/>
      <c r="P10" s="340"/>
      <c r="Q10" s="340"/>
      <c r="R10" s="340"/>
      <c r="S10" s="340"/>
      <c r="T10" s="340"/>
      <c r="U10" s="341"/>
      <c r="V10" s="213"/>
      <c r="W10" s="213"/>
      <c r="X10" s="216" t="s">
        <v>267</v>
      </c>
      <c r="Y10" s="215"/>
      <c r="Z10" s="213"/>
      <c r="AA10" s="213"/>
    </row>
    <row r="11" spans="1:27" ht="12.75" customHeight="1" x14ac:dyDescent="0.25">
      <c r="A11" s="630" t="s">
        <v>268</v>
      </c>
      <c r="B11" s="631" t="s">
        <v>269</v>
      </c>
      <c r="C11" s="632" t="s">
        <v>270</v>
      </c>
      <c r="D11" s="632" t="s">
        <v>271</v>
      </c>
      <c r="E11" s="632" t="s">
        <v>272</v>
      </c>
      <c r="F11" s="632" t="s">
        <v>273</v>
      </c>
      <c r="G11" s="632"/>
      <c r="H11" s="633" t="s">
        <v>274</v>
      </c>
      <c r="I11" s="633"/>
      <c r="J11" s="633"/>
      <c r="K11" s="632" t="s">
        <v>275</v>
      </c>
      <c r="L11" s="632" t="s">
        <v>276</v>
      </c>
      <c r="M11" s="630" t="s">
        <v>277</v>
      </c>
      <c r="N11" s="632" t="s">
        <v>278</v>
      </c>
      <c r="O11" s="632"/>
      <c r="P11" s="630" t="s">
        <v>279</v>
      </c>
      <c r="Q11" s="630" t="s">
        <v>280</v>
      </c>
      <c r="R11" s="630" t="s">
        <v>281</v>
      </c>
      <c r="S11" s="630"/>
      <c r="T11" s="630" t="s">
        <v>282</v>
      </c>
      <c r="U11" s="634" t="s">
        <v>283</v>
      </c>
      <c r="V11" s="213"/>
      <c r="W11" s="213"/>
      <c r="X11" s="216" t="s">
        <v>284</v>
      </c>
      <c r="Y11" s="215"/>
      <c r="Z11" s="213"/>
      <c r="AA11" s="213"/>
    </row>
    <row r="12" spans="1:27" ht="55.2" x14ac:dyDescent="0.3">
      <c r="A12" s="630"/>
      <c r="B12" s="631"/>
      <c r="C12" s="632"/>
      <c r="D12" s="632"/>
      <c r="E12" s="632"/>
      <c r="F12" s="632"/>
      <c r="G12" s="632"/>
      <c r="H12" s="219" t="s">
        <v>285</v>
      </c>
      <c r="I12" s="220" t="s">
        <v>286</v>
      </c>
      <c r="J12" s="220" t="s">
        <v>287</v>
      </c>
      <c r="K12" s="632"/>
      <c r="L12" s="632"/>
      <c r="M12" s="630"/>
      <c r="N12" s="218" t="s">
        <v>288</v>
      </c>
      <c r="O12" s="218" t="s">
        <v>289</v>
      </c>
      <c r="P12" s="630"/>
      <c r="Q12" s="630"/>
      <c r="R12" s="221" t="s">
        <v>290</v>
      </c>
      <c r="S12" s="221" t="s">
        <v>291</v>
      </c>
      <c r="T12" s="630"/>
      <c r="U12" s="634"/>
      <c r="V12" s="213"/>
      <c r="W12" s="213"/>
      <c r="X12" s="222" t="s">
        <v>292</v>
      </c>
      <c r="Y12" s="215"/>
      <c r="Z12" s="213"/>
      <c r="AA12" s="213"/>
    </row>
    <row r="13" spans="1:27" ht="38.25" customHeight="1" x14ac:dyDescent="0.25">
      <c r="A13" s="223" t="s">
        <v>161</v>
      </c>
      <c r="B13" s="224" t="s">
        <v>293</v>
      </c>
      <c r="C13" s="225" t="s">
        <v>294</v>
      </c>
      <c r="D13" s="225" t="s">
        <v>295</v>
      </c>
      <c r="E13" s="225" t="s">
        <v>267</v>
      </c>
      <c r="F13" s="635" t="s">
        <v>296</v>
      </c>
      <c r="G13" s="635"/>
      <c r="H13" s="15">
        <v>1582469</v>
      </c>
      <c r="I13" s="227">
        <v>0</v>
      </c>
      <c r="J13" s="227">
        <v>1</v>
      </c>
      <c r="K13" s="228" t="s">
        <v>297</v>
      </c>
      <c r="L13" s="226" t="s">
        <v>267</v>
      </c>
      <c r="M13" s="229" t="s">
        <v>223</v>
      </c>
      <c r="N13" s="226" t="s">
        <v>146</v>
      </c>
      <c r="O13" s="226" t="s">
        <v>96</v>
      </c>
      <c r="P13" s="230">
        <v>1582469</v>
      </c>
      <c r="Q13" s="231" t="s">
        <v>298</v>
      </c>
      <c r="R13" s="230">
        <v>0</v>
      </c>
      <c r="S13" s="230">
        <v>0</v>
      </c>
      <c r="T13" s="230">
        <f>+P13+S13</f>
        <v>1582469</v>
      </c>
      <c r="U13" s="232" t="s">
        <v>299</v>
      </c>
      <c r="V13" s="213"/>
      <c r="W13" s="213"/>
      <c r="X13" s="216" t="s">
        <v>300</v>
      </c>
      <c r="Y13" s="215"/>
      <c r="Z13" s="213"/>
      <c r="AA13" s="213"/>
    </row>
    <row r="14" spans="1:27" s="247" customFormat="1" ht="51.75" customHeight="1" x14ac:dyDescent="0.25">
      <c r="A14" s="304" t="s">
        <v>301</v>
      </c>
      <c r="B14" s="287" t="s">
        <v>293</v>
      </c>
      <c r="C14" s="288" t="s">
        <v>302</v>
      </c>
      <c r="D14" s="288" t="s">
        <v>303</v>
      </c>
      <c r="E14" s="288" t="s">
        <v>267</v>
      </c>
      <c r="F14" s="642"/>
      <c r="G14" s="642"/>
      <c r="H14" s="381">
        <f>840000/D9</f>
        <v>224000</v>
      </c>
      <c r="I14" s="291">
        <v>0</v>
      </c>
      <c r="J14" s="291">
        <v>1</v>
      </c>
      <c r="K14" s="306" t="s">
        <v>304</v>
      </c>
      <c r="L14" s="292" t="s">
        <v>267</v>
      </c>
      <c r="M14" s="292" t="s">
        <v>33</v>
      </c>
      <c r="N14" s="382" t="s">
        <v>75</v>
      </c>
      <c r="O14" s="382" t="s">
        <v>56</v>
      </c>
      <c r="P14" s="242"/>
      <c r="Q14" s="276"/>
      <c r="R14" s="242">
        <v>0</v>
      </c>
      <c r="S14" s="242">
        <v>0</v>
      </c>
      <c r="T14" s="242">
        <f>+P14+S14</f>
        <v>0</v>
      </c>
      <c r="U14" s="295" t="s">
        <v>305</v>
      </c>
      <c r="V14" s="244"/>
      <c r="W14" s="244"/>
      <c r="X14" s="245" t="s">
        <v>300</v>
      </c>
      <c r="Y14" s="246"/>
      <c r="Z14" s="244"/>
      <c r="AA14" s="244"/>
    </row>
    <row r="15" spans="1:27" ht="27.6" x14ac:dyDescent="0.3">
      <c r="X15" s="216" t="s">
        <v>306</v>
      </c>
      <c r="Y15" s="222"/>
    </row>
    <row r="16" spans="1:27" ht="41.4" x14ac:dyDescent="0.25">
      <c r="A16" s="207"/>
      <c r="B16" s="339" t="s">
        <v>307</v>
      </c>
      <c r="C16" s="340"/>
      <c r="D16" s="340"/>
      <c r="E16" s="340"/>
      <c r="F16" s="340"/>
      <c r="G16" s="340"/>
      <c r="H16" s="340"/>
      <c r="I16" s="340"/>
      <c r="J16" s="340"/>
      <c r="K16" s="340"/>
      <c r="L16" s="340"/>
      <c r="M16" s="340"/>
      <c r="N16" s="340"/>
      <c r="O16" s="340"/>
      <c r="P16" s="340"/>
      <c r="Q16" s="340"/>
      <c r="R16" s="340"/>
      <c r="S16" s="340"/>
      <c r="T16" s="340"/>
      <c r="U16" s="341"/>
      <c r="V16" s="213"/>
      <c r="W16" s="213"/>
      <c r="X16" s="216" t="s">
        <v>308</v>
      </c>
      <c r="Y16" s="215"/>
      <c r="Z16" s="213"/>
      <c r="AA16" s="213"/>
    </row>
    <row r="17" spans="1:27" ht="15" customHeight="1" x14ac:dyDescent="0.25">
      <c r="A17" s="630" t="s">
        <v>268</v>
      </c>
      <c r="B17" s="631" t="s">
        <v>309</v>
      </c>
      <c r="C17" s="632" t="s">
        <v>270</v>
      </c>
      <c r="D17" s="632" t="s">
        <v>271</v>
      </c>
      <c r="E17" s="632" t="s">
        <v>272</v>
      </c>
      <c r="F17" s="632" t="s">
        <v>273</v>
      </c>
      <c r="G17" s="632" t="s">
        <v>310</v>
      </c>
      <c r="H17" s="633" t="s">
        <v>274</v>
      </c>
      <c r="I17" s="633"/>
      <c r="J17" s="633"/>
      <c r="K17" s="632" t="s">
        <v>275</v>
      </c>
      <c r="L17" s="632" t="s">
        <v>276</v>
      </c>
      <c r="M17" s="630" t="s">
        <v>277</v>
      </c>
      <c r="N17" s="632" t="s">
        <v>278</v>
      </c>
      <c r="O17" s="632"/>
      <c r="P17" s="630" t="s">
        <v>279</v>
      </c>
      <c r="Q17" s="630" t="s">
        <v>280</v>
      </c>
      <c r="R17" s="630" t="s">
        <v>281</v>
      </c>
      <c r="S17" s="630"/>
      <c r="T17" s="630" t="s">
        <v>282</v>
      </c>
      <c r="U17" s="634" t="s">
        <v>283</v>
      </c>
      <c r="V17" s="213"/>
      <c r="W17" s="213"/>
      <c r="X17" s="216" t="s">
        <v>311</v>
      </c>
      <c r="Y17" s="215"/>
      <c r="Z17" s="213"/>
      <c r="AA17" s="213"/>
    </row>
    <row r="18" spans="1:27" ht="36" customHeight="1" x14ac:dyDescent="0.25">
      <c r="A18" s="630"/>
      <c r="B18" s="631"/>
      <c r="C18" s="632"/>
      <c r="D18" s="632"/>
      <c r="E18" s="632"/>
      <c r="F18" s="632"/>
      <c r="G18" s="632"/>
      <c r="H18" s="219" t="s">
        <v>285</v>
      </c>
      <c r="I18" s="220" t="s">
        <v>286</v>
      </c>
      <c r="J18" s="220" t="s">
        <v>287</v>
      </c>
      <c r="K18" s="632"/>
      <c r="L18" s="632"/>
      <c r="M18" s="630"/>
      <c r="N18" s="218" t="s">
        <v>288</v>
      </c>
      <c r="O18" s="218" t="s">
        <v>289</v>
      </c>
      <c r="P18" s="630"/>
      <c r="Q18" s="630"/>
      <c r="R18" s="221" t="s">
        <v>290</v>
      </c>
      <c r="S18" s="221" t="s">
        <v>291</v>
      </c>
      <c r="T18" s="630"/>
      <c r="U18" s="634"/>
      <c r="V18" s="213"/>
      <c r="W18" s="213"/>
      <c r="Y18" s="215"/>
      <c r="Z18" s="213"/>
      <c r="AA18" s="213"/>
    </row>
    <row r="19" spans="1:27" ht="82.8" x14ac:dyDescent="0.25">
      <c r="A19" s="223" t="s">
        <v>103</v>
      </c>
      <c r="B19" s="224" t="s">
        <v>293</v>
      </c>
      <c r="C19" s="225" t="s">
        <v>312</v>
      </c>
      <c r="D19" s="136" t="s">
        <v>104</v>
      </c>
      <c r="E19" s="136" t="s">
        <v>267</v>
      </c>
      <c r="F19" s="225" t="s">
        <v>313</v>
      </c>
      <c r="G19" s="225">
        <v>1</v>
      </c>
      <c r="H19" s="138">
        <v>91036.18</v>
      </c>
      <c r="I19" s="227">
        <v>1</v>
      </c>
      <c r="J19" s="227">
        <v>0</v>
      </c>
      <c r="K19" s="228" t="s">
        <v>314</v>
      </c>
      <c r="L19" s="248" t="s">
        <v>267</v>
      </c>
      <c r="M19" s="229" t="s">
        <v>223</v>
      </c>
      <c r="N19" s="226" t="s">
        <v>49</v>
      </c>
      <c r="O19" s="226" t="s">
        <v>50</v>
      </c>
      <c r="P19" s="230">
        <v>91036.18</v>
      </c>
      <c r="Q19" s="231" t="s">
        <v>315</v>
      </c>
      <c r="R19" s="230">
        <v>0</v>
      </c>
      <c r="S19" s="230">
        <v>0</v>
      </c>
      <c r="T19" s="230">
        <f t="shared" ref="T19:T56" si="0">+P19+S19</f>
        <v>91036.18</v>
      </c>
      <c r="U19" s="232" t="s">
        <v>316</v>
      </c>
      <c r="V19" s="213"/>
      <c r="W19" s="213"/>
      <c r="X19" s="216" t="s">
        <v>267</v>
      </c>
      <c r="Y19" s="215"/>
      <c r="Z19" s="213"/>
      <c r="AA19" s="213"/>
    </row>
    <row r="20" spans="1:27" ht="55.2" x14ac:dyDescent="0.25">
      <c r="A20" s="223" t="s">
        <v>107</v>
      </c>
      <c r="B20" s="224" t="s">
        <v>293</v>
      </c>
      <c r="C20" s="225" t="s">
        <v>317</v>
      </c>
      <c r="D20" s="136" t="s">
        <v>108</v>
      </c>
      <c r="E20" s="136" t="s">
        <v>540</v>
      </c>
      <c r="F20" s="225"/>
      <c r="G20" s="225"/>
      <c r="H20" s="138">
        <f>65000/D9</f>
        <v>17333.333333333332</v>
      </c>
      <c r="I20" s="227">
        <v>1</v>
      </c>
      <c r="J20" s="227">
        <v>0</v>
      </c>
      <c r="K20" s="228" t="s">
        <v>318</v>
      </c>
      <c r="L20" s="383" t="s">
        <v>267</v>
      </c>
      <c r="M20" s="229" t="s">
        <v>33</v>
      </c>
      <c r="N20" s="226" t="s">
        <v>183</v>
      </c>
      <c r="O20" s="226" t="s">
        <v>56</v>
      </c>
      <c r="P20" s="230"/>
      <c r="Q20" s="231"/>
      <c r="R20" s="230">
        <v>0</v>
      </c>
      <c r="S20" s="230">
        <v>0</v>
      </c>
      <c r="T20" s="230">
        <f t="shared" si="0"/>
        <v>0</v>
      </c>
      <c r="U20" s="232" t="s">
        <v>319</v>
      </c>
      <c r="V20" s="213"/>
      <c r="W20" s="213"/>
      <c r="X20" s="216" t="s">
        <v>320</v>
      </c>
      <c r="Y20" s="215"/>
      <c r="Z20" s="213"/>
      <c r="AA20" s="213"/>
    </row>
    <row r="21" spans="1:27" s="261" customFormat="1" ht="69" x14ac:dyDescent="0.25">
      <c r="A21" s="249" t="s">
        <v>109</v>
      </c>
      <c r="B21" s="250" t="s">
        <v>293</v>
      </c>
      <c r="C21" s="251" t="s">
        <v>321</v>
      </c>
      <c r="D21" s="252" t="s">
        <v>110</v>
      </c>
      <c r="E21" s="252" t="s">
        <v>267</v>
      </c>
      <c r="F21" s="251"/>
      <c r="G21" s="251"/>
      <c r="H21" s="253">
        <v>45454.545454545449</v>
      </c>
      <c r="I21" s="254">
        <v>1</v>
      </c>
      <c r="J21" s="254">
        <v>0</v>
      </c>
      <c r="K21" s="255" t="s">
        <v>322</v>
      </c>
      <c r="L21" s="256" t="s">
        <v>267</v>
      </c>
      <c r="M21" s="257" t="s">
        <v>191</v>
      </c>
      <c r="N21" s="257" t="s">
        <v>49</v>
      </c>
      <c r="O21" s="257" t="s">
        <v>50</v>
      </c>
      <c r="P21" s="230"/>
      <c r="Q21" s="231"/>
      <c r="R21" s="230">
        <v>0</v>
      </c>
      <c r="S21" s="230">
        <v>0</v>
      </c>
      <c r="T21" s="230">
        <f t="shared" si="0"/>
        <v>0</v>
      </c>
      <c r="U21" s="258" t="s">
        <v>214</v>
      </c>
      <c r="V21" s="259"/>
      <c r="W21" s="259"/>
      <c r="X21" s="216" t="s">
        <v>323</v>
      </c>
      <c r="Y21" s="260"/>
      <c r="Z21" s="259"/>
      <c r="AA21" s="259"/>
    </row>
    <row r="22" spans="1:27" ht="41.4" x14ac:dyDescent="0.25">
      <c r="A22" s="223" t="s">
        <v>112</v>
      </c>
      <c r="B22" s="224" t="s">
        <v>293</v>
      </c>
      <c r="C22" s="225" t="s">
        <v>324</v>
      </c>
      <c r="D22" s="136" t="s">
        <v>113</v>
      </c>
      <c r="E22" s="136" t="s">
        <v>267</v>
      </c>
      <c r="F22" s="225"/>
      <c r="G22" s="225"/>
      <c r="H22" s="138">
        <f>250000/D9</f>
        <v>66666.666666666672</v>
      </c>
      <c r="I22" s="227">
        <v>1</v>
      </c>
      <c r="J22" s="227">
        <v>0</v>
      </c>
      <c r="K22" s="228" t="s">
        <v>325</v>
      </c>
      <c r="L22" s="383" t="s">
        <v>267</v>
      </c>
      <c r="M22" s="229" t="s">
        <v>33</v>
      </c>
      <c r="N22" s="384" t="s">
        <v>89</v>
      </c>
      <c r="O22" s="384" t="s">
        <v>38</v>
      </c>
      <c r="P22" s="230"/>
      <c r="Q22" s="231"/>
      <c r="R22" s="230">
        <v>0</v>
      </c>
      <c r="S22" s="230">
        <v>0</v>
      </c>
      <c r="T22" s="230">
        <f t="shared" si="0"/>
        <v>0</v>
      </c>
      <c r="U22" s="232" t="s">
        <v>319</v>
      </c>
      <c r="V22" s="213"/>
      <c r="W22" s="213"/>
      <c r="X22" s="216" t="s">
        <v>326</v>
      </c>
      <c r="Y22" s="215"/>
      <c r="Z22" s="213"/>
      <c r="AA22" s="213"/>
    </row>
    <row r="23" spans="1:27" ht="55.2" x14ac:dyDescent="0.25">
      <c r="A23" s="223" t="s">
        <v>115</v>
      </c>
      <c r="B23" s="224" t="s">
        <v>293</v>
      </c>
      <c r="C23" s="225" t="s">
        <v>327</v>
      </c>
      <c r="D23" s="181" t="s">
        <v>116</v>
      </c>
      <c r="E23" s="181" t="s">
        <v>267</v>
      </c>
      <c r="F23" s="225"/>
      <c r="G23" s="225"/>
      <c r="H23" s="138">
        <f>750000/D9</f>
        <v>200000</v>
      </c>
      <c r="I23" s="227">
        <v>0</v>
      </c>
      <c r="J23" s="227">
        <v>1</v>
      </c>
      <c r="K23" s="228" t="s">
        <v>328</v>
      </c>
      <c r="L23" s="248" t="s">
        <v>267</v>
      </c>
      <c r="M23" s="229" t="s">
        <v>33</v>
      </c>
      <c r="N23" s="226" t="s">
        <v>50</v>
      </c>
      <c r="O23" s="226" t="s">
        <v>56</v>
      </c>
      <c r="P23" s="230"/>
      <c r="Q23" s="231"/>
      <c r="R23" s="230">
        <v>0</v>
      </c>
      <c r="S23" s="230">
        <v>0</v>
      </c>
      <c r="T23" s="230">
        <f t="shared" si="0"/>
        <v>0</v>
      </c>
      <c r="U23" s="232" t="s">
        <v>319</v>
      </c>
      <c r="V23" s="213"/>
      <c r="W23" s="213"/>
      <c r="X23" s="216" t="s">
        <v>329</v>
      </c>
      <c r="Y23" s="215"/>
      <c r="Z23" s="213"/>
      <c r="AA23" s="213"/>
    </row>
    <row r="24" spans="1:27" s="261" customFormat="1" ht="55.2" x14ac:dyDescent="0.25">
      <c r="A24" s="249" t="s">
        <v>117</v>
      </c>
      <c r="B24" s="250" t="s">
        <v>293</v>
      </c>
      <c r="C24" s="251" t="s">
        <v>118</v>
      </c>
      <c r="D24" s="252" t="s">
        <v>118</v>
      </c>
      <c r="E24" s="252" t="s">
        <v>267</v>
      </c>
      <c r="F24" s="251"/>
      <c r="G24" s="251"/>
      <c r="H24" s="253">
        <v>227272.72727272726</v>
      </c>
      <c r="I24" s="254">
        <v>1</v>
      </c>
      <c r="J24" s="254">
        <v>0</v>
      </c>
      <c r="K24" s="255" t="s">
        <v>328</v>
      </c>
      <c r="L24" s="256" t="s">
        <v>267</v>
      </c>
      <c r="M24" s="257" t="s">
        <v>191</v>
      </c>
      <c r="N24" s="257" t="s">
        <v>32</v>
      </c>
      <c r="O24" s="257" t="s">
        <v>44</v>
      </c>
      <c r="P24" s="230"/>
      <c r="Q24" s="231"/>
      <c r="R24" s="230">
        <v>0</v>
      </c>
      <c r="S24" s="230">
        <v>0</v>
      </c>
      <c r="T24" s="230">
        <f t="shared" si="0"/>
        <v>0</v>
      </c>
      <c r="U24" s="258" t="s">
        <v>208</v>
      </c>
      <c r="V24" s="259"/>
      <c r="W24" s="259"/>
      <c r="X24" s="262"/>
      <c r="Y24" s="260"/>
      <c r="Z24" s="259"/>
      <c r="AA24" s="259"/>
    </row>
    <row r="25" spans="1:27" ht="41.4" x14ac:dyDescent="0.25">
      <c r="A25" s="223" t="s">
        <v>119</v>
      </c>
      <c r="B25" s="224" t="s">
        <v>293</v>
      </c>
      <c r="C25" s="181" t="s">
        <v>120</v>
      </c>
      <c r="D25" s="181" t="s">
        <v>120</v>
      </c>
      <c r="E25" s="181" t="s">
        <v>267</v>
      </c>
      <c r="F25" s="225" t="s">
        <v>330</v>
      </c>
      <c r="G25" s="225">
        <v>1</v>
      </c>
      <c r="H25" s="15">
        <v>454999.99999999994</v>
      </c>
      <c r="I25" s="227">
        <v>1</v>
      </c>
      <c r="J25" s="227">
        <v>0</v>
      </c>
      <c r="K25" s="228" t="s">
        <v>328</v>
      </c>
      <c r="L25" s="248" t="s">
        <v>267</v>
      </c>
      <c r="M25" s="229" t="s">
        <v>223</v>
      </c>
      <c r="N25" s="226" t="s">
        <v>43</v>
      </c>
      <c r="O25" s="226" t="s">
        <v>49</v>
      </c>
      <c r="P25" s="230">
        <v>415611.38</v>
      </c>
      <c r="Q25" s="231" t="s">
        <v>331</v>
      </c>
      <c r="R25" s="230">
        <v>0</v>
      </c>
      <c r="S25" s="230">
        <v>0</v>
      </c>
      <c r="T25" s="230">
        <f t="shared" si="0"/>
        <v>415611.38</v>
      </c>
      <c r="U25" s="232" t="s">
        <v>332</v>
      </c>
      <c r="V25" s="213"/>
      <c r="W25" s="213"/>
      <c r="X25" s="216"/>
      <c r="Y25" s="215"/>
      <c r="Z25" s="213"/>
      <c r="AA25" s="213"/>
    </row>
    <row r="26" spans="1:27" ht="41.4" x14ac:dyDescent="0.25">
      <c r="A26" s="223" t="s">
        <v>121</v>
      </c>
      <c r="B26" s="224" t="s">
        <v>293</v>
      </c>
      <c r="C26" s="181" t="s">
        <v>122</v>
      </c>
      <c r="D26" s="181" t="s">
        <v>122</v>
      </c>
      <c r="E26" s="181" t="s">
        <v>267</v>
      </c>
      <c r="F26" s="225" t="s">
        <v>333</v>
      </c>
      <c r="G26" s="225">
        <v>1</v>
      </c>
      <c r="H26" s="15">
        <v>48649.999999999993</v>
      </c>
      <c r="I26" s="227">
        <v>1</v>
      </c>
      <c r="J26" s="227">
        <v>0</v>
      </c>
      <c r="K26" s="228" t="s">
        <v>328</v>
      </c>
      <c r="L26" s="248" t="s">
        <v>267</v>
      </c>
      <c r="M26" s="229" t="s">
        <v>223</v>
      </c>
      <c r="N26" s="226" t="s">
        <v>43</v>
      </c>
      <c r="O26" s="226" t="s">
        <v>49</v>
      </c>
      <c r="P26" s="230">
        <v>47681.2</v>
      </c>
      <c r="Q26" s="231" t="s">
        <v>334</v>
      </c>
      <c r="R26" s="230">
        <v>0</v>
      </c>
      <c r="S26" s="230">
        <v>0</v>
      </c>
      <c r="T26" s="230">
        <f t="shared" si="0"/>
        <v>47681.2</v>
      </c>
      <c r="U26" s="232" t="s">
        <v>332</v>
      </c>
      <c r="V26" s="213"/>
      <c r="W26" s="213"/>
      <c r="X26" s="216"/>
      <c r="Y26" s="215"/>
      <c r="Z26" s="213"/>
      <c r="AA26" s="213"/>
    </row>
    <row r="27" spans="1:27" ht="41.4" x14ac:dyDescent="0.25">
      <c r="A27" s="223" t="s">
        <v>123</v>
      </c>
      <c r="B27" s="224" t="s">
        <v>293</v>
      </c>
      <c r="C27" s="181" t="s">
        <v>241</v>
      </c>
      <c r="D27" s="181" t="s">
        <v>241</v>
      </c>
      <c r="E27" s="181" t="s">
        <v>267</v>
      </c>
      <c r="F27" s="225" t="s">
        <v>335</v>
      </c>
      <c r="G27" s="225">
        <v>2</v>
      </c>
      <c r="H27" s="15">
        <v>28956.81818181818</v>
      </c>
      <c r="I27" s="227">
        <v>1</v>
      </c>
      <c r="J27" s="227">
        <v>0</v>
      </c>
      <c r="K27" s="228" t="s">
        <v>328</v>
      </c>
      <c r="L27" s="248" t="s">
        <v>267</v>
      </c>
      <c r="M27" s="229" t="s">
        <v>223</v>
      </c>
      <c r="N27" s="226" t="s">
        <v>43</v>
      </c>
      <c r="O27" s="226" t="s">
        <v>49</v>
      </c>
      <c r="P27" s="230">
        <f>3574.91+22229.7</f>
        <v>25804.61</v>
      </c>
      <c r="Q27" s="231" t="s">
        <v>336</v>
      </c>
      <c r="R27" s="230">
        <v>0</v>
      </c>
      <c r="S27" s="230">
        <v>0</v>
      </c>
      <c r="T27" s="230">
        <f t="shared" si="0"/>
        <v>25804.61</v>
      </c>
      <c r="U27" s="232" t="s">
        <v>332</v>
      </c>
      <c r="V27" s="213"/>
      <c r="W27" s="213"/>
      <c r="X27" s="216"/>
      <c r="Y27" s="215"/>
      <c r="Z27" s="213"/>
      <c r="AA27" s="213"/>
    </row>
    <row r="28" spans="1:27" s="261" customFormat="1" ht="41.4" x14ac:dyDescent="0.25">
      <c r="A28" s="249" t="s">
        <v>125</v>
      </c>
      <c r="B28" s="250" t="s">
        <v>293</v>
      </c>
      <c r="C28" s="252" t="s">
        <v>126</v>
      </c>
      <c r="D28" s="252" t="s">
        <v>126</v>
      </c>
      <c r="E28" s="252" t="s">
        <v>267</v>
      </c>
      <c r="F28" s="251"/>
      <c r="G28" s="251"/>
      <c r="H28" s="253">
        <v>6818.181818181818</v>
      </c>
      <c r="I28" s="254">
        <v>1</v>
      </c>
      <c r="J28" s="254">
        <v>0</v>
      </c>
      <c r="K28" s="255" t="s">
        <v>328</v>
      </c>
      <c r="L28" s="256" t="s">
        <v>267</v>
      </c>
      <c r="M28" s="257" t="s">
        <v>191</v>
      </c>
      <c r="N28" s="257" t="s">
        <v>49</v>
      </c>
      <c r="O28" s="257" t="s">
        <v>44</v>
      </c>
      <c r="P28" s="230"/>
      <c r="Q28" s="231"/>
      <c r="R28" s="230">
        <v>0</v>
      </c>
      <c r="S28" s="230">
        <v>0</v>
      </c>
      <c r="T28" s="230">
        <f t="shared" si="0"/>
        <v>0</v>
      </c>
      <c r="U28" s="258" t="s">
        <v>243</v>
      </c>
      <c r="V28" s="259"/>
      <c r="W28" s="259"/>
      <c r="X28" s="262"/>
      <c r="Y28" s="260"/>
      <c r="Z28" s="259"/>
      <c r="AA28" s="259"/>
    </row>
    <row r="29" spans="1:27" ht="41.4" x14ac:dyDescent="0.25">
      <c r="A29" s="223" t="s">
        <v>127</v>
      </c>
      <c r="B29" s="224" t="s">
        <v>293</v>
      </c>
      <c r="C29" s="181" t="s">
        <v>128</v>
      </c>
      <c r="D29" s="181" t="s">
        <v>337</v>
      </c>
      <c r="E29" s="181" t="s">
        <v>267</v>
      </c>
      <c r="F29" s="225" t="s">
        <v>338</v>
      </c>
      <c r="G29" s="225">
        <v>1</v>
      </c>
      <c r="H29" s="138">
        <v>54137.42</v>
      </c>
      <c r="I29" s="227">
        <v>1</v>
      </c>
      <c r="J29" s="227">
        <v>0</v>
      </c>
      <c r="K29" s="228" t="s">
        <v>328</v>
      </c>
      <c r="L29" s="248" t="s">
        <v>267</v>
      </c>
      <c r="M29" s="229" t="s">
        <v>223</v>
      </c>
      <c r="N29" s="226" t="s">
        <v>49</v>
      </c>
      <c r="O29" s="226" t="s">
        <v>44</v>
      </c>
      <c r="P29" s="230">
        <v>54137.42</v>
      </c>
      <c r="Q29" s="231" t="s">
        <v>339</v>
      </c>
      <c r="R29" s="230">
        <v>0</v>
      </c>
      <c r="S29" s="230">
        <v>0</v>
      </c>
      <c r="T29" s="230">
        <f t="shared" si="0"/>
        <v>54137.42</v>
      </c>
      <c r="U29" s="232" t="s">
        <v>244</v>
      </c>
      <c r="V29" s="213"/>
      <c r="W29" s="213"/>
      <c r="X29" s="216"/>
      <c r="Y29" s="215"/>
      <c r="Z29" s="213"/>
      <c r="AA29" s="213"/>
    </row>
    <row r="30" spans="1:27" s="261" customFormat="1" ht="41.4" x14ac:dyDescent="0.25">
      <c r="A30" s="249" t="s">
        <v>129</v>
      </c>
      <c r="B30" s="250" t="s">
        <v>293</v>
      </c>
      <c r="C30" s="252" t="s">
        <v>130</v>
      </c>
      <c r="D30" s="252" t="s">
        <v>130</v>
      </c>
      <c r="E30" s="252" t="s">
        <v>267</v>
      </c>
      <c r="F30" s="251"/>
      <c r="G30" s="251"/>
      <c r="H30" s="253">
        <v>13636.363636363636</v>
      </c>
      <c r="I30" s="254">
        <v>1</v>
      </c>
      <c r="J30" s="254">
        <v>0</v>
      </c>
      <c r="K30" s="255" t="s">
        <v>328</v>
      </c>
      <c r="L30" s="256" t="s">
        <v>267</v>
      </c>
      <c r="M30" s="257" t="s">
        <v>191</v>
      </c>
      <c r="N30" s="257" t="s">
        <v>49</v>
      </c>
      <c r="O30" s="257" t="s">
        <v>44</v>
      </c>
      <c r="P30" s="230"/>
      <c r="Q30" s="231"/>
      <c r="R30" s="230">
        <v>0</v>
      </c>
      <c r="S30" s="230">
        <v>0</v>
      </c>
      <c r="T30" s="230">
        <f t="shared" si="0"/>
        <v>0</v>
      </c>
      <c r="U30" s="258" t="s">
        <v>193</v>
      </c>
      <c r="V30" s="259"/>
      <c r="W30" s="259"/>
      <c r="X30" s="262"/>
      <c r="Y30" s="260"/>
      <c r="Z30" s="259"/>
      <c r="AA30" s="259"/>
    </row>
    <row r="31" spans="1:27" ht="41.4" x14ac:dyDescent="0.25">
      <c r="A31" s="223" t="s">
        <v>131</v>
      </c>
      <c r="B31" s="224" t="s">
        <v>293</v>
      </c>
      <c r="C31" s="225" t="s">
        <v>340</v>
      </c>
      <c r="D31" s="181" t="s">
        <v>132</v>
      </c>
      <c r="E31" s="181" t="s">
        <v>267</v>
      </c>
      <c r="F31" s="225"/>
      <c r="G31" s="225"/>
      <c r="H31" s="138">
        <f>200000/D9</f>
        <v>53333.333333333336</v>
      </c>
      <c r="I31" s="227">
        <v>0</v>
      </c>
      <c r="J31" s="227">
        <v>1</v>
      </c>
      <c r="K31" s="228" t="s">
        <v>328</v>
      </c>
      <c r="L31" s="248" t="s">
        <v>267</v>
      </c>
      <c r="M31" s="229" t="s">
        <v>33</v>
      </c>
      <c r="N31" s="226" t="s">
        <v>56</v>
      </c>
      <c r="O31" s="226" t="s">
        <v>59</v>
      </c>
      <c r="P31" s="230"/>
      <c r="Q31" s="231"/>
      <c r="R31" s="230">
        <v>0</v>
      </c>
      <c r="S31" s="230">
        <v>0</v>
      </c>
      <c r="T31" s="230">
        <f t="shared" si="0"/>
        <v>0</v>
      </c>
      <c r="U31" s="232" t="s">
        <v>319</v>
      </c>
      <c r="V31" s="213"/>
      <c r="W31" s="213"/>
      <c r="X31" s="216"/>
      <c r="Y31" s="215"/>
      <c r="Z31" s="213"/>
      <c r="AA31" s="213"/>
    </row>
    <row r="32" spans="1:27" ht="41.4" x14ac:dyDescent="0.25">
      <c r="A32" s="223" t="s">
        <v>134</v>
      </c>
      <c r="B32" s="224" t="s">
        <v>293</v>
      </c>
      <c r="C32" s="181" t="s">
        <v>135</v>
      </c>
      <c r="D32" s="181" t="s">
        <v>135</v>
      </c>
      <c r="E32" s="181" t="s">
        <v>267</v>
      </c>
      <c r="F32" s="225"/>
      <c r="G32" s="225"/>
      <c r="H32" s="138">
        <f>100000/D9</f>
        <v>26666.666666666668</v>
      </c>
      <c r="I32" s="227">
        <v>1</v>
      </c>
      <c r="J32" s="227">
        <v>0</v>
      </c>
      <c r="K32" s="228" t="s">
        <v>328</v>
      </c>
      <c r="L32" s="383" t="s">
        <v>267</v>
      </c>
      <c r="M32" s="229" t="s">
        <v>33</v>
      </c>
      <c r="N32" s="226" t="s">
        <v>56</v>
      </c>
      <c r="O32" s="226" t="s">
        <v>59</v>
      </c>
      <c r="P32" s="230"/>
      <c r="Q32" s="231"/>
      <c r="R32" s="230">
        <v>0</v>
      </c>
      <c r="S32" s="230">
        <v>0</v>
      </c>
      <c r="T32" s="230">
        <f t="shared" si="0"/>
        <v>0</v>
      </c>
      <c r="U32" s="232" t="s">
        <v>319</v>
      </c>
      <c r="V32" s="213"/>
      <c r="W32" s="213"/>
      <c r="X32" s="216"/>
      <c r="Y32" s="215"/>
      <c r="Z32" s="213"/>
      <c r="AA32" s="213"/>
    </row>
    <row r="33" spans="1:27" ht="41.4" x14ac:dyDescent="0.25">
      <c r="A33" s="223" t="s">
        <v>136</v>
      </c>
      <c r="B33" s="224" t="s">
        <v>293</v>
      </c>
      <c r="C33" s="136" t="s">
        <v>341</v>
      </c>
      <c r="D33" s="136" t="s">
        <v>137</v>
      </c>
      <c r="E33" s="136" t="s">
        <v>267</v>
      </c>
      <c r="F33" s="225"/>
      <c r="G33" s="225"/>
      <c r="H33" s="138">
        <f>400000/D9</f>
        <v>106666.66666666667</v>
      </c>
      <c r="I33" s="227">
        <v>1</v>
      </c>
      <c r="J33" s="227">
        <v>0</v>
      </c>
      <c r="K33" s="228" t="s">
        <v>342</v>
      </c>
      <c r="L33" s="383" t="s">
        <v>267</v>
      </c>
      <c r="M33" s="229" t="s">
        <v>33</v>
      </c>
      <c r="N33" s="226" t="s">
        <v>75</v>
      </c>
      <c r="O33" s="226" t="s">
        <v>343</v>
      </c>
      <c r="P33" s="230"/>
      <c r="Q33" s="231"/>
      <c r="R33" s="230">
        <v>0</v>
      </c>
      <c r="S33" s="230">
        <v>0</v>
      </c>
      <c r="T33" s="230">
        <f t="shared" si="0"/>
        <v>0</v>
      </c>
      <c r="U33" s="232" t="s">
        <v>319</v>
      </c>
      <c r="V33" s="213"/>
      <c r="W33" s="213"/>
      <c r="X33" s="216"/>
      <c r="Y33" s="215"/>
      <c r="Z33" s="213"/>
      <c r="AA33" s="213"/>
    </row>
    <row r="34" spans="1:27" s="261" customFormat="1" ht="69" x14ac:dyDescent="0.25">
      <c r="A34" s="249" t="s">
        <v>138</v>
      </c>
      <c r="B34" s="250" t="s">
        <v>293</v>
      </c>
      <c r="C34" s="252" t="s">
        <v>344</v>
      </c>
      <c r="D34" s="252" t="s">
        <v>139</v>
      </c>
      <c r="E34" s="252" t="s">
        <v>267</v>
      </c>
      <c r="F34" s="251"/>
      <c r="G34" s="251"/>
      <c r="H34" s="263">
        <v>819545.45454545447</v>
      </c>
      <c r="I34" s="254">
        <v>1</v>
      </c>
      <c r="J34" s="254">
        <v>0</v>
      </c>
      <c r="K34" s="255" t="s">
        <v>304</v>
      </c>
      <c r="L34" s="256" t="s">
        <v>267</v>
      </c>
      <c r="M34" s="257" t="s">
        <v>191</v>
      </c>
      <c r="N34" s="257" t="s">
        <v>231</v>
      </c>
      <c r="O34" s="257" t="s">
        <v>59</v>
      </c>
      <c r="P34" s="230"/>
      <c r="Q34" s="231"/>
      <c r="R34" s="230">
        <v>0</v>
      </c>
      <c r="S34" s="230">
        <v>0</v>
      </c>
      <c r="T34" s="230">
        <f t="shared" si="0"/>
        <v>0</v>
      </c>
      <c r="U34" s="258" t="s">
        <v>345</v>
      </c>
      <c r="V34" s="259"/>
      <c r="W34" s="259"/>
      <c r="Y34" s="260"/>
      <c r="Z34" s="259"/>
      <c r="AA34" s="259"/>
    </row>
    <row r="35" spans="1:27" ht="96.6" x14ac:dyDescent="0.25">
      <c r="A35" s="223" t="s">
        <v>140</v>
      </c>
      <c r="B35" s="224" t="s">
        <v>293</v>
      </c>
      <c r="C35" s="136" t="s">
        <v>346</v>
      </c>
      <c r="D35" s="136" t="s">
        <v>141</v>
      </c>
      <c r="E35" s="136" t="s">
        <v>267</v>
      </c>
      <c r="F35" s="225"/>
      <c r="G35" s="225"/>
      <c r="H35" s="138">
        <f>60590/D9</f>
        <v>16157.333333333334</v>
      </c>
      <c r="I35" s="227">
        <v>1</v>
      </c>
      <c r="J35" s="227">
        <v>0</v>
      </c>
      <c r="K35" s="228" t="s">
        <v>304</v>
      </c>
      <c r="L35" s="383" t="s">
        <v>267</v>
      </c>
      <c r="M35" s="229" t="s">
        <v>33</v>
      </c>
      <c r="N35" s="226" t="s">
        <v>50</v>
      </c>
      <c r="O35" s="226" t="s">
        <v>56</v>
      </c>
      <c r="P35" s="230"/>
      <c r="Q35" s="231"/>
      <c r="R35" s="230">
        <v>0</v>
      </c>
      <c r="S35" s="230">
        <v>0</v>
      </c>
      <c r="T35" s="230">
        <f t="shared" si="0"/>
        <v>0</v>
      </c>
      <c r="U35" s="232" t="s">
        <v>319</v>
      </c>
      <c r="V35" s="213"/>
      <c r="W35" s="213"/>
      <c r="X35" s="216"/>
      <c r="Y35" s="215"/>
      <c r="Z35" s="213"/>
      <c r="AA35" s="213"/>
    </row>
    <row r="36" spans="1:27" ht="69" x14ac:dyDescent="0.25">
      <c r="A36" s="223" t="s">
        <v>142</v>
      </c>
      <c r="B36" s="224" t="s">
        <v>293</v>
      </c>
      <c r="C36" s="136" t="s">
        <v>347</v>
      </c>
      <c r="D36" s="136" t="s">
        <v>143</v>
      </c>
      <c r="E36" s="136" t="s">
        <v>267</v>
      </c>
      <c r="F36" s="225" t="s">
        <v>348</v>
      </c>
      <c r="G36" s="225">
        <v>1</v>
      </c>
      <c r="H36" s="138">
        <v>160477.16</v>
      </c>
      <c r="I36" s="227">
        <v>1</v>
      </c>
      <c r="J36" s="227">
        <v>0</v>
      </c>
      <c r="K36" s="228" t="s">
        <v>304</v>
      </c>
      <c r="L36" s="383" t="s">
        <v>267</v>
      </c>
      <c r="M36" s="229" t="s">
        <v>223</v>
      </c>
      <c r="N36" s="226" t="s">
        <v>49</v>
      </c>
      <c r="O36" s="226" t="s">
        <v>183</v>
      </c>
      <c r="P36" s="230">
        <v>160477.16</v>
      </c>
      <c r="Q36" s="231" t="s">
        <v>349</v>
      </c>
      <c r="R36" s="230">
        <v>0</v>
      </c>
      <c r="S36" s="230">
        <v>0</v>
      </c>
      <c r="T36" s="230">
        <f t="shared" si="0"/>
        <v>160477.16</v>
      </c>
      <c r="U36" s="232" t="s">
        <v>350</v>
      </c>
      <c r="V36" s="213"/>
      <c r="W36" s="213"/>
      <c r="X36" s="216"/>
      <c r="Y36" s="215"/>
      <c r="Z36" s="213"/>
      <c r="AA36" s="213"/>
    </row>
    <row r="37" spans="1:27" s="261" customFormat="1" ht="96.6" x14ac:dyDescent="0.25">
      <c r="A37" s="249" t="s">
        <v>144</v>
      </c>
      <c r="B37" s="250" t="s">
        <v>293</v>
      </c>
      <c r="C37" s="252" t="s">
        <v>351</v>
      </c>
      <c r="D37" s="252" t="s">
        <v>202</v>
      </c>
      <c r="E37" s="252" t="s">
        <v>267</v>
      </c>
      <c r="F37" s="251"/>
      <c r="G37" s="251"/>
      <c r="H37" s="253">
        <v>5909.090909090909</v>
      </c>
      <c r="I37" s="254">
        <v>1</v>
      </c>
      <c r="J37" s="254">
        <v>0</v>
      </c>
      <c r="K37" s="251" t="s">
        <v>352</v>
      </c>
      <c r="L37" s="257" t="s">
        <v>267</v>
      </c>
      <c r="M37" s="257" t="s">
        <v>191</v>
      </c>
      <c r="N37" s="257" t="s">
        <v>43</v>
      </c>
      <c r="O37" s="257" t="s">
        <v>43</v>
      </c>
      <c r="P37" s="230"/>
      <c r="Q37" s="231"/>
      <c r="R37" s="230">
        <v>0</v>
      </c>
      <c r="S37" s="230">
        <v>0</v>
      </c>
      <c r="T37" s="230">
        <f t="shared" si="0"/>
        <v>0</v>
      </c>
      <c r="U37" s="258" t="s">
        <v>194</v>
      </c>
      <c r="V37" s="259"/>
      <c r="W37" s="259"/>
      <c r="X37" s="262"/>
      <c r="Y37" s="260"/>
      <c r="Z37" s="259"/>
      <c r="AA37" s="259"/>
    </row>
    <row r="38" spans="1:27" s="261" customFormat="1" ht="41.4" x14ac:dyDescent="0.25">
      <c r="A38" s="249" t="s">
        <v>147</v>
      </c>
      <c r="B38" s="250" t="s">
        <v>293</v>
      </c>
      <c r="C38" s="252" t="s">
        <v>353</v>
      </c>
      <c r="D38" s="252" t="s">
        <v>148</v>
      </c>
      <c r="E38" s="252" t="s">
        <v>267</v>
      </c>
      <c r="F38" s="251"/>
      <c r="G38" s="251"/>
      <c r="H38" s="253">
        <v>36363.63636363636</v>
      </c>
      <c r="I38" s="254">
        <v>1</v>
      </c>
      <c r="J38" s="254">
        <v>0</v>
      </c>
      <c r="K38" s="251" t="s">
        <v>354</v>
      </c>
      <c r="L38" s="257" t="s">
        <v>267</v>
      </c>
      <c r="M38" s="257" t="s">
        <v>191</v>
      </c>
      <c r="N38" s="257" t="s">
        <v>43</v>
      </c>
      <c r="O38" s="257" t="s">
        <v>43</v>
      </c>
      <c r="P38" s="230"/>
      <c r="Q38" s="231"/>
      <c r="R38" s="230">
        <v>0</v>
      </c>
      <c r="S38" s="230">
        <v>0</v>
      </c>
      <c r="T38" s="230">
        <f t="shared" si="0"/>
        <v>0</v>
      </c>
      <c r="U38" s="258" t="s">
        <v>195</v>
      </c>
      <c r="V38" s="259"/>
      <c r="W38" s="259"/>
      <c r="X38" s="262"/>
      <c r="Y38" s="260"/>
      <c r="Z38" s="259"/>
      <c r="AA38" s="259"/>
    </row>
    <row r="39" spans="1:27" ht="82.8" x14ac:dyDescent="0.25">
      <c r="A39" s="223" t="s">
        <v>149</v>
      </c>
      <c r="B39" s="224" t="s">
        <v>293</v>
      </c>
      <c r="C39" s="156" t="s">
        <v>355</v>
      </c>
      <c r="D39" s="156" t="s">
        <v>150</v>
      </c>
      <c r="E39" s="156" t="s">
        <v>267</v>
      </c>
      <c r="F39" s="225"/>
      <c r="G39" s="225"/>
      <c r="H39" s="138">
        <f>150000/D9</f>
        <v>40000</v>
      </c>
      <c r="I39" s="227">
        <v>1</v>
      </c>
      <c r="J39" s="227">
        <v>0</v>
      </c>
      <c r="K39" s="228" t="s">
        <v>356</v>
      </c>
      <c r="L39" s="383" t="s">
        <v>267</v>
      </c>
      <c r="M39" s="229" t="s">
        <v>33</v>
      </c>
      <c r="N39" s="226" t="s">
        <v>50</v>
      </c>
      <c r="O39" s="226" t="s">
        <v>56</v>
      </c>
      <c r="P39" s="230"/>
      <c r="Q39" s="231"/>
      <c r="R39" s="230">
        <v>0</v>
      </c>
      <c r="S39" s="230">
        <v>0</v>
      </c>
      <c r="T39" s="230">
        <f t="shared" si="0"/>
        <v>0</v>
      </c>
      <c r="U39" s="232" t="s">
        <v>319</v>
      </c>
      <c r="V39" s="213"/>
      <c r="W39" s="213"/>
      <c r="X39" s="216"/>
      <c r="Y39" s="215"/>
      <c r="Z39" s="213"/>
      <c r="AA39" s="213"/>
    </row>
    <row r="40" spans="1:27" ht="82.8" x14ac:dyDescent="0.25">
      <c r="A40" s="223" t="s">
        <v>153</v>
      </c>
      <c r="B40" s="224" t="s">
        <v>293</v>
      </c>
      <c r="C40" s="156" t="s">
        <v>357</v>
      </c>
      <c r="D40" s="156" t="s">
        <v>154</v>
      </c>
      <c r="E40" s="156" t="s">
        <v>267</v>
      </c>
      <c r="F40" s="225" t="s">
        <v>358</v>
      </c>
      <c r="G40" s="225">
        <v>1</v>
      </c>
      <c r="H40" s="138">
        <v>49268.14</v>
      </c>
      <c r="I40" s="227">
        <v>1</v>
      </c>
      <c r="J40" s="227">
        <v>0</v>
      </c>
      <c r="K40" s="228" t="s">
        <v>314</v>
      </c>
      <c r="L40" s="248" t="s">
        <v>267</v>
      </c>
      <c r="M40" s="229" t="s">
        <v>223</v>
      </c>
      <c r="N40" s="226" t="s">
        <v>32</v>
      </c>
      <c r="O40" s="226" t="s">
        <v>183</v>
      </c>
      <c r="P40" s="230">
        <v>49268.14</v>
      </c>
      <c r="Q40" s="231" t="s">
        <v>359</v>
      </c>
      <c r="R40" s="230">
        <v>0</v>
      </c>
      <c r="S40" s="230">
        <v>0</v>
      </c>
      <c r="T40" s="230">
        <f t="shared" si="0"/>
        <v>49268.14</v>
      </c>
      <c r="U40" s="232" t="s">
        <v>360</v>
      </c>
      <c r="V40" s="213"/>
      <c r="W40" s="213"/>
      <c r="X40" s="216"/>
      <c r="Y40" s="215"/>
      <c r="Z40" s="213"/>
      <c r="AA40" s="213"/>
    </row>
    <row r="41" spans="1:27" ht="96.6" x14ac:dyDescent="0.25">
      <c r="A41" s="223" t="s">
        <v>155</v>
      </c>
      <c r="B41" s="224" t="s">
        <v>293</v>
      </c>
      <c r="C41" s="156" t="s">
        <v>361</v>
      </c>
      <c r="D41" s="156" t="s">
        <v>156</v>
      </c>
      <c r="E41" s="156" t="s">
        <v>267</v>
      </c>
      <c r="F41" s="225"/>
      <c r="G41" s="225"/>
      <c r="H41" s="138">
        <f>180000/D9</f>
        <v>48000</v>
      </c>
      <c r="I41" s="227">
        <v>1</v>
      </c>
      <c r="J41" s="227">
        <v>0</v>
      </c>
      <c r="K41" s="228" t="s">
        <v>297</v>
      </c>
      <c r="L41" s="383" t="s">
        <v>267</v>
      </c>
      <c r="M41" s="229" t="s">
        <v>33</v>
      </c>
      <c r="N41" s="226" t="s">
        <v>231</v>
      </c>
      <c r="O41" s="226" t="s">
        <v>343</v>
      </c>
      <c r="P41" s="230"/>
      <c r="Q41" s="231"/>
      <c r="R41" s="230">
        <v>0</v>
      </c>
      <c r="S41" s="230">
        <v>0</v>
      </c>
      <c r="T41" s="230">
        <f t="shared" si="0"/>
        <v>0</v>
      </c>
      <c r="U41" s="232" t="s">
        <v>319</v>
      </c>
      <c r="V41" s="213"/>
      <c r="W41" s="213"/>
      <c r="X41" s="216"/>
      <c r="Y41" s="215"/>
      <c r="Z41" s="213"/>
      <c r="AA41" s="213"/>
    </row>
    <row r="42" spans="1:27" ht="55.2" x14ac:dyDescent="0.25">
      <c r="A42" s="223" t="s">
        <v>157</v>
      </c>
      <c r="B42" s="224" t="s">
        <v>293</v>
      </c>
      <c r="C42" s="156" t="s">
        <v>362</v>
      </c>
      <c r="D42" s="156" t="s">
        <v>363</v>
      </c>
      <c r="E42" s="156" t="s">
        <v>326</v>
      </c>
      <c r="F42" s="225"/>
      <c r="G42" s="225"/>
      <c r="H42" s="138">
        <f>20000/D9</f>
        <v>5333.333333333333</v>
      </c>
      <c r="I42" s="227">
        <v>1</v>
      </c>
      <c r="J42" s="227">
        <v>0</v>
      </c>
      <c r="K42" s="228" t="s">
        <v>356</v>
      </c>
      <c r="L42" s="248" t="s">
        <v>284</v>
      </c>
      <c r="M42" s="229" t="s">
        <v>163</v>
      </c>
      <c r="N42" s="226" t="s">
        <v>44</v>
      </c>
      <c r="O42" s="226" t="s">
        <v>50</v>
      </c>
      <c r="P42" s="230"/>
      <c r="Q42" s="231"/>
      <c r="R42" s="230">
        <v>0</v>
      </c>
      <c r="S42" s="230">
        <v>0</v>
      </c>
      <c r="T42" s="230">
        <f t="shared" si="0"/>
        <v>0</v>
      </c>
      <c r="U42" s="232"/>
      <c r="V42" s="213"/>
      <c r="W42" s="213"/>
      <c r="X42" s="216"/>
      <c r="Y42" s="215"/>
      <c r="Z42" s="213"/>
      <c r="AA42" s="213"/>
    </row>
    <row r="43" spans="1:27" ht="41.4" x14ac:dyDescent="0.25">
      <c r="A43" s="223" t="s">
        <v>216</v>
      </c>
      <c r="B43" s="224" t="s">
        <v>293</v>
      </c>
      <c r="C43" s="156" t="s">
        <v>217</v>
      </c>
      <c r="D43" s="156" t="s">
        <v>217</v>
      </c>
      <c r="E43" s="156" t="s">
        <v>267</v>
      </c>
      <c r="F43" s="225" t="s">
        <v>364</v>
      </c>
      <c r="G43" s="225">
        <v>1</v>
      </c>
      <c r="H43" s="15">
        <v>3000</v>
      </c>
      <c r="I43" s="227">
        <v>1</v>
      </c>
      <c r="J43" s="227">
        <v>0</v>
      </c>
      <c r="K43" s="228" t="s">
        <v>328</v>
      </c>
      <c r="L43" s="248" t="s">
        <v>267</v>
      </c>
      <c r="M43" s="229" t="s">
        <v>223</v>
      </c>
      <c r="N43" s="226" t="s">
        <v>74</v>
      </c>
      <c r="O43" s="226" t="s">
        <v>183</v>
      </c>
      <c r="P43" s="230">
        <v>2970.78</v>
      </c>
      <c r="Q43" s="231" t="s">
        <v>365</v>
      </c>
      <c r="R43" s="230">
        <v>0</v>
      </c>
      <c r="S43" s="230">
        <v>0</v>
      </c>
      <c r="T43" s="230">
        <f t="shared" si="0"/>
        <v>2970.78</v>
      </c>
      <c r="U43" s="232" t="s">
        <v>366</v>
      </c>
      <c r="V43" s="213"/>
      <c r="W43" s="213"/>
      <c r="X43" s="216"/>
      <c r="Y43" s="215"/>
      <c r="Z43" s="213"/>
      <c r="AA43" s="213"/>
    </row>
    <row r="44" spans="1:27" s="247" customFormat="1" ht="41.4" x14ac:dyDescent="0.25">
      <c r="A44" s="249" t="s">
        <v>246</v>
      </c>
      <c r="B44" s="250" t="s">
        <v>293</v>
      </c>
      <c r="C44" s="252" t="s">
        <v>247</v>
      </c>
      <c r="D44" s="252" t="s">
        <v>247</v>
      </c>
      <c r="E44" s="252" t="s">
        <v>267</v>
      </c>
      <c r="F44" s="251"/>
      <c r="G44" s="251"/>
      <c r="H44" s="263">
        <v>45454.545454545449</v>
      </c>
      <c r="I44" s="254">
        <v>1</v>
      </c>
      <c r="J44" s="254">
        <v>0</v>
      </c>
      <c r="K44" s="255" t="s">
        <v>328</v>
      </c>
      <c r="L44" s="256" t="s">
        <v>267</v>
      </c>
      <c r="M44" s="257" t="s">
        <v>191</v>
      </c>
      <c r="N44" s="257" t="s">
        <v>44</v>
      </c>
      <c r="O44" s="257" t="s">
        <v>44</v>
      </c>
      <c r="P44" s="230"/>
      <c r="Q44" s="231"/>
      <c r="R44" s="230">
        <v>0</v>
      </c>
      <c r="S44" s="230">
        <v>0</v>
      </c>
      <c r="T44" s="230">
        <f t="shared" si="0"/>
        <v>0</v>
      </c>
      <c r="U44" s="258" t="s">
        <v>367</v>
      </c>
      <c r="V44" s="244"/>
      <c r="W44" s="244"/>
      <c r="X44" s="245"/>
      <c r="Y44" s="246"/>
      <c r="Z44" s="244"/>
      <c r="AA44" s="244"/>
    </row>
    <row r="45" spans="1:27" s="247" customFormat="1" ht="41.4" x14ac:dyDescent="0.25">
      <c r="A45" s="297" t="s">
        <v>368</v>
      </c>
      <c r="B45" s="224" t="s">
        <v>293</v>
      </c>
      <c r="C45" s="136" t="s">
        <v>369</v>
      </c>
      <c r="D45" s="136" t="s">
        <v>370</v>
      </c>
      <c r="E45" s="136" t="s">
        <v>267</v>
      </c>
      <c r="F45" s="225"/>
      <c r="G45" s="225"/>
      <c r="H45" s="138">
        <f>5900000/D9</f>
        <v>1573333.3333333333</v>
      </c>
      <c r="I45" s="227">
        <v>1</v>
      </c>
      <c r="J45" s="227">
        <v>0</v>
      </c>
      <c r="K45" s="228" t="s">
        <v>304</v>
      </c>
      <c r="L45" s="383" t="s">
        <v>267</v>
      </c>
      <c r="M45" s="226" t="s">
        <v>33</v>
      </c>
      <c r="N45" s="226" t="s">
        <v>183</v>
      </c>
      <c r="O45" s="226" t="s">
        <v>133</v>
      </c>
      <c r="P45" s="230"/>
      <c r="Q45" s="231"/>
      <c r="R45" s="230">
        <v>0</v>
      </c>
      <c r="S45" s="230">
        <v>0</v>
      </c>
      <c r="T45" s="230">
        <f t="shared" si="0"/>
        <v>0</v>
      </c>
      <c r="U45" s="385" t="s">
        <v>319</v>
      </c>
      <c r="V45" s="244"/>
      <c r="W45" s="244"/>
      <c r="X45" s="245"/>
      <c r="Y45" s="246"/>
      <c r="Z45" s="244"/>
      <c r="AA45" s="244"/>
    </row>
    <row r="46" spans="1:27" s="247" customFormat="1" ht="41.4" x14ac:dyDescent="0.25">
      <c r="A46" s="297" t="s">
        <v>371</v>
      </c>
      <c r="B46" s="224" t="s">
        <v>293</v>
      </c>
      <c r="C46" s="136" t="s">
        <v>372</v>
      </c>
      <c r="D46" s="386" t="s">
        <v>541</v>
      </c>
      <c r="E46" s="136" t="s">
        <v>267</v>
      </c>
      <c r="F46" s="225"/>
      <c r="G46" s="225"/>
      <c r="H46" s="138">
        <f>110000/D9</f>
        <v>29333.333333333332</v>
      </c>
      <c r="I46" s="227">
        <v>1</v>
      </c>
      <c r="J46" s="227">
        <v>0</v>
      </c>
      <c r="K46" s="228" t="s">
        <v>328</v>
      </c>
      <c r="L46" s="383" t="s">
        <v>267</v>
      </c>
      <c r="M46" s="226" t="s">
        <v>163</v>
      </c>
      <c r="N46" s="226" t="s">
        <v>183</v>
      </c>
      <c r="O46" s="226" t="s">
        <v>133</v>
      </c>
      <c r="P46" s="230"/>
      <c r="Q46" s="231"/>
      <c r="R46" s="230">
        <v>0</v>
      </c>
      <c r="S46" s="230">
        <v>0</v>
      </c>
      <c r="T46" s="230">
        <f t="shared" si="0"/>
        <v>0</v>
      </c>
      <c r="U46" s="232" t="s">
        <v>319</v>
      </c>
      <c r="V46" s="244"/>
      <c r="W46" s="244"/>
      <c r="X46" s="245"/>
      <c r="Y46" s="246"/>
      <c r="Z46" s="244"/>
      <c r="AA46" s="244"/>
    </row>
    <row r="47" spans="1:27" s="247" customFormat="1" ht="41.4" x14ac:dyDescent="0.25">
      <c r="A47" s="297" t="s">
        <v>374</v>
      </c>
      <c r="B47" s="224" t="s">
        <v>293</v>
      </c>
      <c r="C47" s="136" t="s">
        <v>375</v>
      </c>
      <c r="D47" s="136" t="s">
        <v>376</v>
      </c>
      <c r="E47" s="136" t="s">
        <v>267</v>
      </c>
      <c r="F47" s="225"/>
      <c r="G47" s="225"/>
      <c r="H47" s="138">
        <f>540000/D9</f>
        <v>144000</v>
      </c>
      <c r="I47" s="227">
        <v>1</v>
      </c>
      <c r="J47" s="227">
        <v>0</v>
      </c>
      <c r="K47" s="228" t="s">
        <v>297</v>
      </c>
      <c r="L47" s="383" t="s">
        <v>267</v>
      </c>
      <c r="M47" s="226" t="s">
        <v>33</v>
      </c>
      <c r="N47" s="226" t="s">
        <v>183</v>
      </c>
      <c r="O47" s="226" t="s">
        <v>133</v>
      </c>
      <c r="P47" s="230"/>
      <c r="Q47" s="231"/>
      <c r="R47" s="230">
        <v>0</v>
      </c>
      <c r="S47" s="230">
        <v>0</v>
      </c>
      <c r="T47" s="230">
        <f t="shared" si="0"/>
        <v>0</v>
      </c>
      <c r="U47" s="232" t="s">
        <v>332</v>
      </c>
      <c r="V47" s="244"/>
      <c r="W47" s="244"/>
      <c r="X47" s="245"/>
      <c r="Y47" s="246"/>
      <c r="Z47" s="244"/>
      <c r="AA47" s="244"/>
    </row>
    <row r="48" spans="1:27" s="247" customFormat="1" ht="41.4" x14ac:dyDescent="0.25">
      <c r="A48" s="249" t="s">
        <v>377</v>
      </c>
      <c r="B48" s="250" t="s">
        <v>293</v>
      </c>
      <c r="C48" s="252" t="s">
        <v>378</v>
      </c>
      <c r="D48" s="252" t="s">
        <v>379</v>
      </c>
      <c r="E48" s="252" t="s">
        <v>267</v>
      </c>
      <c r="F48" s="251"/>
      <c r="G48" s="251"/>
      <c r="H48" s="263">
        <f>4000/D9</f>
        <v>1066.6666666666667</v>
      </c>
      <c r="I48" s="254">
        <v>1</v>
      </c>
      <c r="J48" s="254">
        <v>0</v>
      </c>
      <c r="K48" s="255" t="s">
        <v>328</v>
      </c>
      <c r="L48" s="256" t="s">
        <v>267</v>
      </c>
      <c r="M48" s="257" t="s">
        <v>191</v>
      </c>
      <c r="N48" s="257" t="s">
        <v>183</v>
      </c>
      <c r="O48" s="257" t="s">
        <v>133</v>
      </c>
      <c r="P48" s="281"/>
      <c r="Q48" s="280"/>
      <c r="R48" s="281">
        <v>0</v>
      </c>
      <c r="S48" s="281">
        <v>0</v>
      </c>
      <c r="T48" s="281">
        <f t="shared" si="0"/>
        <v>0</v>
      </c>
      <c r="U48" s="258" t="s">
        <v>517</v>
      </c>
      <c r="V48" s="244"/>
      <c r="W48" s="244"/>
      <c r="X48" s="245"/>
      <c r="Y48" s="246"/>
      <c r="Z48" s="244"/>
      <c r="AA48" s="244"/>
    </row>
    <row r="49" spans="1:27" s="247" customFormat="1" ht="41.4" x14ac:dyDescent="0.25">
      <c r="A49" s="297" t="s">
        <v>518</v>
      </c>
      <c r="B49" s="224" t="s">
        <v>293</v>
      </c>
      <c r="C49" s="225" t="s">
        <v>519</v>
      </c>
      <c r="D49" s="225" t="s">
        <v>520</v>
      </c>
      <c r="E49" s="136" t="s">
        <v>267</v>
      </c>
      <c r="F49" s="225"/>
      <c r="G49" s="225"/>
      <c r="H49" s="365">
        <f>3015000/D9</f>
        <v>804000</v>
      </c>
      <c r="I49" s="227">
        <v>1</v>
      </c>
      <c r="J49" s="227">
        <v>0</v>
      </c>
      <c r="K49" s="225" t="s">
        <v>297</v>
      </c>
      <c r="L49" s="387" t="s">
        <v>267</v>
      </c>
      <c r="M49" s="226" t="s">
        <v>163</v>
      </c>
      <c r="N49" s="226" t="s">
        <v>50</v>
      </c>
      <c r="O49" s="226" t="s">
        <v>75</v>
      </c>
      <c r="P49" s="285"/>
      <c r="Q49" s="231"/>
      <c r="R49" s="230">
        <v>0</v>
      </c>
      <c r="S49" s="230">
        <v>0</v>
      </c>
      <c r="T49" s="230">
        <f t="shared" si="0"/>
        <v>0</v>
      </c>
      <c r="U49" s="232" t="s">
        <v>332</v>
      </c>
      <c r="V49" s="244"/>
      <c r="W49" s="244"/>
      <c r="X49" s="245"/>
      <c r="Y49" s="246"/>
      <c r="Z49" s="244"/>
      <c r="AA49" s="244"/>
    </row>
    <row r="50" spans="1:27" s="247" customFormat="1" ht="55.2" x14ac:dyDescent="0.25">
      <c r="A50" s="297" t="s">
        <v>521</v>
      </c>
      <c r="B50" s="224" t="s">
        <v>293</v>
      </c>
      <c r="C50" s="225" t="s">
        <v>522</v>
      </c>
      <c r="D50" s="225" t="s">
        <v>523</v>
      </c>
      <c r="E50" s="136" t="s">
        <v>267</v>
      </c>
      <c r="F50" s="225"/>
      <c r="G50" s="225"/>
      <c r="H50" s="365">
        <f>350000/$D$9</f>
        <v>93333.333333333328</v>
      </c>
      <c r="I50" s="227">
        <v>1</v>
      </c>
      <c r="J50" s="227">
        <v>0</v>
      </c>
      <c r="K50" s="225" t="s">
        <v>328</v>
      </c>
      <c r="L50" s="387" t="s">
        <v>267</v>
      </c>
      <c r="M50" s="226" t="s">
        <v>163</v>
      </c>
      <c r="N50" s="226" t="s">
        <v>50</v>
      </c>
      <c r="O50" s="226" t="s">
        <v>56</v>
      </c>
      <c r="P50" s="285"/>
      <c r="Q50" s="231"/>
      <c r="R50" s="230">
        <v>0</v>
      </c>
      <c r="S50" s="230">
        <v>0</v>
      </c>
      <c r="T50" s="230">
        <f t="shared" si="0"/>
        <v>0</v>
      </c>
      <c r="U50" s="232" t="s">
        <v>332</v>
      </c>
      <c r="V50" s="244"/>
      <c r="W50" s="244"/>
      <c r="X50" s="245"/>
      <c r="Y50" s="246"/>
      <c r="Z50" s="244"/>
      <c r="AA50" s="244"/>
    </row>
    <row r="51" spans="1:27" s="247" customFormat="1" ht="41.4" x14ac:dyDescent="0.25">
      <c r="A51" s="388" t="s">
        <v>542</v>
      </c>
      <c r="B51" s="389" t="s">
        <v>293</v>
      </c>
      <c r="C51" s="390" t="s">
        <v>126</v>
      </c>
      <c r="D51" s="390" t="s">
        <v>126</v>
      </c>
      <c r="E51" s="173" t="s">
        <v>267</v>
      </c>
      <c r="F51" s="390"/>
      <c r="G51" s="390"/>
      <c r="H51" s="391">
        <f>15000/$D$9</f>
        <v>4000</v>
      </c>
      <c r="I51" s="392">
        <v>1</v>
      </c>
      <c r="J51" s="392">
        <v>0</v>
      </c>
      <c r="K51" s="390" t="s">
        <v>328</v>
      </c>
      <c r="L51" s="393" t="s">
        <v>267</v>
      </c>
      <c r="M51" s="393" t="s">
        <v>163</v>
      </c>
      <c r="N51" s="393" t="s">
        <v>133</v>
      </c>
      <c r="O51" s="393" t="s">
        <v>56</v>
      </c>
      <c r="P51" s="350"/>
      <c r="Q51" s="351"/>
      <c r="R51" s="352">
        <v>0</v>
      </c>
      <c r="S51" s="352">
        <v>0</v>
      </c>
      <c r="T51" s="352">
        <f t="shared" si="0"/>
        <v>0</v>
      </c>
      <c r="U51" s="394" t="s">
        <v>319</v>
      </c>
      <c r="V51" s="244"/>
      <c r="W51" s="244"/>
      <c r="X51" s="245"/>
      <c r="Y51" s="246"/>
      <c r="Z51" s="244"/>
      <c r="AA51" s="244"/>
    </row>
    <row r="52" spans="1:27" s="247" customFormat="1" ht="41.4" x14ac:dyDescent="0.25">
      <c r="A52" s="388" t="s">
        <v>543</v>
      </c>
      <c r="B52" s="389" t="s">
        <v>293</v>
      </c>
      <c r="C52" s="390" t="s">
        <v>544</v>
      </c>
      <c r="D52" s="390" t="s">
        <v>545</v>
      </c>
      <c r="E52" s="173" t="s">
        <v>267</v>
      </c>
      <c r="F52" s="390"/>
      <c r="G52" s="390"/>
      <c r="H52" s="391">
        <f>350000/$D$9</f>
        <v>93333.333333333328</v>
      </c>
      <c r="I52" s="392">
        <v>1</v>
      </c>
      <c r="J52" s="392">
        <v>0</v>
      </c>
      <c r="K52" s="390" t="s">
        <v>328</v>
      </c>
      <c r="L52" s="393" t="s">
        <v>267</v>
      </c>
      <c r="M52" s="393" t="s">
        <v>163</v>
      </c>
      <c r="N52" s="393" t="s">
        <v>133</v>
      </c>
      <c r="O52" s="393" t="s">
        <v>56</v>
      </c>
      <c r="P52" s="350"/>
      <c r="Q52" s="351"/>
      <c r="R52" s="352">
        <v>0</v>
      </c>
      <c r="S52" s="352">
        <v>0</v>
      </c>
      <c r="T52" s="352">
        <f t="shared" si="0"/>
        <v>0</v>
      </c>
      <c r="U52" s="394" t="s">
        <v>319</v>
      </c>
      <c r="V52" s="244"/>
      <c r="W52" s="244"/>
      <c r="X52" s="245"/>
      <c r="Y52" s="246"/>
      <c r="Z52" s="244"/>
      <c r="AA52" s="244"/>
    </row>
    <row r="53" spans="1:27" s="247" customFormat="1" ht="41.4" x14ac:dyDescent="0.25">
      <c r="A53" s="388" t="s">
        <v>546</v>
      </c>
      <c r="B53" s="389" t="s">
        <v>293</v>
      </c>
      <c r="C53" s="390" t="s">
        <v>547</v>
      </c>
      <c r="D53" s="390" t="s">
        <v>548</v>
      </c>
      <c r="E53" s="173" t="s">
        <v>267</v>
      </c>
      <c r="F53" s="390"/>
      <c r="G53" s="390"/>
      <c r="H53" s="391">
        <f>17500/$D$9</f>
        <v>4666.666666666667</v>
      </c>
      <c r="I53" s="392">
        <v>1</v>
      </c>
      <c r="J53" s="392">
        <v>0</v>
      </c>
      <c r="K53" s="390" t="s">
        <v>328</v>
      </c>
      <c r="L53" s="393" t="s">
        <v>267</v>
      </c>
      <c r="M53" s="393" t="s">
        <v>163</v>
      </c>
      <c r="N53" s="393" t="s">
        <v>133</v>
      </c>
      <c r="O53" s="393" t="s">
        <v>56</v>
      </c>
      <c r="P53" s="350"/>
      <c r="Q53" s="351"/>
      <c r="R53" s="352">
        <v>0</v>
      </c>
      <c r="S53" s="352">
        <v>0</v>
      </c>
      <c r="T53" s="352">
        <f t="shared" si="0"/>
        <v>0</v>
      </c>
      <c r="U53" s="394" t="s">
        <v>319</v>
      </c>
      <c r="V53" s="244"/>
      <c r="W53" s="244"/>
      <c r="X53" s="245"/>
      <c r="Y53" s="246"/>
      <c r="Z53" s="244"/>
      <c r="AA53" s="244"/>
    </row>
    <row r="54" spans="1:27" s="247" customFormat="1" ht="41.4" x14ac:dyDescent="0.25">
      <c r="A54" s="388" t="s">
        <v>549</v>
      </c>
      <c r="B54" s="389" t="s">
        <v>293</v>
      </c>
      <c r="C54" s="390" t="s">
        <v>550</v>
      </c>
      <c r="D54" s="390" t="s">
        <v>551</v>
      </c>
      <c r="E54" s="173" t="s">
        <v>267</v>
      </c>
      <c r="F54" s="390"/>
      <c r="G54" s="390"/>
      <c r="H54" s="391">
        <f>25000/$D$9</f>
        <v>6666.666666666667</v>
      </c>
      <c r="I54" s="392">
        <v>1</v>
      </c>
      <c r="J54" s="392">
        <v>0</v>
      </c>
      <c r="K54" s="390" t="s">
        <v>328</v>
      </c>
      <c r="L54" s="393" t="s">
        <v>267</v>
      </c>
      <c r="M54" s="393" t="s">
        <v>163</v>
      </c>
      <c r="N54" s="393" t="s">
        <v>133</v>
      </c>
      <c r="O54" s="393" t="s">
        <v>56</v>
      </c>
      <c r="P54" s="350"/>
      <c r="Q54" s="351"/>
      <c r="R54" s="352">
        <v>0</v>
      </c>
      <c r="S54" s="352">
        <v>0</v>
      </c>
      <c r="T54" s="352">
        <f t="shared" si="0"/>
        <v>0</v>
      </c>
      <c r="U54" s="394" t="s">
        <v>319</v>
      </c>
      <c r="V54" s="244"/>
      <c r="W54" s="244"/>
      <c r="X54" s="245"/>
      <c r="Y54" s="246"/>
      <c r="Z54" s="244"/>
      <c r="AA54" s="244"/>
    </row>
    <row r="55" spans="1:27" s="247" customFormat="1" ht="41.4" x14ac:dyDescent="0.25">
      <c r="A55" s="388" t="s">
        <v>552</v>
      </c>
      <c r="B55" s="389" t="s">
        <v>293</v>
      </c>
      <c r="C55" s="390" t="s">
        <v>553</v>
      </c>
      <c r="D55" s="390" t="s">
        <v>554</v>
      </c>
      <c r="E55" s="173" t="s">
        <v>267</v>
      </c>
      <c r="F55" s="390"/>
      <c r="G55" s="390"/>
      <c r="H55" s="391">
        <f>60000/$D$9</f>
        <v>16000</v>
      </c>
      <c r="I55" s="392">
        <v>1</v>
      </c>
      <c r="J55" s="392">
        <v>0</v>
      </c>
      <c r="K55" s="390" t="s">
        <v>328</v>
      </c>
      <c r="L55" s="393" t="s">
        <v>267</v>
      </c>
      <c r="M55" s="393" t="s">
        <v>163</v>
      </c>
      <c r="N55" s="393" t="s">
        <v>133</v>
      </c>
      <c r="O55" s="393" t="s">
        <v>56</v>
      </c>
      <c r="P55" s="350"/>
      <c r="Q55" s="351"/>
      <c r="R55" s="352">
        <v>0</v>
      </c>
      <c r="S55" s="352">
        <v>0</v>
      </c>
      <c r="T55" s="352">
        <f t="shared" si="0"/>
        <v>0</v>
      </c>
      <c r="U55" s="394" t="s">
        <v>319</v>
      </c>
      <c r="V55" s="244"/>
      <c r="W55" s="244"/>
      <c r="X55" s="245"/>
      <c r="Y55" s="246"/>
      <c r="Z55" s="244"/>
      <c r="AA55" s="244"/>
    </row>
    <row r="56" spans="1:27" s="247" customFormat="1" ht="41.4" x14ac:dyDescent="0.25">
      <c r="A56" s="395" t="s">
        <v>555</v>
      </c>
      <c r="B56" s="396" t="s">
        <v>293</v>
      </c>
      <c r="C56" s="397" t="s">
        <v>556</v>
      </c>
      <c r="D56" s="397" t="s">
        <v>557</v>
      </c>
      <c r="E56" s="398" t="s">
        <v>267</v>
      </c>
      <c r="F56" s="397"/>
      <c r="G56" s="397"/>
      <c r="H56" s="399">
        <f>18000/D9</f>
        <v>4800</v>
      </c>
      <c r="I56" s="400">
        <v>1</v>
      </c>
      <c r="J56" s="400">
        <v>0</v>
      </c>
      <c r="K56" s="397" t="s">
        <v>328</v>
      </c>
      <c r="L56" s="401" t="s">
        <v>267</v>
      </c>
      <c r="M56" s="401" t="s">
        <v>163</v>
      </c>
      <c r="N56" s="402" t="s">
        <v>133</v>
      </c>
      <c r="O56" s="402" t="s">
        <v>56</v>
      </c>
      <c r="P56" s="361"/>
      <c r="Q56" s="362"/>
      <c r="R56" s="363">
        <v>0</v>
      </c>
      <c r="S56" s="363">
        <v>0</v>
      </c>
      <c r="T56" s="363">
        <f t="shared" si="0"/>
        <v>0</v>
      </c>
      <c r="U56" s="403" t="s">
        <v>319</v>
      </c>
      <c r="V56" s="244"/>
      <c r="W56" s="244"/>
      <c r="X56" s="245"/>
      <c r="Y56" s="246"/>
      <c r="Z56" s="244"/>
      <c r="AA56" s="244"/>
    </row>
    <row r="57" spans="1:27" ht="27.6" x14ac:dyDescent="0.3">
      <c r="X57" s="216" t="s">
        <v>267</v>
      </c>
      <c r="Y57" s="222"/>
    </row>
    <row r="58" spans="1:27" ht="15.75" customHeight="1" x14ac:dyDescent="0.3">
      <c r="A58" s="207"/>
      <c r="B58" s="339" t="s">
        <v>380</v>
      </c>
      <c r="C58" s="340"/>
      <c r="D58" s="340"/>
      <c r="E58" s="340"/>
      <c r="F58" s="340"/>
      <c r="G58" s="340"/>
      <c r="H58" s="340"/>
      <c r="I58" s="340"/>
      <c r="J58" s="340"/>
      <c r="K58" s="340"/>
      <c r="L58" s="340"/>
      <c r="M58" s="340"/>
      <c r="N58" s="340"/>
      <c r="O58" s="340"/>
      <c r="P58" s="340"/>
      <c r="Q58" s="340"/>
      <c r="R58" s="340"/>
      <c r="S58" s="340"/>
      <c r="T58" s="340"/>
      <c r="U58" s="341"/>
      <c r="X58" s="216" t="s">
        <v>381</v>
      </c>
      <c r="Y58" s="222"/>
    </row>
    <row r="59" spans="1:27" ht="15" customHeight="1" x14ac:dyDescent="0.3">
      <c r="A59" s="630" t="s">
        <v>268</v>
      </c>
      <c r="B59" s="631" t="s">
        <v>309</v>
      </c>
      <c r="C59" s="632" t="s">
        <v>270</v>
      </c>
      <c r="D59" s="632" t="s">
        <v>271</v>
      </c>
      <c r="E59" s="632" t="s">
        <v>272</v>
      </c>
      <c r="F59" s="632" t="s">
        <v>273</v>
      </c>
      <c r="G59" s="632" t="s">
        <v>310</v>
      </c>
      <c r="H59" s="633" t="s">
        <v>274</v>
      </c>
      <c r="I59" s="633"/>
      <c r="J59" s="633"/>
      <c r="K59" s="632" t="s">
        <v>275</v>
      </c>
      <c r="L59" s="632" t="s">
        <v>276</v>
      </c>
      <c r="M59" s="630" t="s">
        <v>277</v>
      </c>
      <c r="N59" s="632" t="s">
        <v>278</v>
      </c>
      <c r="O59" s="632"/>
      <c r="P59" s="630" t="s">
        <v>279</v>
      </c>
      <c r="Q59" s="630" t="s">
        <v>280</v>
      </c>
      <c r="R59" s="637" t="s">
        <v>281</v>
      </c>
      <c r="S59" s="637"/>
      <c r="T59" s="630" t="s">
        <v>282</v>
      </c>
      <c r="U59" s="634" t="s">
        <v>283</v>
      </c>
      <c r="X59" s="216" t="s">
        <v>382</v>
      </c>
      <c r="Y59" s="222"/>
    </row>
    <row r="60" spans="1:27" ht="36.75" customHeight="1" x14ac:dyDescent="0.3">
      <c r="A60" s="630"/>
      <c r="B60" s="631"/>
      <c r="C60" s="632"/>
      <c r="D60" s="632"/>
      <c r="E60" s="632"/>
      <c r="F60" s="632"/>
      <c r="G60" s="632"/>
      <c r="H60" s="219" t="s">
        <v>285</v>
      </c>
      <c r="I60" s="220" t="s">
        <v>286</v>
      </c>
      <c r="J60" s="220" t="s">
        <v>287</v>
      </c>
      <c r="K60" s="632"/>
      <c r="L60" s="632"/>
      <c r="M60" s="630"/>
      <c r="N60" s="218" t="s">
        <v>383</v>
      </c>
      <c r="O60" s="218" t="s">
        <v>289</v>
      </c>
      <c r="P60" s="630"/>
      <c r="Q60" s="630"/>
      <c r="R60" s="221" t="s">
        <v>290</v>
      </c>
      <c r="S60" s="217" t="s">
        <v>291</v>
      </c>
      <c r="T60" s="630"/>
      <c r="U60" s="634"/>
      <c r="X60" s="216" t="s">
        <v>384</v>
      </c>
      <c r="Y60" s="222"/>
    </row>
    <row r="61" spans="1:27" s="261" customFormat="1" ht="55.2" x14ac:dyDescent="0.3">
      <c r="A61" s="249" t="s">
        <v>92</v>
      </c>
      <c r="B61" s="250" t="s">
        <v>293</v>
      </c>
      <c r="C61" s="251" t="s">
        <v>385</v>
      </c>
      <c r="D61" s="277" t="s">
        <v>386</v>
      </c>
      <c r="E61" s="252" t="s">
        <v>326</v>
      </c>
      <c r="F61" s="251"/>
      <c r="G61" s="251"/>
      <c r="H61" s="278">
        <v>92727.272727272721</v>
      </c>
      <c r="I61" s="254">
        <v>1</v>
      </c>
      <c r="J61" s="254">
        <v>0</v>
      </c>
      <c r="K61" s="251" t="s">
        <v>387</v>
      </c>
      <c r="L61" s="257" t="s">
        <v>284</v>
      </c>
      <c r="M61" s="257" t="s">
        <v>191</v>
      </c>
      <c r="N61" s="257" t="s">
        <v>44</v>
      </c>
      <c r="O61" s="257" t="s">
        <v>97</v>
      </c>
      <c r="P61" s="279"/>
      <c r="Q61" s="280"/>
      <c r="R61" s="281">
        <v>0</v>
      </c>
      <c r="S61" s="281">
        <v>0</v>
      </c>
      <c r="T61" s="281">
        <f t="shared" ref="T61:T68" si="1">+P61+S61</f>
        <v>0</v>
      </c>
      <c r="U61" s="258" t="s">
        <v>388</v>
      </c>
      <c r="X61" s="282"/>
      <c r="Y61" s="283"/>
    </row>
    <row r="62" spans="1:27" ht="41.4" x14ac:dyDescent="0.3">
      <c r="A62" s="223" t="s">
        <v>98</v>
      </c>
      <c r="B62" s="224" t="s">
        <v>293</v>
      </c>
      <c r="C62" s="156" t="s">
        <v>99</v>
      </c>
      <c r="D62" s="156" t="s">
        <v>389</v>
      </c>
      <c r="E62" s="136" t="s">
        <v>326</v>
      </c>
      <c r="F62" s="225"/>
      <c r="G62" s="225"/>
      <c r="H62" s="365">
        <f>35000/D9</f>
        <v>9333.3333333333339</v>
      </c>
      <c r="I62" s="227">
        <v>1</v>
      </c>
      <c r="J62" s="227">
        <v>0</v>
      </c>
      <c r="K62" s="228" t="s">
        <v>356</v>
      </c>
      <c r="L62" s="226" t="s">
        <v>284</v>
      </c>
      <c r="M62" s="229" t="s">
        <v>223</v>
      </c>
      <c r="N62" s="226" t="s">
        <v>183</v>
      </c>
      <c r="O62" s="226" t="s">
        <v>50</v>
      </c>
      <c r="P62" s="285">
        <v>6187.5</v>
      </c>
      <c r="Q62" s="231" t="s">
        <v>558</v>
      </c>
      <c r="R62" s="230">
        <v>0</v>
      </c>
      <c r="S62" s="230">
        <v>0</v>
      </c>
      <c r="T62" s="230">
        <f t="shared" si="1"/>
        <v>6187.5</v>
      </c>
      <c r="U62" s="232" t="s">
        <v>559</v>
      </c>
      <c r="X62" s="214"/>
      <c r="Y62" s="222"/>
    </row>
    <row r="63" spans="1:27" ht="69" x14ac:dyDescent="0.3">
      <c r="A63" s="223" t="s">
        <v>189</v>
      </c>
      <c r="B63" s="224" t="s">
        <v>293</v>
      </c>
      <c r="C63" s="156" t="s">
        <v>390</v>
      </c>
      <c r="D63" s="156" t="s">
        <v>190</v>
      </c>
      <c r="E63" s="386" t="s">
        <v>326</v>
      </c>
      <c r="F63" s="225"/>
      <c r="G63" s="225"/>
      <c r="H63" s="365">
        <f>30000/D9</f>
        <v>8000</v>
      </c>
      <c r="I63" s="227">
        <v>1</v>
      </c>
      <c r="J63" s="227">
        <v>0</v>
      </c>
      <c r="K63" s="225" t="s">
        <v>322</v>
      </c>
      <c r="L63" s="226" t="s">
        <v>284</v>
      </c>
      <c r="M63" s="229" t="s">
        <v>163</v>
      </c>
      <c r="N63" s="226" t="s">
        <v>50</v>
      </c>
      <c r="O63" s="226" t="s">
        <v>75</v>
      </c>
      <c r="P63" s="285"/>
      <c r="Q63" s="231"/>
      <c r="R63" s="230">
        <v>0</v>
      </c>
      <c r="S63" s="230">
        <v>0</v>
      </c>
      <c r="T63" s="230">
        <f t="shared" si="1"/>
        <v>0</v>
      </c>
      <c r="U63" s="232"/>
      <c r="X63" s="214"/>
      <c r="Y63" s="222"/>
    </row>
    <row r="64" spans="1:27" ht="82.8" x14ac:dyDescent="0.3">
      <c r="A64" s="223" t="s">
        <v>209</v>
      </c>
      <c r="B64" s="224" t="s">
        <v>293</v>
      </c>
      <c r="C64" s="225" t="s">
        <v>391</v>
      </c>
      <c r="D64" s="136" t="s">
        <v>392</v>
      </c>
      <c r="E64" s="136" t="s">
        <v>267</v>
      </c>
      <c r="F64" s="225"/>
      <c r="G64" s="225"/>
      <c r="H64" s="365">
        <f>260000/D9</f>
        <v>69333.333333333328</v>
      </c>
      <c r="I64" s="227">
        <v>1</v>
      </c>
      <c r="J64" s="227">
        <v>0</v>
      </c>
      <c r="K64" s="225" t="s">
        <v>393</v>
      </c>
      <c r="L64" s="387" t="s">
        <v>267</v>
      </c>
      <c r="M64" s="229" t="s">
        <v>163</v>
      </c>
      <c r="N64" s="226" t="s">
        <v>50</v>
      </c>
      <c r="O64" s="226" t="s">
        <v>56</v>
      </c>
      <c r="P64" s="285"/>
      <c r="Q64" s="231"/>
      <c r="R64" s="230">
        <v>0</v>
      </c>
      <c r="S64" s="230">
        <v>0</v>
      </c>
      <c r="T64" s="230">
        <f t="shared" si="1"/>
        <v>0</v>
      </c>
      <c r="U64" s="232" t="s">
        <v>332</v>
      </c>
      <c r="X64" s="214"/>
      <c r="Y64" s="222"/>
    </row>
    <row r="65" spans="1:25" ht="41.4" x14ac:dyDescent="0.3">
      <c r="A65" s="223" t="s">
        <v>235</v>
      </c>
      <c r="B65" s="224" t="s">
        <v>293</v>
      </c>
      <c r="C65" s="225" t="s">
        <v>394</v>
      </c>
      <c r="D65" s="136" t="s">
        <v>236</v>
      </c>
      <c r="E65" s="136" t="s">
        <v>267</v>
      </c>
      <c r="F65" s="225" t="s">
        <v>395</v>
      </c>
      <c r="G65" s="225">
        <v>1</v>
      </c>
      <c r="H65" s="365">
        <v>59900.62</v>
      </c>
      <c r="I65" s="227">
        <v>1</v>
      </c>
      <c r="J65" s="227">
        <v>0</v>
      </c>
      <c r="K65" s="225" t="s">
        <v>396</v>
      </c>
      <c r="L65" s="387" t="s">
        <v>267</v>
      </c>
      <c r="M65" s="229" t="s">
        <v>223</v>
      </c>
      <c r="N65" s="226" t="s">
        <v>32</v>
      </c>
      <c r="O65" s="226" t="s">
        <v>183</v>
      </c>
      <c r="P65" s="285">
        <v>59900.62</v>
      </c>
      <c r="Q65" s="231" t="s">
        <v>560</v>
      </c>
      <c r="R65" s="230">
        <v>0</v>
      </c>
      <c r="S65" s="230">
        <v>0</v>
      </c>
      <c r="T65" s="230">
        <f t="shared" si="1"/>
        <v>59900.62</v>
      </c>
      <c r="U65" s="232" t="s">
        <v>332</v>
      </c>
      <c r="X65" s="214"/>
      <c r="Y65" s="222"/>
    </row>
    <row r="66" spans="1:25" ht="41.4" x14ac:dyDescent="0.3">
      <c r="A66" s="297" t="s">
        <v>524</v>
      </c>
      <c r="B66" s="224" t="s">
        <v>293</v>
      </c>
      <c r="C66" s="225" t="s">
        <v>525</v>
      </c>
      <c r="D66" s="225" t="s">
        <v>526</v>
      </c>
      <c r="E66" s="136" t="s">
        <v>326</v>
      </c>
      <c r="F66" s="225"/>
      <c r="G66" s="225"/>
      <c r="H66" s="365">
        <f>34000/D9</f>
        <v>9066.6666666666661</v>
      </c>
      <c r="I66" s="227">
        <v>1</v>
      </c>
      <c r="J66" s="227">
        <v>0</v>
      </c>
      <c r="K66" s="225" t="s">
        <v>396</v>
      </c>
      <c r="L66" s="226" t="s">
        <v>284</v>
      </c>
      <c r="M66" s="226" t="s">
        <v>223</v>
      </c>
      <c r="N66" s="226" t="s">
        <v>50</v>
      </c>
      <c r="O66" s="226" t="s">
        <v>133</v>
      </c>
      <c r="P66" s="285">
        <v>11068.87</v>
      </c>
      <c r="Q66" s="231" t="s">
        <v>561</v>
      </c>
      <c r="R66" s="230">
        <v>0</v>
      </c>
      <c r="S66" s="230">
        <v>0</v>
      </c>
      <c r="T66" s="230">
        <f t="shared" si="1"/>
        <v>11068.87</v>
      </c>
      <c r="U66" s="232" t="s">
        <v>559</v>
      </c>
      <c r="X66" s="214"/>
      <c r="Y66" s="222"/>
    </row>
    <row r="67" spans="1:25" ht="55.2" x14ac:dyDescent="0.3">
      <c r="A67" s="297" t="s">
        <v>527</v>
      </c>
      <c r="B67" s="224" t="s">
        <v>293</v>
      </c>
      <c r="C67" s="225" t="s">
        <v>528</v>
      </c>
      <c r="D67" s="225" t="s">
        <v>529</v>
      </c>
      <c r="E67" s="136" t="s">
        <v>326</v>
      </c>
      <c r="F67" s="225"/>
      <c r="G67" s="225"/>
      <c r="H67" s="365">
        <f>350000/D9</f>
        <v>93333.333333333328</v>
      </c>
      <c r="I67" s="227">
        <v>1</v>
      </c>
      <c r="J67" s="227">
        <v>0</v>
      </c>
      <c r="K67" s="225" t="s">
        <v>396</v>
      </c>
      <c r="L67" s="226" t="s">
        <v>284</v>
      </c>
      <c r="M67" s="226" t="s">
        <v>163</v>
      </c>
      <c r="N67" s="226" t="s">
        <v>50</v>
      </c>
      <c r="O67" s="226" t="s">
        <v>133</v>
      </c>
      <c r="P67" s="285"/>
      <c r="Q67" s="231"/>
      <c r="R67" s="230">
        <v>0</v>
      </c>
      <c r="S67" s="230">
        <v>0</v>
      </c>
      <c r="T67" s="230">
        <f t="shared" si="1"/>
        <v>0</v>
      </c>
      <c r="U67" s="232"/>
      <c r="X67" s="214"/>
      <c r="Y67" s="222"/>
    </row>
    <row r="68" spans="1:25" ht="41.4" x14ac:dyDescent="0.3">
      <c r="A68" s="404" t="s">
        <v>530</v>
      </c>
      <c r="B68" s="405" t="s">
        <v>293</v>
      </c>
      <c r="C68" s="406" t="s">
        <v>531</v>
      </c>
      <c r="D68" s="406" t="s">
        <v>532</v>
      </c>
      <c r="E68" s="407" t="s">
        <v>267</v>
      </c>
      <c r="F68" s="406"/>
      <c r="G68" s="406"/>
      <c r="H68" s="408">
        <f>600000/D9</f>
        <v>160000</v>
      </c>
      <c r="I68" s="311">
        <v>1</v>
      </c>
      <c r="J68" s="311">
        <v>0</v>
      </c>
      <c r="K68" s="406" t="s">
        <v>396</v>
      </c>
      <c r="L68" s="409" t="s">
        <v>267</v>
      </c>
      <c r="M68" s="310" t="s">
        <v>33</v>
      </c>
      <c r="N68" s="310" t="s">
        <v>133</v>
      </c>
      <c r="O68" s="310" t="s">
        <v>75</v>
      </c>
      <c r="P68" s="410"/>
      <c r="Q68" s="376"/>
      <c r="R68" s="377">
        <v>0</v>
      </c>
      <c r="S68" s="377">
        <v>0</v>
      </c>
      <c r="T68" s="377">
        <f t="shared" si="1"/>
        <v>0</v>
      </c>
      <c r="U68" s="378" t="s">
        <v>319</v>
      </c>
      <c r="X68" s="214"/>
      <c r="Y68" s="222"/>
    </row>
    <row r="69" spans="1:25" ht="27.6" x14ac:dyDescent="0.3">
      <c r="X69" s="216" t="s">
        <v>267</v>
      </c>
      <c r="Y69" s="222"/>
    </row>
    <row r="70" spans="1:25" ht="15.6" customHeight="1" x14ac:dyDescent="0.3">
      <c r="A70" s="207"/>
      <c r="B70" s="629" t="s">
        <v>398</v>
      </c>
      <c r="C70" s="629"/>
      <c r="D70" s="629"/>
      <c r="E70" s="629"/>
      <c r="F70" s="629"/>
      <c r="G70" s="629"/>
      <c r="H70" s="629"/>
      <c r="I70" s="629"/>
      <c r="J70" s="629"/>
      <c r="K70" s="629"/>
      <c r="L70" s="629"/>
      <c r="M70" s="629"/>
      <c r="N70" s="629"/>
      <c r="O70" s="629"/>
      <c r="P70" s="629"/>
      <c r="Q70" s="629"/>
      <c r="R70" s="629"/>
      <c r="S70" s="629"/>
      <c r="T70" s="629"/>
      <c r="U70" s="629"/>
      <c r="X70" s="216" t="s">
        <v>381</v>
      </c>
      <c r="Y70" s="222"/>
    </row>
    <row r="71" spans="1:25" ht="15" customHeight="1" x14ac:dyDescent="0.3">
      <c r="A71" s="630" t="s">
        <v>268</v>
      </c>
      <c r="B71" s="631" t="s">
        <v>309</v>
      </c>
      <c r="C71" s="632" t="s">
        <v>270</v>
      </c>
      <c r="D71" s="632" t="s">
        <v>271</v>
      </c>
      <c r="E71" s="632" t="s">
        <v>272</v>
      </c>
      <c r="F71" s="632" t="s">
        <v>273</v>
      </c>
      <c r="G71" s="632" t="s">
        <v>310</v>
      </c>
      <c r="H71" s="633" t="s">
        <v>274</v>
      </c>
      <c r="I71" s="633"/>
      <c r="J71" s="633"/>
      <c r="K71" s="632" t="s">
        <v>275</v>
      </c>
      <c r="L71" s="632" t="s">
        <v>276</v>
      </c>
      <c r="M71" s="630" t="s">
        <v>277</v>
      </c>
      <c r="N71" s="632" t="s">
        <v>278</v>
      </c>
      <c r="O71" s="632"/>
      <c r="P71" s="630" t="s">
        <v>279</v>
      </c>
      <c r="Q71" s="630" t="s">
        <v>280</v>
      </c>
      <c r="R71" s="637" t="s">
        <v>281</v>
      </c>
      <c r="S71" s="637"/>
      <c r="T71" s="630" t="s">
        <v>282</v>
      </c>
      <c r="U71" s="634" t="s">
        <v>283</v>
      </c>
      <c r="X71" s="216" t="s">
        <v>382</v>
      </c>
      <c r="Y71" s="222"/>
    </row>
    <row r="72" spans="1:25" ht="36.75" customHeight="1" x14ac:dyDescent="0.3">
      <c r="A72" s="630"/>
      <c r="B72" s="631"/>
      <c r="C72" s="632"/>
      <c r="D72" s="632"/>
      <c r="E72" s="632"/>
      <c r="F72" s="632"/>
      <c r="G72" s="632"/>
      <c r="H72" s="219" t="s">
        <v>285</v>
      </c>
      <c r="I72" s="220" t="s">
        <v>286</v>
      </c>
      <c r="J72" s="220" t="s">
        <v>287</v>
      </c>
      <c r="K72" s="632"/>
      <c r="L72" s="632"/>
      <c r="M72" s="630"/>
      <c r="N72" s="218" t="s">
        <v>383</v>
      </c>
      <c r="O72" s="218" t="s">
        <v>289</v>
      </c>
      <c r="P72" s="630"/>
      <c r="Q72" s="630"/>
      <c r="R72" s="221" t="s">
        <v>290</v>
      </c>
      <c r="S72" s="217" t="s">
        <v>291</v>
      </c>
      <c r="T72" s="630"/>
      <c r="U72" s="634"/>
      <c r="X72" s="216" t="s">
        <v>384</v>
      </c>
      <c r="Y72" s="222"/>
    </row>
    <row r="73" spans="1:25" ht="69" x14ac:dyDescent="0.3">
      <c r="A73" s="168" t="s">
        <v>166</v>
      </c>
      <c r="B73" s="224" t="s">
        <v>293</v>
      </c>
      <c r="C73" s="156" t="s">
        <v>167</v>
      </c>
      <c r="D73" s="156" t="s">
        <v>399</v>
      </c>
      <c r="E73" s="136" t="s">
        <v>267</v>
      </c>
      <c r="F73" s="225" t="s">
        <v>298</v>
      </c>
      <c r="G73" s="225" t="s">
        <v>298</v>
      </c>
      <c r="H73" s="365">
        <f>606000/D9</f>
        <v>161600</v>
      </c>
      <c r="I73" s="227">
        <v>1</v>
      </c>
      <c r="J73" s="227">
        <v>0</v>
      </c>
      <c r="K73" s="225" t="s">
        <v>297</v>
      </c>
      <c r="L73" s="387" t="s">
        <v>267</v>
      </c>
      <c r="M73" s="229" t="s">
        <v>163</v>
      </c>
      <c r="N73" s="140" t="s">
        <v>43</v>
      </c>
      <c r="O73" s="140" t="s">
        <v>43</v>
      </c>
      <c r="P73" s="285" t="s">
        <v>298</v>
      </c>
      <c r="Q73" s="231" t="s">
        <v>298</v>
      </c>
      <c r="R73" s="230">
        <v>0</v>
      </c>
      <c r="S73" s="230">
        <v>0</v>
      </c>
      <c r="T73" s="230">
        <v>0</v>
      </c>
      <c r="U73" s="232" t="s">
        <v>400</v>
      </c>
      <c r="X73" s="216" t="s">
        <v>401</v>
      </c>
      <c r="Y73" s="222"/>
    </row>
    <row r="74" spans="1:25" ht="41.4" x14ac:dyDescent="0.3">
      <c r="A74" s="168" t="s">
        <v>203</v>
      </c>
      <c r="B74" s="224" t="s">
        <v>293</v>
      </c>
      <c r="C74" s="136" t="s">
        <v>402</v>
      </c>
      <c r="D74" s="136" t="s">
        <v>402</v>
      </c>
      <c r="E74" s="136" t="s">
        <v>267</v>
      </c>
      <c r="F74" s="225" t="s">
        <v>403</v>
      </c>
      <c r="G74" s="225">
        <v>1</v>
      </c>
      <c r="H74" s="284">
        <v>9046</v>
      </c>
      <c r="I74" s="227">
        <v>1</v>
      </c>
      <c r="J74" s="227">
        <v>0</v>
      </c>
      <c r="K74" s="225" t="s">
        <v>352</v>
      </c>
      <c r="L74" s="387" t="s">
        <v>267</v>
      </c>
      <c r="M74" s="229" t="s">
        <v>223</v>
      </c>
      <c r="N74" s="188" t="s">
        <v>43</v>
      </c>
      <c r="O74" s="188" t="s">
        <v>32</v>
      </c>
      <c r="P74" s="296">
        <f>19902.4/2.2764</f>
        <v>8742.9274292742921</v>
      </c>
      <c r="Q74" s="231" t="s">
        <v>404</v>
      </c>
      <c r="R74" s="230">
        <v>0</v>
      </c>
      <c r="S74" s="230">
        <v>0</v>
      </c>
      <c r="T74" s="230">
        <f>+P74+S74</f>
        <v>8742.9274292742921</v>
      </c>
      <c r="U74" s="232" t="s">
        <v>405</v>
      </c>
      <c r="X74" s="214"/>
      <c r="Y74" s="222"/>
    </row>
    <row r="75" spans="1:25" ht="69" x14ac:dyDescent="0.3">
      <c r="X75" s="216" t="s">
        <v>406</v>
      </c>
      <c r="Y75" s="222"/>
    </row>
    <row r="76" spans="1:25" ht="15.75" customHeight="1" x14ac:dyDescent="0.3">
      <c r="A76" s="207"/>
      <c r="B76" s="629" t="s">
        <v>407</v>
      </c>
      <c r="C76" s="629"/>
      <c r="D76" s="629"/>
      <c r="E76" s="629"/>
      <c r="F76" s="629"/>
      <c r="G76" s="629"/>
      <c r="H76" s="629"/>
      <c r="I76" s="629"/>
      <c r="J76" s="629"/>
      <c r="K76" s="629"/>
      <c r="L76" s="629"/>
      <c r="M76" s="629"/>
      <c r="N76" s="629"/>
      <c r="O76" s="629"/>
      <c r="P76" s="629"/>
      <c r="Q76" s="629"/>
      <c r="R76" s="629"/>
      <c r="S76" s="629"/>
      <c r="T76" s="629"/>
      <c r="U76" s="629"/>
      <c r="X76" s="216" t="s">
        <v>408</v>
      </c>
      <c r="Y76" s="222"/>
    </row>
    <row r="77" spans="1:25" ht="15" customHeight="1" x14ac:dyDescent="0.3">
      <c r="A77" s="630" t="s">
        <v>268</v>
      </c>
      <c r="B77" s="631" t="s">
        <v>309</v>
      </c>
      <c r="C77" s="632" t="s">
        <v>270</v>
      </c>
      <c r="D77" s="632" t="s">
        <v>271</v>
      </c>
      <c r="E77" s="632" t="s">
        <v>272</v>
      </c>
      <c r="F77" s="632" t="s">
        <v>273</v>
      </c>
      <c r="G77" s="632"/>
      <c r="H77" s="633" t="s">
        <v>274</v>
      </c>
      <c r="I77" s="633"/>
      <c r="J77" s="633"/>
      <c r="K77" s="632" t="s">
        <v>275</v>
      </c>
      <c r="L77" s="632" t="s">
        <v>276</v>
      </c>
      <c r="M77" s="630" t="s">
        <v>277</v>
      </c>
      <c r="N77" s="632" t="s">
        <v>278</v>
      </c>
      <c r="O77" s="632"/>
      <c r="P77" s="630" t="s">
        <v>279</v>
      </c>
      <c r="Q77" s="630" t="s">
        <v>280</v>
      </c>
      <c r="R77" s="630" t="s">
        <v>281</v>
      </c>
      <c r="S77" s="630"/>
      <c r="T77" s="630" t="s">
        <v>282</v>
      </c>
      <c r="U77" s="634" t="s">
        <v>283</v>
      </c>
      <c r="X77" s="216" t="s">
        <v>409</v>
      </c>
      <c r="Y77" s="222"/>
    </row>
    <row r="78" spans="1:25" ht="38.25" customHeight="1" x14ac:dyDescent="0.3">
      <c r="A78" s="630"/>
      <c r="B78" s="631"/>
      <c r="C78" s="632"/>
      <c r="D78" s="632"/>
      <c r="E78" s="632"/>
      <c r="F78" s="632"/>
      <c r="G78" s="632"/>
      <c r="H78" s="218" t="s">
        <v>285</v>
      </c>
      <c r="I78" s="220" t="s">
        <v>286</v>
      </c>
      <c r="J78" s="220" t="s">
        <v>287</v>
      </c>
      <c r="K78" s="632"/>
      <c r="L78" s="632"/>
      <c r="M78" s="630"/>
      <c r="N78" s="218" t="s">
        <v>410</v>
      </c>
      <c r="O78" s="218" t="s">
        <v>289</v>
      </c>
      <c r="P78" s="630"/>
      <c r="Q78" s="630"/>
      <c r="R78" s="221" t="s">
        <v>290</v>
      </c>
      <c r="S78" s="221" t="s">
        <v>291</v>
      </c>
      <c r="T78" s="630"/>
      <c r="U78" s="634"/>
      <c r="X78" s="216" t="s">
        <v>411</v>
      </c>
      <c r="Y78" s="222"/>
    </row>
    <row r="79" spans="1:25" ht="35.1" customHeight="1" x14ac:dyDescent="0.25">
      <c r="A79" s="223" t="s">
        <v>34</v>
      </c>
      <c r="B79" s="224" t="s">
        <v>293</v>
      </c>
      <c r="C79" s="225" t="s">
        <v>35</v>
      </c>
      <c r="D79" s="143" t="s">
        <v>412</v>
      </c>
      <c r="E79" s="143" t="s">
        <v>413</v>
      </c>
      <c r="F79" s="638" t="s">
        <v>414</v>
      </c>
      <c r="G79" s="638"/>
      <c r="H79" s="411">
        <v>64698.01</v>
      </c>
      <c r="I79" s="227">
        <v>0.8</v>
      </c>
      <c r="J79" s="227">
        <v>0.2</v>
      </c>
      <c r="K79" s="228" t="s">
        <v>354</v>
      </c>
      <c r="L79" s="297" t="s">
        <v>292</v>
      </c>
      <c r="M79" s="145" t="s">
        <v>223</v>
      </c>
      <c r="N79" s="188" t="s">
        <v>43</v>
      </c>
      <c r="O79" s="188" t="s">
        <v>74</v>
      </c>
      <c r="P79" s="285">
        <v>64698.01</v>
      </c>
      <c r="Q79" s="231" t="s">
        <v>415</v>
      </c>
      <c r="R79" s="230">
        <v>0</v>
      </c>
      <c r="S79" s="230">
        <v>0</v>
      </c>
      <c r="T79" s="230">
        <f t="shared" ref="T79:T96" si="2">+P79+S79</f>
        <v>64698.01</v>
      </c>
      <c r="U79" s="232"/>
      <c r="X79" s="216" t="s">
        <v>416</v>
      </c>
      <c r="Y79" s="214"/>
    </row>
    <row r="80" spans="1:25" ht="69" x14ac:dyDescent="0.25">
      <c r="A80" s="223" t="s">
        <v>39</v>
      </c>
      <c r="B80" s="224" t="s">
        <v>293</v>
      </c>
      <c r="C80" s="225" t="s">
        <v>417</v>
      </c>
      <c r="D80" s="143" t="s">
        <v>418</v>
      </c>
      <c r="E80" s="143" t="s">
        <v>408</v>
      </c>
      <c r="F80" s="638"/>
      <c r="G80" s="638"/>
      <c r="H80" s="411">
        <f>25000/D9</f>
        <v>6666.666666666667</v>
      </c>
      <c r="I80" s="227">
        <v>1</v>
      </c>
      <c r="J80" s="227">
        <v>0</v>
      </c>
      <c r="K80" s="228" t="s">
        <v>419</v>
      </c>
      <c r="L80" s="297" t="s">
        <v>284</v>
      </c>
      <c r="M80" s="140" t="s">
        <v>33</v>
      </c>
      <c r="N80" s="188" t="s">
        <v>75</v>
      </c>
      <c r="O80" s="188" t="s">
        <v>56</v>
      </c>
      <c r="P80" s="231"/>
      <c r="Q80" s="231"/>
      <c r="R80" s="230">
        <v>0</v>
      </c>
      <c r="S80" s="230">
        <v>0</v>
      </c>
      <c r="T80" s="230">
        <f t="shared" si="2"/>
        <v>0</v>
      </c>
      <c r="U80" s="232"/>
      <c r="X80" s="216" t="s">
        <v>267</v>
      </c>
      <c r="Y80" s="214"/>
    </row>
    <row r="81" spans="1:25" ht="82.8" x14ac:dyDescent="0.25">
      <c r="A81" s="223" t="s">
        <v>45</v>
      </c>
      <c r="B81" s="224" t="s">
        <v>293</v>
      </c>
      <c r="C81" s="225" t="s">
        <v>420</v>
      </c>
      <c r="D81" s="136" t="s">
        <v>421</v>
      </c>
      <c r="E81" s="136" t="s">
        <v>267</v>
      </c>
      <c r="F81" s="638"/>
      <c r="G81" s="638"/>
      <c r="H81" s="298">
        <v>68333</v>
      </c>
      <c r="I81" s="227">
        <v>0</v>
      </c>
      <c r="J81" s="227">
        <v>1</v>
      </c>
      <c r="K81" s="228" t="s">
        <v>422</v>
      </c>
      <c r="L81" s="297" t="s">
        <v>267</v>
      </c>
      <c r="M81" s="140" t="s">
        <v>223</v>
      </c>
      <c r="N81" s="188" t="s">
        <v>74</v>
      </c>
      <c r="O81" s="188" t="s">
        <v>44</v>
      </c>
      <c r="P81" s="285">
        <f>205000/3</f>
        <v>68333.333333333328</v>
      </c>
      <c r="Q81" s="231" t="s">
        <v>298</v>
      </c>
      <c r="R81" s="230">
        <v>0</v>
      </c>
      <c r="S81" s="230">
        <v>0</v>
      </c>
      <c r="T81" s="230">
        <f t="shared" si="2"/>
        <v>68333.333333333328</v>
      </c>
      <c r="U81" s="232" t="s">
        <v>423</v>
      </c>
      <c r="X81" s="216"/>
      <c r="Y81" s="214"/>
    </row>
    <row r="82" spans="1:25" ht="55.2" x14ac:dyDescent="0.25">
      <c r="A82" s="223" t="s">
        <v>51</v>
      </c>
      <c r="B82" s="224" t="s">
        <v>293</v>
      </c>
      <c r="C82" s="225" t="s">
        <v>424</v>
      </c>
      <c r="D82" s="136" t="s">
        <v>425</v>
      </c>
      <c r="E82" s="136" t="s">
        <v>413</v>
      </c>
      <c r="F82" s="638"/>
      <c r="G82" s="638"/>
      <c r="H82" s="411">
        <f>900000/D9</f>
        <v>240000</v>
      </c>
      <c r="I82" s="227">
        <v>1</v>
      </c>
      <c r="J82" s="227">
        <v>0</v>
      </c>
      <c r="K82" s="228" t="s">
        <v>419</v>
      </c>
      <c r="L82" s="297" t="s">
        <v>292</v>
      </c>
      <c r="M82" s="140" t="s">
        <v>33</v>
      </c>
      <c r="N82" s="188" t="s">
        <v>50</v>
      </c>
      <c r="O82" s="188" t="s">
        <v>56</v>
      </c>
      <c r="P82" s="231"/>
      <c r="Q82" s="231"/>
      <c r="R82" s="230">
        <v>0</v>
      </c>
      <c r="S82" s="230">
        <v>0</v>
      </c>
      <c r="T82" s="230">
        <f t="shared" si="2"/>
        <v>0</v>
      </c>
      <c r="U82" s="232"/>
      <c r="X82" s="216"/>
      <c r="Y82" s="214"/>
    </row>
    <row r="83" spans="1:25" ht="110.4" x14ac:dyDescent="0.25">
      <c r="A83" s="223" t="s">
        <v>53</v>
      </c>
      <c r="B83" s="224" t="s">
        <v>293</v>
      </c>
      <c r="C83" s="225" t="s">
        <v>426</v>
      </c>
      <c r="D83" s="136" t="s">
        <v>54</v>
      </c>
      <c r="E83" s="136" t="s">
        <v>409</v>
      </c>
      <c r="F83" s="638"/>
      <c r="G83" s="638"/>
      <c r="H83" s="411">
        <v>68691.759999999995</v>
      </c>
      <c r="I83" s="227">
        <v>1</v>
      </c>
      <c r="J83" s="227">
        <v>0</v>
      </c>
      <c r="K83" s="228" t="s">
        <v>318</v>
      </c>
      <c r="L83" s="297" t="s">
        <v>292</v>
      </c>
      <c r="M83" s="140" t="s">
        <v>223</v>
      </c>
      <c r="N83" s="188" t="s">
        <v>32</v>
      </c>
      <c r="O83" s="188" t="s">
        <v>74</v>
      </c>
      <c r="P83" s="285">
        <v>68691.759999999995</v>
      </c>
      <c r="Q83" s="231" t="s">
        <v>427</v>
      </c>
      <c r="R83" s="230">
        <v>0</v>
      </c>
      <c r="S83" s="230">
        <v>0</v>
      </c>
      <c r="T83" s="230">
        <f t="shared" si="2"/>
        <v>68691.759999999995</v>
      </c>
      <c r="U83" s="232"/>
      <c r="X83" s="216"/>
      <c r="Y83" s="214"/>
    </row>
    <row r="84" spans="1:25" s="261" customFormat="1" ht="55.2" x14ac:dyDescent="0.25">
      <c r="A84" s="249" t="s">
        <v>57</v>
      </c>
      <c r="B84" s="250" t="s">
        <v>293</v>
      </c>
      <c r="C84" s="251" t="s">
        <v>428</v>
      </c>
      <c r="D84" s="252" t="s">
        <v>58</v>
      </c>
      <c r="E84" s="252" t="s">
        <v>408</v>
      </c>
      <c r="F84" s="638"/>
      <c r="G84" s="638"/>
      <c r="H84" s="299">
        <v>27681.81818181818</v>
      </c>
      <c r="I84" s="254">
        <v>1</v>
      </c>
      <c r="J84" s="254">
        <v>0</v>
      </c>
      <c r="K84" s="255" t="s">
        <v>318</v>
      </c>
      <c r="L84" s="249" t="s">
        <v>284</v>
      </c>
      <c r="M84" s="300" t="s">
        <v>191</v>
      </c>
      <c r="N84" s="301" t="s">
        <v>227</v>
      </c>
      <c r="O84" s="301" t="s">
        <v>59</v>
      </c>
      <c r="P84" s="280"/>
      <c r="Q84" s="280"/>
      <c r="R84" s="230">
        <v>0</v>
      </c>
      <c r="S84" s="230">
        <v>0</v>
      </c>
      <c r="T84" s="230">
        <f t="shared" si="2"/>
        <v>0</v>
      </c>
      <c r="U84" s="258" t="s">
        <v>429</v>
      </c>
      <c r="X84" s="262"/>
      <c r="Y84" s="282"/>
    </row>
    <row r="85" spans="1:25" ht="96.6" x14ac:dyDescent="0.25">
      <c r="A85" s="223" t="s">
        <v>60</v>
      </c>
      <c r="B85" s="224" t="s">
        <v>293</v>
      </c>
      <c r="C85" s="225" t="s">
        <v>430</v>
      </c>
      <c r="D85" s="151" t="s">
        <v>61</v>
      </c>
      <c r="E85" s="151" t="s">
        <v>408</v>
      </c>
      <c r="F85" s="638"/>
      <c r="G85" s="638"/>
      <c r="H85" s="411">
        <f>500000/D9</f>
        <v>133333.33333333334</v>
      </c>
      <c r="I85" s="227">
        <v>1</v>
      </c>
      <c r="J85" s="227">
        <v>0</v>
      </c>
      <c r="K85" s="228" t="s">
        <v>342</v>
      </c>
      <c r="L85" s="297" t="s">
        <v>284</v>
      </c>
      <c r="M85" s="140" t="s">
        <v>33</v>
      </c>
      <c r="N85" s="188" t="s">
        <v>133</v>
      </c>
      <c r="O85" s="188" t="s">
        <v>70</v>
      </c>
      <c r="P85" s="231"/>
      <c r="Q85" s="231"/>
      <c r="R85" s="230">
        <v>0</v>
      </c>
      <c r="S85" s="230">
        <v>0</v>
      </c>
      <c r="T85" s="230">
        <f t="shared" si="2"/>
        <v>0</v>
      </c>
      <c r="U85" s="232"/>
      <c r="X85" s="216"/>
      <c r="Y85" s="214"/>
    </row>
    <row r="86" spans="1:25" s="261" customFormat="1" ht="124.2" x14ac:dyDescent="0.25">
      <c r="A86" s="249" t="s">
        <v>63</v>
      </c>
      <c r="B86" s="250" t="s">
        <v>293</v>
      </c>
      <c r="C86" s="251" t="s">
        <v>431</v>
      </c>
      <c r="D86" s="252" t="s">
        <v>432</v>
      </c>
      <c r="E86" s="252" t="s">
        <v>408</v>
      </c>
      <c r="F86" s="638"/>
      <c r="G86" s="638"/>
      <c r="H86" s="299">
        <v>181818.18181818179</v>
      </c>
      <c r="I86" s="254">
        <v>1</v>
      </c>
      <c r="J86" s="254">
        <v>0</v>
      </c>
      <c r="K86" s="255" t="s">
        <v>297</v>
      </c>
      <c r="L86" s="249" t="s">
        <v>284</v>
      </c>
      <c r="M86" s="300" t="s">
        <v>191</v>
      </c>
      <c r="N86" s="301" t="s">
        <v>183</v>
      </c>
      <c r="O86" s="301" t="s">
        <v>38</v>
      </c>
      <c r="P86" s="280"/>
      <c r="Q86" s="280"/>
      <c r="R86" s="230">
        <v>0</v>
      </c>
      <c r="S86" s="230">
        <v>0</v>
      </c>
      <c r="T86" s="230">
        <f t="shared" si="2"/>
        <v>0</v>
      </c>
      <c r="U86" s="258" t="s">
        <v>433</v>
      </c>
      <c r="X86" s="262"/>
      <c r="Y86" s="282"/>
    </row>
    <row r="87" spans="1:25" ht="82.8" x14ac:dyDescent="0.25">
      <c r="A87" s="223" t="s">
        <v>66</v>
      </c>
      <c r="B87" s="224" t="s">
        <v>293</v>
      </c>
      <c r="C87" s="225" t="s">
        <v>434</v>
      </c>
      <c r="D87" s="225" t="s">
        <v>435</v>
      </c>
      <c r="E87" s="225" t="s">
        <v>406</v>
      </c>
      <c r="F87" s="638"/>
      <c r="G87" s="638"/>
      <c r="H87" s="411">
        <f>1465077/D9</f>
        <v>390687.2</v>
      </c>
      <c r="I87" s="227">
        <v>1</v>
      </c>
      <c r="J87" s="227">
        <v>0</v>
      </c>
      <c r="K87" s="228" t="s">
        <v>436</v>
      </c>
      <c r="L87" s="297" t="s">
        <v>284</v>
      </c>
      <c r="M87" s="140" t="s">
        <v>163</v>
      </c>
      <c r="N87" s="188" t="s">
        <v>183</v>
      </c>
      <c r="O87" s="188" t="s">
        <v>133</v>
      </c>
      <c r="P87" s="231"/>
      <c r="Q87" s="231"/>
      <c r="R87" s="230">
        <v>0</v>
      </c>
      <c r="S87" s="230">
        <v>0</v>
      </c>
      <c r="T87" s="230">
        <f t="shared" si="2"/>
        <v>0</v>
      </c>
      <c r="U87" s="232"/>
      <c r="X87" s="216"/>
      <c r="Y87" s="214"/>
    </row>
    <row r="88" spans="1:25" ht="57.45" customHeight="1" x14ac:dyDescent="0.25">
      <c r="A88" s="223" t="s">
        <v>71</v>
      </c>
      <c r="B88" s="224" t="s">
        <v>293</v>
      </c>
      <c r="C88" s="225" t="s">
        <v>437</v>
      </c>
      <c r="D88" s="136" t="s">
        <v>438</v>
      </c>
      <c r="E88" s="136" t="s">
        <v>408</v>
      </c>
      <c r="F88" s="638" t="s">
        <v>439</v>
      </c>
      <c r="G88" s="638"/>
      <c r="H88" s="411">
        <v>115994.34</v>
      </c>
      <c r="I88" s="227">
        <v>1</v>
      </c>
      <c r="J88" s="227">
        <v>0</v>
      </c>
      <c r="K88" s="228" t="s">
        <v>356</v>
      </c>
      <c r="L88" s="297" t="s">
        <v>284</v>
      </c>
      <c r="M88" s="140" t="s">
        <v>223</v>
      </c>
      <c r="N88" s="188" t="s">
        <v>74</v>
      </c>
      <c r="O88" s="188" t="s">
        <v>44</v>
      </c>
      <c r="P88" s="302">
        <v>115994.34</v>
      </c>
      <c r="Q88" s="231" t="s">
        <v>440</v>
      </c>
      <c r="R88" s="230">
        <v>0</v>
      </c>
      <c r="S88" s="230">
        <v>0</v>
      </c>
      <c r="T88" s="230">
        <f t="shared" si="2"/>
        <v>115994.34</v>
      </c>
      <c r="U88" s="232"/>
      <c r="X88" s="216"/>
      <c r="Y88" s="214"/>
    </row>
    <row r="89" spans="1:25" s="261" customFormat="1" ht="57.45" customHeight="1" x14ac:dyDescent="0.25">
      <c r="A89" s="249" t="s">
        <v>76</v>
      </c>
      <c r="B89" s="250" t="s">
        <v>293</v>
      </c>
      <c r="C89" s="251" t="s">
        <v>441</v>
      </c>
      <c r="D89" s="252" t="s">
        <v>442</v>
      </c>
      <c r="E89" s="252" t="s">
        <v>408</v>
      </c>
      <c r="F89" s="638" t="s">
        <v>225</v>
      </c>
      <c r="G89" s="638"/>
      <c r="H89" s="299">
        <v>113181.81818181818</v>
      </c>
      <c r="I89" s="254">
        <v>1</v>
      </c>
      <c r="J89" s="254">
        <v>0</v>
      </c>
      <c r="K89" s="255" t="s">
        <v>304</v>
      </c>
      <c r="L89" s="249" t="s">
        <v>284</v>
      </c>
      <c r="M89" s="300" t="s">
        <v>191</v>
      </c>
      <c r="N89" s="301" t="s">
        <v>231</v>
      </c>
      <c r="O89" s="301" t="s">
        <v>59</v>
      </c>
      <c r="P89" s="280"/>
      <c r="Q89" s="280"/>
      <c r="R89" s="230">
        <v>0</v>
      </c>
      <c r="S89" s="230">
        <v>0</v>
      </c>
      <c r="T89" s="230">
        <f t="shared" si="2"/>
        <v>0</v>
      </c>
      <c r="U89" s="258" t="s">
        <v>345</v>
      </c>
      <c r="X89" s="262"/>
      <c r="Y89" s="282"/>
    </row>
    <row r="90" spans="1:25" ht="55.2" x14ac:dyDescent="0.25">
      <c r="A90" s="223" t="s">
        <v>79</v>
      </c>
      <c r="B90" s="224" t="s">
        <v>293</v>
      </c>
      <c r="C90" s="225" t="s">
        <v>443</v>
      </c>
      <c r="D90" s="156" t="s">
        <v>80</v>
      </c>
      <c r="E90" s="136" t="s">
        <v>408</v>
      </c>
      <c r="F90" s="638"/>
      <c r="G90" s="638"/>
      <c r="H90" s="411">
        <f>427800/D9</f>
        <v>114080</v>
      </c>
      <c r="I90" s="227">
        <v>1</v>
      </c>
      <c r="J90" s="227">
        <v>0</v>
      </c>
      <c r="K90" s="228" t="s">
        <v>297</v>
      </c>
      <c r="L90" s="297" t="s">
        <v>284</v>
      </c>
      <c r="M90" s="140" t="s">
        <v>33</v>
      </c>
      <c r="N90" s="188" t="s">
        <v>56</v>
      </c>
      <c r="O90" s="188" t="s">
        <v>343</v>
      </c>
      <c r="P90" s="231"/>
      <c r="Q90" s="231"/>
      <c r="R90" s="230">
        <v>0</v>
      </c>
      <c r="S90" s="230">
        <v>0</v>
      </c>
      <c r="T90" s="230">
        <f t="shared" si="2"/>
        <v>0</v>
      </c>
      <c r="U90" s="232"/>
      <c r="X90" s="216"/>
      <c r="Y90" s="214"/>
    </row>
    <row r="91" spans="1:25" ht="55.2" x14ac:dyDescent="0.25">
      <c r="A91" s="223" t="s">
        <v>81</v>
      </c>
      <c r="B91" s="224" t="s">
        <v>293</v>
      </c>
      <c r="C91" s="225" t="s">
        <v>444</v>
      </c>
      <c r="D91" s="156" t="s">
        <v>82</v>
      </c>
      <c r="E91" s="136" t="s">
        <v>408</v>
      </c>
      <c r="F91" s="638"/>
      <c r="G91" s="638"/>
      <c r="H91" s="411">
        <f>135600/D9</f>
        <v>36160</v>
      </c>
      <c r="I91" s="227">
        <v>1</v>
      </c>
      <c r="J91" s="227">
        <v>0</v>
      </c>
      <c r="K91" s="228" t="s">
        <v>297</v>
      </c>
      <c r="L91" s="297" t="s">
        <v>284</v>
      </c>
      <c r="M91" s="140" t="s">
        <v>33</v>
      </c>
      <c r="N91" s="188" t="s">
        <v>56</v>
      </c>
      <c r="O91" s="188" t="s">
        <v>343</v>
      </c>
      <c r="P91" s="231"/>
      <c r="Q91" s="231"/>
      <c r="R91" s="230">
        <v>0</v>
      </c>
      <c r="S91" s="230">
        <v>0</v>
      </c>
      <c r="T91" s="230">
        <f t="shared" si="2"/>
        <v>0</v>
      </c>
      <c r="U91" s="232"/>
      <c r="X91" s="216"/>
      <c r="Y91" s="214"/>
    </row>
    <row r="92" spans="1:25" s="261" customFormat="1" ht="110.4" x14ac:dyDescent="0.25">
      <c r="A92" s="249" t="s">
        <v>83</v>
      </c>
      <c r="B92" s="250" t="s">
        <v>293</v>
      </c>
      <c r="C92" s="251" t="s">
        <v>445</v>
      </c>
      <c r="D92" s="252" t="s">
        <v>446</v>
      </c>
      <c r="E92" s="252" t="s">
        <v>408</v>
      </c>
      <c r="F92" s="638"/>
      <c r="G92" s="638"/>
      <c r="H92" s="299">
        <v>181818.18181818179</v>
      </c>
      <c r="I92" s="254">
        <v>1</v>
      </c>
      <c r="J92" s="254">
        <v>0</v>
      </c>
      <c r="K92" s="255" t="s">
        <v>447</v>
      </c>
      <c r="L92" s="249" t="s">
        <v>284</v>
      </c>
      <c r="M92" s="301" t="s">
        <v>191</v>
      </c>
      <c r="N92" s="301" t="s">
        <v>183</v>
      </c>
      <c r="O92" s="301" t="s">
        <v>38</v>
      </c>
      <c r="P92" s="280"/>
      <c r="Q92" s="280"/>
      <c r="R92" s="230">
        <v>0</v>
      </c>
      <c r="S92" s="230">
        <v>0</v>
      </c>
      <c r="T92" s="230">
        <f t="shared" si="2"/>
        <v>0</v>
      </c>
      <c r="U92" s="258" t="s">
        <v>562</v>
      </c>
      <c r="X92" s="262"/>
      <c r="Y92" s="282"/>
    </row>
    <row r="93" spans="1:25" ht="41.4" x14ac:dyDescent="0.25">
      <c r="A93" s="223" t="s">
        <v>86</v>
      </c>
      <c r="B93" s="224" t="s">
        <v>293</v>
      </c>
      <c r="C93" s="225" t="s">
        <v>87</v>
      </c>
      <c r="D93" s="156" t="s">
        <v>87</v>
      </c>
      <c r="E93" s="136" t="s">
        <v>408</v>
      </c>
      <c r="F93" s="638"/>
      <c r="G93" s="638"/>
      <c r="H93" s="411">
        <f>200000/D9</f>
        <v>53333.333333333336</v>
      </c>
      <c r="I93" s="227">
        <v>1</v>
      </c>
      <c r="J93" s="227">
        <v>0</v>
      </c>
      <c r="K93" s="228" t="s">
        <v>328</v>
      </c>
      <c r="L93" s="297" t="s">
        <v>284</v>
      </c>
      <c r="M93" s="140" t="s">
        <v>33</v>
      </c>
      <c r="N93" s="188" t="s">
        <v>50</v>
      </c>
      <c r="O93" s="188" t="s">
        <v>231</v>
      </c>
      <c r="P93" s="231"/>
      <c r="Q93" s="231"/>
      <c r="R93" s="230">
        <v>0</v>
      </c>
      <c r="S93" s="230">
        <v>0</v>
      </c>
      <c r="T93" s="230">
        <f t="shared" si="2"/>
        <v>0</v>
      </c>
      <c r="U93" s="232"/>
      <c r="X93" s="216"/>
      <c r="Y93" s="214"/>
    </row>
    <row r="94" spans="1:25" ht="41.4" x14ac:dyDescent="0.25">
      <c r="A94" s="412" t="s">
        <v>187</v>
      </c>
      <c r="B94" s="224" t="s">
        <v>293</v>
      </c>
      <c r="C94" s="225" t="s">
        <v>533</v>
      </c>
      <c r="D94" s="156" t="s">
        <v>534</v>
      </c>
      <c r="E94" s="136" t="s">
        <v>408</v>
      </c>
      <c r="F94" s="638"/>
      <c r="G94" s="638"/>
      <c r="H94" s="411">
        <f>100000/D9</f>
        <v>26666.666666666668</v>
      </c>
      <c r="I94" s="227">
        <v>1</v>
      </c>
      <c r="J94" s="227">
        <v>0</v>
      </c>
      <c r="K94" s="228" t="s">
        <v>328</v>
      </c>
      <c r="L94" s="297" t="s">
        <v>284</v>
      </c>
      <c r="M94" s="140" t="s">
        <v>33</v>
      </c>
      <c r="N94" s="188" t="s">
        <v>50</v>
      </c>
      <c r="O94" s="188" t="s">
        <v>56</v>
      </c>
      <c r="P94" s="231"/>
      <c r="Q94" s="231"/>
      <c r="R94" s="230">
        <v>0</v>
      </c>
      <c r="S94" s="230">
        <v>0</v>
      </c>
      <c r="T94" s="230">
        <f t="shared" si="2"/>
        <v>0</v>
      </c>
      <c r="U94" s="232"/>
      <c r="X94" s="216"/>
      <c r="Y94" s="214"/>
    </row>
    <row r="95" spans="1:25" ht="41.4" x14ac:dyDescent="0.25">
      <c r="A95" s="412" t="s">
        <v>535</v>
      </c>
      <c r="B95" s="224" t="s">
        <v>293</v>
      </c>
      <c r="C95" s="225" t="s">
        <v>536</v>
      </c>
      <c r="D95" s="156" t="s">
        <v>537</v>
      </c>
      <c r="E95" s="136" t="s">
        <v>408</v>
      </c>
      <c r="F95" s="638"/>
      <c r="G95" s="638"/>
      <c r="H95" s="411">
        <f>135000/D9</f>
        <v>36000</v>
      </c>
      <c r="I95" s="227">
        <v>1</v>
      </c>
      <c r="J95" s="227">
        <v>0</v>
      </c>
      <c r="K95" s="228" t="s">
        <v>328</v>
      </c>
      <c r="L95" s="297" t="s">
        <v>284</v>
      </c>
      <c r="M95" s="140" t="s">
        <v>33</v>
      </c>
      <c r="N95" s="188" t="s">
        <v>50</v>
      </c>
      <c r="O95" s="188" t="s">
        <v>75</v>
      </c>
      <c r="P95" s="231"/>
      <c r="Q95" s="231"/>
      <c r="R95" s="230">
        <v>0</v>
      </c>
      <c r="S95" s="230">
        <v>0</v>
      </c>
      <c r="T95" s="230">
        <f t="shared" si="2"/>
        <v>0</v>
      </c>
      <c r="U95" s="232"/>
      <c r="X95" s="216"/>
      <c r="Y95" s="214"/>
    </row>
    <row r="96" spans="1:25" ht="55.2" x14ac:dyDescent="0.25">
      <c r="A96" s="395" t="s">
        <v>563</v>
      </c>
      <c r="B96" s="396" t="s">
        <v>293</v>
      </c>
      <c r="C96" s="397" t="s">
        <v>564</v>
      </c>
      <c r="D96" s="413" t="s">
        <v>565</v>
      </c>
      <c r="E96" s="398" t="s">
        <v>408</v>
      </c>
      <c r="F96" s="646"/>
      <c r="G96" s="646"/>
      <c r="H96" s="415">
        <f>252956/D9</f>
        <v>67454.933333333334</v>
      </c>
      <c r="I96" s="400">
        <v>1</v>
      </c>
      <c r="J96" s="400">
        <v>0</v>
      </c>
      <c r="K96" s="416" t="s">
        <v>566</v>
      </c>
      <c r="L96" s="414" t="s">
        <v>284</v>
      </c>
      <c r="M96" s="417" t="s">
        <v>33</v>
      </c>
      <c r="N96" s="418" t="s">
        <v>70</v>
      </c>
      <c r="O96" s="418" t="s">
        <v>38</v>
      </c>
      <c r="P96" s="419"/>
      <c r="Q96" s="419"/>
      <c r="R96" s="420">
        <v>0</v>
      </c>
      <c r="S96" s="420">
        <v>0</v>
      </c>
      <c r="T96" s="420">
        <f t="shared" si="2"/>
        <v>0</v>
      </c>
      <c r="U96" s="421"/>
      <c r="X96" s="216"/>
      <c r="Y96" s="214"/>
    </row>
    <row r="97" spans="1:25" ht="27.6" x14ac:dyDescent="0.3">
      <c r="X97" s="309" t="s">
        <v>448</v>
      </c>
      <c r="Y97" s="309" t="s">
        <v>449</v>
      </c>
    </row>
    <row r="98" spans="1:25" ht="15.6" customHeight="1" x14ac:dyDescent="0.25">
      <c r="A98" s="207"/>
      <c r="B98" s="629" t="s">
        <v>450</v>
      </c>
      <c r="C98" s="629"/>
      <c r="D98" s="629"/>
      <c r="E98" s="629"/>
      <c r="F98" s="629"/>
      <c r="G98" s="629"/>
      <c r="H98" s="629"/>
      <c r="I98" s="629"/>
      <c r="J98" s="629"/>
      <c r="K98" s="629"/>
      <c r="L98" s="629"/>
      <c r="M98" s="629"/>
      <c r="N98" s="629"/>
      <c r="O98" s="629"/>
      <c r="P98" s="629"/>
      <c r="Q98" s="629"/>
      <c r="R98" s="629"/>
      <c r="S98" s="629"/>
      <c r="T98" s="629"/>
      <c r="U98" s="629"/>
      <c r="X98" s="309" t="s">
        <v>451</v>
      </c>
      <c r="Y98" s="309" t="s">
        <v>449</v>
      </c>
    </row>
    <row r="99" spans="1:25" ht="15" customHeight="1" x14ac:dyDescent="0.25">
      <c r="A99" s="630" t="s">
        <v>268</v>
      </c>
      <c r="B99" s="631" t="s">
        <v>309</v>
      </c>
      <c r="C99" s="632" t="s">
        <v>270</v>
      </c>
      <c r="D99" s="632" t="s">
        <v>271</v>
      </c>
      <c r="E99" s="632" t="s">
        <v>272</v>
      </c>
      <c r="F99" s="632" t="s">
        <v>452</v>
      </c>
      <c r="G99" s="632"/>
      <c r="H99" s="633" t="s">
        <v>274</v>
      </c>
      <c r="I99" s="633"/>
      <c r="J99" s="633"/>
      <c r="K99" s="632" t="s">
        <v>275</v>
      </c>
      <c r="L99" s="632" t="s">
        <v>276</v>
      </c>
      <c r="M99" s="630" t="s">
        <v>277</v>
      </c>
      <c r="N99" s="632" t="s">
        <v>278</v>
      </c>
      <c r="O99" s="632"/>
      <c r="P99" s="630" t="s">
        <v>279</v>
      </c>
      <c r="Q99" s="630" t="s">
        <v>280</v>
      </c>
      <c r="R99" s="630" t="s">
        <v>281</v>
      </c>
      <c r="S99" s="630"/>
      <c r="T99" s="630" t="s">
        <v>282</v>
      </c>
      <c r="U99" s="634" t="s">
        <v>283</v>
      </c>
      <c r="X99" s="309" t="s">
        <v>453</v>
      </c>
      <c r="Y99" s="309" t="s">
        <v>454</v>
      </c>
    </row>
    <row r="100" spans="1:25" ht="38.25" customHeight="1" x14ac:dyDescent="0.25">
      <c r="A100" s="630"/>
      <c r="B100" s="631"/>
      <c r="C100" s="632"/>
      <c r="D100" s="632"/>
      <c r="E100" s="632"/>
      <c r="F100" s="632"/>
      <c r="G100" s="632"/>
      <c r="H100" s="219" t="s">
        <v>285</v>
      </c>
      <c r="I100" s="220" t="s">
        <v>286</v>
      </c>
      <c r="J100" s="220" t="s">
        <v>287</v>
      </c>
      <c r="K100" s="632"/>
      <c r="L100" s="632"/>
      <c r="M100" s="630"/>
      <c r="N100" s="218" t="s">
        <v>455</v>
      </c>
      <c r="O100" s="218" t="s">
        <v>456</v>
      </c>
      <c r="P100" s="630"/>
      <c r="Q100" s="630"/>
      <c r="R100" s="221" t="s">
        <v>290</v>
      </c>
      <c r="S100" s="221" t="s">
        <v>291</v>
      </c>
      <c r="T100" s="630"/>
      <c r="U100" s="634"/>
      <c r="X100" s="309" t="s">
        <v>448</v>
      </c>
      <c r="Y100" s="309" t="s">
        <v>454</v>
      </c>
    </row>
    <row r="101" spans="1:25" ht="46.35" customHeight="1" x14ac:dyDescent="0.25">
      <c r="A101" s="223" t="s">
        <v>26</v>
      </c>
      <c r="B101" s="224" t="s">
        <v>293</v>
      </c>
      <c r="C101" s="225" t="s">
        <v>457</v>
      </c>
      <c r="D101" s="136" t="s">
        <v>458</v>
      </c>
      <c r="E101" s="225" t="s">
        <v>459</v>
      </c>
      <c r="F101" s="635" t="s">
        <v>460</v>
      </c>
      <c r="G101" s="635"/>
      <c r="H101" s="298">
        <v>46483.63636363636</v>
      </c>
      <c r="I101" s="227">
        <v>1</v>
      </c>
      <c r="J101" s="227">
        <v>0</v>
      </c>
      <c r="K101" s="228" t="s">
        <v>352</v>
      </c>
      <c r="L101" s="297" t="s">
        <v>284</v>
      </c>
      <c r="M101" s="140" t="s">
        <v>223</v>
      </c>
      <c r="N101" s="188" t="s">
        <v>43</v>
      </c>
      <c r="O101" s="188" t="s">
        <v>32</v>
      </c>
      <c r="P101" s="285">
        <v>44731</v>
      </c>
      <c r="Q101" s="231" t="s">
        <v>461</v>
      </c>
      <c r="R101" s="231">
        <v>0</v>
      </c>
      <c r="S101" s="231">
        <v>0</v>
      </c>
      <c r="T101" s="230">
        <f>+P101+S101</f>
        <v>44731</v>
      </c>
      <c r="U101" s="232" t="s">
        <v>462</v>
      </c>
      <c r="X101" s="309" t="s">
        <v>463</v>
      </c>
      <c r="Y101" s="309" t="s">
        <v>464</v>
      </c>
    </row>
    <row r="102" spans="1:25" ht="35.1" customHeight="1" x14ac:dyDescent="0.25">
      <c r="A102" s="286" t="s">
        <v>187</v>
      </c>
      <c r="B102" s="287" t="s">
        <v>293</v>
      </c>
      <c r="C102" s="288" t="s">
        <v>465</v>
      </c>
      <c r="D102" s="288" t="s">
        <v>466</v>
      </c>
      <c r="E102" s="288" t="s">
        <v>459</v>
      </c>
      <c r="F102" s="640" t="s">
        <v>467</v>
      </c>
      <c r="G102" s="640"/>
      <c r="H102" s="305">
        <v>84090.909090909088</v>
      </c>
      <c r="I102" s="311">
        <v>1</v>
      </c>
      <c r="J102" s="311">
        <v>0</v>
      </c>
      <c r="K102" s="288" t="s">
        <v>352</v>
      </c>
      <c r="L102" s="292" t="s">
        <v>284</v>
      </c>
      <c r="M102" s="293" t="s">
        <v>223</v>
      </c>
      <c r="N102" s="292" t="s">
        <v>43</v>
      </c>
      <c r="O102" s="292" t="s">
        <v>74</v>
      </c>
      <c r="P102" s="305">
        <v>81720.240000000005</v>
      </c>
      <c r="Q102" s="276" t="s">
        <v>397</v>
      </c>
      <c r="R102" s="276">
        <v>0</v>
      </c>
      <c r="S102" s="276">
        <v>0</v>
      </c>
      <c r="T102" s="312">
        <f>+P102+S102</f>
        <v>81720.240000000005</v>
      </c>
      <c r="U102" s="295" t="s">
        <v>468</v>
      </c>
      <c r="X102" s="309"/>
      <c r="Y102" s="309" t="s">
        <v>464</v>
      </c>
    </row>
    <row r="103" spans="1:25" ht="27.6" x14ac:dyDescent="0.3">
      <c r="X103" s="309" t="s">
        <v>469</v>
      </c>
      <c r="Y103" s="309" t="s">
        <v>470</v>
      </c>
    </row>
    <row r="104" spans="1:25" ht="15.75" customHeight="1" x14ac:dyDescent="0.25">
      <c r="A104" s="207"/>
      <c r="B104" s="629" t="s">
        <v>471</v>
      </c>
      <c r="C104" s="629"/>
      <c r="D104" s="629"/>
      <c r="E104" s="629"/>
      <c r="F104" s="629"/>
      <c r="G104" s="629"/>
      <c r="H104" s="629"/>
      <c r="I104" s="629"/>
      <c r="J104" s="629"/>
      <c r="K104" s="629"/>
      <c r="L104" s="629"/>
      <c r="M104" s="629"/>
      <c r="N104" s="629"/>
      <c r="O104" s="629"/>
      <c r="P104" s="629"/>
      <c r="Q104" s="629"/>
      <c r="R104" s="629"/>
      <c r="S104" s="629"/>
      <c r="T104" s="629"/>
      <c r="U104" s="629"/>
      <c r="X104" s="309" t="s">
        <v>472</v>
      </c>
      <c r="Y104" s="309" t="s">
        <v>470</v>
      </c>
    </row>
    <row r="105" spans="1:25" ht="15" customHeight="1" x14ac:dyDescent="0.25">
      <c r="A105" s="630" t="s">
        <v>268</v>
      </c>
      <c r="B105" s="631" t="s">
        <v>309</v>
      </c>
      <c r="C105" s="632" t="s">
        <v>270</v>
      </c>
      <c r="D105" s="632" t="s">
        <v>271</v>
      </c>
      <c r="E105" s="632" t="s">
        <v>272</v>
      </c>
      <c r="F105" s="632" t="s">
        <v>452</v>
      </c>
      <c r="G105" s="632"/>
      <c r="H105" s="633" t="s">
        <v>274</v>
      </c>
      <c r="I105" s="633"/>
      <c r="J105" s="633"/>
      <c r="K105" s="632" t="s">
        <v>275</v>
      </c>
      <c r="L105" s="632" t="s">
        <v>276</v>
      </c>
      <c r="M105" s="630" t="s">
        <v>277</v>
      </c>
      <c r="N105" s="632" t="s">
        <v>278</v>
      </c>
      <c r="O105" s="632"/>
      <c r="P105" s="630" t="s">
        <v>279</v>
      </c>
      <c r="Q105" s="630" t="s">
        <v>280</v>
      </c>
      <c r="R105" s="630" t="s">
        <v>281</v>
      </c>
      <c r="S105" s="630"/>
      <c r="T105" s="630" t="s">
        <v>282</v>
      </c>
      <c r="U105" s="634" t="s">
        <v>283</v>
      </c>
      <c r="X105" s="309" t="s">
        <v>473</v>
      </c>
      <c r="Y105" s="309" t="s">
        <v>474</v>
      </c>
    </row>
    <row r="106" spans="1:25" ht="38.25" customHeight="1" x14ac:dyDescent="0.25">
      <c r="A106" s="630"/>
      <c r="B106" s="631"/>
      <c r="C106" s="632"/>
      <c r="D106" s="632"/>
      <c r="E106" s="632"/>
      <c r="F106" s="632"/>
      <c r="G106" s="632"/>
      <c r="H106" s="218" t="s">
        <v>285</v>
      </c>
      <c r="I106" s="220" t="s">
        <v>286</v>
      </c>
      <c r="J106" s="220" t="s">
        <v>287</v>
      </c>
      <c r="K106" s="632"/>
      <c r="L106" s="632"/>
      <c r="M106" s="630"/>
      <c r="N106" s="218" t="s">
        <v>410</v>
      </c>
      <c r="O106" s="218" t="s">
        <v>289</v>
      </c>
      <c r="P106" s="630"/>
      <c r="Q106" s="630"/>
      <c r="R106" s="221" t="s">
        <v>290</v>
      </c>
      <c r="S106" s="221" t="s">
        <v>291</v>
      </c>
      <c r="T106" s="630"/>
      <c r="U106" s="634"/>
      <c r="X106" s="309"/>
      <c r="Y106" s="309" t="s">
        <v>474</v>
      </c>
    </row>
    <row r="107" spans="1:25" s="247" customFormat="1" ht="55.2" x14ac:dyDescent="0.25">
      <c r="A107" s="226" t="s">
        <v>475</v>
      </c>
      <c r="B107" s="224" t="s">
        <v>293</v>
      </c>
      <c r="C107" s="225" t="s">
        <v>476</v>
      </c>
      <c r="D107" s="225" t="s">
        <v>477</v>
      </c>
      <c r="E107" s="225" t="s">
        <v>267</v>
      </c>
      <c r="F107" s="635"/>
      <c r="G107" s="635"/>
      <c r="H107" s="411">
        <f>48000/D9</f>
        <v>12800</v>
      </c>
      <c r="I107" s="379">
        <v>1</v>
      </c>
      <c r="J107" s="227">
        <v>0</v>
      </c>
      <c r="K107" s="228" t="s">
        <v>419</v>
      </c>
      <c r="L107" s="387" t="s">
        <v>267</v>
      </c>
      <c r="M107" s="140" t="s">
        <v>33</v>
      </c>
      <c r="N107" s="188" t="s">
        <v>70</v>
      </c>
      <c r="O107" s="188" t="s">
        <v>343</v>
      </c>
      <c r="P107" s="231"/>
      <c r="Q107" s="231"/>
      <c r="R107" s="231"/>
      <c r="S107" s="231"/>
      <c r="T107" s="231"/>
      <c r="U107" s="232" t="s">
        <v>478</v>
      </c>
      <c r="X107" s="318"/>
      <c r="Y107" s="319"/>
    </row>
    <row r="108" spans="1:25" s="247" customFormat="1" ht="55.2" x14ac:dyDescent="0.25">
      <c r="A108" s="226" t="s">
        <v>479</v>
      </c>
      <c r="B108" s="224" t="s">
        <v>293</v>
      </c>
      <c r="C108" s="225" t="s">
        <v>480</v>
      </c>
      <c r="D108" s="225" t="s">
        <v>481</v>
      </c>
      <c r="E108" s="225" t="s">
        <v>267</v>
      </c>
      <c r="F108" s="635"/>
      <c r="G108" s="635"/>
      <c r="H108" s="411">
        <f>30000/D9</f>
        <v>8000</v>
      </c>
      <c r="I108" s="379">
        <v>1</v>
      </c>
      <c r="J108" s="227">
        <v>0</v>
      </c>
      <c r="K108" s="228" t="s">
        <v>318</v>
      </c>
      <c r="L108" s="387" t="s">
        <v>267</v>
      </c>
      <c r="M108" s="140" t="s">
        <v>33</v>
      </c>
      <c r="N108" s="188" t="s">
        <v>133</v>
      </c>
      <c r="O108" s="188" t="s">
        <v>56</v>
      </c>
      <c r="P108" s="231"/>
      <c r="Q108" s="231"/>
      <c r="R108" s="231"/>
      <c r="S108" s="231"/>
      <c r="T108" s="231"/>
      <c r="U108" s="232" t="s">
        <v>478</v>
      </c>
      <c r="X108" s="319"/>
      <c r="Y108" s="318" t="s">
        <v>449</v>
      </c>
    </row>
    <row r="109" spans="1:25" s="247" customFormat="1" ht="69" x14ac:dyDescent="0.25">
      <c r="A109" s="226" t="s">
        <v>482</v>
      </c>
      <c r="B109" s="224" t="s">
        <v>293</v>
      </c>
      <c r="C109" s="225" t="s">
        <v>483</v>
      </c>
      <c r="D109" s="225" t="s">
        <v>484</v>
      </c>
      <c r="E109" s="225" t="s">
        <v>267</v>
      </c>
      <c r="F109" s="635"/>
      <c r="G109" s="635"/>
      <c r="H109" s="411">
        <f>24000/2</f>
        <v>12000</v>
      </c>
      <c r="I109" s="379">
        <v>0</v>
      </c>
      <c r="J109" s="227">
        <v>1</v>
      </c>
      <c r="K109" s="228" t="s">
        <v>354</v>
      </c>
      <c r="L109" s="387" t="s">
        <v>267</v>
      </c>
      <c r="M109" s="140" t="s">
        <v>33</v>
      </c>
      <c r="N109" s="188" t="s">
        <v>70</v>
      </c>
      <c r="O109" s="188" t="s">
        <v>343</v>
      </c>
      <c r="P109" s="231"/>
      <c r="Q109" s="231"/>
      <c r="R109" s="231"/>
      <c r="S109" s="231"/>
      <c r="T109" s="231"/>
      <c r="U109" s="232" t="s">
        <v>478</v>
      </c>
      <c r="X109" s="318" t="s">
        <v>485</v>
      </c>
      <c r="Y109" s="318" t="s">
        <v>449</v>
      </c>
    </row>
    <row r="110" spans="1:25" s="247" customFormat="1" ht="69" x14ac:dyDescent="0.25">
      <c r="A110" s="292" t="s">
        <v>486</v>
      </c>
      <c r="B110" s="287" t="s">
        <v>293</v>
      </c>
      <c r="C110" s="288" t="s">
        <v>487</v>
      </c>
      <c r="D110" s="288" t="s">
        <v>488</v>
      </c>
      <c r="E110" s="288" t="s">
        <v>267</v>
      </c>
      <c r="F110" s="642"/>
      <c r="G110" s="642"/>
      <c r="H110" s="422">
        <f>24000/2</f>
        <v>12000</v>
      </c>
      <c r="I110" s="380">
        <v>0</v>
      </c>
      <c r="J110" s="291">
        <v>1</v>
      </c>
      <c r="K110" s="306" t="s">
        <v>354</v>
      </c>
      <c r="L110" s="423" t="s">
        <v>267</v>
      </c>
      <c r="M110" s="307" t="s">
        <v>33</v>
      </c>
      <c r="N110" s="308" t="s">
        <v>70</v>
      </c>
      <c r="O110" s="308" t="s">
        <v>343</v>
      </c>
      <c r="P110" s="276"/>
      <c r="Q110" s="276"/>
      <c r="R110" s="276"/>
      <c r="S110" s="276"/>
      <c r="T110" s="276"/>
      <c r="U110" s="295" t="s">
        <v>478</v>
      </c>
      <c r="X110" s="318" t="s">
        <v>485</v>
      </c>
      <c r="Y110" s="318" t="s">
        <v>449</v>
      </c>
    </row>
    <row r="111" spans="1:25" ht="55.2" x14ac:dyDescent="0.25">
      <c r="A111" s="324"/>
      <c r="B111" s="325"/>
      <c r="C111" s="325"/>
      <c r="D111" s="325"/>
      <c r="E111" s="325"/>
      <c r="F111" s="325"/>
      <c r="G111" s="325"/>
      <c r="H111" s="325"/>
      <c r="I111" s="326"/>
      <c r="J111" s="326"/>
      <c r="K111" s="327"/>
      <c r="L111" s="328"/>
      <c r="M111" s="324"/>
      <c r="N111" s="328"/>
      <c r="O111" s="328"/>
      <c r="P111" s="325"/>
      <c r="Q111" s="325"/>
      <c r="R111" s="325"/>
      <c r="S111" s="325"/>
      <c r="T111" s="325"/>
      <c r="U111" s="325"/>
      <c r="X111" s="309" t="s">
        <v>489</v>
      </c>
      <c r="Y111" s="309"/>
    </row>
    <row r="112" spans="1:25" ht="13.8" hidden="1" x14ac:dyDescent="0.25">
      <c r="A112" s="324"/>
      <c r="F112" s="325"/>
      <c r="G112" s="325"/>
      <c r="H112" s="325"/>
      <c r="I112" s="326"/>
      <c r="J112" s="326"/>
      <c r="K112" s="327"/>
      <c r="L112" s="328"/>
      <c r="M112" s="324"/>
      <c r="N112" s="328"/>
      <c r="O112" s="328"/>
      <c r="P112" s="325"/>
      <c r="Q112" s="325"/>
      <c r="R112" s="325"/>
      <c r="S112" s="325"/>
      <c r="T112" s="325"/>
      <c r="U112" s="325"/>
      <c r="X112" s="309"/>
      <c r="Y112" s="309" t="s">
        <v>449</v>
      </c>
    </row>
    <row r="113" spans="1:25" ht="12.75" hidden="1" customHeight="1" x14ac:dyDescent="0.25">
      <c r="A113" s="207"/>
      <c r="B113" s="629" t="s">
        <v>490</v>
      </c>
      <c r="C113" s="629"/>
      <c r="D113" s="629"/>
      <c r="E113" s="629"/>
      <c r="F113" s="629"/>
      <c r="G113" s="629"/>
      <c r="H113" s="629"/>
      <c r="I113" s="629"/>
      <c r="J113" s="629"/>
      <c r="K113" s="629"/>
      <c r="L113" s="629"/>
      <c r="M113" s="629"/>
      <c r="N113" s="629"/>
      <c r="O113" s="629"/>
      <c r="P113" s="629"/>
      <c r="Q113" s="629"/>
      <c r="R113" s="629"/>
      <c r="S113" s="629"/>
      <c r="T113" s="629"/>
      <c r="U113" s="629"/>
      <c r="X113" s="309" t="s">
        <v>491</v>
      </c>
      <c r="Y113" s="309" t="s">
        <v>449</v>
      </c>
    </row>
    <row r="114" spans="1:25" ht="12.75" hidden="1" customHeight="1" x14ac:dyDescent="0.25">
      <c r="A114" s="630" t="s">
        <v>492</v>
      </c>
      <c r="B114" s="631" t="s">
        <v>309</v>
      </c>
      <c r="C114" s="632" t="s">
        <v>493</v>
      </c>
      <c r="D114" s="632" t="s">
        <v>271</v>
      </c>
      <c r="E114" s="632"/>
      <c r="F114" s="632" t="s">
        <v>452</v>
      </c>
      <c r="G114" s="632"/>
      <c r="H114" s="633" t="s">
        <v>274</v>
      </c>
      <c r="I114" s="633"/>
      <c r="J114" s="633"/>
      <c r="K114" s="632" t="s">
        <v>275</v>
      </c>
      <c r="L114" s="643" t="s">
        <v>494</v>
      </c>
      <c r="M114" s="630" t="s">
        <v>277</v>
      </c>
      <c r="N114" s="632" t="s">
        <v>278</v>
      </c>
      <c r="O114" s="632"/>
      <c r="P114" s="630" t="s">
        <v>279</v>
      </c>
      <c r="Q114" s="630" t="s">
        <v>280</v>
      </c>
      <c r="R114" s="630" t="s">
        <v>281</v>
      </c>
      <c r="S114" s="630"/>
      <c r="T114" s="630" t="s">
        <v>282</v>
      </c>
      <c r="U114" s="634" t="s">
        <v>495</v>
      </c>
      <c r="X114" s="309" t="s">
        <v>496</v>
      </c>
      <c r="Y114" s="309" t="s">
        <v>449</v>
      </c>
    </row>
    <row r="115" spans="1:25" ht="110.4" hidden="1" x14ac:dyDescent="0.25">
      <c r="A115" s="630"/>
      <c r="B115" s="631"/>
      <c r="C115" s="632"/>
      <c r="D115" s="632"/>
      <c r="E115" s="632"/>
      <c r="F115" s="632"/>
      <c r="G115" s="632"/>
      <c r="H115" s="218" t="s">
        <v>285</v>
      </c>
      <c r="I115" s="220" t="s">
        <v>286</v>
      </c>
      <c r="J115" s="220" t="s">
        <v>497</v>
      </c>
      <c r="K115" s="632"/>
      <c r="L115" s="643"/>
      <c r="M115" s="630"/>
      <c r="N115" s="218" t="s">
        <v>498</v>
      </c>
      <c r="O115" s="218" t="s">
        <v>499</v>
      </c>
      <c r="P115" s="630"/>
      <c r="Q115" s="630"/>
      <c r="R115" s="221" t="s">
        <v>500</v>
      </c>
      <c r="S115" s="221" t="s">
        <v>291</v>
      </c>
      <c r="T115" s="630"/>
      <c r="U115" s="634"/>
      <c r="X115" s="309" t="s">
        <v>501</v>
      </c>
      <c r="Y115" s="309" t="s">
        <v>449</v>
      </c>
    </row>
    <row r="116" spans="1:25" ht="96.6" hidden="1" x14ac:dyDescent="0.25">
      <c r="A116" s="229"/>
      <c r="B116" s="224"/>
      <c r="C116" s="225"/>
      <c r="D116" s="635"/>
      <c r="E116" s="635"/>
      <c r="F116" s="226"/>
      <c r="G116" s="226"/>
      <c r="H116" s="225"/>
      <c r="I116" s="227"/>
      <c r="J116" s="227"/>
      <c r="K116" s="228"/>
      <c r="L116" s="248"/>
      <c r="M116" s="229"/>
      <c r="N116" s="226"/>
      <c r="O116" s="226"/>
      <c r="P116" s="231"/>
      <c r="Q116" s="231"/>
      <c r="R116" s="231"/>
      <c r="S116" s="231"/>
      <c r="T116" s="231"/>
      <c r="U116" s="232"/>
      <c r="X116" s="309" t="s">
        <v>502</v>
      </c>
      <c r="Y116" s="214"/>
    </row>
    <row r="117" spans="1:25" ht="13.8" hidden="1" x14ac:dyDescent="0.25">
      <c r="A117" s="229"/>
      <c r="B117" s="224"/>
      <c r="C117" s="225"/>
      <c r="D117" s="635"/>
      <c r="E117" s="635"/>
      <c r="F117" s="226"/>
      <c r="G117" s="226"/>
      <c r="H117" s="225"/>
      <c r="I117" s="227"/>
      <c r="J117" s="227"/>
      <c r="K117" s="228"/>
      <c r="L117" s="248"/>
      <c r="M117" s="229"/>
      <c r="N117" s="226"/>
      <c r="O117" s="226"/>
      <c r="P117" s="231"/>
      <c r="Q117" s="231"/>
      <c r="R117" s="231"/>
      <c r="S117" s="231"/>
      <c r="T117" s="231"/>
      <c r="U117" s="232"/>
      <c r="X117" s="214"/>
      <c r="Y117" s="309" t="s">
        <v>454</v>
      </c>
    </row>
    <row r="118" spans="1:25" ht="69" hidden="1" x14ac:dyDescent="0.25">
      <c r="A118" s="229"/>
      <c r="B118" s="224"/>
      <c r="C118" s="225"/>
      <c r="D118" s="635"/>
      <c r="E118" s="635"/>
      <c r="F118" s="226"/>
      <c r="G118" s="226"/>
      <c r="H118" s="225"/>
      <c r="I118" s="227"/>
      <c r="J118" s="227"/>
      <c r="K118" s="228"/>
      <c r="L118" s="248"/>
      <c r="M118" s="229"/>
      <c r="N118" s="226"/>
      <c r="O118" s="226"/>
      <c r="P118" s="231"/>
      <c r="Q118" s="231"/>
      <c r="R118" s="231"/>
      <c r="S118" s="231"/>
      <c r="T118" s="231"/>
      <c r="U118" s="232"/>
      <c r="X118" s="309" t="s">
        <v>503</v>
      </c>
      <c r="Y118" s="309" t="s">
        <v>454</v>
      </c>
    </row>
    <row r="119" spans="1:25" ht="55.2" hidden="1" x14ac:dyDescent="0.25">
      <c r="A119" s="229"/>
      <c r="B119" s="224"/>
      <c r="C119" s="225"/>
      <c r="D119" s="635"/>
      <c r="E119" s="635"/>
      <c r="F119" s="226"/>
      <c r="G119" s="226"/>
      <c r="H119" s="225"/>
      <c r="I119" s="227"/>
      <c r="J119" s="227"/>
      <c r="K119" s="228"/>
      <c r="L119" s="248"/>
      <c r="M119" s="229"/>
      <c r="N119" s="226"/>
      <c r="O119" s="226"/>
      <c r="P119" s="231"/>
      <c r="Q119" s="231"/>
      <c r="R119" s="231"/>
      <c r="S119" s="231"/>
      <c r="T119" s="231"/>
      <c r="U119" s="232"/>
      <c r="X119" s="309" t="s">
        <v>504</v>
      </c>
      <c r="Y119" s="309" t="s">
        <v>454</v>
      </c>
    </row>
    <row r="120" spans="1:25" ht="55.2" hidden="1" x14ac:dyDescent="0.25">
      <c r="A120" s="293"/>
      <c r="B120" s="287"/>
      <c r="C120" s="288"/>
      <c r="D120" s="642"/>
      <c r="E120" s="642"/>
      <c r="F120" s="292"/>
      <c r="G120" s="292"/>
      <c r="H120" s="288"/>
      <c r="I120" s="291"/>
      <c r="J120" s="291"/>
      <c r="K120" s="306"/>
      <c r="L120" s="329"/>
      <c r="M120" s="293"/>
      <c r="N120" s="292"/>
      <c r="O120" s="292"/>
      <c r="P120" s="276"/>
      <c r="Q120" s="276"/>
      <c r="R120" s="276"/>
      <c r="S120" s="276"/>
      <c r="T120" s="276"/>
      <c r="U120" s="295"/>
      <c r="X120" s="309" t="s">
        <v>505</v>
      </c>
      <c r="Y120" s="309" t="s">
        <v>454</v>
      </c>
    </row>
    <row r="121" spans="1:25" ht="12.75" hidden="1" customHeight="1" x14ac:dyDescent="0.3">
      <c r="X121" s="309" t="s">
        <v>506</v>
      </c>
      <c r="Y121" s="309" t="s">
        <v>454</v>
      </c>
    </row>
    <row r="122" spans="1:25" ht="13.8" x14ac:dyDescent="0.3">
      <c r="A122" s="194" t="s">
        <v>170</v>
      </c>
      <c r="B122" s="126" t="s">
        <v>507</v>
      </c>
      <c r="C122" s="330"/>
      <c r="D122" s="330"/>
      <c r="E122" s="330"/>
      <c r="F122" s="330"/>
      <c r="G122" s="330"/>
      <c r="H122" s="330"/>
      <c r="I122" s="331"/>
      <c r="J122" s="331"/>
      <c r="K122" s="330"/>
      <c r="L122" s="330"/>
      <c r="M122" s="330"/>
      <c r="X122" s="214"/>
      <c r="Y122" s="309"/>
    </row>
    <row r="123" spans="1:25" ht="15.6" x14ac:dyDescent="0.3">
      <c r="A123" s="125"/>
      <c r="B123" s="126" t="s">
        <v>508</v>
      </c>
      <c r="C123" s="332"/>
      <c r="D123" s="332"/>
      <c r="E123" s="332"/>
      <c r="F123" s="332"/>
      <c r="G123" s="332"/>
      <c r="H123" s="332"/>
      <c r="I123" s="333"/>
      <c r="J123" s="333"/>
      <c r="K123" s="332"/>
      <c r="L123" s="332"/>
      <c r="M123" s="332"/>
      <c r="X123" s="214"/>
      <c r="Y123" s="214"/>
    </row>
    <row r="124" spans="1:25" ht="69" x14ac:dyDescent="0.3">
      <c r="A124" s="125"/>
      <c r="B124" s="126" t="s">
        <v>509</v>
      </c>
      <c r="C124" s="196"/>
      <c r="D124" s="192"/>
      <c r="E124" s="192"/>
      <c r="F124" s="126"/>
      <c r="G124" s="150"/>
      <c r="H124" s="150"/>
      <c r="I124" s="334"/>
      <c r="J124" s="334"/>
      <c r="K124" s="126"/>
      <c r="L124" s="126"/>
      <c r="M124" s="128"/>
      <c r="X124" s="214"/>
      <c r="Y124" s="309" t="s">
        <v>464</v>
      </c>
    </row>
    <row r="125" spans="1:25" ht="27.6" x14ac:dyDescent="0.3">
      <c r="A125" s="125"/>
      <c r="B125" s="126" t="s">
        <v>510</v>
      </c>
      <c r="C125" s="125"/>
      <c r="D125" s="335"/>
      <c r="E125" s="192"/>
      <c r="F125" s="126"/>
      <c r="G125" s="150"/>
      <c r="H125" s="150"/>
      <c r="I125" s="334"/>
      <c r="J125" s="334"/>
      <c r="K125" s="126"/>
      <c r="L125" s="126"/>
      <c r="M125" s="128"/>
      <c r="X125" s="214"/>
      <c r="Y125" s="309" t="s">
        <v>470</v>
      </c>
    </row>
    <row r="126" spans="1:25" ht="82.8" x14ac:dyDescent="0.3">
      <c r="A126" s="125"/>
      <c r="B126" s="336"/>
      <c r="C126" s="125"/>
      <c r="D126" s="335"/>
      <c r="E126" s="127"/>
      <c r="F126" s="126"/>
      <c r="G126" s="150"/>
      <c r="H126" s="150"/>
      <c r="I126" s="334"/>
      <c r="J126" s="334"/>
      <c r="K126" s="126"/>
      <c r="L126" s="126"/>
      <c r="M126" s="128"/>
      <c r="X126" s="309" t="s">
        <v>512</v>
      </c>
      <c r="Y126" s="309" t="s">
        <v>470</v>
      </c>
    </row>
    <row r="127" spans="1:25" ht="27.6" x14ac:dyDescent="0.3">
      <c r="A127" s="125"/>
      <c r="C127" s="125"/>
      <c r="D127" s="335"/>
      <c r="E127" s="192"/>
      <c r="F127" s="126"/>
      <c r="G127" s="150"/>
      <c r="H127" s="150"/>
      <c r="I127" s="334"/>
      <c r="J127" s="334"/>
      <c r="K127" s="126"/>
      <c r="L127" s="126"/>
      <c r="M127" s="128"/>
      <c r="X127" s="309" t="s">
        <v>513</v>
      </c>
      <c r="Y127" s="214"/>
    </row>
    <row r="128" spans="1:25" ht="69" x14ac:dyDescent="0.3">
      <c r="X128" s="216" t="s">
        <v>459</v>
      </c>
      <c r="Y128" s="214"/>
    </row>
    <row r="129" spans="24:25" ht="27.6" x14ac:dyDescent="0.3">
      <c r="X129" s="216" t="s">
        <v>329</v>
      </c>
      <c r="Y129" s="214"/>
    </row>
    <row r="130" spans="24:25" ht="27.6" x14ac:dyDescent="0.3">
      <c r="X130" s="216" t="s">
        <v>267</v>
      </c>
      <c r="Y130" s="222"/>
    </row>
  </sheetData>
  <sheetProtection selectLockedCells="1" selectUnlockedCells="1"/>
  <mergeCells count="166">
    <mergeCell ref="D119:E119"/>
    <mergeCell ref="D120:E120"/>
    <mergeCell ref="R114:S114"/>
    <mergeCell ref="T114:T115"/>
    <mergeCell ref="U114:U115"/>
    <mergeCell ref="D116:E116"/>
    <mergeCell ref="D117:E117"/>
    <mergeCell ref="D118:E118"/>
    <mergeCell ref="K114:K115"/>
    <mergeCell ref="L114:L115"/>
    <mergeCell ref="M114:M115"/>
    <mergeCell ref="N114:O114"/>
    <mergeCell ref="P114:P115"/>
    <mergeCell ref="Q114:Q115"/>
    <mergeCell ref="A114:A115"/>
    <mergeCell ref="B114:B115"/>
    <mergeCell ref="C114:C115"/>
    <mergeCell ref="D114:E115"/>
    <mergeCell ref="F114:G115"/>
    <mergeCell ref="H114:J114"/>
    <mergeCell ref="F107:G107"/>
    <mergeCell ref="F108:G108"/>
    <mergeCell ref="F109:G109"/>
    <mergeCell ref="F110:G110"/>
    <mergeCell ref="B113:U113"/>
    <mergeCell ref="R105:S105"/>
    <mergeCell ref="T105:T106"/>
    <mergeCell ref="B104:U104"/>
    <mergeCell ref="A105:A106"/>
    <mergeCell ref="B105:B106"/>
    <mergeCell ref="C105:C106"/>
    <mergeCell ref="D105:D106"/>
    <mergeCell ref="E105:E106"/>
    <mergeCell ref="F105:G106"/>
    <mergeCell ref="H105:J105"/>
    <mergeCell ref="U105:U106"/>
    <mergeCell ref="F101:G101"/>
    <mergeCell ref="F102:G102"/>
    <mergeCell ref="H99:J99"/>
    <mergeCell ref="K99:K100"/>
    <mergeCell ref="L99:L100"/>
    <mergeCell ref="M99:M100"/>
    <mergeCell ref="K105:K106"/>
    <mergeCell ref="L105:L106"/>
    <mergeCell ref="Q99:Q100"/>
    <mergeCell ref="N99:O99"/>
    <mergeCell ref="P99:P100"/>
    <mergeCell ref="M105:M106"/>
    <mergeCell ref="N105:O105"/>
    <mergeCell ref="P105:P106"/>
    <mergeCell ref="Q105:Q106"/>
    <mergeCell ref="F93:G93"/>
    <mergeCell ref="F94:G94"/>
    <mergeCell ref="F95:G95"/>
    <mergeCell ref="F96:G96"/>
    <mergeCell ref="B98:U98"/>
    <mergeCell ref="A99:A100"/>
    <mergeCell ref="B99:B100"/>
    <mergeCell ref="C99:C100"/>
    <mergeCell ref="D99:D100"/>
    <mergeCell ref="E99:E100"/>
    <mergeCell ref="F99:G100"/>
    <mergeCell ref="R99:S99"/>
    <mergeCell ref="T99:T100"/>
    <mergeCell ref="U99:U100"/>
    <mergeCell ref="F84:G84"/>
    <mergeCell ref="F85:G85"/>
    <mergeCell ref="F86:G86"/>
    <mergeCell ref="F87:G87"/>
    <mergeCell ref="F88:G88"/>
    <mergeCell ref="F89:G89"/>
    <mergeCell ref="F90:G90"/>
    <mergeCell ref="F91:G91"/>
    <mergeCell ref="F92:G92"/>
    <mergeCell ref="F79:G79"/>
    <mergeCell ref="F80:G80"/>
    <mergeCell ref="F81:G81"/>
    <mergeCell ref="K77:K78"/>
    <mergeCell ref="L77:L78"/>
    <mergeCell ref="M77:M78"/>
    <mergeCell ref="N77:O77"/>
    <mergeCell ref="F82:G82"/>
    <mergeCell ref="F83:G83"/>
    <mergeCell ref="Q77:Q78"/>
    <mergeCell ref="T71:T72"/>
    <mergeCell ref="U71:U72"/>
    <mergeCell ref="B76:U76"/>
    <mergeCell ref="A77:A78"/>
    <mergeCell ref="B77:B78"/>
    <mergeCell ref="C77:C78"/>
    <mergeCell ref="D77:D78"/>
    <mergeCell ref="E77:E78"/>
    <mergeCell ref="R77:S77"/>
    <mergeCell ref="T77:T78"/>
    <mergeCell ref="U77:U78"/>
    <mergeCell ref="F77:G78"/>
    <mergeCell ref="H77:J77"/>
    <mergeCell ref="L71:L72"/>
    <mergeCell ref="M71:M72"/>
    <mergeCell ref="N71:O71"/>
    <mergeCell ref="P71:P72"/>
    <mergeCell ref="H71:J71"/>
    <mergeCell ref="K71:K72"/>
    <mergeCell ref="P77:P78"/>
    <mergeCell ref="U59:U60"/>
    <mergeCell ref="Q71:Q72"/>
    <mergeCell ref="R71:S71"/>
    <mergeCell ref="B70:U70"/>
    <mergeCell ref="A71:A72"/>
    <mergeCell ref="B71:B72"/>
    <mergeCell ref="C71:C72"/>
    <mergeCell ref="D71:D72"/>
    <mergeCell ref="E71:E72"/>
    <mergeCell ref="F71:F72"/>
    <mergeCell ref="G71:G72"/>
    <mergeCell ref="L17:L18"/>
    <mergeCell ref="M17:M18"/>
    <mergeCell ref="N17:O17"/>
    <mergeCell ref="P17:P18"/>
    <mergeCell ref="Q17:Q18"/>
    <mergeCell ref="R17:S17"/>
    <mergeCell ref="T17:T18"/>
    <mergeCell ref="U17:U18"/>
    <mergeCell ref="A59:A60"/>
    <mergeCell ref="B59:B60"/>
    <mergeCell ref="C59:C60"/>
    <mergeCell ref="D59:D60"/>
    <mergeCell ref="E59:E60"/>
    <mergeCell ref="F59:F60"/>
    <mergeCell ref="G59:G60"/>
    <mergeCell ref="H59:J59"/>
    <mergeCell ref="K59:K60"/>
    <mergeCell ref="L59:L60"/>
    <mergeCell ref="M59:M60"/>
    <mergeCell ref="N59:O59"/>
    <mergeCell ref="P59:P60"/>
    <mergeCell ref="Q59:Q60"/>
    <mergeCell ref="R59:S59"/>
    <mergeCell ref="T59:T60"/>
    <mergeCell ref="A17:A18"/>
    <mergeCell ref="B17:B18"/>
    <mergeCell ref="C17:C18"/>
    <mergeCell ref="D17:D18"/>
    <mergeCell ref="E17:E18"/>
    <mergeCell ref="F17:F18"/>
    <mergeCell ref="G17:G18"/>
    <mergeCell ref="H17:J17"/>
    <mergeCell ref="K17:K18"/>
    <mergeCell ref="U11:U12"/>
    <mergeCell ref="F13:G13"/>
    <mergeCell ref="F14:G14"/>
    <mergeCell ref="H11:J11"/>
    <mergeCell ref="K11:K12"/>
    <mergeCell ref="L11:L12"/>
    <mergeCell ref="M11:M12"/>
    <mergeCell ref="N11:O11"/>
    <mergeCell ref="P11:P12"/>
    <mergeCell ref="A11:A12"/>
    <mergeCell ref="B11:B12"/>
    <mergeCell ref="C11:C12"/>
    <mergeCell ref="D11:D12"/>
    <mergeCell ref="E11:E12"/>
    <mergeCell ref="F11:G12"/>
    <mergeCell ref="Q11:Q12"/>
    <mergeCell ref="R11:S11"/>
    <mergeCell ref="T11:T12"/>
  </mergeCells>
  <dataValidations count="8">
    <dataValidation type="list" allowBlank="1" showErrorMessage="1" sqref="E101:E102" xr:uid="{00000000-0002-0000-0700-000000000000}">
      <formula1>$X$128:$X$130</formula1>
      <formula2>0</formula2>
    </dataValidation>
    <dataValidation type="list" allowBlank="1" showErrorMessage="1" sqref="M79:M96 M101:M102 M107:M110" xr:uid="{00000000-0002-0000-0700-000001000000}">
      <formula1>"A,C,EP,P"</formula1>
      <formula2>0</formula2>
    </dataValidation>
    <dataValidation type="list" allowBlank="1" showErrorMessage="1" sqref="E107:E111" xr:uid="{00000000-0002-0000-0700-000002000000}">
      <formula1>$X$76:$X$80</formula1>
      <formula2>0</formula2>
    </dataValidation>
    <dataValidation type="list" allowBlank="1" showErrorMessage="1" sqref="L13:L14 L19:L56 L61:L68 L73:L74 L79:L96 L101:L102 L107:L110" xr:uid="{00000000-0002-0000-0700-000003000000}">
      <formula1>$X$10:$X$12</formula1>
      <formula2>0</formula2>
    </dataValidation>
    <dataValidation type="list" allowBlank="1" showErrorMessage="1" sqref="L111:M112" xr:uid="{00000000-0002-0000-0700-000004000000}">
      <formula1>$X$10:$X$11</formula1>
      <formula2>0</formula2>
    </dataValidation>
    <dataValidation type="list" allowBlank="1" showErrorMessage="1" sqref="E79:E96" xr:uid="{00000000-0002-0000-0700-000005000000}">
      <formula1>$X$75:$X$80</formula1>
      <formula2>0</formula2>
    </dataValidation>
    <dataValidation type="list" allowBlank="1" showErrorMessage="1" sqref="E19 E21:E56 E61:E68 E73:E74" xr:uid="{00000000-0002-0000-0700-000006000000}">
      <formula1>$X$19:$X$23</formula1>
      <formula2>0</formula2>
    </dataValidation>
    <dataValidation type="list" allowBlank="1" showErrorMessage="1" sqref="E13:E14" xr:uid="{00000000-0002-0000-0700-000007000000}">
      <formula1>$X$36:$X$60</formula1>
      <formula2>0</formula2>
    </dataValidation>
  </dataValidations>
  <pageMargins left="0.39374999999999999" right="0.39374999999999999" top="0.59027777777777779" bottom="0.59027777777777779" header="0.51180555555555551" footer="0.51180555555555551"/>
  <pageSetup paperSize="9" scale="62" firstPageNumber="0" orientation="landscape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U147"/>
  <sheetViews>
    <sheetView showGridLines="0" zoomScale="80" zoomScaleNormal="80" workbookViewId="0">
      <selection activeCell="E10" sqref="E10"/>
    </sheetView>
  </sheetViews>
  <sheetFormatPr defaultColWidth="9.109375" defaultRowHeight="18" x14ac:dyDescent="0.35"/>
  <cols>
    <col min="1" max="1" width="5.6640625" style="449" customWidth="1"/>
    <col min="2" max="2" width="9.5546875" style="449" customWidth="1"/>
    <col min="3" max="3" width="23.33203125" style="449" customWidth="1"/>
    <col min="4" max="4" width="30.6640625" style="449" customWidth="1"/>
    <col min="5" max="5" width="24.109375" style="449" customWidth="1"/>
    <col min="6" max="6" width="10.44140625" style="451" customWidth="1"/>
    <col min="7" max="7" width="12.88671875" style="449" customWidth="1"/>
    <col min="8" max="9" width="15.6640625" style="452" customWidth="1"/>
    <col min="10" max="10" width="11.33203125" style="453" customWidth="1"/>
    <col min="11" max="11" width="12.5546875" style="453" customWidth="1"/>
    <col min="12" max="12" width="12.6640625" style="449" customWidth="1"/>
    <col min="13" max="13" width="15.5546875" style="449" customWidth="1"/>
    <col min="14" max="14" width="14.5546875" style="449" customWidth="1"/>
    <col min="15" max="15" width="12.88671875" style="449" customWidth="1"/>
    <col min="16" max="16" width="18.88671875" style="449" customWidth="1"/>
    <col min="17" max="17" width="10.44140625" style="451" customWidth="1"/>
    <col min="18" max="18" width="18.88671875" style="449" customWidth="1"/>
    <col min="19" max="16384" width="9.109375" style="449"/>
  </cols>
  <sheetData>
    <row r="1" spans="1:21" x14ac:dyDescent="0.35">
      <c r="B1" s="450"/>
      <c r="P1" s="454"/>
      <c r="Q1" s="454"/>
      <c r="R1" s="455"/>
    </row>
    <row r="2" spans="1:21" x14ac:dyDescent="0.35">
      <c r="P2" s="454"/>
      <c r="Q2" s="454"/>
      <c r="R2" s="455"/>
    </row>
    <row r="3" spans="1:21" x14ac:dyDescent="0.35">
      <c r="P3" s="456"/>
      <c r="Q3" s="456"/>
      <c r="R3" s="457"/>
    </row>
    <row r="4" spans="1:21" x14ac:dyDescent="0.35">
      <c r="P4" s="456"/>
      <c r="Q4" s="456"/>
      <c r="R4" s="457"/>
    </row>
    <row r="5" spans="1:21" x14ac:dyDescent="0.35">
      <c r="P5" s="456"/>
      <c r="Q5" s="456"/>
      <c r="R5" s="457"/>
    </row>
    <row r="6" spans="1:21" x14ac:dyDescent="0.35">
      <c r="A6" s="647" t="s">
        <v>567</v>
      </c>
      <c r="B6" s="647"/>
      <c r="C6" s="647"/>
      <c r="Q6" s="458" t="s">
        <v>2</v>
      </c>
    </row>
    <row r="7" spans="1:21" x14ac:dyDescent="0.35">
      <c r="A7" s="459" t="s">
        <v>568</v>
      </c>
      <c r="G7" s="460" t="s">
        <v>706</v>
      </c>
      <c r="Q7" s="458" t="s">
        <v>5</v>
      </c>
    </row>
    <row r="8" spans="1:21" x14ac:dyDescent="0.35">
      <c r="A8" s="459" t="s">
        <v>569</v>
      </c>
      <c r="G8" s="460" t="s">
        <v>539</v>
      </c>
      <c r="Q8" s="458" t="s">
        <v>7</v>
      </c>
    </row>
    <row r="9" spans="1:21" x14ac:dyDescent="0.35">
      <c r="A9" s="460" t="s">
        <v>570</v>
      </c>
      <c r="G9" s="460" t="s">
        <v>516</v>
      </c>
      <c r="Q9" s="461" t="s">
        <v>221</v>
      </c>
    </row>
    <row r="10" spans="1:21" x14ac:dyDescent="0.35">
      <c r="B10" s="462"/>
    </row>
    <row r="11" spans="1:21" ht="36" x14ac:dyDescent="0.35">
      <c r="A11" s="463"/>
      <c r="B11" s="464"/>
      <c r="C11" s="464"/>
      <c r="D11" s="464"/>
      <c r="E11" s="464"/>
      <c r="F11" s="465"/>
      <c r="G11" s="464"/>
      <c r="H11" s="466" t="s">
        <v>571</v>
      </c>
      <c r="I11" s="467">
        <v>3.4</v>
      </c>
      <c r="J11" s="467"/>
      <c r="K11" s="468"/>
      <c r="L11" s="464"/>
      <c r="M11" s="464"/>
      <c r="N11" s="464"/>
      <c r="O11" s="464"/>
      <c r="P11" s="464"/>
      <c r="Q11" s="465"/>
      <c r="R11" s="464"/>
      <c r="S11" s="469"/>
      <c r="T11" s="469"/>
      <c r="U11" s="469"/>
    </row>
    <row r="12" spans="1:21" ht="15.6" customHeight="1" x14ac:dyDescent="0.35">
      <c r="A12" s="648" t="s">
        <v>266</v>
      </c>
      <c r="B12" s="648"/>
      <c r="C12" s="648"/>
      <c r="D12" s="648"/>
      <c r="E12" s="648"/>
      <c r="F12" s="648"/>
      <c r="G12" s="648"/>
      <c r="H12" s="648"/>
      <c r="I12" s="648"/>
      <c r="J12" s="648"/>
      <c r="K12" s="648"/>
      <c r="L12" s="648"/>
      <c r="M12" s="648"/>
      <c r="N12" s="648"/>
      <c r="O12" s="648"/>
      <c r="P12" s="648"/>
      <c r="Q12" s="648"/>
      <c r="R12" s="648"/>
      <c r="S12" s="469"/>
      <c r="T12" s="469"/>
      <c r="U12" s="469"/>
    </row>
    <row r="13" spans="1:21" ht="15" customHeight="1" x14ac:dyDescent="0.35">
      <c r="A13" s="649" t="s">
        <v>268</v>
      </c>
      <c r="B13" s="649" t="s">
        <v>269</v>
      </c>
      <c r="C13" s="649" t="s">
        <v>572</v>
      </c>
      <c r="D13" s="649" t="s">
        <v>271</v>
      </c>
      <c r="E13" s="649" t="s">
        <v>708</v>
      </c>
      <c r="F13" s="649" t="s">
        <v>573</v>
      </c>
      <c r="G13" s="649" t="s">
        <v>452</v>
      </c>
      <c r="H13" s="470"/>
      <c r="I13" s="650" t="s">
        <v>574</v>
      </c>
      <c r="J13" s="650"/>
      <c r="K13" s="650"/>
      <c r="L13" s="649" t="s">
        <v>575</v>
      </c>
      <c r="M13" s="649" t="s">
        <v>576</v>
      </c>
      <c r="N13" s="649" t="s">
        <v>577</v>
      </c>
      <c r="O13" s="649"/>
      <c r="P13" s="649" t="s">
        <v>578</v>
      </c>
      <c r="Q13" s="649" t="s">
        <v>579</v>
      </c>
      <c r="R13" s="649" t="s">
        <v>580</v>
      </c>
      <c r="S13" s="469"/>
      <c r="T13" s="469"/>
      <c r="U13" s="469"/>
    </row>
    <row r="14" spans="1:21" ht="90" x14ac:dyDescent="0.35">
      <c r="A14" s="649"/>
      <c r="B14" s="649"/>
      <c r="C14" s="649"/>
      <c r="D14" s="649"/>
      <c r="E14" s="649"/>
      <c r="F14" s="649"/>
      <c r="G14" s="649"/>
      <c r="H14" s="470" t="s">
        <v>581</v>
      </c>
      <c r="I14" s="470" t="s">
        <v>285</v>
      </c>
      <c r="J14" s="471" t="s">
        <v>286</v>
      </c>
      <c r="K14" s="471" t="s">
        <v>497</v>
      </c>
      <c r="L14" s="649"/>
      <c r="M14" s="649"/>
      <c r="N14" s="472" t="s">
        <v>582</v>
      </c>
      <c r="O14" s="472" t="s">
        <v>289</v>
      </c>
      <c r="P14" s="649"/>
      <c r="Q14" s="649"/>
      <c r="R14" s="649"/>
      <c r="S14" s="469"/>
      <c r="T14" s="469"/>
      <c r="U14" s="469"/>
    </row>
    <row r="15" spans="1:21" ht="72" x14ac:dyDescent="0.35">
      <c r="A15" s="473" t="s">
        <v>161</v>
      </c>
      <c r="B15" s="474" t="s">
        <v>293</v>
      </c>
      <c r="C15" s="474" t="s">
        <v>294</v>
      </c>
      <c r="D15" s="474" t="s">
        <v>295</v>
      </c>
      <c r="E15" s="474" t="s">
        <v>267</v>
      </c>
      <c r="F15" s="475">
        <v>1</v>
      </c>
      <c r="G15" s="476" t="s">
        <v>296</v>
      </c>
      <c r="H15" s="477">
        <v>3583375.98</v>
      </c>
      <c r="I15" s="477">
        <v>1582469</v>
      </c>
      <c r="J15" s="478">
        <v>0</v>
      </c>
      <c r="K15" s="478">
        <v>1</v>
      </c>
      <c r="L15" s="479" t="s">
        <v>297</v>
      </c>
      <c r="M15" s="476" t="s">
        <v>267</v>
      </c>
      <c r="N15" s="480" t="s">
        <v>146</v>
      </c>
      <c r="O15" s="480" t="s">
        <v>96</v>
      </c>
      <c r="P15" s="474" t="s">
        <v>583</v>
      </c>
      <c r="Q15" s="475" t="s">
        <v>298</v>
      </c>
      <c r="R15" s="476" t="s">
        <v>584</v>
      </c>
      <c r="S15" s="469"/>
      <c r="T15" s="469"/>
      <c r="U15" s="469"/>
    </row>
    <row r="16" spans="1:21" ht="72" x14ac:dyDescent="0.35">
      <c r="A16" s="481" t="s">
        <v>301</v>
      </c>
      <c r="B16" s="474" t="s">
        <v>293</v>
      </c>
      <c r="C16" s="474" t="s">
        <v>302</v>
      </c>
      <c r="D16" s="474" t="s">
        <v>585</v>
      </c>
      <c r="E16" s="474" t="s">
        <v>267</v>
      </c>
      <c r="F16" s="475">
        <v>1</v>
      </c>
      <c r="G16" s="476"/>
      <c r="H16" s="477">
        <v>840000</v>
      </c>
      <c r="I16" s="477">
        <f>+H16/$I$11</f>
        <v>247058.82352941178</v>
      </c>
      <c r="J16" s="478">
        <v>0</v>
      </c>
      <c r="K16" s="478">
        <v>1</v>
      </c>
      <c r="L16" s="479" t="s">
        <v>304</v>
      </c>
      <c r="M16" s="476" t="s">
        <v>267</v>
      </c>
      <c r="N16" s="480" t="s">
        <v>56</v>
      </c>
      <c r="O16" s="480" t="s">
        <v>59</v>
      </c>
      <c r="P16" s="474" t="s">
        <v>586</v>
      </c>
      <c r="Q16" s="475" t="s">
        <v>298</v>
      </c>
      <c r="R16" s="476" t="s">
        <v>587</v>
      </c>
      <c r="S16" s="469"/>
      <c r="T16" s="469"/>
      <c r="U16" s="469"/>
    </row>
    <row r="17" spans="1:21" s="490" customFormat="1" ht="72" x14ac:dyDescent="0.35">
      <c r="A17" s="482" t="s">
        <v>588</v>
      </c>
      <c r="B17" s="483" t="s">
        <v>293</v>
      </c>
      <c r="C17" s="483" t="s">
        <v>589</v>
      </c>
      <c r="D17" s="483" t="s">
        <v>589</v>
      </c>
      <c r="E17" s="483" t="s">
        <v>559</v>
      </c>
      <c r="F17" s="484">
        <v>1</v>
      </c>
      <c r="G17" s="485"/>
      <c r="H17" s="486">
        <v>1400000</v>
      </c>
      <c r="I17" s="486">
        <f>+H17/$I$11</f>
        <v>411764.70588235295</v>
      </c>
      <c r="J17" s="487">
        <v>1</v>
      </c>
      <c r="K17" s="487">
        <v>0</v>
      </c>
      <c r="L17" s="485" t="s">
        <v>297</v>
      </c>
      <c r="M17" s="485" t="s">
        <v>284</v>
      </c>
      <c r="N17" s="488" t="s">
        <v>56</v>
      </c>
      <c r="O17" s="488" t="s">
        <v>70</v>
      </c>
      <c r="P17" s="483"/>
      <c r="Q17" s="484"/>
      <c r="R17" s="485" t="s">
        <v>587</v>
      </c>
      <c r="S17" s="489"/>
      <c r="T17" s="489"/>
      <c r="U17" s="489"/>
    </row>
    <row r="18" spans="1:21" s="490" customFormat="1" ht="72" x14ac:dyDescent="0.35">
      <c r="A18" s="482" t="s">
        <v>697</v>
      </c>
      <c r="B18" s="483" t="s">
        <v>293</v>
      </c>
      <c r="C18" s="483" t="s">
        <v>698</v>
      </c>
      <c r="D18" s="483" t="s">
        <v>698</v>
      </c>
      <c r="E18" s="483" t="s">
        <v>267</v>
      </c>
      <c r="F18" s="484">
        <v>1</v>
      </c>
      <c r="G18" s="485"/>
      <c r="H18" s="486">
        <v>205000</v>
      </c>
      <c r="I18" s="486">
        <f>+H18/$I$11</f>
        <v>60294.117647058825</v>
      </c>
      <c r="J18" s="487">
        <v>0</v>
      </c>
      <c r="K18" s="487">
        <v>1</v>
      </c>
      <c r="L18" s="491" t="s">
        <v>297</v>
      </c>
      <c r="M18" s="491" t="s">
        <v>267</v>
      </c>
      <c r="N18" s="488" t="s">
        <v>231</v>
      </c>
      <c r="O18" s="488" t="s">
        <v>70</v>
      </c>
      <c r="P18" s="492" t="s">
        <v>586</v>
      </c>
      <c r="Q18" s="484" t="s">
        <v>298</v>
      </c>
      <c r="R18" s="485" t="s">
        <v>587</v>
      </c>
      <c r="S18" s="489"/>
      <c r="T18" s="489"/>
      <c r="U18" s="489"/>
    </row>
    <row r="19" spans="1:21" x14ac:dyDescent="0.35">
      <c r="B19" s="493"/>
      <c r="C19" s="493"/>
      <c r="D19" s="493"/>
      <c r="E19" s="493"/>
      <c r="F19" s="494"/>
      <c r="G19" s="495" t="s">
        <v>590</v>
      </c>
      <c r="H19" s="496">
        <f>SUM(H15:H18)</f>
        <v>6028375.9800000004</v>
      </c>
      <c r="I19" s="496">
        <f>SUM(I15:I18)</f>
        <v>2301586.6470588236</v>
      </c>
      <c r="J19" s="497"/>
      <c r="K19" s="497"/>
      <c r="L19" s="493"/>
      <c r="M19" s="493"/>
      <c r="N19" s="493"/>
      <c r="O19" s="493"/>
      <c r="P19" s="493"/>
      <c r="Q19" s="494"/>
      <c r="R19" s="493"/>
      <c r="S19" s="469"/>
      <c r="T19" s="469"/>
      <c r="U19" s="469"/>
    </row>
    <row r="21" spans="1:21" ht="15.6" customHeight="1" x14ac:dyDescent="0.35">
      <c r="A21" s="648" t="s">
        <v>307</v>
      </c>
      <c r="B21" s="648"/>
      <c r="C21" s="648"/>
      <c r="D21" s="648"/>
      <c r="E21" s="648"/>
      <c r="F21" s="648"/>
      <c r="G21" s="648"/>
      <c r="H21" s="648"/>
      <c r="I21" s="648"/>
      <c r="J21" s="648"/>
      <c r="K21" s="648"/>
      <c r="L21" s="648"/>
      <c r="M21" s="648"/>
      <c r="N21" s="648"/>
      <c r="O21" s="648"/>
      <c r="P21" s="648"/>
      <c r="Q21" s="648"/>
      <c r="R21" s="648"/>
      <c r="S21" s="469"/>
      <c r="T21" s="469"/>
      <c r="U21" s="469"/>
    </row>
    <row r="22" spans="1:21" ht="15" customHeight="1" x14ac:dyDescent="0.35">
      <c r="A22" s="649" t="s">
        <v>268</v>
      </c>
      <c r="B22" s="649" t="s">
        <v>269</v>
      </c>
      <c r="C22" s="649" t="s">
        <v>591</v>
      </c>
      <c r="D22" s="649" t="s">
        <v>271</v>
      </c>
      <c r="E22" s="649" t="s">
        <v>708</v>
      </c>
      <c r="F22" s="649" t="s">
        <v>573</v>
      </c>
      <c r="G22" s="649" t="s">
        <v>452</v>
      </c>
      <c r="H22" s="470"/>
      <c r="I22" s="650" t="s">
        <v>274</v>
      </c>
      <c r="J22" s="650"/>
      <c r="K22" s="650"/>
      <c r="L22" s="649" t="s">
        <v>275</v>
      </c>
      <c r="M22" s="649" t="s">
        <v>592</v>
      </c>
      <c r="N22" s="649" t="s">
        <v>593</v>
      </c>
      <c r="O22" s="649"/>
      <c r="P22" s="649" t="s">
        <v>578</v>
      </c>
      <c r="Q22" s="649" t="s">
        <v>579</v>
      </c>
      <c r="R22" s="649" t="s">
        <v>580</v>
      </c>
      <c r="S22" s="469"/>
      <c r="T22" s="469"/>
      <c r="U22" s="469"/>
    </row>
    <row r="23" spans="1:21" ht="90" x14ac:dyDescent="0.35">
      <c r="A23" s="649"/>
      <c r="B23" s="649"/>
      <c r="C23" s="649"/>
      <c r="D23" s="649"/>
      <c r="E23" s="649"/>
      <c r="F23" s="649"/>
      <c r="G23" s="649"/>
      <c r="H23" s="470" t="s">
        <v>581</v>
      </c>
      <c r="I23" s="470" t="s">
        <v>285</v>
      </c>
      <c r="J23" s="471" t="s">
        <v>286</v>
      </c>
      <c r="K23" s="471" t="s">
        <v>497</v>
      </c>
      <c r="L23" s="649"/>
      <c r="M23" s="649"/>
      <c r="N23" s="472" t="s">
        <v>582</v>
      </c>
      <c r="O23" s="472" t="s">
        <v>289</v>
      </c>
      <c r="P23" s="649"/>
      <c r="Q23" s="649"/>
      <c r="R23" s="649"/>
      <c r="S23" s="469"/>
      <c r="T23" s="469"/>
      <c r="U23" s="469"/>
    </row>
    <row r="24" spans="1:21" ht="72" hidden="1" x14ac:dyDescent="0.35">
      <c r="A24" s="473" t="s">
        <v>103</v>
      </c>
      <c r="B24" s="474" t="s">
        <v>293</v>
      </c>
      <c r="C24" s="474" t="s">
        <v>312</v>
      </c>
      <c r="D24" s="498" t="s">
        <v>104</v>
      </c>
      <c r="E24" s="498" t="s">
        <v>267</v>
      </c>
      <c r="F24" s="475">
        <v>1</v>
      </c>
      <c r="G24" s="474" t="s">
        <v>313</v>
      </c>
      <c r="H24" s="477">
        <v>280000</v>
      </c>
      <c r="I24" s="477">
        <v>91036.18</v>
      </c>
      <c r="J24" s="478">
        <v>1</v>
      </c>
      <c r="K24" s="478">
        <v>0</v>
      </c>
      <c r="L24" s="479" t="s">
        <v>314</v>
      </c>
      <c r="M24" s="476" t="s">
        <v>267</v>
      </c>
      <c r="N24" s="480" t="s">
        <v>49</v>
      </c>
      <c r="O24" s="480" t="s">
        <v>50</v>
      </c>
      <c r="P24" s="474" t="s">
        <v>316</v>
      </c>
      <c r="Q24" s="480" t="s">
        <v>315</v>
      </c>
      <c r="R24" s="476" t="s">
        <v>311</v>
      </c>
      <c r="S24" s="469"/>
      <c r="T24" s="469"/>
      <c r="U24" s="469"/>
    </row>
    <row r="25" spans="1:21" ht="90" x14ac:dyDescent="0.35">
      <c r="A25" s="473" t="s">
        <v>107</v>
      </c>
      <c r="B25" s="474" t="s">
        <v>293</v>
      </c>
      <c r="C25" s="474" t="s">
        <v>594</v>
      </c>
      <c r="D25" s="474" t="s">
        <v>595</v>
      </c>
      <c r="E25" s="499" t="s">
        <v>540</v>
      </c>
      <c r="F25" s="475">
        <v>1</v>
      </c>
      <c r="G25" s="474"/>
      <c r="H25" s="477">
        <v>3200</v>
      </c>
      <c r="I25" s="477">
        <f>+H25/$I$11</f>
        <v>941.17647058823536</v>
      </c>
      <c r="J25" s="478">
        <v>1</v>
      </c>
      <c r="K25" s="478">
        <v>0</v>
      </c>
      <c r="L25" s="479" t="s">
        <v>318</v>
      </c>
      <c r="M25" s="476" t="s">
        <v>284</v>
      </c>
      <c r="N25" s="480" t="s">
        <v>231</v>
      </c>
      <c r="O25" s="480" t="s">
        <v>59</v>
      </c>
      <c r="P25" s="474" t="s">
        <v>319</v>
      </c>
      <c r="Q25" s="480"/>
      <c r="R25" s="476" t="s">
        <v>300</v>
      </c>
      <c r="S25" s="469"/>
      <c r="T25" s="469"/>
      <c r="U25" s="469"/>
    </row>
    <row r="26" spans="1:21" s="510" customFormat="1" ht="72" x14ac:dyDescent="0.35">
      <c r="A26" s="500" t="s">
        <v>109</v>
      </c>
      <c r="B26" s="501" t="s">
        <v>293</v>
      </c>
      <c r="C26" s="501" t="s">
        <v>321</v>
      </c>
      <c r="D26" s="502" t="s">
        <v>110</v>
      </c>
      <c r="E26" s="502" t="s">
        <v>267</v>
      </c>
      <c r="F26" s="503"/>
      <c r="G26" s="501"/>
      <c r="H26" s="504">
        <v>100000</v>
      </c>
      <c r="I26" s="504">
        <v>45454.545454545449</v>
      </c>
      <c r="J26" s="505">
        <v>1</v>
      </c>
      <c r="K26" s="505">
        <v>0</v>
      </c>
      <c r="L26" s="506" t="s">
        <v>322</v>
      </c>
      <c r="M26" s="507" t="s">
        <v>267</v>
      </c>
      <c r="N26" s="508" t="s">
        <v>49</v>
      </c>
      <c r="O26" s="508" t="s">
        <v>50</v>
      </c>
      <c r="P26" s="501" t="s">
        <v>214</v>
      </c>
      <c r="Q26" s="508"/>
      <c r="R26" s="507" t="s">
        <v>596</v>
      </c>
      <c r="S26" s="509"/>
      <c r="T26" s="509"/>
      <c r="U26" s="509"/>
    </row>
    <row r="27" spans="1:21" s="510" customFormat="1" ht="72" x14ac:dyDescent="0.35">
      <c r="A27" s="500" t="s">
        <v>112</v>
      </c>
      <c r="B27" s="501" t="s">
        <v>293</v>
      </c>
      <c r="C27" s="501" t="s">
        <v>324</v>
      </c>
      <c r="D27" s="502" t="s">
        <v>113</v>
      </c>
      <c r="E27" s="502" t="s">
        <v>267</v>
      </c>
      <c r="F27" s="503"/>
      <c r="G27" s="501"/>
      <c r="H27" s="511">
        <f>250000</f>
        <v>250000</v>
      </c>
      <c r="I27" s="511">
        <v>66666.666666666672</v>
      </c>
      <c r="J27" s="505">
        <v>1</v>
      </c>
      <c r="K27" s="505">
        <v>0</v>
      </c>
      <c r="L27" s="506" t="s">
        <v>325</v>
      </c>
      <c r="M27" s="507" t="s">
        <v>267</v>
      </c>
      <c r="N27" s="508" t="s">
        <v>89</v>
      </c>
      <c r="O27" s="508" t="s">
        <v>38</v>
      </c>
      <c r="P27" s="501" t="s">
        <v>597</v>
      </c>
      <c r="Q27" s="508"/>
      <c r="R27" s="507" t="s">
        <v>596</v>
      </c>
      <c r="S27" s="509"/>
      <c r="T27" s="509"/>
      <c r="U27" s="509"/>
    </row>
    <row r="28" spans="1:21" ht="90" x14ac:dyDescent="0.35">
      <c r="A28" s="473" t="s">
        <v>115</v>
      </c>
      <c r="B28" s="474" t="s">
        <v>293</v>
      </c>
      <c r="C28" s="474" t="s">
        <v>598</v>
      </c>
      <c r="D28" s="474" t="s">
        <v>599</v>
      </c>
      <c r="E28" s="499" t="s">
        <v>267</v>
      </c>
      <c r="F28" s="475">
        <v>3</v>
      </c>
      <c r="G28" s="474"/>
      <c r="H28" s="477">
        <f>400000+100000+350000</f>
        <v>850000</v>
      </c>
      <c r="I28" s="477">
        <f>+H28/$I$11</f>
        <v>250000</v>
      </c>
      <c r="J28" s="478">
        <v>0</v>
      </c>
      <c r="K28" s="478">
        <v>1</v>
      </c>
      <c r="L28" s="479" t="s">
        <v>328</v>
      </c>
      <c r="M28" s="476" t="s">
        <v>267</v>
      </c>
      <c r="N28" s="480" t="s">
        <v>56</v>
      </c>
      <c r="O28" s="480" t="s">
        <v>343</v>
      </c>
      <c r="P28" s="474" t="s">
        <v>319</v>
      </c>
      <c r="Q28" s="480"/>
      <c r="R28" s="476" t="s">
        <v>587</v>
      </c>
      <c r="S28" s="469"/>
      <c r="T28" s="469"/>
      <c r="U28" s="469"/>
    </row>
    <row r="29" spans="1:21" s="510" customFormat="1" ht="72" x14ac:dyDescent="0.35">
      <c r="A29" s="500" t="s">
        <v>117</v>
      </c>
      <c r="B29" s="501" t="s">
        <v>293</v>
      </c>
      <c r="C29" s="501" t="s">
        <v>118</v>
      </c>
      <c r="D29" s="502" t="s">
        <v>118</v>
      </c>
      <c r="E29" s="502" t="s">
        <v>267</v>
      </c>
      <c r="F29" s="503"/>
      <c r="G29" s="501"/>
      <c r="H29" s="504">
        <v>500000</v>
      </c>
      <c r="I29" s="504">
        <v>227272.72727272726</v>
      </c>
      <c r="J29" s="505">
        <v>1</v>
      </c>
      <c r="K29" s="505">
        <v>0</v>
      </c>
      <c r="L29" s="506" t="s">
        <v>328</v>
      </c>
      <c r="M29" s="507" t="s">
        <v>267</v>
      </c>
      <c r="N29" s="508" t="s">
        <v>32</v>
      </c>
      <c r="O29" s="508" t="s">
        <v>44</v>
      </c>
      <c r="P29" s="501" t="s">
        <v>208</v>
      </c>
      <c r="Q29" s="508"/>
      <c r="R29" s="507" t="s">
        <v>596</v>
      </c>
      <c r="S29" s="509"/>
      <c r="T29" s="509"/>
      <c r="U29" s="509"/>
    </row>
    <row r="30" spans="1:21" ht="72" x14ac:dyDescent="0.35">
      <c r="A30" s="473" t="s">
        <v>119</v>
      </c>
      <c r="B30" s="474" t="s">
        <v>293</v>
      </c>
      <c r="C30" s="512" t="s">
        <v>120</v>
      </c>
      <c r="D30" s="512" t="s">
        <v>120</v>
      </c>
      <c r="E30" s="512" t="s">
        <v>267</v>
      </c>
      <c r="F30" s="475">
        <v>1</v>
      </c>
      <c r="G30" s="474" t="s">
        <v>330</v>
      </c>
      <c r="H30" s="477">
        <v>1001000</v>
      </c>
      <c r="I30" s="477">
        <v>454999.99999999994</v>
      </c>
      <c r="J30" s="478">
        <v>1</v>
      </c>
      <c r="K30" s="478">
        <v>0</v>
      </c>
      <c r="L30" s="479" t="s">
        <v>328</v>
      </c>
      <c r="M30" s="476" t="s">
        <v>267</v>
      </c>
      <c r="N30" s="480" t="s">
        <v>43</v>
      </c>
      <c r="O30" s="480" t="s">
        <v>49</v>
      </c>
      <c r="P30" s="474" t="s">
        <v>332</v>
      </c>
      <c r="Q30" s="480" t="s">
        <v>331</v>
      </c>
      <c r="R30" s="476" t="s">
        <v>311</v>
      </c>
      <c r="S30" s="469"/>
      <c r="T30" s="469"/>
      <c r="U30" s="469"/>
    </row>
    <row r="31" spans="1:21" ht="72" x14ac:dyDescent="0.35">
      <c r="A31" s="473" t="s">
        <v>121</v>
      </c>
      <c r="B31" s="474" t="s">
        <v>293</v>
      </c>
      <c r="C31" s="512" t="s">
        <v>122</v>
      </c>
      <c r="D31" s="512" t="s">
        <v>122</v>
      </c>
      <c r="E31" s="512" t="s">
        <v>267</v>
      </c>
      <c r="F31" s="475">
        <v>1</v>
      </c>
      <c r="G31" s="474" t="s">
        <v>333</v>
      </c>
      <c r="H31" s="477">
        <v>107030</v>
      </c>
      <c r="I31" s="477">
        <v>48649.999999999993</v>
      </c>
      <c r="J31" s="478">
        <v>1</v>
      </c>
      <c r="K31" s="478">
        <v>0</v>
      </c>
      <c r="L31" s="479" t="s">
        <v>328</v>
      </c>
      <c r="M31" s="476" t="s">
        <v>267</v>
      </c>
      <c r="N31" s="480" t="s">
        <v>43</v>
      </c>
      <c r="O31" s="480" t="s">
        <v>49</v>
      </c>
      <c r="P31" s="474" t="s">
        <v>332</v>
      </c>
      <c r="Q31" s="480" t="s">
        <v>334</v>
      </c>
      <c r="R31" s="476" t="s">
        <v>311</v>
      </c>
      <c r="S31" s="469"/>
      <c r="T31" s="469"/>
      <c r="U31" s="469"/>
    </row>
    <row r="32" spans="1:21" ht="72" x14ac:dyDescent="0.35">
      <c r="A32" s="473" t="s">
        <v>123</v>
      </c>
      <c r="B32" s="474" t="s">
        <v>293</v>
      </c>
      <c r="C32" s="512" t="s">
        <v>241</v>
      </c>
      <c r="D32" s="512" t="s">
        <v>241</v>
      </c>
      <c r="E32" s="512" t="s">
        <v>267</v>
      </c>
      <c r="F32" s="475">
        <v>1</v>
      </c>
      <c r="G32" s="474" t="s">
        <v>335</v>
      </c>
      <c r="H32" s="477">
        <v>63705</v>
      </c>
      <c r="I32" s="477">
        <v>28956.81818181818</v>
      </c>
      <c r="J32" s="478">
        <v>1</v>
      </c>
      <c r="K32" s="478">
        <v>0</v>
      </c>
      <c r="L32" s="479" t="s">
        <v>328</v>
      </c>
      <c r="M32" s="476" t="s">
        <v>267</v>
      </c>
      <c r="N32" s="480" t="s">
        <v>43</v>
      </c>
      <c r="O32" s="480" t="s">
        <v>49</v>
      </c>
      <c r="P32" s="474" t="s">
        <v>332</v>
      </c>
      <c r="Q32" s="480" t="s">
        <v>336</v>
      </c>
      <c r="R32" s="476" t="s">
        <v>311</v>
      </c>
      <c r="S32" s="469"/>
      <c r="T32" s="469"/>
      <c r="U32" s="469"/>
    </row>
    <row r="33" spans="1:21" s="510" customFormat="1" ht="72" x14ac:dyDescent="0.35">
      <c r="A33" s="500" t="s">
        <v>125</v>
      </c>
      <c r="B33" s="501" t="s">
        <v>293</v>
      </c>
      <c r="C33" s="502" t="s">
        <v>126</v>
      </c>
      <c r="D33" s="502" t="s">
        <v>126</v>
      </c>
      <c r="E33" s="502" t="s">
        <v>267</v>
      </c>
      <c r="F33" s="503"/>
      <c r="G33" s="501"/>
      <c r="H33" s="504">
        <v>15000</v>
      </c>
      <c r="I33" s="504">
        <v>6818.181818181818</v>
      </c>
      <c r="J33" s="505">
        <v>1</v>
      </c>
      <c r="K33" s="505">
        <v>0</v>
      </c>
      <c r="L33" s="506" t="s">
        <v>328</v>
      </c>
      <c r="M33" s="507" t="s">
        <v>267</v>
      </c>
      <c r="N33" s="508" t="s">
        <v>49</v>
      </c>
      <c r="O33" s="508" t="s">
        <v>44</v>
      </c>
      <c r="P33" s="501" t="s">
        <v>243</v>
      </c>
      <c r="Q33" s="508"/>
      <c r="R33" s="507" t="s">
        <v>596</v>
      </c>
      <c r="S33" s="509"/>
      <c r="T33" s="509"/>
      <c r="U33" s="509"/>
    </row>
    <row r="34" spans="1:21" ht="72" x14ac:dyDescent="0.35">
      <c r="A34" s="473" t="s">
        <v>127</v>
      </c>
      <c r="B34" s="474" t="s">
        <v>293</v>
      </c>
      <c r="C34" s="512" t="s">
        <v>128</v>
      </c>
      <c r="D34" s="512" t="s">
        <v>337</v>
      </c>
      <c r="E34" s="512" t="s">
        <v>267</v>
      </c>
      <c r="F34" s="475">
        <v>1</v>
      </c>
      <c r="G34" s="474" t="s">
        <v>338</v>
      </c>
      <c r="H34" s="477">
        <v>156000</v>
      </c>
      <c r="I34" s="477">
        <v>54137.42</v>
      </c>
      <c r="J34" s="478">
        <v>1</v>
      </c>
      <c r="K34" s="478">
        <v>0</v>
      </c>
      <c r="L34" s="479" t="s">
        <v>328</v>
      </c>
      <c r="M34" s="476" t="s">
        <v>267</v>
      </c>
      <c r="N34" s="480" t="s">
        <v>49</v>
      </c>
      <c r="O34" s="480" t="s">
        <v>44</v>
      </c>
      <c r="P34" s="474" t="s">
        <v>600</v>
      </c>
      <c r="Q34" s="480" t="s">
        <v>339</v>
      </c>
      <c r="R34" s="476" t="s">
        <v>311</v>
      </c>
      <c r="S34" s="469"/>
      <c r="T34" s="469"/>
      <c r="U34" s="469"/>
    </row>
    <row r="35" spans="1:21" s="510" customFormat="1" ht="72" x14ac:dyDescent="0.35">
      <c r="A35" s="500" t="s">
        <v>129</v>
      </c>
      <c r="B35" s="501" t="s">
        <v>293</v>
      </c>
      <c r="C35" s="502" t="s">
        <v>130</v>
      </c>
      <c r="D35" s="502" t="s">
        <v>130</v>
      </c>
      <c r="E35" s="502" t="s">
        <v>267</v>
      </c>
      <c r="F35" s="503"/>
      <c r="G35" s="501"/>
      <c r="H35" s="504">
        <v>30000</v>
      </c>
      <c r="I35" s="504">
        <v>13636.363636363636</v>
      </c>
      <c r="J35" s="505">
        <v>1</v>
      </c>
      <c r="K35" s="505">
        <v>0</v>
      </c>
      <c r="L35" s="506" t="s">
        <v>328</v>
      </c>
      <c r="M35" s="507" t="s">
        <v>267</v>
      </c>
      <c r="N35" s="508" t="s">
        <v>49</v>
      </c>
      <c r="O35" s="508" t="s">
        <v>44</v>
      </c>
      <c r="P35" s="501" t="s">
        <v>193</v>
      </c>
      <c r="Q35" s="508"/>
      <c r="R35" s="507" t="s">
        <v>596</v>
      </c>
      <c r="S35" s="509"/>
      <c r="T35" s="509"/>
      <c r="U35" s="509"/>
    </row>
    <row r="36" spans="1:21" ht="108" x14ac:dyDescent="0.35">
      <c r="A36" s="473" t="s">
        <v>131</v>
      </c>
      <c r="B36" s="474" t="s">
        <v>293</v>
      </c>
      <c r="C36" s="474" t="s">
        <v>340</v>
      </c>
      <c r="D36" s="512" t="s">
        <v>132</v>
      </c>
      <c r="E36" s="512" t="s">
        <v>267</v>
      </c>
      <c r="F36" s="475">
        <v>1</v>
      </c>
      <c r="G36" s="474"/>
      <c r="H36" s="477">
        <f>200000</f>
        <v>200000</v>
      </c>
      <c r="I36" s="477">
        <f>+H36/$I$11</f>
        <v>58823.529411764706</v>
      </c>
      <c r="J36" s="478">
        <v>0</v>
      </c>
      <c r="K36" s="478">
        <v>1</v>
      </c>
      <c r="L36" s="479" t="s">
        <v>328</v>
      </c>
      <c r="M36" s="476" t="s">
        <v>267</v>
      </c>
      <c r="N36" s="480" t="s">
        <v>70</v>
      </c>
      <c r="O36" s="480" t="s">
        <v>59</v>
      </c>
      <c r="P36" s="474" t="s">
        <v>601</v>
      </c>
      <c r="Q36" s="480"/>
      <c r="R36" s="476" t="s">
        <v>587</v>
      </c>
      <c r="S36" s="469"/>
      <c r="T36" s="469"/>
      <c r="U36" s="469"/>
    </row>
    <row r="37" spans="1:21" s="510" customFormat="1" ht="72" x14ac:dyDescent="0.35">
      <c r="A37" s="500" t="s">
        <v>134</v>
      </c>
      <c r="B37" s="501" t="s">
        <v>293</v>
      </c>
      <c r="C37" s="513" t="s">
        <v>135</v>
      </c>
      <c r="D37" s="513" t="s">
        <v>135</v>
      </c>
      <c r="E37" s="513" t="s">
        <v>267</v>
      </c>
      <c r="F37" s="503"/>
      <c r="G37" s="501"/>
      <c r="H37" s="511">
        <f>100000</f>
        <v>100000</v>
      </c>
      <c r="I37" s="511">
        <v>26666.666666666668</v>
      </c>
      <c r="J37" s="505">
        <v>1</v>
      </c>
      <c r="K37" s="505">
        <v>0</v>
      </c>
      <c r="L37" s="506" t="s">
        <v>328</v>
      </c>
      <c r="M37" s="507" t="s">
        <v>267</v>
      </c>
      <c r="N37" s="508" t="s">
        <v>56</v>
      </c>
      <c r="O37" s="508" t="s">
        <v>59</v>
      </c>
      <c r="P37" s="501" t="s">
        <v>597</v>
      </c>
      <c r="Q37" s="508"/>
      <c r="R37" s="507" t="s">
        <v>596</v>
      </c>
      <c r="S37" s="509"/>
      <c r="T37" s="509"/>
      <c r="U37" s="509"/>
    </row>
    <row r="38" spans="1:21" ht="72" x14ac:dyDescent="0.35">
      <c r="A38" s="500" t="s">
        <v>136</v>
      </c>
      <c r="B38" s="501" t="s">
        <v>293</v>
      </c>
      <c r="C38" s="502" t="s">
        <v>341</v>
      </c>
      <c r="D38" s="502" t="s">
        <v>137</v>
      </c>
      <c r="E38" s="502" t="s">
        <v>267</v>
      </c>
      <c r="F38" s="503"/>
      <c r="G38" s="501"/>
      <c r="H38" s="511">
        <f>400000</f>
        <v>400000</v>
      </c>
      <c r="I38" s="511">
        <f>+H38/$I$11</f>
        <v>117647.05882352941</v>
      </c>
      <c r="J38" s="505">
        <v>1</v>
      </c>
      <c r="K38" s="505">
        <v>0</v>
      </c>
      <c r="L38" s="506" t="s">
        <v>342</v>
      </c>
      <c r="M38" s="507" t="s">
        <v>267</v>
      </c>
      <c r="N38" s="508" t="s">
        <v>75</v>
      </c>
      <c r="O38" s="508" t="s">
        <v>343</v>
      </c>
      <c r="P38" s="501" t="s">
        <v>701</v>
      </c>
      <c r="Q38" s="508"/>
      <c r="R38" s="507" t="s">
        <v>596</v>
      </c>
      <c r="S38" s="469"/>
      <c r="T38" s="469"/>
      <c r="U38" s="469"/>
    </row>
    <row r="39" spans="1:21" s="510" customFormat="1" ht="90" x14ac:dyDescent="0.35">
      <c r="A39" s="500" t="s">
        <v>138</v>
      </c>
      <c r="B39" s="501" t="s">
        <v>293</v>
      </c>
      <c r="C39" s="502" t="s">
        <v>344</v>
      </c>
      <c r="D39" s="502" t="s">
        <v>139</v>
      </c>
      <c r="E39" s="502" t="s">
        <v>267</v>
      </c>
      <c r="F39" s="503"/>
      <c r="G39" s="501"/>
      <c r="H39" s="511">
        <v>1803000</v>
      </c>
      <c r="I39" s="511">
        <v>819545.45454545447</v>
      </c>
      <c r="J39" s="505">
        <v>1</v>
      </c>
      <c r="K39" s="505">
        <v>0</v>
      </c>
      <c r="L39" s="506" t="s">
        <v>304</v>
      </c>
      <c r="M39" s="507" t="s">
        <v>267</v>
      </c>
      <c r="N39" s="508" t="s">
        <v>231</v>
      </c>
      <c r="O39" s="508" t="s">
        <v>59</v>
      </c>
      <c r="P39" s="501" t="s">
        <v>602</v>
      </c>
      <c r="Q39" s="508"/>
      <c r="R39" s="507" t="s">
        <v>596</v>
      </c>
      <c r="S39" s="509"/>
      <c r="T39" s="509"/>
      <c r="U39" s="509"/>
    </row>
    <row r="40" spans="1:21" s="510" customFormat="1" ht="108" x14ac:dyDescent="0.35">
      <c r="A40" s="500" t="s">
        <v>140</v>
      </c>
      <c r="B40" s="501" t="s">
        <v>293</v>
      </c>
      <c r="C40" s="502" t="s">
        <v>346</v>
      </c>
      <c r="D40" s="502" t="s">
        <v>603</v>
      </c>
      <c r="E40" s="502" t="s">
        <v>267</v>
      </c>
      <c r="F40" s="503"/>
      <c r="G40" s="501"/>
      <c r="H40" s="511">
        <f>60590</f>
        <v>60590</v>
      </c>
      <c r="I40" s="511">
        <v>16157.333333333334</v>
      </c>
      <c r="J40" s="505">
        <v>1</v>
      </c>
      <c r="K40" s="505">
        <v>0</v>
      </c>
      <c r="L40" s="506" t="s">
        <v>304</v>
      </c>
      <c r="M40" s="507" t="s">
        <v>267</v>
      </c>
      <c r="N40" s="508" t="s">
        <v>50</v>
      </c>
      <c r="O40" s="508" t="s">
        <v>56</v>
      </c>
      <c r="P40" s="501" t="s">
        <v>597</v>
      </c>
      <c r="Q40" s="508"/>
      <c r="R40" s="507" t="s">
        <v>596</v>
      </c>
      <c r="S40" s="509"/>
      <c r="T40" s="509"/>
      <c r="U40" s="509"/>
    </row>
    <row r="41" spans="1:21" ht="72" x14ac:dyDescent="0.35">
      <c r="A41" s="473" t="s">
        <v>142</v>
      </c>
      <c r="B41" s="474" t="s">
        <v>293</v>
      </c>
      <c r="C41" s="498" t="s">
        <v>347</v>
      </c>
      <c r="D41" s="498" t="s">
        <v>143</v>
      </c>
      <c r="E41" s="498" t="s">
        <v>267</v>
      </c>
      <c r="F41" s="475">
        <v>1</v>
      </c>
      <c r="G41" s="474" t="s">
        <v>348</v>
      </c>
      <c r="H41" s="477">
        <v>486999.99</v>
      </c>
      <c r="I41" s="477">
        <v>160477.16</v>
      </c>
      <c r="J41" s="478">
        <v>1</v>
      </c>
      <c r="K41" s="478">
        <v>0</v>
      </c>
      <c r="L41" s="479" t="s">
        <v>304</v>
      </c>
      <c r="M41" s="476" t="s">
        <v>267</v>
      </c>
      <c r="N41" s="480" t="s">
        <v>49</v>
      </c>
      <c r="O41" s="480" t="s">
        <v>183</v>
      </c>
      <c r="P41" s="474" t="s">
        <v>350</v>
      </c>
      <c r="Q41" s="480" t="s">
        <v>349</v>
      </c>
      <c r="R41" s="476" t="s">
        <v>311</v>
      </c>
      <c r="S41" s="469"/>
      <c r="T41" s="469"/>
      <c r="U41" s="469"/>
    </row>
    <row r="42" spans="1:21" s="510" customFormat="1" ht="90" x14ac:dyDescent="0.35">
      <c r="A42" s="500" t="s">
        <v>144</v>
      </c>
      <c r="B42" s="501" t="s">
        <v>293</v>
      </c>
      <c r="C42" s="502" t="s">
        <v>351</v>
      </c>
      <c r="D42" s="502" t="s">
        <v>202</v>
      </c>
      <c r="E42" s="502" t="s">
        <v>267</v>
      </c>
      <c r="F42" s="503"/>
      <c r="G42" s="501"/>
      <c r="H42" s="504">
        <v>13000</v>
      </c>
      <c r="I42" s="504">
        <v>5909.090909090909</v>
      </c>
      <c r="J42" s="505">
        <v>1</v>
      </c>
      <c r="K42" s="505">
        <v>0</v>
      </c>
      <c r="L42" s="501" t="s">
        <v>352</v>
      </c>
      <c r="M42" s="507" t="s">
        <v>267</v>
      </c>
      <c r="N42" s="508" t="s">
        <v>43</v>
      </c>
      <c r="O42" s="508" t="s">
        <v>43</v>
      </c>
      <c r="P42" s="501" t="s">
        <v>194</v>
      </c>
      <c r="Q42" s="508"/>
      <c r="R42" s="507" t="s">
        <v>596</v>
      </c>
      <c r="S42" s="509"/>
      <c r="T42" s="509"/>
      <c r="U42" s="509"/>
    </row>
    <row r="43" spans="1:21" s="510" customFormat="1" ht="72" x14ac:dyDescent="0.35">
      <c r="A43" s="500" t="s">
        <v>147</v>
      </c>
      <c r="B43" s="501" t="s">
        <v>293</v>
      </c>
      <c r="C43" s="502" t="s">
        <v>353</v>
      </c>
      <c r="D43" s="502" t="s">
        <v>148</v>
      </c>
      <c r="E43" s="502" t="s">
        <v>267</v>
      </c>
      <c r="F43" s="503"/>
      <c r="G43" s="501"/>
      <c r="H43" s="504">
        <v>80000</v>
      </c>
      <c r="I43" s="504">
        <v>36363.63636363636</v>
      </c>
      <c r="J43" s="505">
        <v>1</v>
      </c>
      <c r="K43" s="505">
        <v>0</v>
      </c>
      <c r="L43" s="501" t="s">
        <v>354</v>
      </c>
      <c r="M43" s="507" t="s">
        <v>267</v>
      </c>
      <c r="N43" s="508" t="s">
        <v>43</v>
      </c>
      <c r="O43" s="508" t="s">
        <v>43</v>
      </c>
      <c r="P43" s="501" t="s">
        <v>195</v>
      </c>
      <c r="Q43" s="508"/>
      <c r="R43" s="507" t="s">
        <v>596</v>
      </c>
      <c r="S43" s="509"/>
      <c r="T43" s="509"/>
      <c r="U43" s="509"/>
    </row>
    <row r="44" spans="1:21" ht="90" x14ac:dyDescent="0.35">
      <c r="A44" s="473" t="s">
        <v>149</v>
      </c>
      <c r="B44" s="474" t="s">
        <v>293</v>
      </c>
      <c r="C44" s="514" t="s">
        <v>355</v>
      </c>
      <c r="D44" s="514" t="s">
        <v>604</v>
      </c>
      <c r="E44" s="514" t="s">
        <v>267</v>
      </c>
      <c r="F44" s="475">
        <v>1</v>
      </c>
      <c r="G44" s="474"/>
      <c r="H44" s="477">
        <f>150000</f>
        <v>150000</v>
      </c>
      <c r="I44" s="477">
        <f>+H44/$I$11</f>
        <v>44117.647058823532</v>
      </c>
      <c r="J44" s="478">
        <v>1</v>
      </c>
      <c r="K44" s="478">
        <v>0</v>
      </c>
      <c r="L44" s="479" t="s">
        <v>356</v>
      </c>
      <c r="M44" s="476" t="s">
        <v>267</v>
      </c>
      <c r="N44" s="480" t="s">
        <v>70</v>
      </c>
      <c r="O44" s="480" t="s">
        <v>59</v>
      </c>
      <c r="P44" s="474" t="s">
        <v>319</v>
      </c>
      <c r="Q44" s="480"/>
      <c r="R44" s="476" t="s">
        <v>587</v>
      </c>
      <c r="S44" s="469"/>
      <c r="T44" s="469"/>
      <c r="U44" s="469"/>
    </row>
    <row r="45" spans="1:21" ht="72" x14ac:dyDescent="0.35">
      <c r="A45" s="473" t="s">
        <v>153</v>
      </c>
      <c r="B45" s="474" t="s">
        <v>293</v>
      </c>
      <c r="C45" s="514" t="s">
        <v>605</v>
      </c>
      <c r="D45" s="514" t="s">
        <v>606</v>
      </c>
      <c r="E45" s="514" t="s">
        <v>267</v>
      </c>
      <c r="F45" s="475"/>
      <c r="G45" s="474" t="s">
        <v>358</v>
      </c>
      <c r="H45" s="477">
        <v>148518.79999999999</v>
      </c>
      <c r="I45" s="477">
        <v>49268.14</v>
      </c>
      <c r="J45" s="478">
        <v>1</v>
      </c>
      <c r="K45" s="478">
        <v>0</v>
      </c>
      <c r="L45" s="479" t="s">
        <v>314</v>
      </c>
      <c r="M45" s="476" t="s">
        <v>267</v>
      </c>
      <c r="N45" s="480" t="s">
        <v>32</v>
      </c>
      <c r="O45" s="480" t="s">
        <v>183</v>
      </c>
      <c r="P45" s="474" t="s">
        <v>360</v>
      </c>
      <c r="Q45" s="480" t="s">
        <v>359</v>
      </c>
      <c r="R45" s="476" t="s">
        <v>311</v>
      </c>
      <c r="S45" s="469"/>
      <c r="T45" s="469"/>
      <c r="U45" s="469"/>
    </row>
    <row r="46" spans="1:21" s="510" customFormat="1" ht="108" x14ac:dyDescent="0.35">
      <c r="A46" s="500" t="s">
        <v>155</v>
      </c>
      <c r="B46" s="501" t="s">
        <v>293</v>
      </c>
      <c r="C46" s="515" t="s">
        <v>361</v>
      </c>
      <c r="D46" s="515" t="s">
        <v>156</v>
      </c>
      <c r="E46" s="515" t="s">
        <v>267</v>
      </c>
      <c r="F46" s="503"/>
      <c r="G46" s="501"/>
      <c r="H46" s="511">
        <f>180000</f>
        <v>180000</v>
      </c>
      <c r="I46" s="511">
        <f>+H46/$I$11</f>
        <v>52941.176470588238</v>
      </c>
      <c r="J46" s="505">
        <v>1</v>
      </c>
      <c r="K46" s="505">
        <v>0</v>
      </c>
      <c r="L46" s="506" t="s">
        <v>297</v>
      </c>
      <c r="M46" s="507" t="s">
        <v>267</v>
      </c>
      <c r="N46" s="508" t="s">
        <v>231</v>
      </c>
      <c r="O46" s="508" t="s">
        <v>343</v>
      </c>
      <c r="P46" s="501" t="s">
        <v>597</v>
      </c>
      <c r="Q46" s="508"/>
      <c r="R46" s="507" t="s">
        <v>596</v>
      </c>
      <c r="S46" s="509"/>
      <c r="T46" s="509"/>
      <c r="U46" s="509"/>
    </row>
    <row r="47" spans="1:21" ht="72" x14ac:dyDescent="0.35">
      <c r="A47" s="473" t="s">
        <v>157</v>
      </c>
      <c r="B47" s="474" t="s">
        <v>293</v>
      </c>
      <c r="C47" s="514" t="s">
        <v>607</v>
      </c>
      <c r="D47" s="514" t="s">
        <v>608</v>
      </c>
      <c r="E47" s="514" t="s">
        <v>326</v>
      </c>
      <c r="F47" s="475">
        <v>1</v>
      </c>
      <c r="G47" s="474"/>
      <c r="H47" s="477">
        <f>20000</f>
        <v>20000</v>
      </c>
      <c r="I47" s="477">
        <f>+H47/$I$11</f>
        <v>5882.3529411764712</v>
      </c>
      <c r="J47" s="478">
        <v>1</v>
      </c>
      <c r="K47" s="478">
        <v>0</v>
      </c>
      <c r="L47" s="479" t="s">
        <v>356</v>
      </c>
      <c r="M47" s="476" t="s">
        <v>284</v>
      </c>
      <c r="N47" s="480" t="s">
        <v>44</v>
      </c>
      <c r="O47" s="480" t="s">
        <v>38</v>
      </c>
      <c r="P47" s="474"/>
      <c r="Q47" s="480"/>
      <c r="R47" s="476" t="s">
        <v>584</v>
      </c>
      <c r="S47" s="469"/>
      <c r="T47" s="469"/>
      <c r="U47" s="469"/>
    </row>
    <row r="48" spans="1:21" ht="72" x14ac:dyDescent="0.35">
      <c r="A48" s="473" t="s">
        <v>216</v>
      </c>
      <c r="B48" s="474" t="s">
        <v>293</v>
      </c>
      <c r="C48" s="514" t="s">
        <v>217</v>
      </c>
      <c r="D48" s="514" t="s">
        <v>217</v>
      </c>
      <c r="E48" s="514" t="s">
        <v>267</v>
      </c>
      <c r="F48" s="475">
        <v>1</v>
      </c>
      <c r="G48" s="474" t="s">
        <v>364</v>
      </c>
      <c r="H48" s="477">
        <v>8999.9699999999993</v>
      </c>
      <c r="I48" s="477">
        <v>2970.78</v>
      </c>
      <c r="J48" s="478">
        <v>1</v>
      </c>
      <c r="K48" s="478">
        <v>0</v>
      </c>
      <c r="L48" s="479" t="s">
        <v>328</v>
      </c>
      <c r="M48" s="476" t="s">
        <v>267</v>
      </c>
      <c r="N48" s="480" t="s">
        <v>74</v>
      </c>
      <c r="O48" s="480" t="s">
        <v>183</v>
      </c>
      <c r="P48" s="474" t="s">
        <v>366</v>
      </c>
      <c r="Q48" s="480" t="s">
        <v>365</v>
      </c>
      <c r="R48" s="476" t="s">
        <v>311</v>
      </c>
      <c r="S48" s="469"/>
      <c r="T48" s="469"/>
      <c r="U48" s="469"/>
    </row>
    <row r="49" spans="1:21" s="510" customFormat="1" ht="72" x14ac:dyDescent="0.35">
      <c r="A49" s="500" t="s">
        <v>246</v>
      </c>
      <c r="B49" s="501" t="s">
        <v>293</v>
      </c>
      <c r="C49" s="502" t="s">
        <v>609</v>
      </c>
      <c r="D49" s="502" t="s">
        <v>247</v>
      </c>
      <c r="E49" s="502" t="s">
        <v>267</v>
      </c>
      <c r="F49" s="503"/>
      <c r="G49" s="501"/>
      <c r="H49" s="511">
        <v>100000</v>
      </c>
      <c r="I49" s="511">
        <v>45454.545454545449</v>
      </c>
      <c r="J49" s="505">
        <v>1</v>
      </c>
      <c r="K49" s="505">
        <v>0</v>
      </c>
      <c r="L49" s="506" t="s">
        <v>328</v>
      </c>
      <c r="M49" s="507" t="s">
        <v>267</v>
      </c>
      <c r="N49" s="508" t="s">
        <v>44</v>
      </c>
      <c r="O49" s="508" t="s">
        <v>44</v>
      </c>
      <c r="P49" s="501" t="s">
        <v>367</v>
      </c>
      <c r="Q49" s="508"/>
      <c r="R49" s="507" t="s">
        <v>596</v>
      </c>
      <c r="S49" s="509"/>
      <c r="T49" s="509"/>
      <c r="U49" s="509"/>
    </row>
    <row r="50" spans="1:21" ht="144" x14ac:dyDescent="0.35">
      <c r="A50" s="481" t="s">
        <v>368</v>
      </c>
      <c r="B50" s="474" t="s">
        <v>293</v>
      </c>
      <c r="C50" s="498" t="s">
        <v>369</v>
      </c>
      <c r="D50" s="498" t="s">
        <v>370</v>
      </c>
      <c r="E50" s="498" t="s">
        <v>267</v>
      </c>
      <c r="F50" s="475">
        <v>1</v>
      </c>
      <c r="G50" s="474"/>
      <c r="H50" s="477">
        <f>5900000</f>
        <v>5900000</v>
      </c>
      <c r="I50" s="477">
        <f t="shared" ref="I50:I56" si="0">+H50/$I$11</f>
        <v>1735294.1176470588</v>
      </c>
      <c r="J50" s="478">
        <v>1</v>
      </c>
      <c r="K50" s="478">
        <v>0</v>
      </c>
      <c r="L50" s="479" t="s">
        <v>707</v>
      </c>
      <c r="M50" s="476" t="s">
        <v>267</v>
      </c>
      <c r="N50" s="480" t="s">
        <v>75</v>
      </c>
      <c r="O50" s="480" t="s">
        <v>70</v>
      </c>
      <c r="P50" s="474" t="s">
        <v>319</v>
      </c>
      <c r="Q50" s="480"/>
      <c r="R50" s="476" t="s">
        <v>300</v>
      </c>
      <c r="S50" s="469"/>
      <c r="T50" s="469"/>
      <c r="U50" s="469"/>
    </row>
    <row r="51" spans="1:21" ht="90" x14ac:dyDescent="0.35">
      <c r="A51" s="481" t="s">
        <v>371</v>
      </c>
      <c r="B51" s="474" t="s">
        <v>293</v>
      </c>
      <c r="C51" s="498" t="s">
        <v>610</v>
      </c>
      <c r="D51" s="498" t="s">
        <v>699</v>
      </c>
      <c r="E51" s="498" t="s">
        <v>267</v>
      </c>
      <c r="F51" s="475">
        <v>1</v>
      </c>
      <c r="G51" s="474"/>
      <c r="H51" s="477">
        <f>110000</f>
        <v>110000</v>
      </c>
      <c r="I51" s="477">
        <f t="shared" si="0"/>
        <v>32352.941176470587</v>
      </c>
      <c r="J51" s="478">
        <v>1</v>
      </c>
      <c r="K51" s="478">
        <v>0</v>
      </c>
      <c r="L51" s="479" t="s">
        <v>328</v>
      </c>
      <c r="M51" s="476" t="s">
        <v>267</v>
      </c>
      <c r="N51" s="480" t="s">
        <v>75</v>
      </c>
      <c r="O51" s="480" t="s">
        <v>70</v>
      </c>
      <c r="P51" s="474" t="s">
        <v>319</v>
      </c>
      <c r="Q51" s="480"/>
      <c r="R51" s="476" t="s">
        <v>300</v>
      </c>
      <c r="S51" s="469"/>
      <c r="T51" s="469"/>
      <c r="U51" s="469"/>
    </row>
    <row r="52" spans="1:21" ht="72" x14ac:dyDescent="0.35">
      <c r="A52" s="481" t="s">
        <v>374</v>
      </c>
      <c r="B52" s="474" t="s">
        <v>293</v>
      </c>
      <c r="C52" s="498" t="s">
        <v>375</v>
      </c>
      <c r="D52" s="498" t="s">
        <v>376</v>
      </c>
      <c r="E52" s="498" t="s">
        <v>267</v>
      </c>
      <c r="F52" s="475">
        <v>1</v>
      </c>
      <c r="G52" s="474"/>
      <c r="H52" s="477">
        <v>540000</v>
      </c>
      <c r="I52" s="477">
        <f t="shared" si="0"/>
        <v>158823.5294117647</v>
      </c>
      <c r="J52" s="478">
        <v>1</v>
      </c>
      <c r="K52" s="478">
        <v>0</v>
      </c>
      <c r="L52" s="479" t="s">
        <v>297</v>
      </c>
      <c r="M52" s="476" t="s">
        <v>267</v>
      </c>
      <c r="N52" s="480" t="s">
        <v>231</v>
      </c>
      <c r="O52" s="480" t="s">
        <v>70</v>
      </c>
      <c r="P52" s="474" t="s">
        <v>332</v>
      </c>
      <c r="Q52" s="480"/>
      <c r="R52" s="476" t="s">
        <v>300</v>
      </c>
      <c r="S52" s="469"/>
      <c r="T52" s="469"/>
      <c r="U52" s="469"/>
    </row>
    <row r="53" spans="1:21" s="510" customFormat="1" ht="72" x14ac:dyDescent="0.35">
      <c r="A53" s="500" t="s">
        <v>377</v>
      </c>
      <c r="B53" s="501" t="s">
        <v>293</v>
      </c>
      <c r="C53" s="502" t="s">
        <v>378</v>
      </c>
      <c r="D53" s="502" t="s">
        <v>379</v>
      </c>
      <c r="E53" s="502" t="s">
        <v>267</v>
      </c>
      <c r="F53" s="503">
        <v>1</v>
      </c>
      <c r="G53" s="501"/>
      <c r="H53" s="511">
        <f>4000</f>
        <v>4000</v>
      </c>
      <c r="I53" s="511">
        <f t="shared" si="0"/>
        <v>1176.4705882352941</v>
      </c>
      <c r="J53" s="505">
        <v>1</v>
      </c>
      <c r="K53" s="505">
        <v>0</v>
      </c>
      <c r="L53" s="506" t="s">
        <v>328</v>
      </c>
      <c r="M53" s="507" t="s">
        <v>267</v>
      </c>
      <c r="N53" s="508" t="s">
        <v>183</v>
      </c>
      <c r="O53" s="508" t="s">
        <v>133</v>
      </c>
      <c r="P53" s="501" t="s">
        <v>702</v>
      </c>
      <c r="Q53" s="508"/>
      <c r="R53" s="507" t="s">
        <v>596</v>
      </c>
      <c r="S53" s="509"/>
      <c r="T53" s="509"/>
      <c r="U53" s="509"/>
    </row>
    <row r="54" spans="1:21" ht="72" x14ac:dyDescent="0.35">
      <c r="A54" s="481" t="s">
        <v>518</v>
      </c>
      <c r="B54" s="474" t="s">
        <v>293</v>
      </c>
      <c r="C54" s="474" t="s">
        <v>519</v>
      </c>
      <c r="D54" s="512" t="s">
        <v>611</v>
      </c>
      <c r="E54" s="498" t="s">
        <v>267</v>
      </c>
      <c r="F54" s="475">
        <v>1</v>
      </c>
      <c r="G54" s="474"/>
      <c r="H54" s="516">
        <f>3015000</f>
        <v>3015000</v>
      </c>
      <c r="I54" s="516">
        <f t="shared" si="0"/>
        <v>886764.70588235301</v>
      </c>
      <c r="J54" s="478">
        <v>1</v>
      </c>
      <c r="K54" s="478">
        <v>0</v>
      </c>
      <c r="L54" s="474" t="s">
        <v>297</v>
      </c>
      <c r="M54" s="476" t="s">
        <v>267</v>
      </c>
      <c r="N54" s="480" t="s">
        <v>50</v>
      </c>
      <c r="O54" s="480" t="s">
        <v>70</v>
      </c>
      <c r="P54" s="474" t="s">
        <v>332</v>
      </c>
      <c r="Q54" s="480"/>
      <c r="R54" s="476" t="s">
        <v>300</v>
      </c>
      <c r="S54" s="469"/>
      <c r="T54" s="469"/>
      <c r="U54" s="469"/>
    </row>
    <row r="55" spans="1:21" ht="90" x14ac:dyDescent="0.35">
      <c r="A55" s="481" t="s">
        <v>521</v>
      </c>
      <c r="B55" s="474" t="s">
        <v>293</v>
      </c>
      <c r="C55" s="474" t="s">
        <v>522</v>
      </c>
      <c r="D55" s="512" t="s">
        <v>523</v>
      </c>
      <c r="E55" s="498" t="s">
        <v>267</v>
      </c>
      <c r="F55" s="475">
        <v>1</v>
      </c>
      <c r="G55" s="474"/>
      <c r="H55" s="516">
        <f>530000</f>
        <v>530000</v>
      </c>
      <c r="I55" s="516">
        <f t="shared" si="0"/>
        <v>155882.35294117648</v>
      </c>
      <c r="J55" s="478">
        <v>1</v>
      </c>
      <c r="K55" s="478">
        <v>0</v>
      </c>
      <c r="L55" s="474" t="s">
        <v>328</v>
      </c>
      <c r="M55" s="476" t="s">
        <v>267</v>
      </c>
      <c r="N55" s="480" t="s">
        <v>50</v>
      </c>
      <c r="O55" s="480" t="s">
        <v>56</v>
      </c>
      <c r="P55" s="474" t="s">
        <v>319</v>
      </c>
      <c r="Q55" s="480"/>
      <c r="R55" s="476" t="s">
        <v>300</v>
      </c>
      <c r="S55" s="469"/>
      <c r="T55" s="469"/>
      <c r="U55" s="469"/>
    </row>
    <row r="56" spans="1:21" s="490" customFormat="1" ht="78" customHeight="1" x14ac:dyDescent="0.35">
      <c r="A56" s="482" t="s">
        <v>542</v>
      </c>
      <c r="B56" s="483" t="s">
        <v>293</v>
      </c>
      <c r="C56" s="483" t="s">
        <v>612</v>
      </c>
      <c r="D56" s="517" t="s">
        <v>705</v>
      </c>
      <c r="E56" s="518" t="s">
        <v>267</v>
      </c>
      <c r="F56" s="484">
        <v>5</v>
      </c>
      <c r="G56" s="483"/>
      <c r="H56" s="519">
        <f>350000+25000+35000+18000+4000</f>
        <v>432000</v>
      </c>
      <c r="I56" s="486">
        <f t="shared" si="0"/>
        <v>127058.82352941176</v>
      </c>
      <c r="J56" s="487">
        <v>1</v>
      </c>
      <c r="K56" s="487">
        <v>0</v>
      </c>
      <c r="L56" s="483" t="s">
        <v>328</v>
      </c>
      <c r="M56" s="485" t="s">
        <v>267</v>
      </c>
      <c r="N56" s="488" t="s">
        <v>56</v>
      </c>
      <c r="O56" s="488" t="s">
        <v>70</v>
      </c>
      <c r="P56" s="483" t="s">
        <v>319</v>
      </c>
      <c r="Q56" s="488"/>
      <c r="R56" s="485" t="s">
        <v>587</v>
      </c>
      <c r="S56" s="489"/>
      <c r="T56" s="489"/>
      <c r="U56" s="489"/>
    </row>
    <row r="57" spans="1:21" ht="15" customHeight="1" x14ac:dyDescent="0.35">
      <c r="B57" s="493"/>
      <c r="C57" s="493"/>
      <c r="D57" s="493"/>
      <c r="E57" s="493"/>
      <c r="F57" s="651" t="s">
        <v>613</v>
      </c>
      <c r="G57" s="651"/>
      <c r="H57" s="496">
        <f>SUM(H24:H56)-SUMIF(R24:R56,$C$122,H24:H56)</f>
        <v>14002453.759999998</v>
      </c>
      <c r="I57" s="496">
        <f>SUM(I24:I56)-SUMIF(R24:R56,$C$122,I24:I56)</f>
        <v>4346437.6746524069</v>
      </c>
      <c r="J57" s="497"/>
      <c r="K57" s="497"/>
      <c r="L57" s="493"/>
      <c r="M57" s="493"/>
      <c r="N57" s="493"/>
      <c r="O57" s="493"/>
      <c r="P57" s="493"/>
      <c r="Q57" s="494"/>
      <c r="R57" s="493"/>
      <c r="S57" s="469"/>
      <c r="T57" s="469"/>
      <c r="U57" s="469"/>
    </row>
    <row r="59" spans="1:21" ht="15.6" customHeight="1" x14ac:dyDescent="0.35">
      <c r="A59" s="648" t="s">
        <v>380</v>
      </c>
      <c r="B59" s="648"/>
      <c r="C59" s="648"/>
      <c r="D59" s="648"/>
      <c r="E59" s="648"/>
      <c r="F59" s="648"/>
      <c r="G59" s="648"/>
      <c r="H59" s="648"/>
      <c r="I59" s="648"/>
      <c r="J59" s="648"/>
      <c r="K59" s="648"/>
      <c r="L59" s="648"/>
      <c r="M59" s="648"/>
      <c r="N59" s="648"/>
      <c r="O59" s="648"/>
      <c r="P59" s="648"/>
      <c r="Q59" s="648"/>
      <c r="R59" s="648"/>
    </row>
    <row r="60" spans="1:21" ht="14.1" customHeight="1" x14ac:dyDescent="0.35">
      <c r="A60" s="649" t="s">
        <v>268</v>
      </c>
      <c r="B60" s="649" t="s">
        <v>269</v>
      </c>
      <c r="C60" s="649" t="s">
        <v>591</v>
      </c>
      <c r="D60" s="649" t="s">
        <v>271</v>
      </c>
      <c r="E60" s="649" t="s">
        <v>708</v>
      </c>
      <c r="F60" s="649" t="s">
        <v>573</v>
      </c>
      <c r="G60" s="649" t="s">
        <v>452</v>
      </c>
      <c r="H60" s="470"/>
      <c r="I60" s="650" t="s">
        <v>274</v>
      </c>
      <c r="J60" s="650"/>
      <c r="K60" s="650"/>
      <c r="L60" s="649" t="s">
        <v>275</v>
      </c>
      <c r="M60" s="649" t="s">
        <v>592</v>
      </c>
      <c r="N60" s="649" t="s">
        <v>593</v>
      </c>
      <c r="O60" s="649"/>
      <c r="P60" s="649" t="s">
        <v>578</v>
      </c>
      <c r="Q60" s="649" t="s">
        <v>579</v>
      </c>
      <c r="R60" s="649" t="s">
        <v>580</v>
      </c>
    </row>
    <row r="61" spans="1:21" ht="90" x14ac:dyDescent="0.35">
      <c r="A61" s="649"/>
      <c r="B61" s="649"/>
      <c r="C61" s="649"/>
      <c r="D61" s="649"/>
      <c r="E61" s="649"/>
      <c r="F61" s="649"/>
      <c r="G61" s="649"/>
      <c r="H61" s="470" t="s">
        <v>581</v>
      </c>
      <c r="I61" s="470" t="s">
        <v>285</v>
      </c>
      <c r="J61" s="471" t="s">
        <v>286</v>
      </c>
      <c r="K61" s="471" t="s">
        <v>497</v>
      </c>
      <c r="L61" s="649"/>
      <c r="M61" s="649"/>
      <c r="N61" s="472" t="s">
        <v>582</v>
      </c>
      <c r="O61" s="472" t="s">
        <v>289</v>
      </c>
      <c r="P61" s="649"/>
      <c r="Q61" s="649"/>
      <c r="R61" s="649"/>
    </row>
    <row r="62" spans="1:21" s="510" customFormat="1" ht="90" x14ac:dyDescent="0.35">
      <c r="A62" s="500" t="s">
        <v>92</v>
      </c>
      <c r="B62" s="501" t="s">
        <v>293</v>
      </c>
      <c r="C62" s="501" t="s">
        <v>385</v>
      </c>
      <c r="D62" s="515" t="s">
        <v>386</v>
      </c>
      <c r="E62" s="507" t="s">
        <v>614</v>
      </c>
      <c r="F62" s="503">
        <v>1</v>
      </c>
      <c r="G62" s="507"/>
      <c r="H62" s="520">
        <v>126000</v>
      </c>
      <c r="I62" s="520">
        <v>92727.272727272721</v>
      </c>
      <c r="J62" s="505">
        <v>1</v>
      </c>
      <c r="K62" s="505">
        <v>0</v>
      </c>
      <c r="L62" s="501" t="s">
        <v>387</v>
      </c>
      <c r="M62" s="507" t="s">
        <v>284</v>
      </c>
      <c r="N62" s="508" t="s">
        <v>44</v>
      </c>
      <c r="O62" s="508" t="s">
        <v>97</v>
      </c>
      <c r="P62" s="507" t="s">
        <v>388</v>
      </c>
      <c r="Q62" s="503"/>
      <c r="R62" s="507" t="s">
        <v>596</v>
      </c>
    </row>
    <row r="63" spans="1:21" ht="72" x14ac:dyDescent="0.35">
      <c r="A63" s="473" t="s">
        <v>98</v>
      </c>
      <c r="B63" s="474" t="s">
        <v>293</v>
      </c>
      <c r="C63" s="514" t="s">
        <v>99</v>
      </c>
      <c r="D63" s="514" t="s">
        <v>389</v>
      </c>
      <c r="E63" s="476" t="s">
        <v>614</v>
      </c>
      <c r="F63" s="475">
        <v>1</v>
      </c>
      <c r="G63" s="476"/>
      <c r="H63" s="521">
        <f>35000</f>
        <v>35000</v>
      </c>
      <c r="I63" s="477">
        <f>+H63/$I$11</f>
        <v>10294.117647058823</v>
      </c>
      <c r="J63" s="478">
        <v>1</v>
      </c>
      <c r="K63" s="478">
        <v>0</v>
      </c>
      <c r="L63" s="479" t="s">
        <v>356</v>
      </c>
      <c r="M63" s="476" t="s">
        <v>284</v>
      </c>
      <c r="N63" s="480" t="s">
        <v>183</v>
      </c>
      <c r="O63" s="480" t="s">
        <v>50</v>
      </c>
      <c r="P63" s="476" t="s">
        <v>559</v>
      </c>
      <c r="Q63" s="475" t="s">
        <v>558</v>
      </c>
      <c r="R63" s="476" t="s">
        <v>584</v>
      </c>
    </row>
    <row r="64" spans="1:21" ht="90" x14ac:dyDescent="0.35">
      <c r="A64" s="473" t="s">
        <v>189</v>
      </c>
      <c r="B64" s="474" t="s">
        <v>293</v>
      </c>
      <c r="C64" s="514" t="s">
        <v>615</v>
      </c>
      <c r="D64" s="514" t="s">
        <v>190</v>
      </c>
      <c r="E64" s="476" t="s">
        <v>614</v>
      </c>
      <c r="F64" s="475">
        <v>1</v>
      </c>
      <c r="G64" s="476"/>
      <c r="H64" s="521">
        <f>30000</f>
        <v>30000</v>
      </c>
      <c r="I64" s="477">
        <f>+H64/$I$11</f>
        <v>8823.5294117647063</v>
      </c>
      <c r="J64" s="478">
        <v>1</v>
      </c>
      <c r="K64" s="478">
        <v>0</v>
      </c>
      <c r="L64" s="474" t="s">
        <v>322</v>
      </c>
      <c r="M64" s="476" t="s">
        <v>284</v>
      </c>
      <c r="N64" s="480" t="s">
        <v>50</v>
      </c>
      <c r="O64" s="480" t="s">
        <v>75</v>
      </c>
      <c r="P64" s="476" t="s">
        <v>559</v>
      </c>
      <c r="Q64" s="475"/>
      <c r="R64" s="476" t="s">
        <v>584</v>
      </c>
    </row>
    <row r="65" spans="1:18" ht="144" x14ac:dyDescent="0.35">
      <c r="A65" s="473" t="s">
        <v>209</v>
      </c>
      <c r="B65" s="474" t="s">
        <v>293</v>
      </c>
      <c r="C65" s="474" t="s">
        <v>616</v>
      </c>
      <c r="D65" s="498" t="s">
        <v>617</v>
      </c>
      <c r="E65" s="476" t="s">
        <v>618</v>
      </c>
      <c r="F65" s="475">
        <v>1</v>
      </c>
      <c r="G65" s="476"/>
      <c r="H65" s="521">
        <f>260000</f>
        <v>260000</v>
      </c>
      <c r="I65" s="477">
        <f>+H65/$I$11</f>
        <v>76470.588235294126</v>
      </c>
      <c r="J65" s="478">
        <v>1</v>
      </c>
      <c r="K65" s="478">
        <v>0</v>
      </c>
      <c r="L65" s="474" t="s">
        <v>393</v>
      </c>
      <c r="M65" s="476" t="s">
        <v>267</v>
      </c>
      <c r="N65" s="480" t="s">
        <v>50</v>
      </c>
      <c r="O65" s="480" t="s">
        <v>56</v>
      </c>
      <c r="P65" s="476" t="s">
        <v>332</v>
      </c>
      <c r="Q65" s="475" t="s">
        <v>619</v>
      </c>
      <c r="R65" s="476" t="s">
        <v>584</v>
      </c>
    </row>
    <row r="66" spans="1:18" ht="72" x14ac:dyDescent="0.35">
      <c r="A66" s="473" t="s">
        <v>235</v>
      </c>
      <c r="B66" s="474" t="s">
        <v>293</v>
      </c>
      <c r="C66" s="474" t="s">
        <v>620</v>
      </c>
      <c r="D66" s="498" t="s">
        <v>236</v>
      </c>
      <c r="E66" s="476" t="s">
        <v>618</v>
      </c>
      <c r="F66" s="475">
        <v>1</v>
      </c>
      <c r="G66" s="474" t="s">
        <v>395</v>
      </c>
      <c r="H66" s="521">
        <v>196928</v>
      </c>
      <c r="I66" s="521">
        <v>59900.62</v>
      </c>
      <c r="J66" s="478">
        <v>1</v>
      </c>
      <c r="K66" s="478">
        <v>0</v>
      </c>
      <c r="L66" s="474" t="s">
        <v>396</v>
      </c>
      <c r="M66" s="476" t="s">
        <v>267</v>
      </c>
      <c r="N66" s="480" t="s">
        <v>32</v>
      </c>
      <c r="O66" s="480" t="s">
        <v>183</v>
      </c>
      <c r="P66" s="476" t="s">
        <v>332</v>
      </c>
      <c r="Q66" s="475" t="s">
        <v>560</v>
      </c>
      <c r="R66" s="476" t="s">
        <v>584</v>
      </c>
    </row>
    <row r="67" spans="1:18" ht="72" x14ac:dyDescent="0.35">
      <c r="A67" s="481" t="s">
        <v>524</v>
      </c>
      <c r="B67" s="474" t="s">
        <v>293</v>
      </c>
      <c r="C67" s="474" t="s">
        <v>621</v>
      </c>
      <c r="D67" s="474" t="s">
        <v>526</v>
      </c>
      <c r="E67" s="476" t="s">
        <v>614</v>
      </c>
      <c r="F67" s="475">
        <v>1</v>
      </c>
      <c r="G67" s="476"/>
      <c r="H67" s="521">
        <f>34000</f>
        <v>34000</v>
      </c>
      <c r="I67" s="477">
        <f>+H67/$I$11</f>
        <v>10000</v>
      </c>
      <c r="J67" s="478">
        <v>1</v>
      </c>
      <c r="K67" s="478">
        <v>0</v>
      </c>
      <c r="L67" s="474" t="s">
        <v>396</v>
      </c>
      <c r="M67" s="476" t="s">
        <v>284</v>
      </c>
      <c r="N67" s="480" t="s">
        <v>50</v>
      </c>
      <c r="O67" s="480" t="s">
        <v>133</v>
      </c>
      <c r="P67" s="476"/>
      <c r="Q67" s="475" t="s">
        <v>561</v>
      </c>
      <c r="R67" s="476" t="s">
        <v>584</v>
      </c>
    </row>
    <row r="68" spans="1:18" ht="72" x14ac:dyDescent="0.35">
      <c r="A68" s="481" t="s">
        <v>527</v>
      </c>
      <c r="B68" s="474" t="s">
        <v>293</v>
      </c>
      <c r="C68" s="474" t="s">
        <v>528</v>
      </c>
      <c r="D68" s="474" t="s">
        <v>529</v>
      </c>
      <c r="E68" s="476" t="s">
        <v>614</v>
      </c>
      <c r="F68" s="475">
        <v>1</v>
      </c>
      <c r="G68" s="476"/>
      <c r="H68" s="521">
        <f>350000</f>
        <v>350000</v>
      </c>
      <c r="I68" s="477">
        <f>+H68/$I$11</f>
        <v>102941.17647058824</v>
      </c>
      <c r="J68" s="478">
        <v>1</v>
      </c>
      <c r="K68" s="478">
        <v>0</v>
      </c>
      <c r="L68" s="474" t="s">
        <v>396</v>
      </c>
      <c r="M68" s="476" t="s">
        <v>284</v>
      </c>
      <c r="N68" s="480" t="s">
        <v>75</v>
      </c>
      <c r="O68" s="480" t="s">
        <v>70</v>
      </c>
      <c r="P68" s="476"/>
      <c r="Q68" s="475"/>
      <c r="R68" s="476" t="s">
        <v>300</v>
      </c>
    </row>
    <row r="69" spans="1:18" s="510" customFormat="1" ht="72" x14ac:dyDescent="0.35">
      <c r="A69" s="500" t="s">
        <v>530</v>
      </c>
      <c r="B69" s="501" t="s">
        <v>293</v>
      </c>
      <c r="C69" s="501" t="s">
        <v>622</v>
      </c>
      <c r="D69" s="515" t="s">
        <v>623</v>
      </c>
      <c r="E69" s="507" t="s">
        <v>618</v>
      </c>
      <c r="F69" s="503"/>
      <c r="G69" s="507"/>
      <c r="H69" s="520">
        <v>1300000</v>
      </c>
      <c r="I69" s="520">
        <f>+H69/$I$11</f>
        <v>382352.9411764706</v>
      </c>
      <c r="J69" s="505">
        <v>1</v>
      </c>
      <c r="K69" s="505">
        <v>0</v>
      </c>
      <c r="L69" s="501" t="s">
        <v>396</v>
      </c>
      <c r="M69" s="507" t="s">
        <v>267</v>
      </c>
      <c r="N69" s="508" t="s">
        <v>133</v>
      </c>
      <c r="O69" s="508" t="s">
        <v>75</v>
      </c>
      <c r="P69" s="507" t="s">
        <v>700</v>
      </c>
      <c r="Q69" s="503"/>
      <c r="R69" s="507" t="s">
        <v>596</v>
      </c>
    </row>
    <row r="70" spans="1:18" ht="90" x14ac:dyDescent="0.35">
      <c r="A70" s="481" t="s">
        <v>624</v>
      </c>
      <c r="B70" s="474" t="s">
        <v>293</v>
      </c>
      <c r="C70" s="514" t="s">
        <v>167</v>
      </c>
      <c r="D70" s="514" t="s">
        <v>399</v>
      </c>
      <c r="E70" s="476" t="s">
        <v>618</v>
      </c>
      <c r="F70" s="475" t="s">
        <v>298</v>
      </c>
      <c r="G70" s="475" t="s">
        <v>298</v>
      </c>
      <c r="H70" s="522">
        <v>606000</v>
      </c>
      <c r="I70" s="523">
        <f>+H70/$I$11</f>
        <v>178235.29411764708</v>
      </c>
      <c r="J70" s="524">
        <v>1</v>
      </c>
      <c r="K70" s="524">
        <v>0</v>
      </c>
      <c r="L70" s="525" t="s">
        <v>297</v>
      </c>
      <c r="M70" s="476" t="s">
        <v>267</v>
      </c>
      <c r="N70" s="526" t="s">
        <v>43</v>
      </c>
      <c r="O70" s="526" t="s">
        <v>43</v>
      </c>
      <c r="P70" s="474" t="s">
        <v>400</v>
      </c>
      <c r="Q70" s="480" t="s">
        <v>298</v>
      </c>
      <c r="R70" s="476" t="s">
        <v>584</v>
      </c>
    </row>
    <row r="71" spans="1:18" ht="72" x14ac:dyDescent="0.35">
      <c r="A71" s="481" t="s">
        <v>625</v>
      </c>
      <c r="B71" s="474" t="s">
        <v>293</v>
      </c>
      <c r="C71" s="498" t="s">
        <v>402</v>
      </c>
      <c r="D71" s="498" t="s">
        <v>402</v>
      </c>
      <c r="E71" s="476" t="s">
        <v>618</v>
      </c>
      <c r="F71" s="475">
        <v>1</v>
      </c>
      <c r="G71" s="527" t="s">
        <v>403</v>
      </c>
      <c r="H71" s="516">
        <v>19902</v>
      </c>
      <c r="I71" s="516">
        <v>9046</v>
      </c>
      <c r="J71" s="478">
        <v>1</v>
      </c>
      <c r="K71" s="478">
        <v>0</v>
      </c>
      <c r="L71" s="474" t="s">
        <v>352</v>
      </c>
      <c r="M71" s="476" t="s">
        <v>267</v>
      </c>
      <c r="N71" s="528" t="s">
        <v>43</v>
      </c>
      <c r="O71" s="528" t="s">
        <v>32</v>
      </c>
      <c r="P71" s="474" t="s">
        <v>405</v>
      </c>
      <c r="Q71" s="480" t="s">
        <v>404</v>
      </c>
      <c r="R71" s="476" t="s">
        <v>311</v>
      </c>
    </row>
    <row r="72" spans="1:18" ht="15" customHeight="1" x14ac:dyDescent="0.35">
      <c r="B72" s="493"/>
      <c r="C72" s="493"/>
      <c r="D72" s="493"/>
      <c r="E72" s="493"/>
      <c r="F72" s="651" t="s">
        <v>613</v>
      </c>
      <c r="G72" s="651"/>
      <c r="H72" s="496">
        <f>SUM(H62:H71)-SUMIF(R62:R71,$C$122,H62:H71)</f>
        <v>1531830</v>
      </c>
      <c r="I72" s="496">
        <f>SUM(I62:I71)-SUMIF(R62:R71,$C$122,I62:I71)</f>
        <v>455711.325882353</v>
      </c>
      <c r="J72" s="497"/>
      <c r="K72" s="497"/>
      <c r="L72" s="493"/>
      <c r="M72" s="493"/>
      <c r="N72" s="493"/>
      <c r="O72" s="493"/>
      <c r="P72" s="493"/>
      <c r="Q72" s="494"/>
      <c r="R72" s="493"/>
    </row>
    <row r="74" spans="1:18" ht="15.6" customHeight="1" x14ac:dyDescent="0.35">
      <c r="A74" s="648" t="s">
        <v>407</v>
      </c>
      <c r="B74" s="648"/>
      <c r="C74" s="648"/>
      <c r="D74" s="648"/>
      <c r="E74" s="648"/>
      <c r="F74" s="648"/>
      <c r="G74" s="648"/>
      <c r="H74" s="648"/>
      <c r="I74" s="648"/>
      <c r="J74" s="648"/>
      <c r="K74" s="648"/>
      <c r="L74" s="648"/>
      <c r="M74" s="648"/>
      <c r="N74" s="648"/>
      <c r="O74" s="648"/>
      <c r="P74" s="648"/>
      <c r="Q74" s="648"/>
      <c r="R74" s="648"/>
    </row>
    <row r="75" spans="1:18" ht="15.15" customHeight="1" x14ac:dyDescent="0.35">
      <c r="A75" s="649" t="s">
        <v>268</v>
      </c>
      <c r="B75" s="649" t="s">
        <v>269</v>
      </c>
      <c r="C75" s="649" t="s">
        <v>591</v>
      </c>
      <c r="D75" s="649" t="s">
        <v>271</v>
      </c>
      <c r="E75" s="649" t="s">
        <v>708</v>
      </c>
      <c r="F75" s="648"/>
      <c r="G75" s="648"/>
      <c r="H75" s="529"/>
      <c r="I75" s="650" t="s">
        <v>274</v>
      </c>
      <c r="J75" s="650"/>
      <c r="K75" s="650"/>
      <c r="L75" s="649" t="s">
        <v>275</v>
      </c>
      <c r="M75" s="649" t="s">
        <v>592</v>
      </c>
      <c r="N75" s="649" t="s">
        <v>593</v>
      </c>
      <c r="O75" s="649"/>
      <c r="P75" s="649" t="s">
        <v>578</v>
      </c>
      <c r="Q75" s="649" t="s">
        <v>579</v>
      </c>
      <c r="R75" s="649" t="s">
        <v>580</v>
      </c>
    </row>
    <row r="76" spans="1:18" ht="35.1" customHeight="1" x14ac:dyDescent="0.35">
      <c r="A76" s="649"/>
      <c r="B76" s="649"/>
      <c r="C76" s="649"/>
      <c r="D76" s="649"/>
      <c r="E76" s="649"/>
      <c r="F76" s="649" t="s">
        <v>273</v>
      </c>
      <c r="G76" s="649"/>
      <c r="H76" s="470" t="s">
        <v>581</v>
      </c>
      <c r="I76" s="470" t="s">
        <v>285</v>
      </c>
      <c r="J76" s="471" t="s">
        <v>286</v>
      </c>
      <c r="K76" s="471" t="s">
        <v>497</v>
      </c>
      <c r="L76" s="649"/>
      <c r="M76" s="649"/>
      <c r="N76" s="472" t="s">
        <v>627</v>
      </c>
      <c r="O76" s="472" t="s">
        <v>289</v>
      </c>
      <c r="P76" s="649"/>
      <c r="Q76" s="649"/>
      <c r="R76" s="649"/>
    </row>
    <row r="77" spans="1:18" ht="72" x14ac:dyDescent="0.35">
      <c r="A77" s="473" t="s">
        <v>34</v>
      </c>
      <c r="B77" s="474" t="s">
        <v>293</v>
      </c>
      <c r="C77" s="474" t="s">
        <v>35</v>
      </c>
      <c r="D77" s="527" t="s">
        <v>412</v>
      </c>
      <c r="E77" s="476" t="s">
        <v>413</v>
      </c>
      <c r="F77" s="652"/>
      <c r="G77" s="652"/>
      <c r="H77" s="516">
        <v>173960</v>
      </c>
      <c r="I77" s="531">
        <v>64698.01</v>
      </c>
      <c r="J77" s="532">
        <v>0.8</v>
      </c>
      <c r="K77" s="532">
        <v>0.2</v>
      </c>
      <c r="L77" s="479" t="s">
        <v>354</v>
      </c>
      <c r="M77" s="476" t="s">
        <v>292</v>
      </c>
      <c r="N77" s="528" t="s">
        <v>43</v>
      </c>
      <c r="O77" s="528" t="s">
        <v>74</v>
      </c>
      <c r="P77" s="474"/>
      <c r="Q77" s="474" t="s">
        <v>415</v>
      </c>
      <c r="R77" s="476" t="s">
        <v>584</v>
      </c>
    </row>
    <row r="78" spans="1:18" s="510" customFormat="1" ht="72" x14ac:dyDescent="0.35">
      <c r="A78" s="500" t="s">
        <v>39</v>
      </c>
      <c r="B78" s="501" t="s">
        <v>293</v>
      </c>
      <c r="C78" s="501" t="s">
        <v>417</v>
      </c>
      <c r="D78" s="533" t="s">
        <v>418</v>
      </c>
      <c r="E78" s="507" t="s">
        <v>408</v>
      </c>
      <c r="F78" s="653"/>
      <c r="G78" s="653"/>
      <c r="H78" s="535">
        <v>25000</v>
      </c>
      <c r="I78" s="511">
        <v>6666.666666666667</v>
      </c>
      <c r="J78" s="536">
        <v>1</v>
      </c>
      <c r="K78" s="536">
        <v>0</v>
      </c>
      <c r="L78" s="506" t="s">
        <v>419</v>
      </c>
      <c r="M78" s="507" t="s">
        <v>284</v>
      </c>
      <c r="N78" s="537" t="s">
        <v>75</v>
      </c>
      <c r="O78" s="537" t="s">
        <v>56</v>
      </c>
      <c r="P78" s="501" t="s">
        <v>597</v>
      </c>
      <c r="Q78" s="501"/>
      <c r="R78" s="507" t="s">
        <v>596</v>
      </c>
    </row>
    <row r="79" spans="1:18" ht="108" x14ac:dyDescent="0.35">
      <c r="A79" s="473" t="s">
        <v>45</v>
      </c>
      <c r="B79" s="474" t="s">
        <v>293</v>
      </c>
      <c r="C79" s="474" t="s">
        <v>420</v>
      </c>
      <c r="D79" s="498" t="s">
        <v>628</v>
      </c>
      <c r="E79" s="476" t="s">
        <v>618</v>
      </c>
      <c r="F79" s="652"/>
      <c r="G79" s="652"/>
      <c r="H79" s="516">
        <v>203730</v>
      </c>
      <c r="I79" s="531">
        <v>68333</v>
      </c>
      <c r="J79" s="532">
        <v>0</v>
      </c>
      <c r="K79" s="532">
        <v>1</v>
      </c>
      <c r="L79" s="479" t="s">
        <v>422</v>
      </c>
      <c r="M79" s="476" t="s">
        <v>267</v>
      </c>
      <c r="N79" s="528" t="s">
        <v>74</v>
      </c>
      <c r="O79" s="528" t="s">
        <v>44</v>
      </c>
      <c r="P79" s="474" t="s">
        <v>629</v>
      </c>
      <c r="Q79" s="474" t="s">
        <v>298</v>
      </c>
      <c r="R79" s="476" t="s">
        <v>311</v>
      </c>
    </row>
    <row r="80" spans="1:18" ht="72" x14ac:dyDescent="0.35">
      <c r="A80" s="473" t="s">
        <v>51</v>
      </c>
      <c r="B80" s="474" t="s">
        <v>293</v>
      </c>
      <c r="C80" s="474" t="s">
        <v>694</v>
      </c>
      <c r="D80" s="538" t="s">
        <v>630</v>
      </c>
      <c r="E80" s="476" t="s">
        <v>692</v>
      </c>
      <c r="F80" s="652"/>
      <c r="G80" s="652"/>
      <c r="H80" s="516">
        <f>1500000+427800</f>
        <v>1927800</v>
      </c>
      <c r="I80" s="477">
        <f>+H80/$I$11</f>
        <v>567000</v>
      </c>
      <c r="J80" s="532">
        <v>1</v>
      </c>
      <c r="K80" s="532">
        <v>0</v>
      </c>
      <c r="L80" s="479" t="s">
        <v>695</v>
      </c>
      <c r="M80" s="476" t="s">
        <v>284</v>
      </c>
      <c r="N80" s="528" t="s">
        <v>231</v>
      </c>
      <c r="O80" s="528" t="s">
        <v>70</v>
      </c>
      <c r="P80" s="474"/>
      <c r="Q80" s="474"/>
      <c r="R80" s="476" t="s">
        <v>587</v>
      </c>
    </row>
    <row r="81" spans="1:18" ht="108" x14ac:dyDescent="0.35">
      <c r="A81" s="473" t="s">
        <v>53</v>
      </c>
      <c r="B81" s="474" t="s">
        <v>293</v>
      </c>
      <c r="C81" s="474" t="s">
        <v>426</v>
      </c>
      <c r="D81" s="498" t="s">
        <v>54</v>
      </c>
      <c r="E81" s="476" t="s">
        <v>409</v>
      </c>
      <c r="F81" s="652"/>
      <c r="G81" s="652"/>
      <c r="H81" s="516">
        <v>196795</v>
      </c>
      <c r="I81" s="531">
        <v>68691.759999999995</v>
      </c>
      <c r="J81" s="532">
        <v>1</v>
      </c>
      <c r="K81" s="532">
        <v>0</v>
      </c>
      <c r="L81" s="479" t="s">
        <v>318</v>
      </c>
      <c r="M81" s="476" t="s">
        <v>292</v>
      </c>
      <c r="N81" s="528" t="s">
        <v>32</v>
      </c>
      <c r="O81" s="528" t="s">
        <v>74</v>
      </c>
      <c r="P81" s="474"/>
      <c r="Q81" s="474" t="s">
        <v>427</v>
      </c>
      <c r="R81" s="476" t="s">
        <v>311</v>
      </c>
    </row>
    <row r="82" spans="1:18" s="510" customFormat="1" ht="72" x14ac:dyDescent="0.35">
      <c r="A82" s="500" t="s">
        <v>57</v>
      </c>
      <c r="B82" s="501" t="s">
        <v>293</v>
      </c>
      <c r="C82" s="501" t="s">
        <v>428</v>
      </c>
      <c r="D82" s="502" t="s">
        <v>58</v>
      </c>
      <c r="E82" s="507" t="s">
        <v>408</v>
      </c>
      <c r="F82" s="653"/>
      <c r="G82" s="653"/>
      <c r="H82" s="535">
        <v>60900</v>
      </c>
      <c r="I82" s="539">
        <v>27681.81818181818</v>
      </c>
      <c r="J82" s="536">
        <v>1</v>
      </c>
      <c r="K82" s="536">
        <v>0</v>
      </c>
      <c r="L82" s="506" t="s">
        <v>318</v>
      </c>
      <c r="M82" s="507" t="s">
        <v>284</v>
      </c>
      <c r="N82" s="537" t="s">
        <v>227</v>
      </c>
      <c r="O82" s="537" t="s">
        <v>59</v>
      </c>
      <c r="P82" s="501" t="s">
        <v>429</v>
      </c>
      <c r="Q82" s="501"/>
      <c r="R82" s="507" t="s">
        <v>596</v>
      </c>
    </row>
    <row r="83" spans="1:18" ht="90" x14ac:dyDescent="0.35">
      <c r="A83" s="500" t="s">
        <v>60</v>
      </c>
      <c r="B83" s="501" t="s">
        <v>293</v>
      </c>
      <c r="C83" s="501" t="s">
        <v>430</v>
      </c>
      <c r="D83" s="540" t="s">
        <v>61</v>
      </c>
      <c r="E83" s="507" t="s">
        <v>408</v>
      </c>
      <c r="F83" s="653"/>
      <c r="G83" s="653"/>
      <c r="H83" s="535">
        <v>500000</v>
      </c>
      <c r="I83" s="511">
        <f>+H83/$I$11</f>
        <v>147058.82352941178</v>
      </c>
      <c r="J83" s="536">
        <v>1</v>
      </c>
      <c r="K83" s="536">
        <v>0</v>
      </c>
      <c r="L83" s="506" t="s">
        <v>342</v>
      </c>
      <c r="M83" s="507" t="s">
        <v>284</v>
      </c>
      <c r="N83" s="537" t="s">
        <v>133</v>
      </c>
      <c r="O83" s="537" t="s">
        <v>70</v>
      </c>
      <c r="P83" s="501"/>
      <c r="Q83" s="501"/>
      <c r="R83" s="507" t="s">
        <v>596</v>
      </c>
    </row>
    <row r="84" spans="1:18" s="510" customFormat="1" ht="126" x14ac:dyDescent="0.35">
      <c r="A84" s="500" t="s">
        <v>63</v>
      </c>
      <c r="B84" s="501" t="s">
        <v>293</v>
      </c>
      <c r="C84" s="501" t="s">
        <v>431</v>
      </c>
      <c r="D84" s="502" t="s">
        <v>432</v>
      </c>
      <c r="E84" s="507" t="s">
        <v>408</v>
      </c>
      <c r="F84" s="653"/>
      <c r="G84" s="653"/>
      <c r="H84" s="535">
        <v>400000</v>
      </c>
      <c r="I84" s="539">
        <v>181818.18181818179</v>
      </c>
      <c r="J84" s="536">
        <v>1</v>
      </c>
      <c r="K84" s="536">
        <v>0</v>
      </c>
      <c r="L84" s="506" t="s">
        <v>297</v>
      </c>
      <c r="M84" s="507" t="s">
        <v>284</v>
      </c>
      <c r="N84" s="537" t="s">
        <v>183</v>
      </c>
      <c r="O84" s="537" t="s">
        <v>38</v>
      </c>
      <c r="P84" s="501" t="s">
        <v>433</v>
      </c>
      <c r="Q84" s="501"/>
      <c r="R84" s="507" t="s">
        <v>596</v>
      </c>
    </row>
    <row r="85" spans="1:18" ht="83.7" customHeight="1" x14ac:dyDescent="0.35">
      <c r="A85" s="473" t="s">
        <v>66</v>
      </c>
      <c r="B85" s="474" t="s">
        <v>293</v>
      </c>
      <c r="C85" s="474" t="s">
        <v>434</v>
      </c>
      <c r="D85" s="474" t="s">
        <v>435</v>
      </c>
      <c r="E85" s="476" t="s">
        <v>631</v>
      </c>
      <c r="F85" s="652"/>
      <c r="G85" s="652"/>
      <c r="H85" s="516">
        <v>1465077</v>
      </c>
      <c r="I85" s="477">
        <f>+H85/$I$11</f>
        <v>430905</v>
      </c>
      <c r="J85" s="532">
        <v>1</v>
      </c>
      <c r="K85" s="532">
        <v>0</v>
      </c>
      <c r="L85" s="479" t="s">
        <v>436</v>
      </c>
      <c r="M85" s="476" t="s">
        <v>284</v>
      </c>
      <c r="N85" s="528" t="s">
        <v>183</v>
      </c>
      <c r="O85" s="528" t="s">
        <v>133</v>
      </c>
      <c r="P85" s="474"/>
      <c r="Q85" s="474" t="s">
        <v>632</v>
      </c>
      <c r="R85" s="476" t="s">
        <v>584</v>
      </c>
    </row>
    <row r="86" spans="1:18" ht="72" x14ac:dyDescent="0.35">
      <c r="A86" s="473" t="s">
        <v>71</v>
      </c>
      <c r="B86" s="474" t="s">
        <v>293</v>
      </c>
      <c r="C86" s="474" t="s">
        <v>437</v>
      </c>
      <c r="D86" s="498" t="s">
        <v>633</v>
      </c>
      <c r="E86" s="476" t="s">
        <v>408</v>
      </c>
      <c r="F86" s="652"/>
      <c r="G86" s="652"/>
      <c r="H86" s="516">
        <v>360000</v>
      </c>
      <c r="I86" s="531">
        <v>115994.34</v>
      </c>
      <c r="J86" s="532">
        <v>1</v>
      </c>
      <c r="K86" s="532">
        <v>0</v>
      </c>
      <c r="L86" s="479" t="s">
        <v>356</v>
      </c>
      <c r="M86" s="476" t="s">
        <v>284</v>
      </c>
      <c r="N86" s="528" t="s">
        <v>74</v>
      </c>
      <c r="O86" s="528" t="s">
        <v>44</v>
      </c>
      <c r="P86" s="474"/>
      <c r="Q86" s="474" t="s">
        <v>440</v>
      </c>
      <c r="R86" s="476" t="s">
        <v>584</v>
      </c>
    </row>
    <row r="87" spans="1:18" s="510" customFormat="1" ht="108" x14ac:dyDescent="0.35">
      <c r="A87" s="500" t="s">
        <v>76</v>
      </c>
      <c r="B87" s="501" t="s">
        <v>293</v>
      </c>
      <c r="C87" s="501" t="s">
        <v>441</v>
      </c>
      <c r="D87" s="502" t="s">
        <v>442</v>
      </c>
      <c r="E87" s="507" t="s">
        <v>408</v>
      </c>
      <c r="F87" s="653"/>
      <c r="G87" s="653"/>
      <c r="H87" s="535">
        <v>249000</v>
      </c>
      <c r="I87" s="539">
        <v>113181.81818181818</v>
      </c>
      <c r="J87" s="536">
        <v>1</v>
      </c>
      <c r="K87" s="536">
        <v>0</v>
      </c>
      <c r="L87" s="506" t="s">
        <v>304</v>
      </c>
      <c r="M87" s="507" t="s">
        <v>284</v>
      </c>
      <c r="N87" s="537" t="s">
        <v>231</v>
      </c>
      <c r="O87" s="537" t="s">
        <v>59</v>
      </c>
      <c r="P87" s="501" t="s">
        <v>345</v>
      </c>
      <c r="Q87" s="501"/>
      <c r="R87" s="507" t="s">
        <v>596</v>
      </c>
    </row>
    <row r="88" spans="1:18" s="510" customFormat="1" ht="72" x14ac:dyDescent="0.35">
      <c r="A88" s="500" t="s">
        <v>79</v>
      </c>
      <c r="B88" s="501" t="s">
        <v>293</v>
      </c>
      <c r="C88" s="501" t="s">
        <v>443</v>
      </c>
      <c r="D88" s="502" t="s">
        <v>80</v>
      </c>
      <c r="E88" s="507" t="s">
        <v>408</v>
      </c>
      <c r="F88" s="653"/>
      <c r="G88" s="653"/>
      <c r="H88" s="535">
        <v>427800</v>
      </c>
      <c r="I88" s="539">
        <f>+H88/$I$11</f>
        <v>125823.52941176471</v>
      </c>
      <c r="J88" s="536">
        <v>1</v>
      </c>
      <c r="K88" s="536">
        <v>0</v>
      </c>
      <c r="L88" s="506" t="s">
        <v>297</v>
      </c>
      <c r="M88" s="507" t="s">
        <v>284</v>
      </c>
      <c r="N88" s="537"/>
      <c r="O88" s="537"/>
      <c r="P88" s="501" t="s">
        <v>693</v>
      </c>
      <c r="Q88" s="501"/>
      <c r="R88" s="507" t="s">
        <v>596</v>
      </c>
    </row>
    <row r="89" spans="1:18" ht="48" customHeight="1" x14ac:dyDescent="0.35">
      <c r="A89" s="473" t="s">
        <v>81</v>
      </c>
      <c r="B89" s="474" t="s">
        <v>293</v>
      </c>
      <c r="C89" s="474" t="s">
        <v>691</v>
      </c>
      <c r="D89" s="498" t="s">
        <v>82</v>
      </c>
      <c r="E89" s="476" t="s">
        <v>409</v>
      </c>
      <c r="F89" s="654"/>
      <c r="G89" s="654"/>
      <c r="H89" s="516">
        <v>135600</v>
      </c>
      <c r="I89" s="516">
        <f>+H89/$I$11</f>
        <v>39882.352941176468</v>
      </c>
      <c r="J89" s="478">
        <v>1</v>
      </c>
      <c r="K89" s="478">
        <v>0</v>
      </c>
      <c r="L89" s="542" t="s">
        <v>297</v>
      </c>
      <c r="M89" s="476" t="s">
        <v>292</v>
      </c>
      <c r="N89" s="528" t="s">
        <v>56</v>
      </c>
      <c r="O89" s="528" t="s">
        <v>70</v>
      </c>
      <c r="P89" s="543" t="s">
        <v>696</v>
      </c>
      <c r="Q89" s="474"/>
      <c r="R89" s="476" t="s">
        <v>587</v>
      </c>
    </row>
    <row r="90" spans="1:18" s="510" customFormat="1" ht="101.4" customHeight="1" x14ac:dyDescent="0.35">
      <c r="A90" s="500" t="s">
        <v>83</v>
      </c>
      <c r="B90" s="501" t="s">
        <v>293</v>
      </c>
      <c r="C90" s="501" t="s">
        <v>445</v>
      </c>
      <c r="D90" s="502" t="s">
        <v>446</v>
      </c>
      <c r="E90" s="507" t="s">
        <v>408</v>
      </c>
      <c r="F90" s="653"/>
      <c r="G90" s="653"/>
      <c r="H90" s="535">
        <v>400000</v>
      </c>
      <c r="I90" s="539">
        <v>181818.18181818179</v>
      </c>
      <c r="J90" s="536">
        <v>1</v>
      </c>
      <c r="K90" s="536">
        <v>0</v>
      </c>
      <c r="L90" s="506" t="s">
        <v>447</v>
      </c>
      <c r="M90" s="507" t="s">
        <v>284</v>
      </c>
      <c r="N90" s="537" t="s">
        <v>183</v>
      </c>
      <c r="O90" s="537" t="s">
        <v>38</v>
      </c>
      <c r="P90" s="501" t="s">
        <v>562</v>
      </c>
      <c r="Q90" s="501"/>
      <c r="R90" s="507" t="s">
        <v>596</v>
      </c>
    </row>
    <row r="91" spans="1:18" s="510" customFormat="1" ht="72" x14ac:dyDescent="0.35">
      <c r="A91" s="500" t="s">
        <v>86</v>
      </c>
      <c r="B91" s="501" t="s">
        <v>293</v>
      </c>
      <c r="C91" s="501" t="s">
        <v>87</v>
      </c>
      <c r="D91" s="515" t="s">
        <v>626</v>
      </c>
      <c r="E91" s="507" t="s">
        <v>408</v>
      </c>
      <c r="F91" s="653"/>
      <c r="G91" s="653"/>
      <c r="H91" s="535">
        <v>120000</v>
      </c>
      <c r="I91" s="511">
        <f>+H91/$I$11</f>
        <v>35294.117647058825</v>
      </c>
      <c r="J91" s="536">
        <v>1</v>
      </c>
      <c r="K91" s="536">
        <v>0</v>
      </c>
      <c r="L91" s="506" t="s">
        <v>328</v>
      </c>
      <c r="M91" s="507" t="s">
        <v>284</v>
      </c>
      <c r="N91" s="537" t="s">
        <v>50</v>
      </c>
      <c r="O91" s="537" t="s">
        <v>231</v>
      </c>
      <c r="P91" s="501" t="s">
        <v>634</v>
      </c>
      <c r="Q91" s="501"/>
      <c r="R91" s="507" t="s">
        <v>596</v>
      </c>
    </row>
    <row r="92" spans="1:18" s="510" customFormat="1" ht="108" x14ac:dyDescent="0.35">
      <c r="A92" s="500" t="s">
        <v>187</v>
      </c>
      <c r="B92" s="501" t="s">
        <v>293</v>
      </c>
      <c r="C92" s="501" t="s">
        <v>533</v>
      </c>
      <c r="D92" s="515" t="s">
        <v>534</v>
      </c>
      <c r="E92" s="507" t="s">
        <v>408</v>
      </c>
      <c r="F92" s="653"/>
      <c r="G92" s="653"/>
      <c r="H92" s="535">
        <v>100000</v>
      </c>
      <c r="I92" s="511">
        <f>+H92/$I$11</f>
        <v>29411.764705882353</v>
      </c>
      <c r="J92" s="536">
        <v>1</v>
      </c>
      <c r="K92" s="536">
        <v>0</v>
      </c>
      <c r="L92" s="506" t="s">
        <v>328</v>
      </c>
      <c r="M92" s="507" t="s">
        <v>284</v>
      </c>
      <c r="N92" s="537" t="s">
        <v>50</v>
      </c>
      <c r="O92" s="537" t="s">
        <v>56</v>
      </c>
      <c r="P92" s="501" t="s">
        <v>635</v>
      </c>
      <c r="Q92" s="501"/>
      <c r="R92" s="507" t="s">
        <v>596</v>
      </c>
    </row>
    <row r="93" spans="1:18" s="510" customFormat="1" ht="72" x14ac:dyDescent="0.35">
      <c r="A93" s="500" t="s">
        <v>535</v>
      </c>
      <c r="B93" s="501" t="s">
        <v>293</v>
      </c>
      <c r="C93" s="501" t="s">
        <v>536</v>
      </c>
      <c r="D93" s="515" t="s">
        <v>537</v>
      </c>
      <c r="E93" s="507" t="s">
        <v>408</v>
      </c>
      <c r="F93" s="653"/>
      <c r="G93" s="653"/>
      <c r="H93" s="535">
        <v>135000</v>
      </c>
      <c r="I93" s="511">
        <f>+H93/$I$11</f>
        <v>39705.882352941175</v>
      </c>
      <c r="J93" s="536">
        <v>1</v>
      </c>
      <c r="K93" s="536">
        <v>0</v>
      </c>
      <c r="L93" s="506" t="s">
        <v>328</v>
      </c>
      <c r="M93" s="507" t="s">
        <v>284</v>
      </c>
      <c r="N93" s="537" t="s">
        <v>50</v>
      </c>
      <c r="O93" s="537" t="s">
        <v>75</v>
      </c>
      <c r="P93" s="501" t="s">
        <v>636</v>
      </c>
      <c r="Q93" s="501"/>
      <c r="R93" s="507" t="s">
        <v>596</v>
      </c>
    </row>
    <row r="94" spans="1:18" ht="14.1" customHeight="1" x14ac:dyDescent="0.35">
      <c r="B94" s="493"/>
      <c r="C94" s="493"/>
      <c r="D94" s="493"/>
      <c r="E94" s="493"/>
      <c r="F94" s="651" t="s">
        <v>613</v>
      </c>
      <c r="G94" s="651"/>
      <c r="H94" s="496">
        <f>SUM(H77:H93)-SUMIF(R77:R93,$C$122,H77:H93)</f>
        <v>4462962</v>
      </c>
      <c r="I94" s="496">
        <f>SUM(I77:I93)-SUMIF(R77:R93,$C$122,I77:I93)</f>
        <v>1355504.4629411765</v>
      </c>
      <c r="J94" s="497"/>
      <c r="K94" s="497"/>
      <c r="L94" s="544"/>
      <c r="M94" s="493"/>
      <c r="N94" s="493"/>
      <c r="O94" s="493"/>
      <c r="P94" s="493"/>
      <c r="Q94" s="494"/>
      <c r="R94" s="493"/>
    </row>
    <row r="96" spans="1:18" ht="15.6" customHeight="1" x14ac:dyDescent="0.35">
      <c r="A96" s="648" t="s">
        <v>450</v>
      </c>
      <c r="B96" s="648"/>
      <c r="C96" s="648"/>
      <c r="D96" s="648"/>
      <c r="E96" s="648"/>
      <c r="F96" s="648"/>
      <c r="G96" s="648"/>
      <c r="H96" s="648"/>
      <c r="I96" s="648"/>
      <c r="J96" s="648"/>
      <c r="K96" s="648"/>
      <c r="L96" s="648"/>
      <c r="M96" s="648"/>
      <c r="N96" s="648"/>
      <c r="O96" s="648"/>
      <c r="P96" s="648"/>
      <c r="Q96" s="648"/>
      <c r="R96" s="648"/>
    </row>
    <row r="97" spans="1:18" ht="14.1" customHeight="1" x14ac:dyDescent="0.35">
      <c r="A97" s="649" t="s">
        <v>268</v>
      </c>
      <c r="B97" s="649" t="s">
        <v>269</v>
      </c>
      <c r="C97" s="649" t="s">
        <v>591</v>
      </c>
      <c r="D97" s="649" t="s">
        <v>271</v>
      </c>
      <c r="E97" s="649" t="s">
        <v>708</v>
      </c>
      <c r="F97" s="649" t="s">
        <v>452</v>
      </c>
      <c r="G97" s="649"/>
      <c r="H97" s="650" t="s">
        <v>274</v>
      </c>
      <c r="I97" s="650"/>
      <c r="J97" s="650"/>
      <c r="K97" s="650"/>
      <c r="L97" s="649" t="s">
        <v>275</v>
      </c>
      <c r="M97" s="649" t="s">
        <v>592</v>
      </c>
      <c r="N97" s="649" t="s">
        <v>593</v>
      </c>
      <c r="O97" s="649"/>
      <c r="P97" s="649" t="s">
        <v>578</v>
      </c>
      <c r="Q97" s="649" t="s">
        <v>579</v>
      </c>
      <c r="R97" s="649" t="s">
        <v>580</v>
      </c>
    </row>
    <row r="98" spans="1:18" ht="90" x14ac:dyDescent="0.35">
      <c r="A98" s="649"/>
      <c r="B98" s="649"/>
      <c r="C98" s="649"/>
      <c r="D98" s="649"/>
      <c r="E98" s="649"/>
      <c r="F98" s="649"/>
      <c r="G98" s="649"/>
      <c r="H98" s="470" t="s">
        <v>581</v>
      </c>
      <c r="I98" s="470" t="s">
        <v>285</v>
      </c>
      <c r="J98" s="471" t="s">
        <v>286</v>
      </c>
      <c r="K98" s="471" t="s">
        <v>497</v>
      </c>
      <c r="L98" s="649"/>
      <c r="M98" s="649"/>
      <c r="N98" s="472" t="s">
        <v>455</v>
      </c>
      <c r="O98" s="472" t="s">
        <v>637</v>
      </c>
      <c r="P98" s="649"/>
      <c r="Q98" s="649"/>
      <c r="R98" s="649"/>
    </row>
    <row r="99" spans="1:18" ht="54" x14ac:dyDescent="0.35">
      <c r="A99" s="473" t="s">
        <v>26</v>
      </c>
      <c r="B99" s="474" t="s">
        <v>293</v>
      </c>
      <c r="C99" s="474" t="s">
        <v>457</v>
      </c>
      <c r="D99" s="498" t="s">
        <v>458</v>
      </c>
      <c r="E99" s="476" t="s">
        <v>638</v>
      </c>
      <c r="F99" s="654" t="s">
        <v>460</v>
      </c>
      <c r="G99" s="654"/>
      <c r="H99" s="516">
        <f>+I99*2.2</f>
        <v>102264</v>
      </c>
      <c r="I99" s="516">
        <v>46483.63636363636</v>
      </c>
      <c r="J99" s="478">
        <v>1</v>
      </c>
      <c r="K99" s="478">
        <v>0</v>
      </c>
      <c r="L99" s="542" t="s">
        <v>352</v>
      </c>
      <c r="M99" s="476" t="s">
        <v>284</v>
      </c>
      <c r="N99" s="528" t="s">
        <v>43</v>
      </c>
      <c r="O99" s="528" t="s">
        <v>32</v>
      </c>
      <c r="P99" s="475"/>
      <c r="Q99" s="474" t="s">
        <v>461</v>
      </c>
      <c r="R99" s="476" t="s">
        <v>584</v>
      </c>
    </row>
    <row r="100" spans="1:18" ht="41.85" customHeight="1" x14ac:dyDescent="0.35">
      <c r="A100" s="473" t="s">
        <v>187</v>
      </c>
      <c r="B100" s="474" t="s">
        <v>293</v>
      </c>
      <c r="C100" s="474" t="s">
        <v>465</v>
      </c>
      <c r="D100" s="474" t="s">
        <v>466</v>
      </c>
      <c r="E100" s="476" t="s">
        <v>638</v>
      </c>
      <c r="F100" s="654" t="s">
        <v>467</v>
      </c>
      <c r="G100" s="654"/>
      <c r="H100" s="516">
        <f>+I100*3</f>
        <v>252272.72727272726</v>
      </c>
      <c r="I100" s="516">
        <v>84090.909090909088</v>
      </c>
      <c r="J100" s="478">
        <v>1</v>
      </c>
      <c r="K100" s="478">
        <v>0</v>
      </c>
      <c r="L100" s="542" t="s">
        <v>352</v>
      </c>
      <c r="M100" s="476" t="s">
        <v>284</v>
      </c>
      <c r="N100" s="480" t="s">
        <v>43</v>
      </c>
      <c r="O100" s="480" t="s">
        <v>74</v>
      </c>
      <c r="P100" s="475"/>
      <c r="Q100" s="474" t="s">
        <v>397</v>
      </c>
      <c r="R100" s="476" t="s">
        <v>311</v>
      </c>
    </row>
    <row r="101" spans="1:18" s="490" customFormat="1" ht="90" x14ac:dyDescent="0.35">
      <c r="A101" s="482" t="s">
        <v>563</v>
      </c>
      <c r="B101" s="483" t="s">
        <v>293</v>
      </c>
      <c r="C101" s="483" t="s">
        <v>703</v>
      </c>
      <c r="D101" s="483" t="s">
        <v>704</v>
      </c>
      <c r="E101" s="485" t="s">
        <v>638</v>
      </c>
      <c r="F101" s="655"/>
      <c r="G101" s="655"/>
      <c r="H101" s="519">
        <v>40000</v>
      </c>
      <c r="I101" s="519">
        <f>+H101/$I$11</f>
        <v>11764.705882352942</v>
      </c>
      <c r="J101" s="487">
        <v>1</v>
      </c>
      <c r="K101" s="487">
        <v>0</v>
      </c>
      <c r="L101" s="485" t="s">
        <v>297</v>
      </c>
      <c r="M101" s="485" t="s">
        <v>284</v>
      </c>
      <c r="N101" s="488" t="s">
        <v>231</v>
      </c>
      <c r="O101" s="488" t="s">
        <v>70</v>
      </c>
      <c r="P101" s="484"/>
      <c r="Q101" s="483"/>
      <c r="R101" s="485" t="s">
        <v>587</v>
      </c>
    </row>
    <row r="102" spans="1:18" x14ac:dyDescent="0.35">
      <c r="B102" s="493"/>
      <c r="C102" s="493"/>
      <c r="D102" s="493"/>
      <c r="E102" s="493"/>
      <c r="F102" s="494"/>
      <c r="G102" s="495" t="s">
        <v>590</v>
      </c>
      <c r="H102" s="496">
        <f>SUM(H99:H101)</f>
        <v>394536.72727272729</v>
      </c>
      <c r="I102" s="496">
        <f>SUM(I99:I101)</f>
        <v>142339.25133689839</v>
      </c>
      <c r="J102" s="497"/>
      <c r="K102" s="497"/>
      <c r="L102" s="493"/>
      <c r="M102" s="493"/>
      <c r="N102" s="493"/>
      <c r="O102" s="493"/>
      <c r="P102" s="493"/>
      <c r="Q102" s="494"/>
      <c r="R102" s="493"/>
    </row>
    <row r="104" spans="1:18" ht="15.6" customHeight="1" x14ac:dyDescent="0.35">
      <c r="A104" s="648" t="s">
        <v>471</v>
      </c>
      <c r="B104" s="648"/>
      <c r="C104" s="648"/>
      <c r="D104" s="648"/>
      <c r="E104" s="648"/>
      <c r="F104" s="648"/>
      <c r="G104" s="648"/>
      <c r="H104" s="648"/>
      <c r="I104" s="648"/>
      <c r="J104" s="648"/>
      <c r="K104" s="648"/>
      <c r="L104" s="648"/>
      <c r="M104" s="648"/>
      <c r="N104" s="648"/>
      <c r="O104" s="648"/>
      <c r="P104" s="648"/>
      <c r="Q104" s="648"/>
      <c r="R104" s="648"/>
    </row>
    <row r="105" spans="1:18" ht="14.1" customHeight="1" x14ac:dyDescent="0.35">
      <c r="A105" s="649" t="s">
        <v>268</v>
      </c>
      <c r="B105" s="649" t="s">
        <v>269</v>
      </c>
      <c r="C105" s="649" t="s">
        <v>591</v>
      </c>
      <c r="D105" s="649" t="s">
        <v>271</v>
      </c>
      <c r="E105" s="649" t="s">
        <v>708</v>
      </c>
      <c r="F105" s="649" t="s">
        <v>452</v>
      </c>
      <c r="G105" s="649"/>
      <c r="H105" s="470"/>
      <c r="I105" s="650" t="s">
        <v>274</v>
      </c>
      <c r="J105" s="650"/>
      <c r="K105" s="650"/>
      <c r="L105" s="649" t="s">
        <v>275</v>
      </c>
      <c r="M105" s="649" t="s">
        <v>592</v>
      </c>
      <c r="N105" s="649" t="s">
        <v>593</v>
      </c>
      <c r="O105" s="649"/>
      <c r="P105" s="649" t="s">
        <v>578</v>
      </c>
      <c r="Q105" s="649" t="s">
        <v>579</v>
      </c>
      <c r="R105" s="649" t="s">
        <v>580</v>
      </c>
    </row>
    <row r="106" spans="1:18" ht="90" x14ac:dyDescent="0.35">
      <c r="A106" s="649"/>
      <c r="B106" s="649"/>
      <c r="C106" s="649"/>
      <c r="D106" s="649"/>
      <c r="E106" s="649"/>
      <c r="F106" s="649"/>
      <c r="G106" s="649"/>
      <c r="H106" s="470" t="s">
        <v>581</v>
      </c>
      <c r="I106" s="470" t="s">
        <v>285</v>
      </c>
      <c r="J106" s="471" t="s">
        <v>286</v>
      </c>
      <c r="K106" s="471" t="s">
        <v>497</v>
      </c>
      <c r="L106" s="649"/>
      <c r="M106" s="649"/>
      <c r="N106" s="472" t="s">
        <v>639</v>
      </c>
      <c r="O106" s="472" t="s">
        <v>289</v>
      </c>
      <c r="P106" s="649"/>
      <c r="Q106" s="649"/>
      <c r="R106" s="649"/>
    </row>
    <row r="107" spans="1:18" s="510" customFormat="1" ht="72" x14ac:dyDescent="0.35">
      <c r="A107" s="500" t="s">
        <v>475</v>
      </c>
      <c r="B107" s="507" t="s">
        <v>293</v>
      </c>
      <c r="C107" s="507" t="s">
        <v>476</v>
      </c>
      <c r="D107" s="507" t="s">
        <v>640</v>
      </c>
      <c r="E107" s="507" t="s">
        <v>618</v>
      </c>
      <c r="F107" s="653"/>
      <c r="G107" s="653"/>
      <c r="H107" s="539">
        <f>48000</f>
        <v>48000</v>
      </c>
      <c r="I107" s="511">
        <f>+H107/$I$11</f>
        <v>14117.64705882353</v>
      </c>
      <c r="J107" s="505">
        <v>1</v>
      </c>
      <c r="K107" s="505">
        <v>0</v>
      </c>
      <c r="L107" s="545" t="s">
        <v>419</v>
      </c>
      <c r="M107" s="507" t="s">
        <v>267</v>
      </c>
      <c r="N107" s="507" t="s">
        <v>70</v>
      </c>
      <c r="O107" s="507" t="s">
        <v>343</v>
      </c>
      <c r="P107" s="507" t="s">
        <v>641</v>
      </c>
      <c r="Q107" s="503"/>
      <c r="R107" s="507" t="s">
        <v>596</v>
      </c>
    </row>
    <row r="108" spans="1:18" s="510" customFormat="1" ht="72" x14ac:dyDescent="0.35">
      <c r="A108" s="500" t="s">
        <v>479</v>
      </c>
      <c r="B108" s="507" t="s">
        <v>293</v>
      </c>
      <c r="C108" s="507" t="s">
        <v>480</v>
      </c>
      <c r="D108" s="507" t="s">
        <v>481</v>
      </c>
      <c r="E108" s="507" t="s">
        <v>618</v>
      </c>
      <c r="F108" s="653"/>
      <c r="G108" s="653"/>
      <c r="H108" s="539">
        <f>30000</f>
        <v>30000</v>
      </c>
      <c r="I108" s="511">
        <f>+H108/$I$11</f>
        <v>8823.5294117647063</v>
      </c>
      <c r="J108" s="505">
        <v>1</v>
      </c>
      <c r="K108" s="505">
        <v>0</v>
      </c>
      <c r="L108" s="545" t="s">
        <v>318</v>
      </c>
      <c r="M108" s="507" t="s">
        <v>267</v>
      </c>
      <c r="N108" s="507" t="s">
        <v>133</v>
      </c>
      <c r="O108" s="507" t="s">
        <v>56</v>
      </c>
      <c r="P108" s="507" t="s">
        <v>642</v>
      </c>
      <c r="Q108" s="503"/>
      <c r="R108" s="507" t="s">
        <v>596</v>
      </c>
    </row>
    <row r="109" spans="1:18" ht="72" x14ac:dyDescent="0.35">
      <c r="A109" s="473" t="s">
        <v>482</v>
      </c>
      <c r="B109" s="476" t="s">
        <v>293</v>
      </c>
      <c r="C109" s="476" t="s">
        <v>483</v>
      </c>
      <c r="D109" s="476" t="s">
        <v>484</v>
      </c>
      <c r="E109" s="476" t="s">
        <v>618</v>
      </c>
      <c r="F109" s="652"/>
      <c r="G109" s="652"/>
      <c r="H109" s="531">
        <f>24000</f>
        <v>24000</v>
      </c>
      <c r="I109" s="477">
        <f>+H109/$I$11</f>
        <v>7058.8235294117649</v>
      </c>
      <c r="J109" s="478">
        <v>0</v>
      </c>
      <c r="K109" s="478">
        <v>1</v>
      </c>
      <c r="L109" s="542" t="s">
        <v>354</v>
      </c>
      <c r="M109" s="476" t="s">
        <v>267</v>
      </c>
      <c r="N109" s="476" t="s">
        <v>70</v>
      </c>
      <c r="O109" s="476" t="s">
        <v>343</v>
      </c>
      <c r="P109" s="543" t="s">
        <v>643</v>
      </c>
      <c r="Q109" s="475"/>
      <c r="R109" s="476" t="s">
        <v>587</v>
      </c>
    </row>
    <row r="110" spans="1:18" ht="72" x14ac:dyDescent="0.35">
      <c r="A110" s="473" t="s">
        <v>486</v>
      </c>
      <c r="B110" s="476" t="s">
        <v>293</v>
      </c>
      <c r="C110" s="476" t="s">
        <v>487</v>
      </c>
      <c r="D110" s="476" t="s">
        <v>488</v>
      </c>
      <c r="E110" s="476" t="s">
        <v>618</v>
      </c>
      <c r="F110" s="652"/>
      <c r="G110" s="652"/>
      <c r="H110" s="531">
        <f>24000</f>
        <v>24000</v>
      </c>
      <c r="I110" s="477">
        <f>+H110/$I$11</f>
        <v>7058.8235294117649</v>
      </c>
      <c r="J110" s="478">
        <v>0</v>
      </c>
      <c r="K110" s="478">
        <v>1</v>
      </c>
      <c r="L110" s="542" t="s">
        <v>354</v>
      </c>
      <c r="M110" s="476" t="s">
        <v>267</v>
      </c>
      <c r="N110" s="476" t="s">
        <v>70</v>
      </c>
      <c r="O110" s="476" t="s">
        <v>343</v>
      </c>
      <c r="P110" s="476" t="s">
        <v>643</v>
      </c>
      <c r="Q110" s="475"/>
      <c r="R110" s="476" t="s">
        <v>587</v>
      </c>
    </row>
    <row r="111" spans="1:18" x14ac:dyDescent="0.35">
      <c r="B111" s="493"/>
      <c r="C111" s="493"/>
      <c r="D111" s="493"/>
      <c r="E111" s="493"/>
      <c r="F111" s="494"/>
      <c r="G111" s="495" t="s">
        <v>590</v>
      </c>
      <c r="H111" s="496">
        <f>SUM(H107:H110)</f>
        <v>126000</v>
      </c>
      <c r="I111" s="496">
        <f>SUM(I107:I110)</f>
        <v>37058.823529411769</v>
      </c>
      <c r="J111" s="497"/>
      <c r="K111" s="497"/>
      <c r="L111" s="544"/>
      <c r="M111" s="493"/>
      <c r="N111" s="493"/>
      <c r="O111" s="493"/>
      <c r="P111" s="493"/>
      <c r="Q111" s="494"/>
      <c r="R111" s="493"/>
    </row>
    <row r="114" spans="2:17" x14ac:dyDescent="0.35">
      <c r="E114" s="546"/>
      <c r="F114" s="547"/>
      <c r="G114" s="548" t="s">
        <v>644</v>
      </c>
      <c r="H114" s="549">
        <f>+H19+H57+H72+H94+H102+H111</f>
        <v>26546158.467272725</v>
      </c>
      <c r="I114" s="549">
        <f>+I19+I57+I72+I94+I102+I111</f>
        <v>8638638.1854010709</v>
      </c>
    </row>
    <row r="115" spans="2:17" ht="14.1" customHeight="1" x14ac:dyDescent="0.35">
      <c r="B115" s="656" t="s">
        <v>645</v>
      </c>
      <c r="C115" s="550" t="s">
        <v>267</v>
      </c>
    </row>
    <row r="116" spans="2:17" x14ac:dyDescent="0.35">
      <c r="B116" s="656"/>
      <c r="C116" s="550" t="s">
        <v>284</v>
      </c>
    </row>
    <row r="117" spans="2:17" x14ac:dyDescent="0.35">
      <c r="B117" s="656"/>
      <c r="C117" s="551" t="s">
        <v>292</v>
      </c>
    </row>
    <row r="119" spans="2:17" ht="14.1" customHeight="1" x14ac:dyDescent="0.35">
      <c r="B119" s="656" t="s">
        <v>580</v>
      </c>
      <c r="C119" s="550" t="s">
        <v>587</v>
      </c>
    </row>
    <row r="120" spans="2:17" x14ac:dyDescent="0.35">
      <c r="B120" s="656"/>
      <c r="C120" s="550" t="s">
        <v>300</v>
      </c>
    </row>
    <row r="121" spans="2:17" x14ac:dyDescent="0.35">
      <c r="B121" s="656"/>
      <c r="C121" s="550" t="s">
        <v>646</v>
      </c>
    </row>
    <row r="122" spans="2:17" x14ac:dyDescent="0.35">
      <c r="B122" s="656"/>
      <c r="C122" s="550" t="s">
        <v>596</v>
      </c>
    </row>
    <row r="123" spans="2:17" ht="36" x14ac:dyDescent="0.35">
      <c r="B123" s="656"/>
      <c r="C123" s="550" t="s">
        <v>647</v>
      </c>
    </row>
    <row r="124" spans="2:17" x14ac:dyDescent="0.35">
      <c r="B124" s="656"/>
      <c r="C124" s="550" t="s">
        <v>306</v>
      </c>
    </row>
    <row r="125" spans="2:17" ht="36" x14ac:dyDescent="0.35">
      <c r="B125" s="656"/>
      <c r="C125" s="550" t="s">
        <v>584</v>
      </c>
    </row>
    <row r="126" spans="2:17" x14ac:dyDescent="0.35">
      <c r="B126" s="656"/>
      <c r="C126" s="550" t="s">
        <v>311</v>
      </c>
      <c r="F126" s="449"/>
      <c r="H126" s="449"/>
      <c r="I126" s="449"/>
      <c r="J126" s="451"/>
      <c r="K126" s="451"/>
      <c r="Q126" s="449"/>
    </row>
    <row r="127" spans="2:17" x14ac:dyDescent="0.35">
      <c r="F127" s="449"/>
      <c r="H127" s="449"/>
      <c r="I127" s="449"/>
      <c r="J127" s="451"/>
      <c r="K127" s="451"/>
      <c r="Q127" s="449"/>
    </row>
    <row r="128" spans="2:17" ht="20.85" customHeight="1" x14ac:dyDescent="0.35">
      <c r="B128" s="657" t="s">
        <v>648</v>
      </c>
      <c r="C128" s="658" t="s">
        <v>649</v>
      </c>
      <c r="D128" s="550" t="s">
        <v>413</v>
      </c>
      <c r="F128" s="449"/>
      <c r="H128" s="449"/>
      <c r="I128" s="449"/>
      <c r="J128" s="451"/>
      <c r="K128" s="451"/>
      <c r="Q128" s="449"/>
    </row>
    <row r="129" spans="2:17" ht="36" x14ac:dyDescent="0.35">
      <c r="B129" s="657"/>
      <c r="C129" s="658"/>
      <c r="D129" s="550" t="s">
        <v>631</v>
      </c>
      <c r="F129" s="449"/>
      <c r="H129" s="449"/>
      <c r="I129" s="449"/>
      <c r="J129" s="451"/>
      <c r="K129" s="451"/>
      <c r="Q129" s="449"/>
    </row>
    <row r="130" spans="2:17" ht="54" x14ac:dyDescent="0.35">
      <c r="B130" s="657"/>
      <c r="C130" s="658"/>
      <c r="D130" s="550" t="s">
        <v>408</v>
      </c>
      <c r="F130" s="449"/>
      <c r="H130" s="449"/>
      <c r="I130" s="449"/>
      <c r="J130" s="451"/>
      <c r="K130" s="451"/>
      <c r="Q130" s="449"/>
    </row>
    <row r="131" spans="2:17" x14ac:dyDescent="0.35">
      <c r="B131" s="657"/>
      <c r="C131" s="658"/>
      <c r="D131" s="550" t="s">
        <v>409</v>
      </c>
      <c r="F131" s="449"/>
      <c r="H131" s="449"/>
      <c r="I131" s="449"/>
      <c r="J131" s="451"/>
      <c r="K131" s="451"/>
      <c r="Q131" s="449"/>
    </row>
    <row r="132" spans="2:17" x14ac:dyDescent="0.35">
      <c r="B132" s="657"/>
      <c r="C132" s="658"/>
      <c r="D132" s="550" t="s">
        <v>618</v>
      </c>
      <c r="F132" s="449"/>
      <c r="H132" s="449"/>
      <c r="I132" s="449"/>
      <c r="J132" s="451"/>
      <c r="K132" s="451"/>
      <c r="Q132" s="449"/>
    </row>
    <row r="133" spans="2:17" ht="36" x14ac:dyDescent="0.35">
      <c r="B133" s="657"/>
      <c r="C133" s="658"/>
      <c r="D133" s="550" t="s">
        <v>650</v>
      </c>
      <c r="F133" s="449"/>
      <c r="H133" s="449"/>
      <c r="I133" s="449"/>
      <c r="J133" s="451"/>
      <c r="K133" s="451"/>
      <c r="Q133" s="449"/>
    </row>
    <row r="134" spans="2:17" ht="36" x14ac:dyDescent="0.35">
      <c r="B134" s="657"/>
      <c r="C134" s="658"/>
      <c r="D134" s="550" t="s">
        <v>651</v>
      </c>
      <c r="F134" s="449"/>
      <c r="H134" s="449"/>
      <c r="I134" s="449"/>
      <c r="J134" s="451"/>
      <c r="K134" s="451"/>
      <c r="Q134" s="449"/>
    </row>
    <row r="135" spans="2:17" ht="14.1" customHeight="1" x14ac:dyDescent="0.35">
      <c r="B135" s="657"/>
      <c r="C135" s="659" t="s">
        <v>652</v>
      </c>
      <c r="D135" s="550" t="s">
        <v>653</v>
      </c>
      <c r="F135" s="449"/>
      <c r="H135" s="449"/>
      <c r="I135" s="449"/>
      <c r="J135" s="451"/>
      <c r="K135" s="451"/>
      <c r="Q135" s="449"/>
    </row>
    <row r="136" spans="2:17" x14ac:dyDescent="0.35">
      <c r="B136" s="657"/>
      <c r="C136" s="659"/>
      <c r="D136" s="550" t="s">
        <v>323</v>
      </c>
      <c r="F136" s="449"/>
      <c r="H136" s="449"/>
      <c r="I136" s="449"/>
      <c r="J136" s="451"/>
      <c r="K136" s="451"/>
      <c r="Q136" s="449"/>
    </row>
    <row r="137" spans="2:17" x14ac:dyDescent="0.35">
      <c r="B137" s="657"/>
      <c r="C137" s="659"/>
      <c r="D137" s="550" t="s">
        <v>614</v>
      </c>
      <c r="F137" s="449"/>
      <c r="H137" s="449"/>
      <c r="I137" s="449"/>
      <c r="J137" s="451"/>
      <c r="K137" s="451"/>
      <c r="Q137" s="449"/>
    </row>
    <row r="138" spans="2:17" x14ac:dyDescent="0.35">
      <c r="B138" s="657"/>
      <c r="C138" s="659"/>
      <c r="D138" s="550" t="s">
        <v>409</v>
      </c>
      <c r="F138" s="449"/>
      <c r="H138" s="449"/>
      <c r="I138" s="449"/>
      <c r="J138" s="451"/>
      <c r="K138" s="451"/>
      <c r="Q138" s="449"/>
    </row>
    <row r="139" spans="2:17" x14ac:dyDescent="0.35">
      <c r="B139" s="657"/>
      <c r="C139" s="659"/>
      <c r="D139" s="550" t="s">
        <v>618</v>
      </c>
      <c r="F139" s="449"/>
      <c r="H139" s="449"/>
      <c r="I139" s="449"/>
      <c r="J139" s="451"/>
      <c r="K139" s="451"/>
      <c r="Q139" s="449"/>
    </row>
    <row r="140" spans="2:17" ht="36" x14ac:dyDescent="0.35">
      <c r="B140" s="657"/>
      <c r="C140" s="659"/>
      <c r="D140" s="550" t="s">
        <v>654</v>
      </c>
      <c r="F140" s="449"/>
      <c r="H140" s="449"/>
      <c r="I140" s="449"/>
      <c r="J140" s="451"/>
      <c r="K140" s="451"/>
      <c r="Q140" s="449"/>
    </row>
    <row r="141" spans="2:17" ht="54" x14ac:dyDescent="0.35">
      <c r="B141" s="657"/>
      <c r="C141" s="659"/>
      <c r="D141" s="550" t="s">
        <v>655</v>
      </c>
      <c r="F141" s="449"/>
      <c r="H141" s="449"/>
      <c r="I141" s="449"/>
      <c r="J141" s="451"/>
      <c r="K141" s="451"/>
      <c r="Q141" s="449"/>
    </row>
    <row r="142" spans="2:17" ht="36" x14ac:dyDescent="0.35">
      <c r="B142" s="657"/>
      <c r="C142" s="659"/>
      <c r="D142" s="550" t="s">
        <v>384</v>
      </c>
      <c r="F142" s="449"/>
      <c r="H142" s="449"/>
      <c r="I142" s="449"/>
      <c r="J142" s="451"/>
      <c r="K142" s="451"/>
      <c r="Q142" s="449"/>
    </row>
    <row r="143" spans="2:17" ht="36" x14ac:dyDescent="0.35">
      <c r="B143" s="657"/>
      <c r="C143" s="659"/>
      <c r="D143" s="550" t="s">
        <v>401</v>
      </c>
      <c r="F143" s="449"/>
      <c r="H143" s="449"/>
      <c r="I143" s="449"/>
      <c r="J143" s="451"/>
      <c r="K143" s="451"/>
      <c r="Q143" s="449"/>
    </row>
    <row r="144" spans="2:17" ht="54" x14ac:dyDescent="0.35">
      <c r="B144" s="657"/>
      <c r="C144" s="659"/>
      <c r="D144" s="550" t="s">
        <v>656</v>
      </c>
      <c r="F144" s="449"/>
      <c r="H144" s="449"/>
      <c r="I144" s="449"/>
      <c r="J144" s="451"/>
      <c r="K144" s="451"/>
      <c r="Q144" s="449"/>
    </row>
    <row r="145" spans="2:17" ht="14.1" customHeight="1" x14ac:dyDescent="0.35">
      <c r="B145" s="657"/>
      <c r="C145" s="659" t="s">
        <v>657</v>
      </c>
      <c r="D145" s="550" t="s">
        <v>638</v>
      </c>
      <c r="F145" s="449"/>
      <c r="H145" s="449"/>
      <c r="I145" s="449"/>
      <c r="J145" s="451"/>
      <c r="K145" s="451"/>
      <c r="Q145" s="449"/>
    </row>
    <row r="146" spans="2:17" x14ac:dyDescent="0.35">
      <c r="B146" s="657"/>
      <c r="C146" s="659"/>
      <c r="D146" s="550" t="s">
        <v>409</v>
      </c>
      <c r="F146" s="449"/>
      <c r="H146" s="449"/>
      <c r="I146" s="449"/>
      <c r="J146" s="451"/>
      <c r="K146" s="451"/>
      <c r="Q146" s="449"/>
    </row>
    <row r="147" spans="2:17" x14ac:dyDescent="0.35">
      <c r="B147" s="657"/>
      <c r="C147" s="659"/>
      <c r="D147" s="550" t="s">
        <v>618</v>
      </c>
      <c r="F147" s="449"/>
      <c r="H147" s="449"/>
      <c r="I147" s="449"/>
      <c r="J147" s="451"/>
      <c r="K147" s="451"/>
      <c r="Q147" s="449"/>
    </row>
  </sheetData>
  <sheetProtection selectLockedCells="1" selectUnlockedCells="1"/>
  <mergeCells count="122">
    <mergeCell ref="B115:B117"/>
    <mergeCell ref="I105:K105"/>
    <mergeCell ref="L105:L106"/>
    <mergeCell ref="M105:M106"/>
    <mergeCell ref="N105:O105"/>
    <mergeCell ref="P105:P106"/>
    <mergeCell ref="F105:G106"/>
    <mergeCell ref="B119:B126"/>
    <mergeCell ref="B128:B147"/>
    <mergeCell ref="C128:C134"/>
    <mergeCell ref="C135:C144"/>
    <mergeCell ref="C145:C147"/>
    <mergeCell ref="F107:G107"/>
    <mergeCell ref="F108:G108"/>
    <mergeCell ref="F109:G109"/>
    <mergeCell ref="F110:G110"/>
    <mergeCell ref="Q105:Q106"/>
    <mergeCell ref="R97:R98"/>
    <mergeCell ref="F99:G99"/>
    <mergeCell ref="F101:G101"/>
    <mergeCell ref="A104:R104"/>
    <mergeCell ref="A105:A106"/>
    <mergeCell ref="B105:B106"/>
    <mergeCell ref="C105:C106"/>
    <mergeCell ref="D105:D106"/>
    <mergeCell ref="E105:E106"/>
    <mergeCell ref="R105:R106"/>
    <mergeCell ref="F100:G100"/>
    <mergeCell ref="A96:R96"/>
    <mergeCell ref="A97:A98"/>
    <mergeCell ref="B97:B98"/>
    <mergeCell ref="C97:C98"/>
    <mergeCell ref="D97:D98"/>
    <mergeCell ref="E97:E98"/>
    <mergeCell ref="F97:G98"/>
    <mergeCell ref="H97:K97"/>
    <mergeCell ref="L97:L98"/>
    <mergeCell ref="M97:M98"/>
    <mergeCell ref="N97:O97"/>
    <mergeCell ref="P97:P98"/>
    <mergeCell ref="Q97:Q98"/>
    <mergeCell ref="F86:G86"/>
    <mergeCell ref="F87:G87"/>
    <mergeCell ref="F88:G88"/>
    <mergeCell ref="F89:G89"/>
    <mergeCell ref="F90:G90"/>
    <mergeCell ref="F91:G91"/>
    <mergeCell ref="F92:G92"/>
    <mergeCell ref="F93:G93"/>
    <mergeCell ref="F94:G94"/>
    <mergeCell ref="F77:G77"/>
    <mergeCell ref="F78:G78"/>
    <mergeCell ref="F79:G79"/>
    <mergeCell ref="F80:G80"/>
    <mergeCell ref="F81:G81"/>
    <mergeCell ref="F82:G82"/>
    <mergeCell ref="F83:G83"/>
    <mergeCell ref="F84:G84"/>
    <mergeCell ref="F85:G85"/>
    <mergeCell ref="F72:G72"/>
    <mergeCell ref="A74:R74"/>
    <mergeCell ref="A75:A76"/>
    <mergeCell ref="B75:B76"/>
    <mergeCell ref="C75:C76"/>
    <mergeCell ref="D75:D76"/>
    <mergeCell ref="E75:E76"/>
    <mergeCell ref="F75:G75"/>
    <mergeCell ref="I75:K75"/>
    <mergeCell ref="L75:L76"/>
    <mergeCell ref="M75:M76"/>
    <mergeCell ref="N75:O75"/>
    <mergeCell ref="P75:P76"/>
    <mergeCell ref="Q75:Q76"/>
    <mergeCell ref="R75:R76"/>
    <mergeCell ref="F76:G76"/>
    <mergeCell ref="F57:G57"/>
    <mergeCell ref="A59:R59"/>
    <mergeCell ref="A60:A61"/>
    <mergeCell ref="B60:B61"/>
    <mergeCell ref="C60:C61"/>
    <mergeCell ref="D60:D61"/>
    <mergeCell ref="E60:E61"/>
    <mergeCell ref="F60:F61"/>
    <mergeCell ref="G60:G61"/>
    <mergeCell ref="I60:K60"/>
    <mergeCell ref="L60:L61"/>
    <mergeCell ref="M60:M61"/>
    <mergeCell ref="N60:O60"/>
    <mergeCell ref="P60:P61"/>
    <mergeCell ref="Q60:Q61"/>
    <mergeCell ref="R60:R61"/>
    <mergeCell ref="A21:R21"/>
    <mergeCell ref="A22:A23"/>
    <mergeCell ref="B22:B23"/>
    <mergeCell ref="C22:C23"/>
    <mergeCell ref="D22:D23"/>
    <mergeCell ref="E22:E23"/>
    <mergeCell ref="F22:F23"/>
    <mergeCell ref="G22:G23"/>
    <mergeCell ref="I22:K22"/>
    <mergeCell ref="L22:L23"/>
    <mergeCell ref="M22:M23"/>
    <mergeCell ref="N22:O22"/>
    <mergeCell ref="P22:P23"/>
    <mergeCell ref="Q22:Q23"/>
    <mergeCell ref="R22:R23"/>
    <mergeCell ref="A6:C6"/>
    <mergeCell ref="A12:R12"/>
    <mergeCell ref="A13:A14"/>
    <mergeCell ref="B13:B14"/>
    <mergeCell ref="C13:C14"/>
    <mergeCell ref="D13:D14"/>
    <mergeCell ref="E13:E14"/>
    <mergeCell ref="F13:F14"/>
    <mergeCell ref="G13:G14"/>
    <mergeCell ref="I13:K13"/>
    <mergeCell ref="L13:L14"/>
    <mergeCell ref="M13:M14"/>
    <mergeCell ref="N13:O13"/>
    <mergeCell ref="P13:P14"/>
    <mergeCell ref="Q13:Q14"/>
    <mergeCell ref="R13:R14"/>
  </mergeCells>
  <dataValidations count="8">
    <dataValidation type="list" allowBlank="1" showErrorMessage="1" sqref="E19 E62:E72 E57" xr:uid="{00000000-0002-0000-0800-000000000000}">
      <formula1>$D$144:$D$153</formula1>
      <formula2>0</formula2>
    </dataValidation>
    <dataValidation type="list" allowBlank="1" showErrorMessage="1" sqref="E99:E102" xr:uid="{00000000-0002-0000-0800-000001000000}">
      <formula1>$D$154:$D$156</formula1>
      <formula2>0</formula2>
    </dataValidation>
    <dataValidation type="list" allowBlank="1" showErrorMessage="1" sqref="E107:E110 E77:E79 E81:E94" xr:uid="{00000000-0002-0000-0800-000002000000}">
      <formula1>$D$137:$D$143</formula1>
      <formula2>0</formula2>
    </dataValidation>
    <dataValidation type="list" allowBlank="1" showErrorMessage="1" sqref="E111 M111" xr:uid="{00000000-0002-0000-0800-000003000000}">
      <formula1>#REF!</formula1>
      <formula2>0</formula2>
    </dataValidation>
    <dataValidation type="list" allowBlank="1" showErrorMessage="1" sqref="R107:R110 R77:R94 R99:R102 R15:R19 R24:R57 R62:R72" xr:uid="{00000000-0002-0000-0800-000004000000}">
      <formula1>$C$128:$C$135</formula1>
      <formula2>0</formula2>
    </dataValidation>
    <dataValidation type="list" allowBlank="1" showErrorMessage="1" sqref="M107:M110 M77:M94 M99:M102 M15:M19 M24:M57 M62:M72" xr:uid="{00000000-0002-0000-0800-000005000000}">
      <formula1>$C$124:$C$126</formula1>
      <formula2>0</formula2>
    </dataValidation>
    <dataValidation type="list" allowBlank="1" showErrorMessage="1" sqref="E24 E26:E56" xr:uid="{00000000-0002-0000-0800-000006000000}">
      <formula1>$X$20:$X$24</formula1>
      <formula2>0</formula2>
    </dataValidation>
    <dataValidation type="list" allowBlank="1" showErrorMessage="1" sqref="E15:E16" xr:uid="{00000000-0002-0000-0800-000007000000}">
      <formula1>$X$81:$X$114</formula1>
      <formula2>0</formula2>
    </dataValidation>
  </dataValidations>
  <pageMargins left="0" right="0" top="0.74803149606299213" bottom="0.74803149606299213" header="0.51181102362204722" footer="0.51181102362204722"/>
  <pageSetup scale="48" firstPageNumber="0" fitToHeight="18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8</vt:i4>
      </vt:variant>
    </vt:vector>
  </HeadingPairs>
  <TitlesOfParts>
    <vt:vector size="21" baseType="lpstr">
      <vt:lpstr>PA1</vt:lpstr>
      <vt:lpstr>PA2</vt:lpstr>
      <vt:lpstr>PA3</vt:lpstr>
      <vt:lpstr>PA4</vt:lpstr>
      <vt:lpstr>PA5</vt:lpstr>
      <vt:lpstr>PA6</vt:lpstr>
      <vt:lpstr>PA7</vt:lpstr>
      <vt:lpstr>PA8o</vt:lpstr>
      <vt:lpstr>PA8</vt:lpstr>
      <vt:lpstr>PA9</vt:lpstr>
      <vt:lpstr>PA10</vt:lpstr>
      <vt:lpstr>PA11</vt:lpstr>
      <vt:lpstr>Instruções</vt:lpstr>
      <vt:lpstr>'PA5'!Print_Area</vt:lpstr>
      <vt:lpstr>'PA7'!Print_Area</vt:lpstr>
      <vt:lpstr>PA8o!Print_Area</vt:lpstr>
      <vt:lpstr>'PA1'!Print_Titles</vt:lpstr>
      <vt:lpstr>'PA2'!Print_Titles</vt:lpstr>
      <vt:lpstr>'PA3'!Print_Titles</vt:lpstr>
      <vt:lpstr>'PA4'!Print_Titles</vt:lpstr>
      <vt:lpstr>'PA5'!Print_Titles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 Carvalho Lima</dc:creator>
  <cp:lastModifiedBy>Lauar Moura, Vanessa</cp:lastModifiedBy>
  <cp:lastPrinted>2017-09-29T14:58:40Z</cp:lastPrinted>
  <dcterms:created xsi:type="dcterms:W3CDTF">2016-07-25T11:30:20Z</dcterms:created>
  <dcterms:modified xsi:type="dcterms:W3CDTF">2018-05-14T21:34:21Z</dcterms:modified>
</cp:coreProperties>
</file>