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BO-LON/BO-L1191/15 LifeCycle Milestones/Draft Area/"/>
    </mc:Choice>
  </mc:AlternateContent>
  <xr:revisionPtr revIDLastSave="7" documentId="90F7C040FB815185E4EF39C657158C9488C88C62" xr6:coauthVersionLast="23" xr6:coauthVersionMax="23" xr10:uidLastSave="{E91B7101-5016-4CAA-88A7-DE509036F571}"/>
  <bookViews>
    <workbookView xWindow="0" yWindow="0" windowWidth="20496" windowHeight="7752" tabRatio="846" activeTab="4" xr2:uid="{00000000-000D-0000-FFFF-FFFF00000000}"/>
  </bookViews>
  <sheets>
    <sheet name="Resumen" sheetId="5" r:id="rId1"/>
    <sheet name="Componentes" sheetId="1" r:id="rId2"/>
    <sheet name="Adm_Costos Operativos" sheetId="2" r:id="rId3"/>
    <sheet name="Recursos Humanos" sheetId="3" r:id="rId4"/>
    <sheet name="M&amp;E_Auditoria" sheetId="4" r:id="rId5"/>
  </sheets>
  <externalReferences>
    <externalReference r:id="rId6"/>
  </externalReferences>
  <definedNames>
    <definedName name="_xlnm._FilterDatabase" localSheetId="1" hidden="1">Componentes!$A$4:$E$38</definedName>
  </definedNames>
  <calcPr calcId="171027"/>
</workbook>
</file>

<file path=xl/calcChain.xml><?xml version="1.0" encoding="utf-8"?>
<calcChain xmlns="http://schemas.openxmlformats.org/spreadsheetml/2006/main">
  <c r="E23" i="1" l="1"/>
  <c r="E22" i="1" s="1"/>
  <c r="D21" i="1"/>
  <c r="D20" i="1"/>
  <c r="D8" i="1"/>
  <c r="D10" i="1"/>
  <c r="D11" i="1"/>
  <c r="G22" i="1"/>
  <c r="F23" i="1" l="1"/>
  <c r="D13" i="1"/>
  <c r="D12" i="1"/>
  <c r="F22" i="1" l="1"/>
  <c r="H15" i="3"/>
  <c r="G15" i="3"/>
  <c r="J16" i="3"/>
  <c r="H16" i="3"/>
  <c r="I16" i="3" s="1"/>
  <c r="G16" i="3"/>
  <c r="F16" i="3"/>
  <c r="G17" i="3"/>
  <c r="H17" i="3" s="1"/>
  <c r="I17" i="3" s="1"/>
  <c r="J17" i="3" s="1"/>
  <c r="F17" i="3"/>
  <c r="J15" i="3"/>
  <c r="I15" i="3"/>
  <c r="F15" i="3"/>
  <c r="G39" i="2"/>
  <c r="H39" i="2"/>
  <c r="I41" i="2"/>
  <c r="E37" i="1"/>
  <c r="F37" i="1" s="1"/>
  <c r="F28" i="1"/>
  <c r="F26" i="1"/>
  <c r="D15" i="1"/>
  <c r="D14" i="1"/>
  <c r="F25" i="1" l="1"/>
  <c r="G35" i="1"/>
  <c r="E38" i="1"/>
  <c r="F38" i="1" s="1"/>
  <c r="E36" i="1"/>
  <c r="F36" i="1" s="1"/>
  <c r="E21" i="1" l="1"/>
  <c r="E20" i="1"/>
  <c r="E7" i="1"/>
  <c r="G7" i="1" s="1"/>
  <c r="D18" i="1"/>
  <c r="F21" i="1" l="1"/>
  <c r="F20" i="1"/>
  <c r="E35" i="1" l="1"/>
  <c r="F19" i="1"/>
  <c r="E19" i="1"/>
  <c r="G19" i="1"/>
  <c r="F35" i="1" l="1"/>
  <c r="G31" i="1" l="1"/>
  <c r="C11" i="5" s="1"/>
  <c r="D33" i="1"/>
  <c r="E33" i="1" s="1"/>
  <c r="F33" i="1" s="1"/>
  <c r="D32" i="1"/>
  <c r="E32" i="1" s="1"/>
  <c r="F32" i="1" s="1"/>
  <c r="B10" i="5"/>
  <c r="E29" i="1"/>
  <c r="E27" i="1"/>
  <c r="C12" i="5"/>
  <c r="B12" i="5"/>
  <c r="E18" i="1"/>
  <c r="E17" i="1"/>
  <c r="E13" i="1"/>
  <c r="G13" i="1" s="1"/>
  <c r="E12" i="1"/>
  <c r="F12" i="1" s="1"/>
  <c r="E11" i="1"/>
  <c r="G11" i="1" s="1"/>
  <c r="E10" i="1"/>
  <c r="F10" i="1" s="1"/>
  <c r="E15" i="1"/>
  <c r="G15" i="1" s="1"/>
  <c r="E14" i="1"/>
  <c r="F14" i="1" s="1"/>
  <c r="E8" i="1"/>
  <c r="G8" i="1" l="1"/>
  <c r="G18" i="1"/>
  <c r="G16" i="1" s="1"/>
  <c r="G29" i="1"/>
  <c r="G28" i="1" s="1"/>
  <c r="E28" i="1"/>
  <c r="G9" i="1"/>
  <c r="D12" i="5"/>
  <c r="F31" i="1"/>
  <c r="B11" i="5" s="1"/>
  <c r="D11" i="5" s="1"/>
  <c r="F9" i="1"/>
  <c r="F17" i="1"/>
  <c r="E31" i="1"/>
  <c r="E26" i="1"/>
  <c r="G27" i="1"/>
  <c r="G26" i="1" s="1"/>
  <c r="E6" i="1"/>
  <c r="E16" i="1"/>
  <c r="E9" i="1"/>
  <c r="E10" i="4"/>
  <c r="F10" i="4" s="1"/>
  <c r="E9" i="4"/>
  <c r="F9" i="4" s="1"/>
  <c r="E8" i="4"/>
  <c r="E11" i="4" s="1"/>
  <c r="B14" i="5" s="1"/>
  <c r="E5" i="1" l="1"/>
  <c r="G5" i="1"/>
  <c r="C9" i="5" s="1"/>
  <c r="G6" i="1"/>
  <c r="E25" i="1"/>
  <c r="G25" i="1"/>
  <c r="C10" i="5" s="1"/>
  <c r="D10" i="5" s="1"/>
  <c r="F6" i="1"/>
  <c r="F16" i="1"/>
  <c r="F8" i="4"/>
  <c r="F5" i="1" l="1"/>
  <c r="B9" i="5" s="1"/>
  <c r="D9" i="5" s="1"/>
  <c r="C15" i="5"/>
  <c r="F11" i="4"/>
  <c r="D14" i="5" l="1"/>
  <c r="F40" i="2" l="1"/>
  <c r="F39" i="2" s="1"/>
  <c r="E40" i="2"/>
  <c r="E39" i="2" s="1"/>
  <c r="D40" i="2"/>
  <c r="D38" i="2"/>
  <c r="I38" i="2" s="1"/>
  <c r="D37" i="2"/>
  <c r="I37" i="2" s="1"/>
  <c r="D36" i="2"/>
  <c r="I36" i="2" s="1"/>
  <c r="D35" i="2"/>
  <c r="I35" i="2" s="1"/>
  <c r="D34" i="2"/>
  <c r="D32" i="2"/>
  <c r="D31" i="2"/>
  <c r="D30" i="2"/>
  <c r="D29" i="2"/>
  <c r="D28" i="2"/>
  <c r="D27" i="2"/>
  <c r="D26" i="2"/>
  <c r="D25" i="2"/>
  <c r="D24" i="2"/>
  <c r="D23" i="2"/>
  <c r="D21" i="2"/>
  <c r="D20" i="2"/>
  <c r="D19" i="2"/>
  <c r="D18" i="2"/>
  <c r="D17" i="2"/>
  <c r="D16" i="2"/>
  <c r="D15" i="2"/>
  <c r="D14" i="2"/>
  <c r="D13" i="2"/>
  <c r="D12" i="2"/>
  <c r="E12" i="2" s="1"/>
  <c r="F12" i="2" s="1"/>
  <c r="G12" i="2" s="1"/>
  <c r="H12" i="2" s="1"/>
  <c r="H6" i="2"/>
  <c r="H9" i="2" s="1"/>
  <c r="D6" i="2"/>
  <c r="D9" i="2" s="1"/>
  <c r="G10" i="3"/>
  <c r="H10" i="3" s="1"/>
  <c r="I10" i="3" s="1"/>
  <c r="J10" i="3" s="1"/>
  <c r="F18" i="3"/>
  <c r="G18" i="3" s="1"/>
  <c r="H18" i="3" s="1"/>
  <c r="I18" i="3" s="1"/>
  <c r="J18" i="3" s="1"/>
  <c r="J19" i="3" s="1"/>
  <c r="F12" i="3"/>
  <c r="G12" i="3" s="1"/>
  <c r="H12" i="3" s="1"/>
  <c r="I12" i="3" s="1"/>
  <c r="J12" i="3" s="1"/>
  <c r="F11" i="3"/>
  <c r="G11" i="3" s="1"/>
  <c r="H11" i="3" s="1"/>
  <c r="I11" i="3" s="1"/>
  <c r="J11" i="3" s="1"/>
  <c r="F10" i="3"/>
  <c r="F9" i="3"/>
  <c r="G9" i="3" s="1"/>
  <c r="H9" i="3" s="1"/>
  <c r="I9" i="3" s="1"/>
  <c r="J9" i="3" s="1"/>
  <c r="F8" i="3"/>
  <c r="G8" i="3" s="1"/>
  <c r="H8" i="3" s="1"/>
  <c r="I8" i="3" s="1"/>
  <c r="J8" i="3" s="1"/>
  <c r="F7" i="3"/>
  <c r="F13" i="3" s="1"/>
  <c r="D19" i="3"/>
  <c r="B16" i="3"/>
  <c r="B17" i="3" s="1"/>
  <c r="B18" i="3" s="1"/>
  <c r="B8" i="3"/>
  <c r="B9" i="3" s="1"/>
  <c r="B10" i="3" s="1"/>
  <c r="B11" i="3" s="1"/>
  <c r="B12" i="3" s="1"/>
  <c r="H33" i="2"/>
  <c r="G33" i="2"/>
  <c r="F33" i="2"/>
  <c r="E33" i="2"/>
  <c r="E32" i="2"/>
  <c r="E28" i="2"/>
  <c r="F28" i="2" s="1"/>
  <c r="G28" i="2" s="1"/>
  <c r="H28" i="2" s="1"/>
  <c r="E24" i="2"/>
  <c r="F24" i="2" s="1"/>
  <c r="G24" i="2" s="1"/>
  <c r="H24" i="2" s="1"/>
  <c r="E21" i="2"/>
  <c r="E20" i="2"/>
  <c r="F20" i="2" s="1"/>
  <c r="G20" i="2" s="1"/>
  <c r="H20" i="2" s="1"/>
  <c r="E19" i="2"/>
  <c r="F19" i="2" s="1"/>
  <c r="G19" i="2" s="1"/>
  <c r="H19" i="2" s="1"/>
  <c r="E18" i="2"/>
  <c r="F18" i="2" s="1"/>
  <c r="G18" i="2" s="1"/>
  <c r="H18" i="2" s="1"/>
  <c r="I20" i="2" l="1"/>
  <c r="E29" i="2"/>
  <c r="F29" i="2" s="1"/>
  <c r="G29" i="2" s="1"/>
  <c r="H29" i="2" s="1"/>
  <c r="G7" i="3"/>
  <c r="H7" i="3" s="1"/>
  <c r="I7" i="3" s="1"/>
  <c r="J7" i="3" s="1"/>
  <c r="E26" i="2"/>
  <c r="I26" i="2"/>
  <c r="E30" i="2"/>
  <c r="F30" i="2" s="1"/>
  <c r="G30" i="2" s="1"/>
  <c r="H30" i="2" s="1"/>
  <c r="I30" i="2"/>
  <c r="D39" i="2"/>
  <c r="I40" i="2"/>
  <c r="I39" i="2" s="1"/>
  <c r="I18" i="2"/>
  <c r="E31" i="2"/>
  <c r="F31" i="2" s="1"/>
  <c r="G31" i="2" s="1"/>
  <c r="H31" i="2" s="1"/>
  <c r="E25" i="2"/>
  <c r="F25" i="2" s="1"/>
  <c r="G25" i="2" s="1"/>
  <c r="H25" i="2" s="1"/>
  <c r="I19" i="2"/>
  <c r="I24" i="2"/>
  <c r="I28" i="2"/>
  <c r="I32" i="2"/>
  <c r="G19" i="3"/>
  <c r="E14" i="2"/>
  <c r="F14" i="2" s="1"/>
  <c r="G14" i="2" s="1"/>
  <c r="H14" i="2" s="1"/>
  <c r="E23" i="2"/>
  <c r="F23" i="2" s="1"/>
  <c r="G23" i="2" s="1"/>
  <c r="H23" i="2" s="1"/>
  <c r="E27" i="2"/>
  <c r="F27" i="2" s="1"/>
  <c r="G27" i="2" s="1"/>
  <c r="H27" i="2" s="1"/>
  <c r="I12" i="2"/>
  <c r="E15" i="2"/>
  <c r="F15" i="2" s="1"/>
  <c r="G15" i="2" s="1"/>
  <c r="H15" i="2" s="1"/>
  <c r="D33" i="2"/>
  <c r="I34" i="2"/>
  <c r="I33" i="2" s="1"/>
  <c r="H10" i="2"/>
  <c r="D10" i="2"/>
  <c r="D8" i="2"/>
  <c r="D22" i="2"/>
  <c r="F32" i="2"/>
  <c r="G32" i="2" s="1"/>
  <c r="H32" i="2" s="1"/>
  <c r="D7" i="2"/>
  <c r="E22" i="2"/>
  <c r="H8" i="2"/>
  <c r="H19" i="3"/>
  <c r="K18" i="3"/>
  <c r="F19" i="3"/>
  <c r="F20" i="3" s="1"/>
  <c r="F21" i="3" s="1"/>
  <c r="K9" i="3"/>
  <c r="I13" i="3"/>
  <c r="K7" i="3"/>
  <c r="J13" i="3"/>
  <c r="J20" i="3" s="1"/>
  <c r="J21" i="3" s="1"/>
  <c r="K12" i="3"/>
  <c r="K11" i="3"/>
  <c r="K10" i="3"/>
  <c r="G13" i="3"/>
  <c r="H13" i="3"/>
  <c r="K8" i="3"/>
  <c r="K16" i="3"/>
  <c r="E13" i="2"/>
  <c r="E17" i="2"/>
  <c r="F17" i="2" s="1"/>
  <c r="G17" i="2" s="1"/>
  <c r="H17" i="2" s="1"/>
  <c r="H7" i="2"/>
  <c r="D11" i="2"/>
  <c r="E16" i="2"/>
  <c r="F16" i="2" s="1"/>
  <c r="G16" i="2" s="1"/>
  <c r="H16" i="2" s="1"/>
  <c r="F21" i="2"/>
  <c r="G21" i="2" s="1"/>
  <c r="H21" i="2" s="1"/>
  <c r="F26" i="2"/>
  <c r="G26" i="2" s="1"/>
  <c r="H26" i="2" s="1"/>
  <c r="I31" i="2" l="1"/>
  <c r="I29" i="2"/>
  <c r="I21" i="2"/>
  <c r="I25" i="2"/>
  <c r="G20" i="3"/>
  <c r="E6" i="2" s="1"/>
  <c r="E7" i="2" s="1"/>
  <c r="E8" i="2"/>
  <c r="E5" i="2" s="1"/>
  <c r="E9" i="2"/>
  <c r="E10" i="2"/>
  <c r="K17" i="3"/>
  <c r="K15" i="3"/>
  <c r="K19" i="3" s="1"/>
  <c r="I19" i="3"/>
  <c r="I20" i="3" s="1"/>
  <c r="I23" i="2"/>
  <c r="D5" i="2"/>
  <c r="D42" i="2" s="1"/>
  <c r="I17" i="2"/>
  <c r="I16" i="2"/>
  <c r="I27" i="2"/>
  <c r="I14" i="2"/>
  <c r="I15" i="2"/>
  <c r="H5" i="2"/>
  <c r="H20" i="3"/>
  <c r="K13" i="3"/>
  <c r="G21" i="3"/>
  <c r="F22" i="2"/>
  <c r="E11" i="2"/>
  <c r="F13" i="2"/>
  <c r="G22" i="2"/>
  <c r="H22" i="2"/>
  <c r="I22" i="2" l="1"/>
  <c r="E42" i="2"/>
  <c r="G6" i="2"/>
  <c r="G10" i="2" s="1"/>
  <c r="I21" i="3"/>
  <c r="H21" i="3"/>
  <c r="F6" i="2"/>
  <c r="K20" i="3"/>
  <c r="K21" i="3" s="1"/>
  <c r="G13" i="2"/>
  <c r="F11" i="2"/>
  <c r="I6" i="2" l="1"/>
  <c r="G7" i="2"/>
  <c r="G9" i="2"/>
  <c r="G8" i="2"/>
  <c r="F7" i="2"/>
  <c r="F9" i="2"/>
  <c r="F8" i="2"/>
  <c r="F10" i="2"/>
  <c r="I10" i="2" s="1"/>
  <c r="H13" i="2"/>
  <c r="G11" i="2"/>
  <c r="G5" i="2" l="1"/>
  <c r="I7" i="2"/>
  <c r="F5" i="2"/>
  <c r="F42" i="2" s="1"/>
  <c r="I8" i="2"/>
  <c r="I9" i="2"/>
  <c r="G42" i="2"/>
  <c r="H11" i="2"/>
  <c r="H42" i="2" s="1"/>
  <c r="I13" i="2"/>
  <c r="I11" i="2" s="1"/>
  <c r="I5" i="2" l="1"/>
  <c r="I42" i="2" s="1"/>
  <c r="B13" i="5" l="1"/>
  <c r="D13" i="5" s="1"/>
  <c r="D15" i="5" s="1"/>
  <c r="B1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</author>
  </authors>
  <commentList>
    <comment ref="A14" authorId="0" shapeId="0" xr:uid="{00000000-0006-0000-0100-000001000000}">
      <text>
        <r>
          <rPr>
            <sz val="9"/>
            <color indexed="81"/>
            <rFont val="Tahoma"/>
            <family val="2"/>
          </rPr>
          <t>Costo total: 30 millones US$
BID: 13 millones US$
TGN: 17 millones US$</t>
        </r>
      </text>
    </comment>
    <comment ref="A27" authorId="0" shapeId="0" xr:uid="{00000000-0006-0000-0100-000002000000}">
      <text>
        <r>
          <rPr>
            <sz val="9"/>
            <color indexed="81"/>
            <rFont val="Tahoma"/>
            <family val="2"/>
          </rPr>
          <t>(i) Definicion e implementacion valvulas reductoras de presion
(ii) Renovacion selectiva de redes
(iii) Macromedicion y sectorizacion de redes
(iv) Implementacion de un SIG EPSAS
(v) Plan de comunicacion (concientizacion)</t>
        </r>
      </text>
    </comment>
  </commentList>
</comments>
</file>

<file path=xl/sharedStrings.xml><?xml version="1.0" encoding="utf-8"?>
<sst xmlns="http://schemas.openxmlformats.org/spreadsheetml/2006/main" count="171" uniqueCount="138">
  <si>
    <t>COMPONENTES</t>
  </si>
  <si>
    <t>BID
(US$)</t>
  </si>
  <si>
    <t>Componente I. Obras de infraestructura</t>
  </si>
  <si>
    <t>Componente II. Gestion de la oferta y la demanda</t>
  </si>
  <si>
    <t>Componente III. Estudios de Preinversion</t>
  </si>
  <si>
    <t>Cochabamba</t>
  </si>
  <si>
    <t>Oruro</t>
  </si>
  <si>
    <t>La Paz - El Alto</t>
  </si>
  <si>
    <t>Componente IV. Gestión de los recursos hídricos y manejo de sequias</t>
  </si>
  <si>
    <t>Año 1</t>
  </si>
  <si>
    <t>Año 2</t>
  </si>
  <si>
    <t>Año 3</t>
  </si>
  <si>
    <t>Año 4</t>
  </si>
  <si>
    <t>Año 5</t>
  </si>
  <si>
    <t>Total</t>
  </si>
  <si>
    <t>1000 SERVICIOS PERSONALES</t>
  </si>
  <si>
    <t>Personal</t>
  </si>
  <si>
    <t>Régimen de Corto Plazo (Salud)</t>
  </si>
  <si>
    <t>Prima de Riesgo Profesional - Régimen de Largo Plazo</t>
  </si>
  <si>
    <t>Aporte Patronal Solidario 3%</t>
  </si>
  <si>
    <t>Aporte Patronal para Vivienda</t>
  </si>
  <si>
    <t>2000 SERVICIOS  NO PERSONALES</t>
  </si>
  <si>
    <t>Comunicaciones</t>
  </si>
  <si>
    <t>Telefonía</t>
  </si>
  <si>
    <t>Internet y Otros</t>
  </si>
  <si>
    <t xml:space="preserve">Pasajes al Interior del País </t>
  </si>
  <si>
    <t>Viáticos por Viajes al Interior del País</t>
  </si>
  <si>
    <t>Seguros</t>
  </si>
  <si>
    <t>Alquiler de Edificios</t>
  </si>
  <si>
    <t>Otros Alquileres</t>
  </si>
  <si>
    <t>Publicidad</t>
  </si>
  <si>
    <t>Servicios de Imprenta, Fotocopiado y Fotograficos</t>
  </si>
  <si>
    <t>3000 MATERIALES Y SUMINISTROS</t>
  </si>
  <si>
    <t>Gastos por refrigerios al personal permanente</t>
  </si>
  <si>
    <t>Gastos por Alimentación y Otros Similares</t>
  </si>
  <si>
    <t>Papel</t>
  </si>
  <si>
    <t>Productos de Artes Gráficas</t>
  </si>
  <si>
    <t>Combustible y lubricantes</t>
  </si>
  <si>
    <t>Llantas y Neumáticos</t>
  </si>
  <si>
    <t>Material de Limpieza</t>
  </si>
  <si>
    <t>Utiles de Escritorio y Oficina</t>
  </si>
  <si>
    <t>Utiles y Materiales Eléctricos</t>
  </si>
  <si>
    <t>Otros Repuestos y Accesorios</t>
  </si>
  <si>
    <t>43000 MAQUINARIA Y EQUIPO</t>
  </si>
  <si>
    <t>Equipo de Oficina y Muebles</t>
  </si>
  <si>
    <t>Equipo de Computación</t>
  </si>
  <si>
    <t xml:space="preserve">Vehículos </t>
  </si>
  <si>
    <t>Equipo de Comunicación</t>
  </si>
  <si>
    <t>Equipo Educacional y Recreativo</t>
  </si>
  <si>
    <t>OTROS</t>
  </si>
  <si>
    <t>TOTAL POR AÑO (USD):</t>
  </si>
  <si>
    <t>PERSONAL DE LA ENTIDAD EJECUTORA</t>
  </si>
  <si>
    <t>Monto (Bs.)</t>
  </si>
  <si>
    <t>N°</t>
  </si>
  <si>
    <t>Cargo</t>
  </si>
  <si>
    <t>Cantidad</t>
  </si>
  <si>
    <t>Salario/Mes</t>
  </si>
  <si>
    <t>Total.</t>
  </si>
  <si>
    <t>PERSONAL GERENCIA Y ADMINISTRATIVO</t>
  </si>
  <si>
    <t>Responsable Técnico del Programa</t>
  </si>
  <si>
    <t>Especialista financiero</t>
  </si>
  <si>
    <t>Especialista en Adquisiciones</t>
  </si>
  <si>
    <t>Especialista Ambiental</t>
  </si>
  <si>
    <t>Especialista en Planificación y Monitoreo</t>
  </si>
  <si>
    <t>Legal</t>
  </si>
  <si>
    <t>Sub Total</t>
  </si>
  <si>
    <t xml:space="preserve">PERSONAL TÉCNICO </t>
  </si>
  <si>
    <t>Ingeniero Civil UCP-PAAP</t>
  </si>
  <si>
    <t>Ingeniero Juniors</t>
  </si>
  <si>
    <t>Mensajero</t>
  </si>
  <si>
    <t>TOTAL GENERAL Bs</t>
  </si>
  <si>
    <t>TOTAL GENERAL USD</t>
  </si>
  <si>
    <r>
      <t xml:space="preserve">GASTOS ADMINISTRATIVOS ENTIDAD EJECUTORA
</t>
    </r>
    <r>
      <rPr>
        <sz val="16"/>
        <color theme="1"/>
        <rFont val="Arial Narrow"/>
        <family val="2"/>
      </rPr>
      <t>(Monto en USD)</t>
    </r>
  </si>
  <si>
    <t>USD</t>
  </si>
  <si>
    <t>Implementación de un sistema de manejo de documentos en la UCP</t>
  </si>
  <si>
    <t>Bolivianos/US$=</t>
  </si>
  <si>
    <t>AUDITORIA, MONITOREO Y EVALUACION</t>
  </si>
  <si>
    <t>Unidad</t>
  </si>
  <si>
    <t>Costo Unitario
US$</t>
  </si>
  <si>
    <t>N° Unidades</t>
  </si>
  <si>
    <t>Total
(USD)</t>
  </si>
  <si>
    <t>Fuente</t>
  </si>
  <si>
    <t>BID</t>
  </si>
  <si>
    <t>Auditorias administrativas/financieras</t>
  </si>
  <si>
    <t>US$/año</t>
  </si>
  <si>
    <t>Suma alzada</t>
  </si>
  <si>
    <t>Evaluación Intermedia del Programa</t>
  </si>
  <si>
    <t>Evaluación Final del Programa</t>
  </si>
  <si>
    <t>Total Auditoria, Monitoreo y Evaluación</t>
  </si>
  <si>
    <t>TOTAL</t>
  </si>
  <si>
    <t>Administración del Programa</t>
  </si>
  <si>
    <t>Monitoreo, Evaluación y Auditoria</t>
  </si>
  <si>
    <t>Obras Proyecto de Planta de Tratamiento de Agua Potable de Pampahasi</t>
  </si>
  <si>
    <t>Supervisión de Obras Proyecto de Planta de Tratamiento de Agua Potable de Pampahasi</t>
  </si>
  <si>
    <t>Supervisión de Obras</t>
  </si>
  <si>
    <t>Obras</t>
  </si>
  <si>
    <t>Suma Alzada</t>
  </si>
  <si>
    <t>Costo Unitario 
(US$)</t>
  </si>
  <si>
    <t>Obras Proyecto de agua potable para recientes asentamientos urbanos de la ciudad de oruro APRAUR en la ciudad de Oruro</t>
  </si>
  <si>
    <t>Supervisión de Obras Proyecto de agua potable para recientes asentamientos urbanos de la ciudad de oruro APRAUR en la ciudad de Oruro</t>
  </si>
  <si>
    <t>TOTAL
(US$)</t>
  </si>
  <si>
    <t>KIF
(US$)</t>
  </si>
  <si>
    <t>Implementación de la gestión de la oferta y la demanda en EPSAs La Paz - El Alto</t>
  </si>
  <si>
    <t>Supervisión a la elaboración de los estudios de preinversión para otros proyectos en La Paz - El Alto, Cochabamba, Oruro, Sucre y Potosi</t>
  </si>
  <si>
    <t>Elaboración de los Estudios de preinversión para otros proyectos en La Paz - El Alto, Cochabamba, Oruro, Sucre y Potosi</t>
  </si>
  <si>
    <t>Gestión de la Ofreta y la Demanda</t>
  </si>
  <si>
    <t>Supervisión de Estudios de Preinversión</t>
  </si>
  <si>
    <t>Estudios de Preinversión</t>
  </si>
  <si>
    <t>Componente I.  Obras de Infraestructura</t>
  </si>
  <si>
    <t>Componente II. Gestión de la Oferta y la Demanda</t>
  </si>
  <si>
    <t>Componente III. Estudios de Preinversión</t>
  </si>
  <si>
    <t>Fuentes (USD)</t>
  </si>
  <si>
    <t>KIF</t>
  </si>
  <si>
    <t>Implementación de la gestión de la oferta y la demanda en operador de Cochabamba, Oruro, Sucre y Potosí</t>
  </si>
  <si>
    <t>Cochabamba, Oruro, Sucre y Potosí</t>
  </si>
  <si>
    <t>Implementación de Planes de sequias</t>
  </si>
  <si>
    <t xml:space="preserve">Monitoreo y mejora de disponibilidad de información </t>
  </si>
  <si>
    <t>Elaboración de Planes de sequias (incluye estudios, modelación y levantamiento de data, diseño)</t>
  </si>
  <si>
    <t>Asesorias especializadas</t>
  </si>
  <si>
    <t>Especialista Social UCP-PAAP</t>
  </si>
  <si>
    <t>Obras Proyecto Linea de Aduccion 5 Jove Rancho - Quillacollo</t>
  </si>
  <si>
    <t>Supervisión de Obras Proyecto Linea de Aduccion 5 Jove Rancho - Quillacollo</t>
  </si>
  <si>
    <t>Obras Proyecto Linea de Aduccion 6 Jove Rancho - Quillacollo (Chojñacollo) - Vinto - Sipesipe</t>
  </si>
  <si>
    <t>Supervisión de Obras Proyecto Linea de Aduccion 6 Jove Rancho - Quillacollo (Chojñacollo) - Vinto - Sipesipe</t>
  </si>
  <si>
    <t>Obras Proyecto Linea de Aduccion 2 Jove Rancho - Colcapirhua - Zona Sur</t>
  </si>
  <si>
    <t>Surpevisión de Obras Proyecto Linea de Aduccion 2 Jove Rancho - Colcapirhua - Zona Sur</t>
  </si>
  <si>
    <t>Obras otros proyectos en Sucre y Potosi</t>
  </si>
  <si>
    <t>Supervisión de obras de otros proyectos en Sucre y Potosi</t>
  </si>
  <si>
    <t>Otros proyectos en Sucre y Potosi</t>
  </si>
  <si>
    <t>Gestión Social de proyectos en La Paz-El Alto, Cochabamba, Oruro, Sucre y Potosi</t>
  </si>
  <si>
    <t>Cuadro de Costos (US$)</t>
  </si>
  <si>
    <t>Cuadro de Costos</t>
  </si>
  <si>
    <t>Componente IV. Gestión de Recursos Hídricos y Manejo de Sequias</t>
  </si>
  <si>
    <t>BO-L1191</t>
  </si>
  <si>
    <t>Programa de Ampliación y Mejora para Abastecimiento Sostenible y Resiliente de Agua en Ciudades (BO-L1191)</t>
  </si>
  <si>
    <t xml:space="preserve">Programa de Ampliación y Mejora para Abastecimiento Sostenible y Resiliente de Agua en Ciudades </t>
  </si>
  <si>
    <t>Programa: "Ampliación y Mejora para Abastecimiento Sostenaible y Resiliente de Agua a Ciudades"</t>
  </si>
  <si>
    <t>MONITOREO, EVALUACIÓN Y AUDITORIA - PROGRAMA BO-L1191
UCP PAAP - MMAyA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</si>
</sst>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Alignment="1"/>
    <xf numFmtId="9" fontId="6" fillId="0" borderId="0" xfId="0" applyNumberFormat="1" applyFont="1" applyAlignment="1">
      <alignment horizontal="center"/>
    </xf>
    <xf numFmtId="0" fontId="3" fillId="0" borderId="0" xfId="0" applyFont="1"/>
    <xf numFmtId="4" fontId="8" fillId="6" borderId="2" xfId="0" applyNumberFormat="1" applyFont="1" applyFill="1" applyBorder="1"/>
    <xf numFmtId="165" fontId="0" fillId="0" borderId="0" xfId="3" applyFont="1"/>
    <xf numFmtId="1" fontId="9" fillId="0" borderId="2" xfId="0" applyNumberFormat="1" applyFont="1" applyBorder="1"/>
    <xf numFmtId="49" fontId="9" fillId="0" borderId="2" xfId="0" applyNumberFormat="1" applyFont="1" applyBorder="1" applyAlignment="1"/>
    <xf numFmtId="4" fontId="9" fillId="0" borderId="2" xfId="0" applyNumberFormat="1" applyFont="1" applyBorder="1"/>
    <xf numFmtId="10" fontId="0" fillId="0" borderId="0" xfId="4" applyNumberFormat="1" applyFont="1"/>
    <xf numFmtId="4" fontId="7" fillId="6" borderId="2" xfId="0" applyNumberFormat="1" applyFont="1" applyFill="1" applyBorder="1"/>
    <xf numFmtId="0" fontId="0" fillId="5" borderId="0" xfId="0" applyFill="1"/>
    <xf numFmtId="0" fontId="10" fillId="0" borderId="2" xfId="0" applyFont="1" applyFill="1" applyBorder="1"/>
    <xf numFmtId="4" fontId="9" fillId="5" borderId="2" xfId="0" applyNumberFormat="1" applyFont="1" applyFill="1" applyBorder="1"/>
    <xf numFmtId="4" fontId="9" fillId="0" borderId="2" xfId="0" applyNumberFormat="1" applyFont="1" applyFill="1" applyBorder="1"/>
    <xf numFmtId="0" fontId="10" fillId="5" borderId="0" xfId="0" applyFont="1" applyFill="1"/>
    <xf numFmtId="0" fontId="10" fillId="0" borderId="0" xfId="0" applyFont="1"/>
    <xf numFmtId="4" fontId="10" fillId="0" borderId="2" xfId="0" applyNumberFormat="1" applyFont="1" applyBorder="1"/>
    <xf numFmtId="0" fontId="0" fillId="0" borderId="2" xfId="0" applyBorder="1"/>
    <xf numFmtId="0" fontId="0" fillId="0" borderId="2" xfId="0" applyBorder="1" applyAlignment="1"/>
    <xf numFmtId="165" fontId="7" fillId="6" borderId="2" xfId="3" applyFont="1" applyFill="1" applyBorder="1"/>
    <xf numFmtId="4" fontId="0" fillId="0" borderId="0" xfId="0" applyNumberFormat="1"/>
    <xf numFmtId="0" fontId="13" fillId="0" borderId="0" xfId="0" applyFont="1"/>
    <xf numFmtId="165" fontId="13" fillId="0" borderId="0" xfId="3" applyFont="1"/>
    <xf numFmtId="165" fontId="14" fillId="7" borderId="2" xfId="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5" fillId="0" borderId="8" xfId="3" applyFont="1" applyFill="1" applyBorder="1" applyAlignment="1">
      <alignment horizontal="left"/>
    </xf>
    <xf numFmtId="165" fontId="15" fillId="0" borderId="9" xfId="3" applyFont="1" applyFill="1" applyBorder="1" applyAlignment="1">
      <alignment horizontal="left"/>
    </xf>
    <xf numFmtId="165" fontId="14" fillId="0" borderId="9" xfId="3" applyFont="1" applyFill="1" applyBorder="1" applyAlignment="1">
      <alignment horizontal="center"/>
    </xf>
    <xf numFmtId="165" fontId="14" fillId="0" borderId="3" xfId="3" applyFont="1" applyFill="1" applyBorder="1" applyAlignment="1">
      <alignment horizontal="center"/>
    </xf>
    <xf numFmtId="0" fontId="0" fillId="5" borderId="2" xfId="0" applyFont="1" applyFill="1" applyBorder="1" applyAlignment="1">
      <alignment wrapText="1"/>
    </xf>
    <xf numFmtId="165" fontId="0" fillId="0" borderId="2" xfId="3" applyFont="1" applyBorder="1"/>
    <xf numFmtId="43" fontId="0" fillId="0" borderId="2" xfId="3" applyNumberFormat="1" applyFont="1" applyBorder="1"/>
    <xf numFmtId="0" fontId="0" fillId="0" borderId="2" xfId="0" applyFont="1" applyBorder="1" applyAlignment="1">
      <alignment wrapText="1"/>
    </xf>
    <xf numFmtId="0" fontId="0" fillId="0" borderId="8" xfId="0" applyFill="1" applyBorder="1"/>
    <xf numFmtId="0" fontId="3" fillId="0" borderId="9" xfId="0" applyFont="1" applyFill="1" applyBorder="1" applyAlignment="1">
      <alignment horizontal="center" vertical="center"/>
    </xf>
    <xf numFmtId="165" fontId="0" fillId="0" borderId="3" xfId="3" applyFont="1" applyFill="1" applyBorder="1"/>
    <xf numFmtId="165" fontId="3" fillId="0" borderId="2" xfId="3" applyFont="1" applyFill="1" applyBorder="1"/>
    <xf numFmtId="0" fontId="0" fillId="0" borderId="2" xfId="0" applyFont="1" applyBorder="1"/>
    <xf numFmtId="0" fontId="0" fillId="0" borderId="2" xfId="0" applyFont="1" applyFill="1" applyBorder="1"/>
    <xf numFmtId="43" fontId="8" fillId="0" borderId="2" xfId="0" applyNumberFormat="1" applyFont="1" applyBorder="1"/>
    <xf numFmtId="0" fontId="16" fillId="0" borderId="0" xfId="0" applyFont="1" applyAlignment="1">
      <alignment horizontal="center" wrapText="1"/>
    </xf>
    <xf numFmtId="0" fontId="0" fillId="0" borderId="0" xfId="0" applyFont="1"/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3" applyFont="1" applyAlignment="1">
      <alignment vertical="center"/>
    </xf>
    <xf numFmtId="0" fontId="2" fillId="8" borderId="0" xfId="0" applyFont="1" applyFill="1" applyAlignment="1">
      <alignment vertical="center" wrapText="1"/>
    </xf>
    <xf numFmtId="165" fontId="2" fillId="4" borderId="2" xfId="3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 wrapText="1"/>
    </xf>
    <xf numFmtId="0" fontId="18" fillId="0" borderId="0" xfId="0" applyFont="1"/>
    <xf numFmtId="49" fontId="19" fillId="0" borderId="2" xfId="0" applyNumberFormat="1" applyFont="1" applyBorder="1" applyAlignment="1">
      <alignment wrapText="1"/>
    </xf>
    <xf numFmtId="49" fontId="19" fillId="0" borderId="2" xfId="0" applyNumberFormat="1" applyFont="1" applyBorder="1" applyAlignment="1">
      <alignment horizontal="center" wrapText="1"/>
    </xf>
    <xf numFmtId="41" fontId="19" fillId="0" borderId="2" xfId="1" applyFont="1" applyBorder="1" applyAlignment="1">
      <alignment wrapText="1"/>
    </xf>
    <xf numFmtId="41" fontId="19" fillId="0" borderId="2" xfId="1" applyFont="1" applyBorder="1"/>
    <xf numFmtId="41" fontId="18" fillId="0" borderId="2" xfId="1" applyFont="1" applyBorder="1"/>
    <xf numFmtId="0" fontId="19" fillId="0" borderId="0" xfId="0" applyFont="1"/>
    <xf numFmtId="49" fontId="20" fillId="0" borderId="2" xfId="0" applyNumberFormat="1" applyFont="1" applyBorder="1" applyAlignment="1">
      <alignment wrapText="1"/>
    </xf>
    <xf numFmtId="41" fontId="20" fillId="0" borderId="2" xfId="1" applyFont="1" applyBorder="1" applyAlignment="1">
      <alignment wrapText="1"/>
    </xf>
    <xf numFmtId="167" fontId="19" fillId="0" borderId="2" xfId="1" applyNumberFormat="1" applyFont="1" applyBorder="1"/>
    <xf numFmtId="41" fontId="21" fillId="3" borderId="2" xfId="0" applyNumberFormat="1" applyFont="1" applyFill="1" applyBorder="1" applyAlignment="1"/>
    <xf numFmtId="0" fontId="21" fillId="0" borderId="0" xfId="0" applyFont="1"/>
    <xf numFmtId="41" fontId="18" fillId="0" borderId="0" xfId="0" applyNumberFormat="1" applyFont="1"/>
    <xf numFmtId="165" fontId="18" fillId="0" borderId="0" xfId="3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justify" vertical="center"/>
    </xf>
    <xf numFmtId="0" fontId="23" fillId="0" borderId="0" xfId="0" applyFont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3" fontId="26" fillId="2" borderId="11" xfId="0" applyNumberFormat="1" applyFont="1" applyFill="1" applyBorder="1" applyAlignment="1">
      <alignment horizontal="center" vertical="center" wrapText="1"/>
    </xf>
    <xf numFmtId="3" fontId="23" fillId="3" borderId="2" xfId="0" applyNumberFormat="1" applyFont="1" applyFill="1" applyBorder="1" applyAlignment="1">
      <alignment vertical="center"/>
    </xf>
    <xf numFmtId="167" fontId="23" fillId="3" borderId="2" xfId="3" applyNumberFormat="1" applyFont="1" applyFill="1" applyBorder="1" applyAlignment="1">
      <alignment vertical="center"/>
    </xf>
    <xf numFmtId="167" fontId="23" fillId="3" borderId="13" xfId="3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1" fontId="26" fillId="4" borderId="1" xfId="0" applyNumberFormat="1" applyFont="1" applyFill="1" applyBorder="1" applyAlignment="1">
      <alignment horizontal="left" vertical="center" wrapText="1"/>
    </xf>
    <xf numFmtId="1" fontId="26" fillId="4" borderId="2" xfId="0" applyNumberFormat="1" applyFont="1" applyFill="1" applyBorder="1" applyAlignment="1">
      <alignment horizontal="left" vertical="center" wrapText="1" indent="1"/>
    </xf>
    <xf numFmtId="3" fontId="26" fillId="4" borderId="2" xfId="0" applyNumberFormat="1" applyFont="1" applyFill="1" applyBorder="1" applyAlignment="1">
      <alignment vertical="center" wrapText="1"/>
    </xf>
    <xf numFmtId="167" fontId="26" fillId="4" borderId="2" xfId="3" applyNumberFormat="1" applyFont="1" applyFill="1" applyBorder="1" applyAlignment="1">
      <alignment vertical="center" wrapText="1"/>
    </xf>
    <xf numFmtId="1" fontId="27" fillId="5" borderId="1" xfId="0" applyNumberFormat="1" applyFont="1" applyFill="1" applyBorder="1" applyAlignment="1">
      <alignment horizontal="left" vertical="center" wrapText="1"/>
    </xf>
    <xf numFmtId="1" fontId="27" fillId="5" borderId="2" xfId="0" applyNumberFormat="1" applyFont="1" applyFill="1" applyBorder="1" applyAlignment="1">
      <alignment horizontal="left" vertical="center" wrapText="1"/>
    </xf>
    <xf numFmtId="1" fontId="27" fillId="5" borderId="2" xfId="0" applyNumberFormat="1" applyFont="1" applyFill="1" applyBorder="1" applyAlignment="1">
      <alignment horizontal="center" vertical="center" wrapText="1"/>
    </xf>
    <xf numFmtId="167" fontId="27" fillId="5" borderId="2" xfId="3" applyNumberFormat="1" applyFont="1" applyFill="1" applyBorder="1" applyAlignment="1">
      <alignment horizontal="left" vertical="center" wrapText="1" indent="2"/>
    </xf>
    <xf numFmtId="3" fontId="24" fillId="0" borderId="2" xfId="1" applyNumberFormat="1" applyFont="1" applyFill="1" applyBorder="1" applyAlignment="1">
      <alignment vertical="center"/>
    </xf>
    <xf numFmtId="167" fontId="24" fillId="0" borderId="2" xfId="3" applyNumberFormat="1" applyFont="1" applyFill="1" applyBorder="1" applyAlignment="1">
      <alignment vertical="center"/>
    </xf>
    <xf numFmtId="167" fontId="24" fillId="0" borderId="2" xfId="3" applyNumberFormat="1" applyFont="1" applyBorder="1" applyAlignment="1">
      <alignment vertical="center"/>
    </xf>
    <xf numFmtId="167" fontId="24" fillId="0" borderId="13" xfId="3" applyNumberFormat="1" applyFont="1" applyBorder="1" applyAlignment="1">
      <alignment vertical="center"/>
    </xf>
    <xf numFmtId="0" fontId="24" fillId="0" borderId="16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23" fillId="3" borderId="3" xfId="0" applyNumberFormat="1" applyFont="1" applyFill="1" applyBorder="1" applyAlignment="1">
      <alignment vertical="center"/>
    </xf>
    <xf numFmtId="1" fontId="26" fillId="4" borderId="17" xfId="0" applyNumberFormat="1" applyFont="1" applyFill="1" applyBorder="1" applyAlignment="1">
      <alignment horizontal="left" vertical="center" wrapText="1"/>
    </xf>
    <xf numFmtId="1" fontId="26" fillId="4" borderId="4" xfId="0" applyNumberFormat="1" applyFont="1" applyFill="1" applyBorder="1" applyAlignment="1">
      <alignment horizontal="left" vertical="center" wrapText="1" indent="1"/>
    </xf>
    <xf numFmtId="165" fontId="26" fillId="4" borderId="2" xfId="3" applyFont="1" applyFill="1" applyBorder="1" applyAlignment="1">
      <alignment vertical="center" wrapText="1"/>
    </xf>
    <xf numFmtId="1" fontId="27" fillId="5" borderId="2" xfId="0" applyNumberFormat="1" applyFont="1" applyFill="1" applyBorder="1" applyAlignment="1">
      <alignment vertical="center" wrapText="1"/>
    </xf>
    <xf numFmtId="165" fontId="24" fillId="0" borderId="2" xfId="3" applyFont="1" applyBorder="1" applyAlignment="1">
      <alignment vertical="center"/>
    </xf>
    <xf numFmtId="165" fontId="24" fillId="0" borderId="2" xfId="3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167" fontId="24" fillId="0" borderId="2" xfId="3" applyNumberFormat="1" applyFont="1" applyBorder="1" applyAlignment="1">
      <alignment horizontal="center" vertical="center"/>
    </xf>
    <xf numFmtId="167" fontId="24" fillId="0" borderId="13" xfId="3" applyNumberFormat="1" applyFont="1" applyBorder="1" applyAlignment="1">
      <alignment horizontal="center" vertical="center"/>
    </xf>
    <xf numFmtId="1" fontId="27" fillId="5" borderId="1" xfId="0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3" fontId="24" fillId="0" borderId="0" xfId="0" applyNumberFormat="1" applyFont="1" applyAlignment="1">
      <alignment vertical="center"/>
    </xf>
    <xf numFmtId="9" fontId="23" fillId="4" borderId="2" xfId="4" applyFont="1" applyFill="1" applyBorder="1" applyAlignment="1">
      <alignment vertical="center"/>
    </xf>
    <xf numFmtId="0" fontId="26" fillId="2" borderId="1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165" fontId="23" fillId="3" borderId="3" xfId="3" applyFont="1" applyFill="1" applyBorder="1" applyAlignment="1">
      <alignment vertical="center"/>
    </xf>
    <xf numFmtId="10" fontId="11" fillId="0" borderId="6" xfId="4" applyNumberFormat="1" applyFont="1" applyFill="1" applyBorder="1"/>
    <xf numFmtId="3" fontId="26" fillId="2" borderId="12" xfId="0" applyNumberFormat="1" applyFont="1" applyFill="1" applyBorder="1" applyAlignment="1">
      <alignment horizontal="center" vertical="center" wrapText="1"/>
    </xf>
    <xf numFmtId="3" fontId="23" fillId="3" borderId="13" xfId="0" applyNumberFormat="1" applyFont="1" applyFill="1" applyBorder="1" applyAlignment="1">
      <alignment vertical="center"/>
    </xf>
    <xf numFmtId="167" fontId="26" fillId="4" borderId="18" xfId="3" applyNumberFormat="1" applyFont="1" applyFill="1" applyBorder="1" applyAlignment="1">
      <alignment vertical="center" wrapText="1"/>
    </xf>
    <xf numFmtId="167" fontId="24" fillId="0" borderId="18" xfId="3" applyNumberFormat="1" applyFont="1" applyFill="1" applyBorder="1" applyAlignment="1">
      <alignment vertical="center"/>
    </xf>
    <xf numFmtId="3" fontId="23" fillId="3" borderId="18" xfId="0" applyNumberFormat="1" applyFont="1" applyFill="1" applyBorder="1" applyAlignment="1">
      <alignment vertical="center"/>
    </xf>
    <xf numFmtId="3" fontId="26" fillId="4" borderId="13" xfId="0" applyNumberFormat="1" applyFont="1" applyFill="1" applyBorder="1" applyAlignment="1">
      <alignment vertical="center" wrapText="1"/>
    </xf>
    <xf numFmtId="1" fontId="27" fillId="5" borderId="5" xfId="0" applyNumberFormat="1" applyFont="1" applyFill="1" applyBorder="1" applyAlignment="1">
      <alignment vertical="center" wrapText="1"/>
    </xf>
    <xf numFmtId="1" fontId="27" fillId="5" borderId="14" xfId="0" applyNumberFormat="1" applyFont="1" applyFill="1" applyBorder="1" applyAlignment="1">
      <alignment vertical="center" wrapText="1"/>
    </xf>
    <xf numFmtId="1" fontId="27" fillId="5" borderId="14" xfId="0" applyNumberFormat="1" applyFont="1" applyFill="1" applyBorder="1" applyAlignment="1">
      <alignment horizontal="center" vertical="center" wrapText="1"/>
    </xf>
    <xf numFmtId="167" fontId="24" fillId="0" borderId="14" xfId="3" applyNumberFormat="1" applyFont="1" applyBorder="1" applyAlignment="1">
      <alignment vertical="center"/>
    </xf>
    <xf numFmtId="167" fontId="24" fillId="0" borderId="15" xfId="3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wrapText="1"/>
    </xf>
    <xf numFmtId="164" fontId="0" fillId="0" borderId="2" xfId="5" applyNumberFormat="1" applyFont="1" applyBorder="1"/>
    <xf numFmtId="164" fontId="0" fillId="0" borderId="13" xfId="5" applyNumberFormat="1" applyFont="1" applyBorder="1"/>
    <xf numFmtId="0" fontId="0" fillId="0" borderId="1" xfId="0" applyFont="1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164" fontId="3" fillId="4" borderId="14" xfId="0" applyNumberFormat="1" applyFont="1" applyFill="1" applyBorder="1" applyAlignment="1">
      <alignment horizontal="center"/>
    </xf>
    <xf numFmtId="164" fontId="3" fillId="4" borderId="15" xfId="0" applyNumberFormat="1" applyFont="1" applyFill="1" applyBorder="1" applyAlignment="1">
      <alignment horizontal="center"/>
    </xf>
    <xf numFmtId="164" fontId="0" fillId="0" borderId="0" xfId="5" applyFont="1" applyAlignment="1">
      <alignment wrapText="1"/>
    </xf>
    <xf numFmtId="164" fontId="0" fillId="0" borderId="0" xfId="5" applyFont="1"/>
    <xf numFmtId="164" fontId="0" fillId="0" borderId="0" xfId="0" applyNumberFormat="1" applyFont="1"/>
    <xf numFmtId="167" fontId="27" fillId="5" borderId="2" xfId="3" applyNumberFormat="1" applyFont="1" applyFill="1" applyBorder="1" applyAlignment="1">
      <alignment vertical="center"/>
    </xf>
    <xf numFmtId="167" fontId="27" fillId="5" borderId="14" xfId="3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28" fillId="2" borderId="11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left" vertical="center" wrapText="1"/>
    </xf>
    <xf numFmtId="0" fontId="24" fillId="4" borderId="9" xfId="0" applyFont="1" applyFill="1" applyBorder="1" applyAlignment="1">
      <alignment horizontal="left" vertical="center" wrapText="1"/>
    </xf>
    <xf numFmtId="0" fontId="24" fillId="4" borderId="3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49" fontId="7" fillId="6" borderId="8" xfId="0" applyNumberFormat="1" applyFont="1" applyFill="1" applyBorder="1" applyAlignment="1">
      <alignment horizontal="left"/>
    </xf>
    <xf numFmtId="49" fontId="7" fillId="6" borderId="3" xfId="0" applyNumberFormat="1" applyFont="1" applyFill="1" applyBorder="1" applyAlignment="1">
      <alignment horizontal="left"/>
    </xf>
    <xf numFmtId="49" fontId="7" fillId="6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5" fontId="14" fillId="7" borderId="2" xfId="3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left"/>
    </xf>
    <xf numFmtId="0" fontId="2" fillId="8" borderId="0" xfId="0" applyFont="1" applyFill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</cellXfs>
  <cellStyles count="6">
    <cellStyle name="Comma" xfId="3" builtinId="3"/>
    <cellStyle name="Comma [0]" xfId="1" builtinId="6"/>
    <cellStyle name="Millares [0] 2" xfId="5" xr:uid="{00000000-0005-0000-0000-000002000000}"/>
    <cellStyle name="Millares 2 3" xfId="2" xr:uid="{00000000-0005-0000-0000-000003000000}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BOLIVIA_BOL1191/Documentos%20basse/Gastos%20de%20Administraci&#243;n%20CIUDADES%2028.08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"/>
      <sheetName val="Adm_Costos Operativos"/>
      <sheetName val="Calculos Menores"/>
      <sheetName val="seguros"/>
    </sheetNames>
    <sheetDataSet>
      <sheetData sheetId="0">
        <row r="20">
          <cell r="F20">
            <v>2567856</v>
          </cell>
          <cell r="J20">
            <v>842808</v>
          </cell>
        </row>
      </sheetData>
      <sheetData sheetId="1"/>
      <sheetData sheetId="2">
        <row r="3">
          <cell r="L3">
            <v>50688</v>
          </cell>
        </row>
        <row r="8">
          <cell r="E8">
            <v>158060</v>
          </cell>
        </row>
        <row r="14">
          <cell r="K14">
            <v>17361.599999999999</v>
          </cell>
        </row>
        <row r="15">
          <cell r="E15">
            <v>336992</v>
          </cell>
        </row>
        <row r="19">
          <cell r="K19">
            <v>11868</v>
          </cell>
        </row>
        <row r="21">
          <cell r="E21">
            <v>39596</v>
          </cell>
        </row>
        <row r="26">
          <cell r="E26">
            <v>30000</v>
          </cell>
          <cell r="K26">
            <v>46800</v>
          </cell>
        </row>
        <row r="31">
          <cell r="K31">
            <v>12000</v>
          </cell>
        </row>
        <row r="41">
          <cell r="E41">
            <v>204176</v>
          </cell>
          <cell r="F41">
            <v>51940</v>
          </cell>
        </row>
      </sheetData>
      <sheetData sheetId="3">
        <row r="7">
          <cell r="D7">
            <v>11385.139839728045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1"/>
  <sheetViews>
    <sheetView zoomScale="96" zoomScaleNormal="96" workbookViewId="0">
      <selection activeCell="A2" sqref="A2:D2"/>
    </sheetView>
  </sheetViews>
  <sheetFormatPr defaultColWidth="11.44140625" defaultRowHeight="14.4" x14ac:dyDescent="0.3"/>
  <cols>
    <col min="1" max="1" width="48.33203125" style="125" customWidth="1"/>
    <col min="2" max="2" width="16.5546875" style="43" customWidth="1"/>
    <col min="3" max="3" width="14.44140625" style="43" customWidth="1"/>
    <col min="4" max="4" width="14.5546875" style="43" customWidth="1"/>
    <col min="5" max="16384" width="11.44140625" style="43"/>
  </cols>
  <sheetData>
    <row r="2" spans="1:4" x14ac:dyDescent="0.3">
      <c r="A2" s="142" t="s">
        <v>135</v>
      </c>
      <c r="B2" s="142"/>
      <c r="C2" s="142"/>
      <c r="D2" s="142"/>
    </row>
    <row r="3" spans="1:4" x14ac:dyDescent="0.3">
      <c r="A3" s="142" t="s">
        <v>133</v>
      </c>
      <c r="B3" s="142"/>
      <c r="C3" s="142"/>
      <c r="D3" s="142"/>
    </row>
    <row r="4" spans="1:4" x14ac:dyDescent="0.3">
      <c r="A4" s="142" t="s">
        <v>130</v>
      </c>
      <c r="B4" s="142"/>
      <c r="C4" s="142"/>
      <c r="D4" s="142"/>
    </row>
    <row r="5" spans="1:4" x14ac:dyDescent="0.3">
      <c r="A5" s="124"/>
      <c r="B5" s="124"/>
      <c r="C5" s="124"/>
      <c r="D5" s="124"/>
    </row>
    <row r="6" spans="1:4" ht="15" thickBot="1" x14ac:dyDescent="0.35"/>
    <row r="7" spans="1:4" x14ac:dyDescent="0.3">
      <c r="A7" s="126" t="s">
        <v>0</v>
      </c>
      <c r="B7" s="143" t="s">
        <v>111</v>
      </c>
      <c r="C7" s="143"/>
      <c r="D7" s="144"/>
    </row>
    <row r="8" spans="1:4" x14ac:dyDescent="0.3">
      <c r="A8" s="127"/>
      <c r="B8" s="128" t="s">
        <v>82</v>
      </c>
      <c r="C8" s="128" t="s">
        <v>112</v>
      </c>
      <c r="D8" s="129" t="s">
        <v>89</v>
      </c>
    </row>
    <row r="9" spans="1:4" x14ac:dyDescent="0.3">
      <c r="A9" s="130" t="s">
        <v>108</v>
      </c>
      <c r="B9" s="131">
        <f>+Componentes!F5</f>
        <v>41961841.899999999</v>
      </c>
      <c r="C9" s="131">
        <f>+Componentes!G5</f>
        <v>13500000</v>
      </c>
      <c r="D9" s="132">
        <f>+C9+B9</f>
        <v>55461841.899999999</v>
      </c>
    </row>
    <row r="10" spans="1:4" x14ac:dyDescent="0.3">
      <c r="A10" s="130" t="s">
        <v>109</v>
      </c>
      <c r="B10" s="131">
        <f>+Componentes!F25</f>
        <v>0</v>
      </c>
      <c r="C10" s="131">
        <f>+Componentes!G25</f>
        <v>11500000</v>
      </c>
      <c r="D10" s="132">
        <f t="shared" ref="D10:D12" si="0">+C10+B10</f>
        <v>11500000</v>
      </c>
    </row>
    <row r="11" spans="1:4" x14ac:dyDescent="0.3">
      <c r="A11" s="130" t="s">
        <v>110</v>
      </c>
      <c r="B11" s="131">
        <f>+Componentes!F31</f>
        <v>2000000</v>
      </c>
      <c r="C11" s="131">
        <f>+Componentes!G31</f>
        <v>0</v>
      </c>
      <c r="D11" s="132">
        <f t="shared" si="0"/>
        <v>2000000</v>
      </c>
    </row>
    <row r="12" spans="1:4" ht="28.8" x14ac:dyDescent="0.3">
      <c r="A12" s="130" t="s">
        <v>132</v>
      </c>
      <c r="B12" s="131">
        <f>+Componentes!F35</f>
        <v>2500000</v>
      </c>
      <c r="C12" s="131">
        <f>+Componentes!G35</f>
        <v>0</v>
      </c>
      <c r="D12" s="132">
        <f t="shared" si="0"/>
        <v>2500000</v>
      </c>
    </row>
    <row r="13" spans="1:4" x14ac:dyDescent="0.3">
      <c r="A13" s="133" t="s">
        <v>90</v>
      </c>
      <c r="B13" s="131">
        <f>+'Adm_Costos Operativos'!I42</f>
        <v>3038158.0311395479</v>
      </c>
      <c r="C13" s="131">
        <v>0</v>
      </c>
      <c r="D13" s="132">
        <f>+C13+B13</f>
        <v>3038158.0311395479</v>
      </c>
    </row>
    <row r="14" spans="1:4" x14ac:dyDescent="0.3">
      <c r="A14" s="133" t="s">
        <v>91</v>
      </c>
      <c r="B14" s="131">
        <f>+'M&amp;E_Auditoria'!E11</f>
        <v>500000</v>
      </c>
      <c r="C14" s="131">
        <v>0</v>
      </c>
      <c r="D14" s="132">
        <f>+C14+B14</f>
        <v>500000</v>
      </c>
    </row>
    <row r="15" spans="1:4" ht="15" thickBot="1" x14ac:dyDescent="0.35">
      <c r="A15" s="134" t="s">
        <v>89</v>
      </c>
      <c r="B15" s="135">
        <f t="shared" ref="B15:D15" si="1">SUM(B9:B14)</f>
        <v>49999999.931139544</v>
      </c>
      <c r="C15" s="135">
        <f t="shared" si="1"/>
        <v>25000000</v>
      </c>
      <c r="D15" s="136">
        <f t="shared" si="1"/>
        <v>74999999.931139559</v>
      </c>
    </row>
    <row r="16" spans="1:4" x14ac:dyDescent="0.3">
      <c r="A16" s="137"/>
      <c r="B16" s="138"/>
      <c r="C16" s="138"/>
      <c r="D16" s="138"/>
    </row>
    <row r="17" spans="1:4" x14ac:dyDescent="0.3">
      <c r="A17" s="137"/>
      <c r="B17" s="138"/>
      <c r="C17" s="138"/>
      <c r="D17" s="138"/>
    </row>
    <row r="18" spans="1:4" x14ac:dyDescent="0.3">
      <c r="A18" s="137"/>
      <c r="B18" s="138"/>
      <c r="C18" s="138"/>
      <c r="D18" s="138"/>
    </row>
    <row r="19" spans="1:4" x14ac:dyDescent="0.3">
      <c r="B19" s="139"/>
      <c r="C19" s="139"/>
      <c r="D19" s="139"/>
    </row>
    <row r="21" spans="1:4" x14ac:dyDescent="0.3">
      <c r="C21" s="139"/>
    </row>
  </sheetData>
  <mergeCells count="4">
    <mergeCell ref="A2:D2"/>
    <mergeCell ref="A3:D3"/>
    <mergeCell ref="A4:D4"/>
    <mergeCell ref="B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H45"/>
  <sheetViews>
    <sheetView zoomScale="87" zoomScaleNormal="87" workbookViewId="0">
      <selection sqref="A1:F1"/>
    </sheetView>
  </sheetViews>
  <sheetFormatPr defaultColWidth="11.44140625" defaultRowHeight="12" x14ac:dyDescent="0.3"/>
  <cols>
    <col min="1" max="1" width="79.109375" style="105" customWidth="1"/>
    <col min="2" max="2" width="15.109375" style="105" customWidth="1"/>
    <col min="3" max="3" width="10.88671875" style="105" customWidth="1"/>
    <col min="4" max="4" width="13" style="105" bestFit="1" customWidth="1"/>
    <col min="5" max="5" width="12.88671875" style="106" bestFit="1" customWidth="1"/>
    <col min="6" max="6" width="13" style="106" bestFit="1" customWidth="1"/>
    <col min="7" max="7" width="12.6640625" style="106" bestFit="1" customWidth="1"/>
    <col min="8" max="16384" width="11.44140625" style="67"/>
  </cols>
  <sheetData>
    <row r="1" spans="1:7" x14ac:dyDescent="0.3">
      <c r="A1" s="148" t="s">
        <v>134</v>
      </c>
      <c r="B1" s="148"/>
      <c r="C1" s="148"/>
      <c r="D1" s="148"/>
      <c r="E1" s="148"/>
      <c r="F1" s="148"/>
      <c r="G1" s="68"/>
    </row>
    <row r="2" spans="1:7" x14ac:dyDescent="0.3">
      <c r="A2" s="148" t="s">
        <v>131</v>
      </c>
      <c r="B2" s="148"/>
      <c r="C2" s="148"/>
      <c r="D2" s="148"/>
      <c r="E2" s="148"/>
      <c r="F2" s="148"/>
      <c r="G2" s="68"/>
    </row>
    <row r="3" spans="1:7" ht="12.6" thickBot="1" x14ac:dyDescent="0.35">
      <c r="A3" s="69"/>
      <c r="B3" s="69"/>
      <c r="C3" s="69"/>
      <c r="D3" s="69"/>
      <c r="E3" s="69"/>
      <c r="F3" s="67"/>
      <c r="G3" s="68"/>
    </row>
    <row r="4" spans="1:7" ht="38.25" customHeight="1" x14ac:dyDescent="0.3">
      <c r="A4" s="70" t="s">
        <v>0</v>
      </c>
      <c r="B4" s="108" t="s">
        <v>77</v>
      </c>
      <c r="C4" s="108" t="s">
        <v>55</v>
      </c>
      <c r="D4" s="108" t="s">
        <v>97</v>
      </c>
      <c r="E4" s="71" t="s">
        <v>100</v>
      </c>
      <c r="F4" s="71" t="s">
        <v>1</v>
      </c>
      <c r="G4" s="113" t="s">
        <v>101</v>
      </c>
    </row>
    <row r="5" spans="1:7" s="75" customFormat="1" x14ac:dyDescent="0.3">
      <c r="A5" s="149" t="s">
        <v>2</v>
      </c>
      <c r="B5" s="150"/>
      <c r="C5" s="150"/>
      <c r="D5" s="150"/>
      <c r="E5" s="72">
        <f>+E9+E6+E16+E19+E22</f>
        <v>55461841.899999999</v>
      </c>
      <c r="F5" s="72">
        <f>+F9+F6+F16+F19+F22</f>
        <v>41961841.899999999</v>
      </c>
      <c r="G5" s="114">
        <f>+G9+G6+G16+G19+G22</f>
        <v>13500000</v>
      </c>
    </row>
    <row r="6" spans="1:7" x14ac:dyDescent="0.3">
      <c r="A6" s="76" t="s">
        <v>7</v>
      </c>
      <c r="B6" s="77"/>
      <c r="C6" s="77"/>
      <c r="D6" s="77"/>
      <c r="E6" s="78">
        <f>SUM(E7:E8)</f>
        <v>11130000</v>
      </c>
      <c r="F6" s="79">
        <f>SUM(F7:F8)</f>
        <v>0</v>
      </c>
      <c r="G6" s="115">
        <f>SUM(G7:G8)</f>
        <v>11130000</v>
      </c>
    </row>
    <row r="7" spans="1:7" x14ac:dyDescent="0.3">
      <c r="A7" s="80" t="s">
        <v>92</v>
      </c>
      <c r="B7" s="81" t="s">
        <v>96</v>
      </c>
      <c r="C7" s="82">
        <v>1</v>
      </c>
      <c r="D7" s="83">
        <v>10600000</v>
      </c>
      <c r="E7" s="84">
        <f>+D7*C7</f>
        <v>10600000</v>
      </c>
      <c r="F7" s="85">
        <v>0</v>
      </c>
      <c r="G7" s="116">
        <f>+E7</f>
        <v>10600000</v>
      </c>
    </row>
    <row r="8" spans="1:7" x14ac:dyDescent="0.3">
      <c r="A8" s="80" t="s">
        <v>93</v>
      </c>
      <c r="B8" s="81" t="s">
        <v>96</v>
      </c>
      <c r="C8" s="82">
        <v>1</v>
      </c>
      <c r="D8" s="83">
        <f>+D7*$E$41</f>
        <v>530000</v>
      </c>
      <c r="E8" s="84">
        <f>+D8*C8</f>
        <v>530000</v>
      </c>
      <c r="F8" s="85">
        <v>0</v>
      </c>
      <c r="G8" s="116">
        <f>+E8</f>
        <v>530000</v>
      </c>
    </row>
    <row r="9" spans="1:7" x14ac:dyDescent="0.3">
      <c r="A9" s="76" t="s">
        <v>5</v>
      </c>
      <c r="B9" s="77"/>
      <c r="C9" s="77"/>
      <c r="D9" s="77"/>
      <c r="E9" s="78">
        <f>SUM(E10:E15)</f>
        <v>26460000</v>
      </c>
      <c r="F9" s="79">
        <f>SUM(F10:F15)</f>
        <v>24680000</v>
      </c>
      <c r="G9" s="115">
        <f>SUM(G10:G15)</f>
        <v>1780000</v>
      </c>
    </row>
    <row r="10" spans="1:7" x14ac:dyDescent="0.3">
      <c r="A10" s="80" t="s">
        <v>120</v>
      </c>
      <c r="B10" s="81" t="s">
        <v>96</v>
      </c>
      <c r="C10" s="82">
        <v>1</v>
      </c>
      <c r="D10" s="83">
        <f>4000000*$E$42</f>
        <v>3720000</v>
      </c>
      <c r="E10" s="84">
        <f t="shared" ref="E10:E15" si="0">+D10*C10</f>
        <v>3720000</v>
      </c>
      <c r="F10" s="85">
        <f>+E10-G10</f>
        <v>3290000</v>
      </c>
      <c r="G10" s="116">
        <v>430000</v>
      </c>
    </row>
    <row r="11" spans="1:7" x14ac:dyDescent="0.3">
      <c r="A11" s="80" t="s">
        <v>121</v>
      </c>
      <c r="B11" s="81" t="s">
        <v>96</v>
      </c>
      <c r="C11" s="82">
        <v>1</v>
      </c>
      <c r="D11" s="83">
        <f>4000000*$E$41</f>
        <v>200000</v>
      </c>
      <c r="E11" s="84">
        <f t="shared" si="0"/>
        <v>200000</v>
      </c>
      <c r="F11" s="85">
        <v>0</v>
      </c>
      <c r="G11" s="116">
        <f>+E11</f>
        <v>200000</v>
      </c>
    </row>
    <row r="12" spans="1:7" ht="13.5" customHeight="1" x14ac:dyDescent="0.3">
      <c r="A12" s="80" t="s">
        <v>122</v>
      </c>
      <c r="B12" s="81" t="s">
        <v>96</v>
      </c>
      <c r="C12" s="82">
        <v>1</v>
      </c>
      <c r="D12" s="83">
        <f>10000000*$E$42</f>
        <v>9300000</v>
      </c>
      <c r="E12" s="84">
        <f t="shared" si="0"/>
        <v>9300000</v>
      </c>
      <c r="F12" s="85">
        <f>+E12</f>
        <v>9300000</v>
      </c>
      <c r="G12" s="116">
        <v>0</v>
      </c>
    </row>
    <row r="13" spans="1:7" ht="12" customHeight="1" x14ac:dyDescent="0.3">
      <c r="A13" s="80" t="s">
        <v>123</v>
      </c>
      <c r="B13" s="81" t="s">
        <v>96</v>
      </c>
      <c r="C13" s="82">
        <v>1</v>
      </c>
      <c r="D13" s="83">
        <f>10000000*$E$41</f>
        <v>500000</v>
      </c>
      <c r="E13" s="84">
        <f t="shared" si="0"/>
        <v>500000</v>
      </c>
      <c r="F13" s="85">
        <v>0</v>
      </c>
      <c r="G13" s="116">
        <f>+E13</f>
        <v>500000</v>
      </c>
    </row>
    <row r="14" spans="1:7" x14ac:dyDescent="0.3">
      <c r="A14" s="80" t="s">
        <v>124</v>
      </c>
      <c r="B14" s="81" t="s">
        <v>96</v>
      </c>
      <c r="C14" s="82">
        <v>1</v>
      </c>
      <c r="D14" s="83">
        <f>13000000*$E$42</f>
        <v>12090000</v>
      </c>
      <c r="E14" s="84">
        <f t="shared" si="0"/>
        <v>12090000</v>
      </c>
      <c r="F14" s="85">
        <f>+E14</f>
        <v>12090000</v>
      </c>
      <c r="G14" s="116">
        <v>0</v>
      </c>
    </row>
    <row r="15" spans="1:7" ht="13.5" customHeight="1" x14ac:dyDescent="0.3">
      <c r="A15" s="80" t="s">
        <v>125</v>
      </c>
      <c r="B15" s="81" t="s">
        <v>96</v>
      </c>
      <c r="C15" s="82">
        <v>1</v>
      </c>
      <c r="D15" s="83">
        <f>13000000*$E$41</f>
        <v>650000</v>
      </c>
      <c r="E15" s="84">
        <f t="shared" si="0"/>
        <v>650000</v>
      </c>
      <c r="F15" s="85">
        <v>0</v>
      </c>
      <c r="G15" s="116">
        <f>+E15</f>
        <v>650000</v>
      </c>
    </row>
    <row r="16" spans="1:7" x14ac:dyDescent="0.3">
      <c r="A16" s="76" t="s">
        <v>6</v>
      </c>
      <c r="B16" s="77"/>
      <c r="C16" s="77"/>
      <c r="D16" s="77"/>
      <c r="E16" s="78">
        <f>SUM(E17:E18)</f>
        <v>12390000</v>
      </c>
      <c r="F16" s="79">
        <f>SUM(F17:F18)</f>
        <v>11800000</v>
      </c>
      <c r="G16" s="115">
        <f>SUM(G17:G18)</f>
        <v>590000</v>
      </c>
    </row>
    <row r="17" spans="1:8" ht="24" x14ac:dyDescent="0.3">
      <c r="A17" s="80" t="s">
        <v>98</v>
      </c>
      <c r="B17" s="81" t="s">
        <v>96</v>
      </c>
      <c r="C17" s="82">
        <v>1</v>
      </c>
      <c r="D17" s="83">
        <v>11800000</v>
      </c>
      <c r="E17" s="84">
        <f>+D17*C17</f>
        <v>11800000</v>
      </c>
      <c r="F17" s="85">
        <f>+E17</f>
        <v>11800000</v>
      </c>
      <c r="G17" s="116">
        <v>0</v>
      </c>
    </row>
    <row r="18" spans="1:8" ht="24" x14ac:dyDescent="0.3">
      <c r="A18" s="80" t="s">
        <v>99</v>
      </c>
      <c r="B18" s="81" t="s">
        <v>96</v>
      </c>
      <c r="C18" s="82">
        <v>1</v>
      </c>
      <c r="D18" s="83">
        <f>+D17*E41</f>
        <v>590000</v>
      </c>
      <c r="E18" s="84">
        <f>+D18*C18</f>
        <v>590000</v>
      </c>
      <c r="F18" s="85">
        <v>0</v>
      </c>
      <c r="G18" s="116">
        <f>+E18</f>
        <v>590000</v>
      </c>
    </row>
    <row r="19" spans="1:8" x14ac:dyDescent="0.3">
      <c r="A19" s="76" t="s">
        <v>128</v>
      </c>
      <c r="B19" s="77"/>
      <c r="C19" s="77"/>
      <c r="D19" s="77"/>
      <c r="E19" s="79">
        <f>SUM(E20:E21)</f>
        <v>4406157.9000000004</v>
      </c>
      <c r="F19" s="79">
        <f>+F20+F21</f>
        <v>4406157.9000000004</v>
      </c>
      <c r="G19" s="115">
        <f>+G20+G21</f>
        <v>0</v>
      </c>
    </row>
    <row r="20" spans="1:8" x14ac:dyDescent="0.3">
      <c r="A20" s="80" t="s">
        <v>126</v>
      </c>
      <c r="B20" s="81" t="s">
        <v>96</v>
      </c>
      <c r="C20" s="82">
        <v>1</v>
      </c>
      <c r="D20" s="83">
        <f>4384205*E42+109637</f>
        <v>4186947.6500000004</v>
      </c>
      <c r="E20" s="85">
        <f>+D20*C20</f>
        <v>4186947.6500000004</v>
      </c>
      <c r="F20" s="85">
        <f>+E20</f>
        <v>4186947.6500000004</v>
      </c>
      <c r="G20" s="116">
        <v>0</v>
      </c>
    </row>
    <row r="21" spans="1:8" ht="12" customHeight="1" x14ac:dyDescent="0.3">
      <c r="A21" s="80" t="s">
        <v>127</v>
      </c>
      <c r="B21" s="81" t="s">
        <v>96</v>
      </c>
      <c r="C21" s="82">
        <v>1</v>
      </c>
      <c r="D21" s="83">
        <f>4384205*E41</f>
        <v>219210.25</v>
      </c>
      <c r="E21" s="85">
        <f>+D21*C21</f>
        <v>219210.25</v>
      </c>
      <c r="F21" s="85">
        <f>+E21</f>
        <v>219210.25</v>
      </c>
      <c r="G21" s="116">
        <v>0</v>
      </c>
    </row>
    <row r="22" spans="1:8" x14ac:dyDescent="0.3">
      <c r="A22" s="76" t="s">
        <v>129</v>
      </c>
      <c r="B22" s="77"/>
      <c r="C22" s="77"/>
      <c r="D22" s="77"/>
      <c r="E22" s="79">
        <f>SUM(E23:E24)</f>
        <v>1075684</v>
      </c>
      <c r="F22" s="79">
        <f>+F23+F24</f>
        <v>1075684</v>
      </c>
      <c r="G22" s="115">
        <f>+G23+G24</f>
        <v>0</v>
      </c>
    </row>
    <row r="23" spans="1:8" x14ac:dyDescent="0.3">
      <c r="A23" s="80" t="s">
        <v>129</v>
      </c>
      <c r="B23" s="81" t="s">
        <v>96</v>
      </c>
      <c r="C23" s="82">
        <v>1</v>
      </c>
      <c r="D23" s="83">
        <v>1075684</v>
      </c>
      <c r="E23" s="85">
        <f>+D23*C23</f>
        <v>1075684</v>
      </c>
      <c r="F23" s="85">
        <f>+E23</f>
        <v>1075684</v>
      </c>
      <c r="G23" s="116">
        <v>0</v>
      </c>
    </row>
    <row r="24" spans="1:8" s="92" customFormat="1" ht="3" customHeight="1" x14ac:dyDescent="0.3">
      <c r="A24" s="88"/>
      <c r="B24" s="89"/>
      <c r="C24" s="89"/>
      <c r="D24" s="89"/>
      <c r="E24" s="90"/>
      <c r="F24" s="90"/>
      <c r="G24" s="91"/>
    </row>
    <row r="25" spans="1:8" s="75" customFormat="1" x14ac:dyDescent="0.3">
      <c r="A25" s="109" t="s">
        <v>3</v>
      </c>
      <c r="B25" s="110"/>
      <c r="C25" s="110"/>
      <c r="D25" s="110"/>
      <c r="E25" s="93">
        <f>+E26+E28</f>
        <v>11500000</v>
      </c>
      <c r="F25" s="111">
        <f>+F26+F28</f>
        <v>0</v>
      </c>
      <c r="G25" s="117">
        <f>+G26+G28</f>
        <v>11500000</v>
      </c>
    </row>
    <row r="26" spans="1:8" x14ac:dyDescent="0.3">
      <c r="A26" s="94"/>
      <c r="B26" s="95"/>
      <c r="C26" s="95"/>
      <c r="D26" s="95"/>
      <c r="E26" s="78">
        <f>SUM(E27:E27)</f>
        <v>3090000</v>
      </c>
      <c r="F26" s="96">
        <f>SUM(F27:F27)</f>
        <v>0</v>
      </c>
      <c r="G26" s="118">
        <f>SUM(G27:G27)</f>
        <v>3090000</v>
      </c>
      <c r="H26" s="106"/>
    </row>
    <row r="27" spans="1:8" ht="14.25" customHeight="1" x14ac:dyDescent="0.3">
      <c r="A27" s="80" t="s">
        <v>102</v>
      </c>
      <c r="B27" s="97" t="s">
        <v>96</v>
      </c>
      <c r="C27" s="82">
        <v>1</v>
      </c>
      <c r="D27" s="83">
        <v>3090000</v>
      </c>
      <c r="E27" s="84">
        <f>+D27*C27</f>
        <v>3090000</v>
      </c>
      <c r="F27" s="98">
        <v>0</v>
      </c>
      <c r="G27" s="87">
        <f>+E27</f>
        <v>3090000</v>
      </c>
    </row>
    <row r="28" spans="1:8" x14ac:dyDescent="0.3">
      <c r="A28" s="76" t="s">
        <v>114</v>
      </c>
      <c r="B28" s="77"/>
      <c r="C28" s="77"/>
      <c r="D28" s="77"/>
      <c r="E28" s="78">
        <f>+E29</f>
        <v>8410000</v>
      </c>
      <c r="F28" s="96">
        <f>SUM(F29:F29)</f>
        <v>0</v>
      </c>
      <c r="G28" s="118">
        <f>SUM(G29:G29)</f>
        <v>8410000</v>
      </c>
    </row>
    <row r="29" spans="1:8" ht="24" customHeight="1" x14ac:dyDescent="0.3">
      <c r="A29" s="80" t="s">
        <v>113</v>
      </c>
      <c r="B29" s="97" t="s">
        <v>96</v>
      </c>
      <c r="C29" s="82">
        <v>1</v>
      </c>
      <c r="D29" s="83">
        <v>8410000</v>
      </c>
      <c r="E29" s="84">
        <f>+D29*C29</f>
        <v>8410000</v>
      </c>
      <c r="F29" s="99">
        <v>0</v>
      </c>
      <c r="G29" s="87">
        <f>+E29</f>
        <v>8410000</v>
      </c>
    </row>
    <row r="30" spans="1:8" s="92" customFormat="1" ht="3" customHeight="1" x14ac:dyDescent="0.3">
      <c r="A30" s="100"/>
      <c r="B30" s="101"/>
      <c r="C30" s="101"/>
      <c r="D30" s="101"/>
      <c r="E30" s="90"/>
      <c r="F30" s="90"/>
      <c r="G30" s="91"/>
    </row>
    <row r="31" spans="1:8" s="75" customFormat="1" x14ac:dyDescent="0.3">
      <c r="A31" s="109" t="s">
        <v>4</v>
      </c>
      <c r="B31" s="110"/>
      <c r="C31" s="110"/>
      <c r="D31" s="110"/>
      <c r="E31" s="72">
        <f>+E32+E33</f>
        <v>2000000</v>
      </c>
      <c r="F31" s="72">
        <f>+F32+F33</f>
        <v>2000000</v>
      </c>
      <c r="G31" s="74">
        <f>+G32+G33</f>
        <v>0</v>
      </c>
    </row>
    <row r="32" spans="1:8" ht="24" x14ac:dyDescent="0.3">
      <c r="A32" s="80" t="s">
        <v>104</v>
      </c>
      <c r="B32" s="97" t="s">
        <v>96</v>
      </c>
      <c r="C32" s="82">
        <v>1</v>
      </c>
      <c r="D32" s="83">
        <f>2000000*E45</f>
        <v>1900000</v>
      </c>
      <c r="E32" s="102">
        <f>+D32*C32</f>
        <v>1900000</v>
      </c>
      <c r="F32" s="102">
        <f>+E32</f>
        <v>1900000</v>
      </c>
      <c r="G32" s="103">
        <v>0</v>
      </c>
    </row>
    <row r="33" spans="1:7" ht="24" x14ac:dyDescent="0.3">
      <c r="A33" s="80" t="s">
        <v>103</v>
      </c>
      <c r="B33" s="97" t="s">
        <v>96</v>
      </c>
      <c r="C33" s="82">
        <v>1</v>
      </c>
      <c r="D33" s="83">
        <f>2000000*E44</f>
        <v>100000</v>
      </c>
      <c r="E33" s="102">
        <f>+D33*C33</f>
        <v>100000</v>
      </c>
      <c r="F33" s="102">
        <f>+E33</f>
        <v>100000</v>
      </c>
      <c r="G33" s="103">
        <v>0</v>
      </c>
    </row>
    <row r="34" spans="1:7" s="92" customFormat="1" ht="3" customHeight="1" x14ac:dyDescent="0.3">
      <c r="A34" s="100"/>
      <c r="B34" s="101"/>
      <c r="C34" s="101"/>
      <c r="D34" s="101"/>
      <c r="E34" s="90"/>
      <c r="F34" s="90"/>
      <c r="G34" s="91"/>
    </row>
    <row r="35" spans="1:7" s="75" customFormat="1" x14ac:dyDescent="0.3">
      <c r="A35" s="109" t="s">
        <v>8</v>
      </c>
      <c r="B35" s="110"/>
      <c r="C35" s="110"/>
      <c r="D35" s="110"/>
      <c r="E35" s="73">
        <f t="shared" ref="E35:G35" si="1">SUM(E36:E38)</f>
        <v>2500000</v>
      </c>
      <c r="F35" s="73">
        <f t="shared" si="1"/>
        <v>2500000</v>
      </c>
      <c r="G35" s="74">
        <f t="shared" si="1"/>
        <v>0</v>
      </c>
    </row>
    <row r="36" spans="1:7" ht="12.75" customHeight="1" x14ac:dyDescent="0.3">
      <c r="A36" s="104" t="s">
        <v>117</v>
      </c>
      <c r="B36" s="97" t="s">
        <v>96</v>
      </c>
      <c r="C36" s="82">
        <v>1</v>
      </c>
      <c r="D36" s="140">
        <v>1000000</v>
      </c>
      <c r="E36" s="86">
        <f t="shared" ref="E36:E38" si="2">+D36*C36</f>
        <v>1000000</v>
      </c>
      <c r="F36" s="86">
        <f t="shared" ref="F36:F38" si="3">+E36</f>
        <v>1000000</v>
      </c>
      <c r="G36" s="87">
        <v>0</v>
      </c>
    </row>
    <row r="37" spans="1:7" x14ac:dyDescent="0.3">
      <c r="A37" s="104" t="s">
        <v>115</v>
      </c>
      <c r="B37" s="97" t="s">
        <v>96</v>
      </c>
      <c r="C37" s="82">
        <v>1</v>
      </c>
      <c r="D37" s="140">
        <v>1000000</v>
      </c>
      <c r="E37" s="86">
        <f t="shared" ref="E37" si="4">+D37*C37</f>
        <v>1000000</v>
      </c>
      <c r="F37" s="86">
        <f t="shared" ref="F37" si="5">+E37</f>
        <v>1000000</v>
      </c>
      <c r="G37" s="87">
        <v>0</v>
      </c>
    </row>
    <row r="38" spans="1:7" ht="12.6" thickBot="1" x14ac:dyDescent="0.35">
      <c r="A38" s="119" t="s">
        <v>116</v>
      </c>
      <c r="B38" s="120" t="s">
        <v>96</v>
      </c>
      <c r="C38" s="121">
        <v>1</v>
      </c>
      <c r="D38" s="141">
        <v>500000</v>
      </c>
      <c r="E38" s="122">
        <f t="shared" si="2"/>
        <v>500000</v>
      </c>
      <c r="F38" s="122">
        <f t="shared" si="3"/>
        <v>500000</v>
      </c>
      <c r="G38" s="123">
        <v>0</v>
      </c>
    </row>
    <row r="41" spans="1:7" x14ac:dyDescent="0.3">
      <c r="B41" s="145" t="s">
        <v>94</v>
      </c>
      <c r="C41" s="146"/>
      <c r="D41" s="147"/>
      <c r="E41" s="107">
        <v>0.05</v>
      </c>
    </row>
    <row r="42" spans="1:7" x14ac:dyDescent="0.3">
      <c r="B42" s="145" t="s">
        <v>95</v>
      </c>
      <c r="C42" s="146"/>
      <c r="D42" s="147"/>
      <c r="E42" s="107">
        <v>0.93</v>
      </c>
    </row>
    <row r="43" spans="1:7" x14ac:dyDescent="0.3">
      <c r="B43" s="145" t="s">
        <v>105</v>
      </c>
      <c r="C43" s="146"/>
      <c r="D43" s="147"/>
      <c r="E43" s="107">
        <v>0.95</v>
      </c>
    </row>
    <row r="44" spans="1:7" x14ac:dyDescent="0.3">
      <c r="B44" s="145" t="s">
        <v>106</v>
      </c>
      <c r="C44" s="146"/>
      <c r="D44" s="147"/>
      <c r="E44" s="107">
        <v>0.05</v>
      </c>
    </row>
    <row r="45" spans="1:7" x14ac:dyDescent="0.3">
      <c r="B45" s="145" t="s">
        <v>107</v>
      </c>
      <c r="C45" s="146"/>
      <c r="D45" s="147"/>
      <c r="E45" s="107">
        <v>0.95</v>
      </c>
    </row>
  </sheetData>
  <mergeCells count="8">
    <mergeCell ref="B44:D44"/>
    <mergeCell ref="B45:D45"/>
    <mergeCell ref="A2:F2"/>
    <mergeCell ref="A1:F1"/>
    <mergeCell ref="A5:D5"/>
    <mergeCell ref="B43:D43"/>
    <mergeCell ref="B41:D41"/>
    <mergeCell ref="B42:D42"/>
  </mergeCells>
  <pageMargins left="0.70866141732283472" right="0.70866141732283472" top="0.74803149606299213" bottom="0.74803149606299213" header="0.31496062992125984" footer="0.31496062992125984"/>
  <pageSetup paperSize="9" scale="21" fitToHeight="2" orientation="landscape" r:id="rId1"/>
  <ignoredErrors>
    <ignoredError sqref="E11:E18 G29 E9:E10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2"/>
  <sheetViews>
    <sheetView topLeftCell="B1" workbookViewId="0">
      <selection sqref="A1:I1"/>
    </sheetView>
  </sheetViews>
  <sheetFormatPr defaultColWidth="11.5546875" defaultRowHeight="14.4" x14ac:dyDescent="0.3"/>
  <cols>
    <col min="1" max="1" width="6.33203125" hidden="1" customWidth="1"/>
    <col min="2" max="2" width="10" customWidth="1"/>
    <col min="3" max="3" width="49.109375" style="2" bestFit="1" customWidth="1"/>
    <col min="4" max="5" width="15.5546875" bestFit="1" customWidth="1"/>
    <col min="6" max="8" width="15.5546875" customWidth="1"/>
    <col min="9" max="9" width="15.44140625" customWidth="1"/>
    <col min="10" max="10" width="14.109375" customWidth="1"/>
  </cols>
  <sheetData>
    <row r="1" spans="1:10" ht="20.399999999999999" x14ac:dyDescent="0.35">
      <c r="A1" s="154" t="s">
        <v>136</v>
      </c>
      <c r="B1" s="154"/>
      <c r="C1" s="154"/>
      <c r="D1" s="154"/>
      <c r="E1" s="154"/>
      <c r="F1" s="154"/>
      <c r="G1" s="154"/>
      <c r="H1" s="154"/>
      <c r="I1" s="154"/>
      <c r="J1" s="1"/>
    </row>
    <row r="2" spans="1:10" ht="40.5" customHeight="1" x14ac:dyDescent="0.35">
      <c r="A2" s="154" t="s">
        <v>72</v>
      </c>
      <c r="B2" s="154"/>
      <c r="C2" s="154"/>
      <c r="D2" s="154"/>
      <c r="E2" s="154"/>
      <c r="F2" s="154"/>
      <c r="G2" s="154"/>
      <c r="H2" s="154"/>
      <c r="I2" s="154"/>
    </row>
    <row r="3" spans="1:10" s="43" customFormat="1" x14ac:dyDescent="0.3">
      <c r="A3" s="42"/>
      <c r="B3" s="42" t="s">
        <v>73</v>
      </c>
      <c r="C3" s="42">
        <v>6.86</v>
      </c>
      <c r="D3" s="42"/>
      <c r="E3" s="42"/>
      <c r="F3" s="42"/>
      <c r="G3" s="42"/>
      <c r="H3" s="42"/>
      <c r="I3" s="42"/>
    </row>
    <row r="4" spans="1:10" s="4" customFormat="1" ht="18" x14ac:dyDescent="0.35">
      <c r="A4"/>
      <c r="B4"/>
      <c r="C4" s="2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/>
    </row>
    <row r="5" spans="1:10" ht="15.6" x14ac:dyDescent="0.3">
      <c r="A5" s="4"/>
      <c r="B5" s="151" t="s">
        <v>15</v>
      </c>
      <c r="C5" s="152"/>
      <c r="D5" s="5">
        <f t="shared" ref="D5:I5" si="0">SUM(D6:D10)</f>
        <v>436872.41072886303</v>
      </c>
      <c r="E5" s="5">
        <f t="shared" si="0"/>
        <v>423136.39230612246</v>
      </c>
      <c r="F5" s="5">
        <f t="shared" si="0"/>
        <v>452755.93976755114</v>
      </c>
      <c r="G5" s="5">
        <f t="shared" si="0"/>
        <v>439319.97696694732</v>
      </c>
      <c r="H5" s="5">
        <f t="shared" si="0"/>
        <v>143387.93247813411</v>
      </c>
      <c r="I5" s="5">
        <f t="shared" si="0"/>
        <v>1895472.6522476177</v>
      </c>
      <c r="J5" s="4"/>
    </row>
    <row r="6" spans="1:10" x14ac:dyDescent="0.3">
      <c r="B6" s="7">
        <v>12100</v>
      </c>
      <c r="C6" s="8" t="s">
        <v>16</v>
      </c>
      <c r="D6" s="9">
        <f>[1]PERSONAL!F20/$C$3</f>
        <v>374323.03206997085</v>
      </c>
      <c r="E6" s="9">
        <f>+'Recursos Humanos'!G20/C3</f>
        <v>362553.67346938775</v>
      </c>
      <c r="F6" s="9">
        <f>+'Recursos Humanos'!H20/C3</f>
        <v>387932.43061224493</v>
      </c>
      <c r="G6" s="9">
        <f>+'Recursos Humanos'!I20/C3</f>
        <v>376420.16705247824</v>
      </c>
      <c r="H6" s="9">
        <f>[1]PERSONAL!J20/C3</f>
        <v>122858.30903790086</v>
      </c>
      <c r="I6" s="9">
        <f>SUM(D6:H6)</f>
        <v>1624087.6122419825</v>
      </c>
    </row>
    <row r="7" spans="1:10" x14ac:dyDescent="0.3">
      <c r="B7" s="7">
        <v>13110</v>
      </c>
      <c r="C7" s="8" t="s">
        <v>17</v>
      </c>
      <c r="D7" s="9">
        <f>+D6*$J$7</f>
        <v>37432.303206997087</v>
      </c>
      <c r="E7" s="9">
        <f t="shared" ref="E7:H7" si="1">+E6*$J$7</f>
        <v>36255.36734693878</v>
      </c>
      <c r="F7" s="9">
        <f t="shared" si="1"/>
        <v>38793.243061224493</v>
      </c>
      <c r="G7" s="9">
        <f t="shared" si="1"/>
        <v>37642.016705247828</v>
      </c>
      <c r="H7" s="9">
        <f t="shared" si="1"/>
        <v>12285.830903790087</v>
      </c>
      <c r="I7" s="9">
        <f t="shared" ref="I7:I10" si="2">SUM(D7:H7)</f>
        <v>162408.76122419827</v>
      </c>
      <c r="J7" s="10">
        <v>0.1</v>
      </c>
    </row>
    <row r="8" spans="1:10" x14ac:dyDescent="0.3">
      <c r="B8" s="7">
        <v>13120</v>
      </c>
      <c r="C8" s="8" t="s">
        <v>18</v>
      </c>
      <c r="D8" s="9">
        <f t="shared" ref="D8:H8" si="3">+D6*$J$8</f>
        <v>6400.9238483965019</v>
      </c>
      <c r="E8" s="9">
        <f t="shared" si="3"/>
        <v>6199.6678163265306</v>
      </c>
      <c r="F8" s="9">
        <f t="shared" si="3"/>
        <v>6633.6445634693882</v>
      </c>
      <c r="G8" s="9">
        <f t="shared" si="3"/>
        <v>6436.7848565973782</v>
      </c>
      <c r="H8" s="9">
        <f t="shared" si="3"/>
        <v>2100.8770845481049</v>
      </c>
      <c r="I8" s="9">
        <f t="shared" si="2"/>
        <v>27771.898169337903</v>
      </c>
      <c r="J8" s="10">
        <v>1.7100000000000001E-2</v>
      </c>
    </row>
    <row r="9" spans="1:10" x14ac:dyDescent="0.3">
      <c r="B9" s="7">
        <v>13131</v>
      </c>
      <c r="C9" s="8" t="s">
        <v>19</v>
      </c>
      <c r="D9" s="9">
        <f t="shared" ref="D9:H9" si="4">+D6*$J$9</f>
        <v>11229.690962099125</v>
      </c>
      <c r="E9" s="9">
        <f t="shared" si="4"/>
        <v>10876.610204081631</v>
      </c>
      <c r="F9" s="9">
        <f t="shared" si="4"/>
        <v>11637.972918367348</v>
      </c>
      <c r="G9" s="9">
        <f t="shared" si="4"/>
        <v>11292.605011574347</v>
      </c>
      <c r="H9" s="9">
        <f t="shared" si="4"/>
        <v>3685.749271137026</v>
      </c>
      <c r="I9" s="9">
        <f t="shared" si="2"/>
        <v>48722.62836725948</v>
      </c>
      <c r="J9" s="10">
        <v>0.03</v>
      </c>
    </row>
    <row r="10" spans="1:10" s="4" customFormat="1" x14ac:dyDescent="0.3">
      <c r="A10"/>
      <c r="B10" s="7">
        <v>13200</v>
      </c>
      <c r="C10" s="8" t="s">
        <v>20</v>
      </c>
      <c r="D10" s="9">
        <f t="shared" ref="D10:H10" si="5">+D6*$J$10</f>
        <v>7486.460641399417</v>
      </c>
      <c r="E10" s="9">
        <f t="shared" si="5"/>
        <v>7251.0734693877548</v>
      </c>
      <c r="F10" s="9">
        <f t="shared" si="5"/>
        <v>7758.6486122448987</v>
      </c>
      <c r="G10" s="9">
        <f t="shared" si="5"/>
        <v>7528.4033410495649</v>
      </c>
      <c r="H10" s="9">
        <f t="shared" si="5"/>
        <v>2457.1661807580172</v>
      </c>
      <c r="I10" s="9">
        <f t="shared" si="2"/>
        <v>32481.752244839652</v>
      </c>
      <c r="J10" s="10">
        <v>0.02</v>
      </c>
    </row>
    <row r="11" spans="1:10" s="12" customFormat="1" ht="15.6" x14ac:dyDescent="0.3">
      <c r="A11" s="4"/>
      <c r="B11" s="151" t="s">
        <v>21</v>
      </c>
      <c r="C11" s="152"/>
      <c r="D11" s="11">
        <f t="shared" ref="D11:I11" si="6">SUM(D12:D21)</f>
        <v>75070.720093254815</v>
      </c>
      <c r="E11" s="11">
        <f t="shared" si="6"/>
        <v>75070.720093254815</v>
      </c>
      <c r="F11" s="11">
        <f t="shared" si="6"/>
        <v>75070.720093254815</v>
      </c>
      <c r="G11" s="11">
        <f t="shared" si="6"/>
        <v>75070.720093254815</v>
      </c>
      <c r="H11" s="11">
        <f t="shared" si="6"/>
        <v>75070.720093254815</v>
      </c>
      <c r="I11" s="11">
        <f t="shared" si="6"/>
        <v>375353.60046627413</v>
      </c>
      <c r="J11" s="4"/>
    </row>
    <row r="12" spans="1:10" s="12" customFormat="1" x14ac:dyDescent="0.3">
      <c r="B12" s="13">
        <v>211</v>
      </c>
      <c r="C12" s="13" t="s">
        <v>22</v>
      </c>
      <c r="D12" s="14">
        <f>+'[1]Calculos Menores'!K19/$C$3</f>
        <v>1730.0291545189505</v>
      </c>
      <c r="E12" s="14">
        <f>+D12</f>
        <v>1730.0291545189505</v>
      </c>
      <c r="F12" s="14">
        <f t="shared" ref="F12:H21" si="7">+E12</f>
        <v>1730.0291545189505</v>
      </c>
      <c r="G12" s="14">
        <f t="shared" si="7"/>
        <v>1730.0291545189505</v>
      </c>
      <c r="H12" s="14">
        <f t="shared" si="7"/>
        <v>1730.0291545189505</v>
      </c>
      <c r="I12" s="9">
        <f t="shared" ref="I12:I21" si="8">SUM(D12:H12)</f>
        <v>8650.145772594753</v>
      </c>
    </row>
    <row r="13" spans="1:10" s="12" customFormat="1" x14ac:dyDescent="0.3">
      <c r="B13" s="13">
        <v>214</v>
      </c>
      <c r="C13" s="13" t="s">
        <v>23</v>
      </c>
      <c r="D13" s="14">
        <f>+'[1]Calculos Menores'!K26/C3</f>
        <v>6822.157434402332</v>
      </c>
      <c r="E13" s="14">
        <f t="shared" ref="E13:E21" si="9">+D13</f>
        <v>6822.157434402332</v>
      </c>
      <c r="F13" s="14">
        <f t="shared" si="7"/>
        <v>6822.157434402332</v>
      </c>
      <c r="G13" s="14">
        <f t="shared" si="7"/>
        <v>6822.157434402332</v>
      </c>
      <c r="H13" s="14">
        <f t="shared" si="7"/>
        <v>6822.157434402332</v>
      </c>
      <c r="I13" s="9">
        <f t="shared" si="8"/>
        <v>34110.78717201166</v>
      </c>
    </row>
    <row r="14" spans="1:10" s="12" customFormat="1" x14ac:dyDescent="0.3">
      <c r="B14" s="13">
        <v>216</v>
      </c>
      <c r="C14" s="13" t="s">
        <v>24</v>
      </c>
      <c r="D14" s="14">
        <f>+'[1]Calculos Menores'!K31/C3</f>
        <v>1749.2711370262389</v>
      </c>
      <c r="E14" s="14">
        <f t="shared" si="9"/>
        <v>1749.2711370262389</v>
      </c>
      <c r="F14" s="14">
        <f t="shared" si="7"/>
        <v>1749.2711370262389</v>
      </c>
      <c r="G14" s="14">
        <f t="shared" si="7"/>
        <v>1749.2711370262389</v>
      </c>
      <c r="H14" s="14">
        <f t="shared" si="7"/>
        <v>1749.2711370262389</v>
      </c>
      <c r="I14" s="9">
        <f t="shared" si="8"/>
        <v>8746.3556851311951</v>
      </c>
    </row>
    <row r="15" spans="1:10" s="12" customFormat="1" x14ac:dyDescent="0.3">
      <c r="B15" s="13">
        <v>22110</v>
      </c>
      <c r="C15" s="13" t="s">
        <v>25</v>
      </c>
      <c r="D15" s="15">
        <f>+'[1]Calculos Menores'!E41/C3</f>
        <v>29763.265306122448</v>
      </c>
      <c r="E15" s="15">
        <f t="shared" si="9"/>
        <v>29763.265306122448</v>
      </c>
      <c r="F15" s="15">
        <f t="shared" si="7"/>
        <v>29763.265306122448</v>
      </c>
      <c r="G15" s="15">
        <f t="shared" si="7"/>
        <v>29763.265306122448</v>
      </c>
      <c r="H15" s="15">
        <f t="shared" si="7"/>
        <v>29763.265306122448</v>
      </c>
      <c r="I15" s="9">
        <f t="shared" si="8"/>
        <v>148816.32653061225</v>
      </c>
    </row>
    <row r="16" spans="1:10" s="12" customFormat="1" x14ac:dyDescent="0.3">
      <c r="B16" s="13">
        <v>22210</v>
      </c>
      <c r="C16" s="13" t="s">
        <v>26</v>
      </c>
      <c r="D16" s="15">
        <f>+'[1]Calculos Menores'!F41/C3</f>
        <v>7571.4285714285706</v>
      </c>
      <c r="E16" s="15">
        <f t="shared" si="9"/>
        <v>7571.4285714285706</v>
      </c>
      <c r="F16" s="15">
        <f t="shared" si="7"/>
        <v>7571.4285714285706</v>
      </c>
      <c r="G16" s="15">
        <f t="shared" si="7"/>
        <v>7571.4285714285706</v>
      </c>
      <c r="H16" s="15">
        <f t="shared" si="7"/>
        <v>7571.4285714285706</v>
      </c>
      <c r="I16" s="9">
        <f t="shared" si="8"/>
        <v>37857.142857142855</v>
      </c>
    </row>
    <row r="17" spans="1:10" s="16" customFormat="1" x14ac:dyDescent="0.3">
      <c r="A17" s="12"/>
      <c r="B17" s="13">
        <v>225</v>
      </c>
      <c r="C17" s="13" t="s">
        <v>27</v>
      </c>
      <c r="D17" s="15">
        <f>+[1]seguros!D7/C3</f>
        <v>1659.6413760536507</v>
      </c>
      <c r="E17" s="15">
        <f t="shared" si="9"/>
        <v>1659.6413760536507</v>
      </c>
      <c r="F17" s="15">
        <f t="shared" si="7"/>
        <v>1659.6413760536507</v>
      </c>
      <c r="G17" s="15">
        <f t="shared" si="7"/>
        <v>1659.6413760536507</v>
      </c>
      <c r="H17" s="15">
        <f t="shared" si="7"/>
        <v>1659.6413760536507</v>
      </c>
      <c r="I17" s="9">
        <f t="shared" si="8"/>
        <v>8298.2068802682534</v>
      </c>
      <c r="J17" s="12"/>
    </row>
    <row r="18" spans="1:10" s="17" customFormat="1" x14ac:dyDescent="0.3">
      <c r="A18" s="16"/>
      <c r="B18" s="13">
        <v>231</v>
      </c>
      <c r="C18" s="13" t="s">
        <v>28</v>
      </c>
      <c r="D18" s="9">
        <f>16816/C3</f>
        <v>2451.3119533527697</v>
      </c>
      <c r="E18" s="9">
        <f t="shared" si="9"/>
        <v>2451.3119533527697</v>
      </c>
      <c r="F18" s="9">
        <f t="shared" si="7"/>
        <v>2451.3119533527697</v>
      </c>
      <c r="G18" s="9">
        <f t="shared" si="7"/>
        <v>2451.3119533527697</v>
      </c>
      <c r="H18" s="9">
        <f t="shared" si="7"/>
        <v>2451.3119533527697</v>
      </c>
      <c r="I18" s="9">
        <f t="shared" si="8"/>
        <v>12256.559766763849</v>
      </c>
      <c r="J18" s="16"/>
    </row>
    <row r="19" spans="1:10" x14ac:dyDescent="0.3">
      <c r="A19" s="17"/>
      <c r="B19" s="13">
        <v>234</v>
      </c>
      <c r="C19" s="13" t="s">
        <v>29</v>
      </c>
      <c r="D19" s="18">
        <f>20000/C3</f>
        <v>2915.4518950437318</v>
      </c>
      <c r="E19" s="18">
        <f t="shared" si="9"/>
        <v>2915.4518950437318</v>
      </c>
      <c r="F19" s="18">
        <f t="shared" si="7"/>
        <v>2915.4518950437318</v>
      </c>
      <c r="G19" s="18">
        <f t="shared" si="7"/>
        <v>2915.4518950437318</v>
      </c>
      <c r="H19" s="18">
        <f t="shared" si="7"/>
        <v>2915.4518950437318</v>
      </c>
      <c r="I19" s="9">
        <f t="shared" si="8"/>
        <v>14577.25947521866</v>
      </c>
      <c r="J19" s="17"/>
    </row>
    <row r="20" spans="1:10" x14ac:dyDescent="0.3">
      <c r="B20" s="13">
        <v>255</v>
      </c>
      <c r="C20" s="13" t="s">
        <v>30</v>
      </c>
      <c r="D20" s="9">
        <f>90000/C3</f>
        <v>13119.533527696793</v>
      </c>
      <c r="E20" s="9">
        <f t="shared" si="9"/>
        <v>13119.533527696793</v>
      </c>
      <c r="F20" s="9">
        <f t="shared" si="7"/>
        <v>13119.533527696793</v>
      </c>
      <c r="G20" s="9">
        <f t="shared" si="7"/>
        <v>13119.533527696793</v>
      </c>
      <c r="H20" s="9">
        <f t="shared" si="7"/>
        <v>13119.533527696793</v>
      </c>
      <c r="I20" s="9">
        <f t="shared" si="8"/>
        <v>65597.667638483967</v>
      </c>
    </row>
    <row r="21" spans="1:10" s="4" customFormat="1" x14ac:dyDescent="0.3">
      <c r="A21"/>
      <c r="B21" s="13">
        <v>256</v>
      </c>
      <c r="C21" s="13" t="s">
        <v>31</v>
      </c>
      <c r="D21" s="9">
        <f>50000/C3</f>
        <v>7288.6297376093289</v>
      </c>
      <c r="E21" s="9">
        <f t="shared" si="9"/>
        <v>7288.6297376093289</v>
      </c>
      <c r="F21" s="9">
        <f t="shared" si="7"/>
        <v>7288.6297376093289</v>
      </c>
      <c r="G21" s="9">
        <f t="shared" si="7"/>
        <v>7288.6297376093289</v>
      </c>
      <c r="H21" s="9">
        <f t="shared" si="7"/>
        <v>7288.6297376093289</v>
      </c>
      <c r="I21" s="9">
        <f t="shared" si="8"/>
        <v>36443.148688046647</v>
      </c>
      <c r="J21"/>
    </row>
    <row r="22" spans="1:10" s="12" customFormat="1" ht="15.6" x14ac:dyDescent="0.3">
      <c r="A22" s="4"/>
      <c r="B22" s="151" t="s">
        <v>32</v>
      </c>
      <c r="C22" s="152"/>
      <c r="D22" s="11">
        <f t="shared" ref="D22:I22" si="10">SUM(D23:D32)</f>
        <v>27004.314868804664</v>
      </c>
      <c r="E22" s="11">
        <f t="shared" si="10"/>
        <v>27004.314868804664</v>
      </c>
      <c r="F22" s="11">
        <f t="shared" si="10"/>
        <v>27004.314868804664</v>
      </c>
      <c r="G22" s="11">
        <f t="shared" si="10"/>
        <v>27004.314868804664</v>
      </c>
      <c r="H22" s="11">
        <f t="shared" si="10"/>
        <v>27004.314868804664</v>
      </c>
      <c r="I22" s="11">
        <f t="shared" si="10"/>
        <v>135021.57434402333</v>
      </c>
      <c r="J22" s="4"/>
    </row>
    <row r="23" spans="1:10" s="12" customFormat="1" x14ac:dyDescent="0.3">
      <c r="B23" s="13">
        <v>31110</v>
      </c>
      <c r="C23" s="13" t="s">
        <v>33</v>
      </c>
      <c r="D23" s="14">
        <f>'[1]Calculos Menores'!L3/C3</f>
        <v>7388.9212827988331</v>
      </c>
      <c r="E23" s="14">
        <f t="shared" ref="E23:H32" si="11">+D23</f>
        <v>7388.9212827988331</v>
      </c>
      <c r="F23" s="14">
        <f t="shared" si="11"/>
        <v>7388.9212827988331</v>
      </c>
      <c r="G23" s="14">
        <f t="shared" si="11"/>
        <v>7388.9212827988331</v>
      </c>
      <c r="H23" s="14">
        <f t="shared" si="11"/>
        <v>7388.9212827988331</v>
      </c>
      <c r="I23" s="9">
        <f t="shared" ref="I23:I32" si="12">SUM(D23:H23)</f>
        <v>36944.606413994166</v>
      </c>
    </row>
    <row r="24" spans="1:10" s="12" customFormat="1" x14ac:dyDescent="0.3">
      <c r="B24" s="13">
        <v>31120</v>
      </c>
      <c r="C24" s="13" t="s">
        <v>34</v>
      </c>
      <c r="D24" s="14">
        <f>15000/C3</f>
        <v>2186.5889212827988</v>
      </c>
      <c r="E24" s="14">
        <f t="shared" si="11"/>
        <v>2186.5889212827988</v>
      </c>
      <c r="F24" s="14">
        <f t="shared" si="11"/>
        <v>2186.5889212827988</v>
      </c>
      <c r="G24" s="14">
        <f t="shared" si="11"/>
        <v>2186.5889212827988</v>
      </c>
      <c r="H24" s="14">
        <f t="shared" si="11"/>
        <v>2186.5889212827988</v>
      </c>
      <c r="I24" s="9">
        <f t="shared" si="12"/>
        <v>10932.944606413994</v>
      </c>
    </row>
    <row r="25" spans="1:10" s="12" customFormat="1" x14ac:dyDescent="0.3">
      <c r="B25" s="13">
        <v>321</v>
      </c>
      <c r="C25" s="13" t="s">
        <v>35</v>
      </c>
      <c r="D25" s="14">
        <f>13800/C3</f>
        <v>2011.6618075801748</v>
      </c>
      <c r="E25" s="14">
        <f t="shared" si="11"/>
        <v>2011.6618075801748</v>
      </c>
      <c r="F25" s="14">
        <f t="shared" si="11"/>
        <v>2011.6618075801748</v>
      </c>
      <c r="G25" s="14">
        <f t="shared" si="11"/>
        <v>2011.6618075801748</v>
      </c>
      <c r="H25" s="14">
        <f t="shared" si="11"/>
        <v>2011.6618075801748</v>
      </c>
      <c r="I25" s="9">
        <f t="shared" si="12"/>
        <v>10058.309037900874</v>
      </c>
    </row>
    <row r="26" spans="1:10" s="12" customFormat="1" x14ac:dyDescent="0.3">
      <c r="B26" s="13">
        <v>322</v>
      </c>
      <c r="C26" s="13" t="s">
        <v>36</v>
      </c>
      <c r="D26" s="14">
        <f>11400/C3</f>
        <v>1661.8075801749271</v>
      </c>
      <c r="E26" s="14">
        <f t="shared" si="11"/>
        <v>1661.8075801749271</v>
      </c>
      <c r="F26" s="14">
        <f t="shared" si="11"/>
        <v>1661.8075801749271</v>
      </c>
      <c r="G26" s="14">
        <f t="shared" si="11"/>
        <v>1661.8075801749271</v>
      </c>
      <c r="H26" s="14">
        <f t="shared" si="11"/>
        <v>1661.8075801749271</v>
      </c>
      <c r="I26" s="9">
        <f t="shared" si="12"/>
        <v>8309.0379008746349</v>
      </c>
    </row>
    <row r="27" spans="1:10" s="12" customFormat="1" x14ac:dyDescent="0.3">
      <c r="B27" s="13">
        <v>34110</v>
      </c>
      <c r="C27" s="13" t="s">
        <v>37</v>
      </c>
      <c r="D27" s="14">
        <f>'[1]Calculos Menores'!K14/C3</f>
        <v>2530.8454810495623</v>
      </c>
      <c r="E27" s="14">
        <f t="shared" si="11"/>
        <v>2530.8454810495623</v>
      </c>
      <c r="F27" s="14">
        <f t="shared" si="11"/>
        <v>2530.8454810495623</v>
      </c>
      <c r="G27" s="14">
        <f t="shared" si="11"/>
        <v>2530.8454810495623</v>
      </c>
      <c r="H27" s="14">
        <f t="shared" si="11"/>
        <v>2530.8454810495623</v>
      </c>
      <c r="I27" s="9">
        <f t="shared" si="12"/>
        <v>12654.227405247811</v>
      </c>
    </row>
    <row r="28" spans="1:10" s="12" customFormat="1" x14ac:dyDescent="0.3">
      <c r="B28" s="13">
        <v>34300</v>
      </c>
      <c r="C28" s="13" t="s">
        <v>38</v>
      </c>
      <c r="D28" s="14">
        <f>12000/C3</f>
        <v>1749.2711370262389</v>
      </c>
      <c r="E28" s="14">
        <f t="shared" si="11"/>
        <v>1749.2711370262389</v>
      </c>
      <c r="F28" s="14">
        <f t="shared" si="11"/>
        <v>1749.2711370262389</v>
      </c>
      <c r="G28" s="14">
        <f t="shared" si="11"/>
        <v>1749.2711370262389</v>
      </c>
      <c r="H28" s="14">
        <f t="shared" si="11"/>
        <v>1749.2711370262389</v>
      </c>
      <c r="I28" s="9">
        <f t="shared" si="12"/>
        <v>8746.3556851311951</v>
      </c>
    </row>
    <row r="29" spans="1:10" s="17" customFormat="1" x14ac:dyDescent="0.3">
      <c r="A29" s="12"/>
      <c r="B29" s="13">
        <v>391</v>
      </c>
      <c r="C29" s="13" t="s">
        <v>39</v>
      </c>
      <c r="D29" s="14">
        <f>10000/C3</f>
        <v>1457.7259475218659</v>
      </c>
      <c r="E29" s="14">
        <f t="shared" si="11"/>
        <v>1457.7259475218659</v>
      </c>
      <c r="F29" s="14">
        <f t="shared" si="11"/>
        <v>1457.7259475218659</v>
      </c>
      <c r="G29" s="14">
        <f t="shared" si="11"/>
        <v>1457.7259475218659</v>
      </c>
      <c r="H29" s="14">
        <f t="shared" si="11"/>
        <v>1457.7259475218659</v>
      </c>
      <c r="I29" s="9">
        <f t="shared" si="12"/>
        <v>7288.6297376093298</v>
      </c>
      <c r="J29" s="12"/>
    </row>
    <row r="30" spans="1:10" x14ac:dyDescent="0.3">
      <c r="A30" s="17"/>
      <c r="B30" s="13">
        <v>395</v>
      </c>
      <c r="C30" s="13" t="s">
        <v>40</v>
      </c>
      <c r="D30" s="18">
        <f>30000/C3</f>
        <v>4373.1778425655975</v>
      </c>
      <c r="E30" s="18">
        <f t="shared" si="11"/>
        <v>4373.1778425655975</v>
      </c>
      <c r="F30" s="18">
        <f t="shared" si="11"/>
        <v>4373.1778425655975</v>
      </c>
      <c r="G30" s="18">
        <f t="shared" si="11"/>
        <v>4373.1778425655975</v>
      </c>
      <c r="H30" s="18">
        <f t="shared" si="11"/>
        <v>4373.1778425655975</v>
      </c>
      <c r="I30" s="9">
        <f t="shared" si="12"/>
        <v>21865.889212827988</v>
      </c>
      <c r="J30" s="17"/>
    </row>
    <row r="31" spans="1:10" x14ac:dyDescent="0.3">
      <c r="B31" s="13">
        <v>397</v>
      </c>
      <c r="C31" s="13" t="s">
        <v>41</v>
      </c>
      <c r="D31" s="9">
        <f>10000/C3</f>
        <v>1457.7259475218659</v>
      </c>
      <c r="E31" s="9">
        <f t="shared" si="11"/>
        <v>1457.7259475218659</v>
      </c>
      <c r="F31" s="9">
        <f t="shared" si="11"/>
        <v>1457.7259475218659</v>
      </c>
      <c r="G31" s="9">
        <f t="shared" si="11"/>
        <v>1457.7259475218659</v>
      </c>
      <c r="H31" s="9">
        <f t="shared" si="11"/>
        <v>1457.7259475218659</v>
      </c>
      <c r="I31" s="9">
        <f t="shared" si="12"/>
        <v>7288.6297376093298</v>
      </c>
    </row>
    <row r="32" spans="1:10" x14ac:dyDescent="0.3">
      <c r="B32" s="13">
        <v>398</v>
      </c>
      <c r="C32" s="13" t="s">
        <v>42</v>
      </c>
      <c r="D32" s="9">
        <f>15000/C3</f>
        <v>2186.5889212827988</v>
      </c>
      <c r="E32" s="9">
        <f t="shared" si="11"/>
        <v>2186.5889212827988</v>
      </c>
      <c r="F32" s="9">
        <f t="shared" si="11"/>
        <v>2186.5889212827988</v>
      </c>
      <c r="G32" s="9">
        <f t="shared" si="11"/>
        <v>2186.5889212827988</v>
      </c>
      <c r="H32" s="9">
        <f t="shared" si="11"/>
        <v>2186.5889212827988</v>
      </c>
      <c r="I32" s="9">
        <f t="shared" si="12"/>
        <v>10932.944606413994</v>
      </c>
    </row>
    <row r="33" spans="1:11" ht="15.6" x14ac:dyDescent="0.3">
      <c r="B33" s="151" t="s">
        <v>43</v>
      </c>
      <c r="C33" s="152"/>
      <c r="D33" s="11">
        <f>SUM(D34:D38)</f>
        <v>132310.20408163263</v>
      </c>
      <c r="E33" s="11">
        <f t="shared" ref="E33:I33" si="13">SUM(E34:E38)</f>
        <v>0</v>
      </c>
      <c r="F33" s="11">
        <f t="shared" si="13"/>
        <v>0</v>
      </c>
      <c r="G33" s="11">
        <f t="shared" si="13"/>
        <v>0</v>
      </c>
      <c r="H33" s="11">
        <f t="shared" si="13"/>
        <v>0</v>
      </c>
      <c r="I33" s="11">
        <f t="shared" si="13"/>
        <v>132310.20408163263</v>
      </c>
    </row>
    <row r="34" spans="1:11" x14ac:dyDescent="0.3">
      <c r="B34" s="19">
        <v>43110</v>
      </c>
      <c r="C34" s="13" t="s">
        <v>44</v>
      </c>
      <c r="D34" s="9">
        <f>'[1]Calculos Menores'!E8/C3</f>
        <v>23040.81632653061</v>
      </c>
      <c r="E34" s="9">
        <v>0</v>
      </c>
      <c r="F34" s="9">
        <v>0</v>
      </c>
      <c r="G34" s="9">
        <v>0</v>
      </c>
      <c r="H34" s="9">
        <v>0</v>
      </c>
      <c r="I34" s="9">
        <f t="shared" ref="I34:I38" si="14">SUM(D34:H34)</f>
        <v>23040.81632653061</v>
      </c>
    </row>
    <row r="35" spans="1:11" x14ac:dyDescent="0.3">
      <c r="B35" s="19">
        <v>43120</v>
      </c>
      <c r="C35" s="13" t="s">
        <v>45</v>
      </c>
      <c r="D35" s="9">
        <f>'[1]Calculos Menores'!E15/C3</f>
        <v>49124.198250728863</v>
      </c>
      <c r="E35" s="9">
        <v>0</v>
      </c>
      <c r="F35" s="9">
        <v>0</v>
      </c>
      <c r="G35" s="9">
        <v>0</v>
      </c>
      <c r="H35" s="9">
        <v>0</v>
      </c>
      <c r="I35" s="9">
        <f t="shared" si="14"/>
        <v>49124.198250728863</v>
      </c>
    </row>
    <row r="36" spans="1:11" x14ac:dyDescent="0.3">
      <c r="B36" s="19">
        <v>44320</v>
      </c>
      <c r="C36" s="13" t="s">
        <v>46</v>
      </c>
      <c r="D36" s="9">
        <f>50000</f>
        <v>50000</v>
      </c>
      <c r="E36" s="9">
        <v>0</v>
      </c>
      <c r="F36" s="9">
        <v>0</v>
      </c>
      <c r="G36" s="9">
        <v>0</v>
      </c>
      <c r="H36" s="9">
        <v>0</v>
      </c>
      <c r="I36" s="9">
        <f t="shared" si="14"/>
        <v>50000</v>
      </c>
    </row>
    <row r="37" spans="1:11" x14ac:dyDescent="0.3">
      <c r="B37" s="13">
        <v>43500</v>
      </c>
      <c r="C37" s="13" t="s">
        <v>47</v>
      </c>
      <c r="D37" s="9">
        <f>'[1]Calculos Menores'!E26/C3</f>
        <v>4373.1778425655975</v>
      </c>
      <c r="E37" s="9">
        <v>0</v>
      </c>
      <c r="F37" s="9">
        <v>0</v>
      </c>
      <c r="G37" s="9">
        <v>0</v>
      </c>
      <c r="H37" s="9">
        <v>0</v>
      </c>
      <c r="I37" s="9">
        <f t="shared" si="14"/>
        <v>4373.1778425655975</v>
      </c>
      <c r="K37" s="6"/>
    </row>
    <row r="38" spans="1:11" s="4" customFormat="1" x14ac:dyDescent="0.3">
      <c r="A38"/>
      <c r="B38" s="19">
        <v>43600</v>
      </c>
      <c r="C38" s="20" t="s">
        <v>48</v>
      </c>
      <c r="D38" s="9">
        <f>'[1]Calculos Menores'!E21/C3</f>
        <v>5772.0116618075799</v>
      </c>
      <c r="E38" s="9">
        <v>0</v>
      </c>
      <c r="F38" s="9">
        <v>0</v>
      </c>
      <c r="G38" s="9">
        <v>0</v>
      </c>
      <c r="H38" s="9">
        <v>0</v>
      </c>
      <c r="I38" s="9">
        <f t="shared" si="14"/>
        <v>5772.0116618075799</v>
      </c>
      <c r="J38"/>
    </row>
    <row r="39" spans="1:11" ht="15.6" x14ac:dyDescent="0.3">
      <c r="A39" s="4"/>
      <c r="B39" s="151" t="s">
        <v>49</v>
      </c>
      <c r="C39" s="152"/>
      <c r="D39" s="5">
        <f t="shared" ref="D39:I39" si="15">SUM(D40:D41)</f>
        <v>100000</v>
      </c>
      <c r="E39" s="5">
        <f t="shared" si="15"/>
        <v>200000</v>
      </c>
      <c r="F39" s="5">
        <f t="shared" si="15"/>
        <v>160000</v>
      </c>
      <c r="G39" s="5">
        <f t="shared" si="15"/>
        <v>40000</v>
      </c>
      <c r="H39" s="5">
        <f t="shared" si="15"/>
        <v>0</v>
      </c>
      <c r="I39" s="5">
        <f t="shared" si="15"/>
        <v>500000</v>
      </c>
      <c r="J39" s="4"/>
    </row>
    <row r="40" spans="1:11" s="26" customFormat="1" ht="28.8" x14ac:dyDescent="0.3">
      <c r="B40" s="44"/>
      <c r="C40" s="45" t="s">
        <v>74</v>
      </c>
      <c r="D40" s="46">
        <f>200000*0.2</f>
        <v>40000</v>
      </c>
      <c r="E40" s="46">
        <f>200000*0.5</f>
        <v>100000</v>
      </c>
      <c r="F40" s="46">
        <f>200000*0.3</f>
        <v>60000</v>
      </c>
      <c r="G40" s="46">
        <v>0</v>
      </c>
      <c r="H40" s="46">
        <v>0</v>
      </c>
      <c r="I40" s="9">
        <f>SUM(D40:H40)</f>
        <v>200000</v>
      </c>
    </row>
    <row r="41" spans="1:11" s="26" customFormat="1" x14ac:dyDescent="0.3">
      <c r="B41" s="44"/>
      <c r="C41" s="45" t="s">
        <v>118</v>
      </c>
      <c r="D41" s="46">
        <v>60000</v>
      </c>
      <c r="E41" s="46">
        <v>100000</v>
      </c>
      <c r="F41" s="46">
        <v>100000</v>
      </c>
      <c r="G41" s="46">
        <v>40000</v>
      </c>
      <c r="H41" s="46">
        <v>0</v>
      </c>
      <c r="I41" s="9">
        <f>SUM(D41:H41)</f>
        <v>300000</v>
      </c>
    </row>
    <row r="42" spans="1:11" ht="15.6" x14ac:dyDescent="0.3">
      <c r="B42" s="153" t="s">
        <v>50</v>
      </c>
      <c r="C42" s="153"/>
      <c r="D42" s="21">
        <f>+D39+D33+D22+D11+D5</f>
        <v>771257.6497725551</v>
      </c>
      <c r="E42" s="21">
        <f>+E39+E33+E22+E11+E5</f>
        <v>725211.42726818193</v>
      </c>
      <c r="F42" s="21">
        <f>+F39+F33+F22+F11+F5</f>
        <v>714830.97472961061</v>
      </c>
      <c r="G42" s="21">
        <f>+G39+G33+G22+G11+G5</f>
        <v>581395.01192900678</v>
      </c>
      <c r="H42" s="21">
        <f>+H39+H33+H22+H11+H5</f>
        <v>245462.96744019358</v>
      </c>
      <c r="I42" s="21">
        <f>+I39+I22+I11+I5+I33</f>
        <v>3038158.0311395479</v>
      </c>
      <c r="J42" s="112"/>
    </row>
    <row r="43" spans="1:11" x14ac:dyDescent="0.3">
      <c r="D43" s="22"/>
      <c r="E43" s="22"/>
      <c r="F43" s="22"/>
      <c r="G43" s="22"/>
      <c r="H43" s="22"/>
      <c r="I43" s="22"/>
    </row>
    <row r="44" spans="1:11" x14ac:dyDescent="0.3">
      <c r="D44" s="22"/>
      <c r="E44" s="22"/>
      <c r="F44" s="22"/>
      <c r="G44" s="22"/>
      <c r="H44" s="22"/>
      <c r="I44" s="22"/>
      <c r="J44" s="10"/>
    </row>
    <row r="45" spans="1:11" x14ac:dyDescent="0.3">
      <c r="D45" s="22"/>
      <c r="E45" s="22"/>
      <c r="F45" s="22"/>
      <c r="G45" s="22"/>
      <c r="H45" s="22"/>
      <c r="I45" s="22"/>
    </row>
    <row r="46" spans="1:11" x14ac:dyDescent="0.3">
      <c r="D46" s="22"/>
      <c r="E46" s="22"/>
      <c r="F46" s="22"/>
      <c r="G46" s="22"/>
      <c r="H46" s="22"/>
      <c r="I46" s="22"/>
    </row>
    <row r="47" spans="1:11" x14ac:dyDescent="0.3">
      <c r="D47" s="22"/>
      <c r="E47" s="22"/>
      <c r="F47" s="22"/>
      <c r="G47" s="22"/>
      <c r="H47" s="22"/>
      <c r="I47" s="22"/>
    </row>
    <row r="48" spans="1:11" x14ac:dyDescent="0.3">
      <c r="D48" s="22"/>
      <c r="E48" s="22"/>
      <c r="F48" s="22"/>
      <c r="G48" s="22"/>
      <c r="H48" s="22"/>
      <c r="I48" s="22"/>
    </row>
    <row r="49" spans="4:9" x14ac:dyDescent="0.3">
      <c r="D49" s="22"/>
      <c r="E49" s="22"/>
      <c r="F49" s="22"/>
      <c r="G49" s="22"/>
      <c r="H49" s="22"/>
      <c r="I49" s="22"/>
    </row>
    <row r="50" spans="4:9" x14ac:dyDescent="0.3">
      <c r="D50" s="22"/>
      <c r="E50" s="22"/>
      <c r="F50" s="22"/>
      <c r="G50" s="22"/>
      <c r="H50" s="22"/>
      <c r="I50" s="22"/>
    </row>
    <row r="51" spans="4:9" x14ac:dyDescent="0.3">
      <c r="D51" s="22"/>
      <c r="E51" s="22"/>
      <c r="F51" s="22"/>
      <c r="G51" s="22"/>
      <c r="H51" s="22"/>
      <c r="I51" s="22"/>
    </row>
    <row r="52" spans="4:9" x14ac:dyDescent="0.3">
      <c r="D52" s="22"/>
      <c r="E52" s="22"/>
      <c r="F52" s="22"/>
      <c r="G52" s="22"/>
      <c r="H52" s="22"/>
      <c r="I52" s="22"/>
    </row>
    <row r="53" spans="4:9" x14ac:dyDescent="0.3">
      <c r="D53" s="22"/>
      <c r="E53" s="22"/>
      <c r="F53" s="22"/>
      <c r="G53" s="22"/>
      <c r="H53" s="22"/>
      <c r="I53" s="22"/>
    </row>
    <row r="54" spans="4:9" x14ac:dyDescent="0.3">
      <c r="D54" s="22"/>
      <c r="E54" s="22"/>
      <c r="F54" s="22"/>
      <c r="G54" s="22"/>
      <c r="H54" s="22"/>
      <c r="I54" s="22"/>
    </row>
    <row r="55" spans="4:9" x14ac:dyDescent="0.3">
      <c r="D55" s="22"/>
      <c r="E55" s="22"/>
      <c r="F55" s="22"/>
      <c r="G55" s="22"/>
      <c r="H55" s="22"/>
      <c r="I55" s="22"/>
    </row>
    <row r="56" spans="4:9" x14ac:dyDescent="0.3">
      <c r="D56" s="22"/>
      <c r="E56" s="22"/>
      <c r="F56" s="22"/>
      <c r="G56" s="22"/>
      <c r="H56" s="22"/>
      <c r="I56" s="22"/>
    </row>
    <row r="57" spans="4:9" x14ac:dyDescent="0.3">
      <c r="D57" s="22"/>
      <c r="E57" s="22"/>
      <c r="F57" s="22"/>
      <c r="G57" s="22"/>
      <c r="H57" s="22"/>
      <c r="I57" s="22"/>
    </row>
    <row r="58" spans="4:9" x14ac:dyDescent="0.3">
      <c r="D58" s="22"/>
      <c r="E58" s="22"/>
      <c r="F58" s="22"/>
      <c r="G58" s="22"/>
      <c r="H58" s="22"/>
      <c r="I58" s="22"/>
    </row>
    <row r="59" spans="4:9" x14ac:dyDescent="0.3">
      <c r="D59" s="22"/>
      <c r="E59" s="22"/>
      <c r="F59" s="22"/>
      <c r="G59" s="22"/>
      <c r="H59" s="22"/>
      <c r="I59" s="22"/>
    </row>
    <row r="60" spans="4:9" x14ac:dyDescent="0.3">
      <c r="D60" s="22"/>
      <c r="E60" s="22"/>
      <c r="F60" s="22"/>
      <c r="G60" s="22"/>
      <c r="H60" s="22"/>
      <c r="I60" s="22"/>
    </row>
    <row r="61" spans="4:9" x14ac:dyDescent="0.3">
      <c r="D61" s="22"/>
      <c r="E61" s="22"/>
      <c r="F61" s="22"/>
      <c r="G61" s="22"/>
      <c r="H61" s="22"/>
      <c r="I61" s="22"/>
    </row>
    <row r="62" spans="4:9" x14ac:dyDescent="0.3">
      <c r="D62" s="22"/>
      <c r="E62" s="22"/>
      <c r="F62" s="22"/>
      <c r="G62" s="22"/>
      <c r="H62" s="22"/>
      <c r="I62" s="22"/>
    </row>
    <row r="63" spans="4:9" x14ac:dyDescent="0.3">
      <c r="D63" s="22"/>
      <c r="E63" s="22"/>
      <c r="F63" s="22"/>
      <c r="G63" s="22"/>
      <c r="H63" s="22"/>
      <c r="I63" s="22"/>
    </row>
    <row r="64" spans="4:9" x14ac:dyDescent="0.3">
      <c r="D64" s="22"/>
      <c r="E64" s="22"/>
      <c r="F64" s="22"/>
      <c r="G64" s="22"/>
      <c r="H64" s="22"/>
      <c r="I64" s="22"/>
    </row>
    <row r="65" spans="4:9" x14ac:dyDescent="0.3">
      <c r="D65" s="22"/>
      <c r="E65" s="22"/>
      <c r="F65" s="22"/>
      <c r="G65" s="22"/>
      <c r="H65" s="22"/>
      <c r="I65" s="22"/>
    </row>
    <row r="66" spans="4:9" x14ac:dyDescent="0.3">
      <c r="D66" s="22"/>
      <c r="E66" s="22"/>
      <c r="F66" s="22"/>
      <c r="G66" s="22"/>
      <c r="H66" s="22"/>
      <c r="I66" s="22"/>
    </row>
    <row r="67" spans="4:9" x14ac:dyDescent="0.3">
      <c r="D67" s="22"/>
      <c r="E67" s="22"/>
      <c r="F67" s="22"/>
      <c r="G67" s="22"/>
      <c r="H67" s="22"/>
      <c r="I67" s="22"/>
    </row>
    <row r="68" spans="4:9" x14ac:dyDescent="0.3">
      <c r="D68" s="22"/>
      <c r="E68" s="22"/>
      <c r="F68" s="22"/>
      <c r="G68" s="22"/>
      <c r="H68" s="22"/>
      <c r="I68" s="22"/>
    </row>
    <row r="69" spans="4:9" x14ac:dyDescent="0.3">
      <c r="D69" s="22"/>
      <c r="E69" s="22"/>
      <c r="F69" s="22"/>
      <c r="G69" s="22"/>
      <c r="H69" s="22"/>
      <c r="I69" s="22"/>
    </row>
    <row r="70" spans="4:9" x14ac:dyDescent="0.3">
      <c r="D70" s="22"/>
      <c r="E70" s="22"/>
      <c r="F70" s="22"/>
      <c r="G70" s="22"/>
      <c r="H70" s="22"/>
      <c r="I70" s="22"/>
    </row>
    <row r="71" spans="4:9" x14ac:dyDescent="0.3">
      <c r="D71" s="22"/>
      <c r="E71" s="22"/>
      <c r="F71" s="22"/>
      <c r="G71" s="22"/>
      <c r="H71" s="22"/>
      <c r="I71" s="22"/>
    </row>
    <row r="72" spans="4:9" x14ac:dyDescent="0.3">
      <c r="D72" s="22"/>
      <c r="E72" s="22"/>
      <c r="F72" s="22"/>
      <c r="G72" s="22"/>
      <c r="H72" s="22"/>
      <c r="I72" s="22"/>
    </row>
    <row r="73" spans="4:9" x14ac:dyDescent="0.3">
      <c r="D73" s="22"/>
      <c r="E73" s="22"/>
      <c r="F73" s="22"/>
      <c r="G73" s="22"/>
      <c r="H73" s="22"/>
      <c r="I73" s="22"/>
    </row>
    <row r="74" spans="4:9" x14ac:dyDescent="0.3">
      <c r="D74" s="22"/>
      <c r="E74" s="22"/>
      <c r="F74" s="22"/>
      <c r="G74" s="22"/>
      <c r="H74" s="22"/>
      <c r="I74" s="22"/>
    </row>
    <row r="75" spans="4:9" x14ac:dyDescent="0.3">
      <c r="D75" s="22"/>
      <c r="E75" s="22"/>
      <c r="F75" s="22"/>
      <c r="G75" s="22"/>
      <c r="H75" s="22"/>
      <c r="I75" s="22"/>
    </row>
    <row r="76" spans="4:9" x14ac:dyDescent="0.3">
      <c r="D76" s="22"/>
      <c r="E76" s="22"/>
      <c r="F76" s="22"/>
      <c r="G76" s="22"/>
      <c r="H76" s="22"/>
      <c r="I76" s="22"/>
    </row>
    <row r="77" spans="4:9" x14ac:dyDescent="0.3">
      <c r="D77" s="22"/>
      <c r="E77" s="22"/>
      <c r="F77" s="22"/>
      <c r="G77" s="22"/>
      <c r="H77" s="22"/>
      <c r="I77" s="22"/>
    </row>
    <row r="78" spans="4:9" x14ac:dyDescent="0.3">
      <c r="D78" s="22"/>
      <c r="E78" s="22"/>
      <c r="F78" s="22"/>
      <c r="G78" s="22"/>
      <c r="H78" s="22"/>
      <c r="I78" s="22"/>
    </row>
    <row r="79" spans="4:9" x14ac:dyDescent="0.3">
      <c r="D79" s="22"/>
      <c r="E79" s="22"/>
      <c r="F79" s="22"/>
      <c r="G79" s="22"/>
      <c r="H79" s="22"/>
      <c r="I79" s="22"/>
    </row>
    <row r="80" spans="4:9" x14ac:dyDescent="0.3">
      <c r="D80" s="22"/>
      <c r="E80" s="22"/>
      <c r="F80" s="22"/>
      <c r="G80" s="22"/>
      <c r="H80" s="22"/>
      <c r="I80" s="22"/>
    </row>
    <row r="81" spans="4:9" x14ac:dyDescent="0.3">
      <c r="D81" s="22"/>
      <c r="E81" s="22"/>
      <c r="F81" s="22"/>
      <c r="G81" s="22"/>
      <c r="H81" s="22"/>
      <c r="I81" s="22"/>
    </row>
    <row r="82" spans="4:9" x14ac:dyDescent="0.3">
      <c r="D82" s="22"/>
      <c r="E82" s="22"/>
      <c r="F82" s="22"/>
      <c r="G82" s="22"/>
      <c r="H82" s="22"/>
      <c r="I82" s="22"/>
    </row>
  </sheetData>
  <mergeCells count="8">
    <mergeCell ref="B39:C39"/>
    <mergeCell ref="B42:C42"/>
    <mergeCell ref="A1:I1"/>
    <mergeCell ref="A2:I2"/>
    <mergeCell ref="B5:C5"/>
    <mergeCell ref="B11:C11"/>
    <mergeCell ref="B22:C22"/>
    <mergeCell ref="B33:C3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topLeftCell="B1" workbookViewId="0">
      <selection activeCell="B2" sqref="B2:K2"/>
    </sheetView>
  </sheetViews>
  <sheetFormatPr defaultColWidth="11.5546875" defaultRowHeight="14.4" x14ac:dyDescent="0.3"/>
  <cols>
    <col min="1" max="1" width="3.109375" hidden="1" customWidth="1"/>
    <col min="2" max="2" width="3.33203125" customWidth="1"/>
    <col min="3" max="3" width="28.88671875" customWidth="1"/>
    <col min="4" max="4" width="13.88671875" customWidth="1"/>
    <col min="5" max="5" width="14.44140625" customWidth="1"/>
    <col min="6" max="6" width="14.44140625" bestFit="1" customWidth="1"/>
    <col min="7" max="9" width="14.44140625" customWidth="1"/>
    <col min="10" max="10" width="14.44140625" bestFit="1" customWidth="1"/>
    <col min="11" max="11" width="15.5546875" bestFit="1" customWidth="1"/>
    <col min="12" max="12" width="17.109375" customWidth="1"/>
    <col min="13" max="13" width="6" customWidth="1"/>
    <col min="14" max="14" width="7" bestFit="1" customWidth="1"/>
    <col min="15" max="15" width="13.88671875" bestFit="1" customWidth="1"/>
  </cols>
  <sheetData>
    <row r="1" spans="2:13" ht="17.399999999999999" x14ac:dyDescent="0.3">
      <c r="B1" s="155" t="s">
        <v>51</v>
      </c>
      <c r="C1" s="155"/>
      <c r="D1" s="155"/>
      <c r="E1" s="155"/>
      <c r="F1" s="155"/>
      <c r="G1" s="155"/>
      <c r="H1" s="155"/>
      <c r="I1" s="155"/>
      <c r="J1" s="155"/>
      <c r="K1" s="155"/>
    </row>
    <row r="2" spans="2:13" ht="15.6" x14ac:dyDescent="0.3">
      <c r="B2" s="156" t="s">
        <v>136</v>
      </c>
      <c r="C2" s="156"/>
      <c r="D2" s="156"/>
      <c r="E2" s="156"/>
      <c r="F2" s="156"/>
      <c r="G2" s="156"/>
      <c r="H2" s="156"/>
      <c r="I2" s="156"/>
      <c r="J2" s="156"/>
      <c r="K2" s="156"/>
    </row>
    <row r="3" spans="2:13" ht="15.6" x14ac:dyDescent="0.3">
      <c r="C3" s="23"/>
      <c r="D3" s="23"/>
      <c r="E3" s="24"/>
      <c r="F3" s="24"/>
      <c r="G3" s="24"/>
      <c r="H3" s="24"/>
      <c r="I3" s="24"/>
      <c r="J3" s="24"/>
      <c r="K3" s="24"/>
    </row>
    <row r="4" spans="2:13" ht="15.6" x14ac:dyDescent="0.3">
      <c r="C4" s="23"/>
      <c r="D4" s="23"/>
      <c r="E4" s="24"/>
      <c r="F4" s="157" t="s">
        <v>52</v>
      </c>
      <c r="G4" s="157"/>
      <c r="H4" s="157"/>
      <c r="I4" s="157"/>
      <c r="J4" s="157"/>
      <c r="K4" s="157"/>
    </row>
    <row r="5" spans="2:13" s="26" customFormat="1" ht="15.6" x14ac:dyDescent="0.3">
      <c r="B5" s="25" t="s">
        <v>53</v>
      </c>
      <c r="C5" s="25" t="s">
        <v>54</v>
      </c>
      <c r="D5" s="25" t="s">
        <v>55</v>
      </c>
      <c r="E5" s="25" t="s">
        <v>56</v>
      </c>
      <c r="F5" s="25" t="s">
        <v>9</v>
      </c>
      <c r="G5" s="25" t="s">
        <v>10</v>
      </c>
      <c r="H5" s="25" t="s">
        <v>11</v>
      </c>
      <c r="I5" s="25" t="s">
        <v>12</v>
      </c>
      <c r="J5" s="25" t="s">
        <v>13</v>
      </c>
      <c r="K5" s="25" t="s">
        <v>57</v>
      </c>
    </row>
    <row r="6" spans="2:13" ht="15.6" x14ac:dyDescent="0.3">
      <c r="B6" s="27" t="s">
        <v>58</v>
      </c>
      <c r="C6" s="28"/>
      <c r="D6" s="28"/>
      <c r="E6" s="29"/>
      <c r="F6" s="29"/>
      <c r="G6" s="29"/>
      <c r="H6" s="29"/>
      <c r="I6" s="29"/>
      <c r="J6" s="29"/>
      <c r="K6" s="30"/>
    </row>
    <row r="7" spans="2:13" ht="28.8" x14ac:dyDescent="0.3">
      <c r="B7" s="19">
        <v>1</v>
      </c>
      <c r="C7" s="31" t="s">
        <v>59</v>
      </c>
      <c r="D7" s="31">
        <v>1</v>
      </c>
      <c r="E7" s="32">
        <v>16022</v>
      </c>
      <c r="F7" s="33">
        <f t="shared" ref="F7:F12" si="0">+E7*D7*12</f>
        <v>192264</v>
      </c>
      <c r="G7" s="33">
        <f>+F7*1.07</f>
        <v>205722.48</v>
      </c>
      <c r="H7" s="33">
        <f t="shared" ref="H7:J7" si="1">+G7*1.07</f>
        <v>220123.05360000001</v>
      </c>
      <c r="I7" s="33">
        <f t="shared" si="1"/>
        <v>235531.66735200002</v>
      </c>
      <c r="J7" s="33">
        <f t="shared" si="1"/>
        <v>252018.88406664002</v>
      </c>
      <c r="K7" s="32">
        <f>SUM(F7:J7)</f>
        <v>1105660.0850186399</v>
      </c>
      <c r="L7" s="6"/>
      <c r="M7" s="6"/>
    </row>
    <row r="8" spans="2:13" x14ac:dyDescent="0.3">
      <c r="B8" s="19">
        <f t="shared" ref="B8:B12" si="2">+B7+1</f>
        <v>2</v>
      </c>
      <c r="C8" s="34" t="s">
        <v>60</v>
      </c>
      <c r="D8" s="34">
        <v>1</v>
      </c>
      <c r="E8" s="32">
        <v>12521</v>
      </c>
      <c r="F8" s="33">
        <f t="shared" si="0"/>
        <v>150252</v>
      </c>
      <c r="G8" s="33">
        <f t="shared" ref="G8:J12" si="3">+F8*1.07</f>
        <v>160769.64000000001</v>
      </c>
      <c r="H8" s="33">
        <f t="shared" si="3"/>
        <v>172023.51480000003</v>
      </c>
      <c r="I8" s="33">
        <f t="shared" si="3"/>
        <v>184065.16083600005</v>
      </c>
      <c r="J8" s="33">
        <f t="shared" si="3"/>
        <v>196949.72209452008</v>
      </c>
      <c r="K8" s="32">
        <f t="shared" ref="K8:K12" si="4">SUM(F8:J8)</f>
        <v>864060.03773052024</v>
      </c>
      <c r="L8" s="6"/>
      <c r="M8" s="6"/>
    </row>
    <row r="9" spans="2:13" x14ac:dyDescent="0.3">
      <c r="B9" s="19">
        <f t="shared" si="2"/>
        <v>3</v>
      </c>
      <c r="C9" s="34" t="s">
        <v>61</v>
      </c>
      <c r="D9" s="34">
        <v>1</v>
      </c>
      <c r="E9" s="32">
        <v>12521</v>
      </c>
      <c r="F9" s="33">
        <f t="shared" si="0"/>
        <v>150252</v>
      </c>
      <c r="G9" s="33">
        <f t="shared" si="3"/>
        <v>160769.64000000001</v>
      </c>
      <c r="H9" s="33">
        <f t="shared" si="3"/>
        <v>172023.51480000003</v>
      </c>
      <c r="I9" s="33">
        <f t="shared" si="3"/>
        <v>184065.16083600005</v>
      </c>
      <c r="J9" s="33">
        <f t="shared" si="3"/>
        <v>196949.72209452008</v>
      </c>
      <c r="K9" s="32">
        <f t="shared" si="4"/>
        <v>864060.03773052024</v>
      </c>
      <c r="L9" s="6"/>
      <c r="M9" s="6"/>
    </row>
    <row r="10" spans="2:13" x14ac:dyDescent="0.3">
      <c r="B10" s="19">
        <f t="shared" si="2"/>
        <v>4</v>
      </c>
      <c r="C10" s="34" t="s">
        <v>62</v>
      </c>
      <c r="D10" s="34">
        <v>1</v>
      </c>
      <c r="E10" s="32">
        <v>12521</v>
      </c>
      <c r="F10" s="33">
        <f t="shared" si="0"/>
        <v>150252</v>
      </c>
      <c r="G10" s="33">
        <f t="shared" si="3"/>
        <v>160769.64000000001</v>
      </c>
      <c r="H10" s="33">
        <f t="shared" si="3"/>
        <v>172023.51480000003</v>
      </c>
      <c r="I10" s="33">
        <f t="shared" si="3"/>
        <v>184065.16083600005</v>
      </c>
      <c r="J10" s="33">
        <f t="shared" si="3"/>
        <v>196949.72209452008</v>
      </c>
      <c r="K10" s="32">
        <f t="shared" si="4"/>
        <v>864060.03773052024</v>
      </c>
      <c r="L10" s="6"/>
      <c r="M10" s="6"/>
    </row>
    <row r="11" spans="2:13" ht="28.8" x14ac:dyDescent="0.3">
      <c r="B11" s="19">
        <f t="shared" si="2"/>
        <v>5</v>
      </c>
      <c r="C11" s="34" t="s">
        <v>63</v>
      </c>
      <c r="D11" s="34">
        <v>1</v>
      </c>
      <c r="E11" s="32">
        <v>12521</v>
      </c>
      <c r="F11" s="33">
        <f t="shared" si="0"/>
        <v>150252</v>
      </c>
      <c r="G11" s="33">
        <f t="shared" si="3"/>
        <v>160769.64000000001</v>
      </c>
      <c r="H11" s="33">
        <f t="shared" si="3"/>
        <v>172023.51480000003</v>
      </c>
      <c r="I11" s="33">
        <f t="shared" si="3"/>
        <v>184065.16083600005</v>
      </c>
      <c r="J11" s="33">
        <f t="shared" si="3"/>
        <v>196949.72209452008</v>
      </c>
      <c r="K11" s="32">
        <f t="shared" si="4"/>
        <v>864060.03773052024</v>
      </c>
      <c r="L11" s="6"/>
      <c r="M11" s="6"/>
    </row>
    <row r="12" spans="2:13" x14ac:dyDescent="0.3">
      <c r="B12" s="19">
        <f t="shared" si="2"/>
        <v>6</v>
      </c>
      <c r="C12" s="34" t="s">
        <v>64</v>
      </c>
      <c r="D12" s="34">
        <v>1</v>
      </c>
      <c r="E12" s="32">
        <v>12521</v>
      </c>
      <c r="F12" s="33">
        <f t="shared" si="0"/>
        <v>150252</v>
      </c>
      <c r="G12" s="33">
        <f t="shared" si="3"/>
        <v>160769.64000000001</v>
      </c>
      <c r="H12" s="33">
        <f t="shared" si="3"/>
        <v>172023.51480000003</v>
      </c>
      <c r="I12" s="33">
        <f t="shared" si="3"/>
        <v>184065.16083600005</v>
      </c>
      <c r="J12" s="33">
        <f t="shared" si="3"/>
        <v>196949.72209452008</v>
      </c>
      <c r="K12" s="32">
        <f t="shared" si="4"/>
        <v>864060.03773052024</v>
      </c>
      <c r="L12" s="6"/>
      <c r="M12" s="6"/>
    </row>
    <row r="13" spans="2:13" x14ac:dyDescent="0.3">
      <c r="B13" s="35"/>
      <c r="C13" s="36" t="s">
        <v>65</v>
      </c>
      <c r="D13" s="36"/>
      <c r="E13" s="37"/>
      <c r="F13" s="38">
        <f t="shared" ref="F13:K13" si="5">SUM(F7:F12)</f>
        <v>943524</v>
      </c>
      <c r="G13" s="38">
        <f t="shared" si="5"/>
        <v>1009570.68</v>
      </c>
      <c r="H13" s="38">
        <f t="shared" si="5"/>
        <v>1080240.6276000002</v>
      </c>
      <c r="I13" s="38">
        <f t="shared" si="5"/>
        <v>1155857.4715320002</v>
      </c>
      <c r="J13" s="38">
        <f t="shared" si="5"/>
        <v>1236767.4945392404</v>
      </c>
      <c r="K13" s="38">
        <f t="shared" si="5"/>
        <v>5425960.2736712415</v>
      </c>
      <c r="L13" s="6"/>
      <c r="M13" s="6"/>
    </row>
    <row r="14" spans="2:13" ht="15.6" x14ac:dyDescent="0.3">
      <c r="B14" s="27" t="s">
        <v>66</v>
      </c>
      <c r="C14" s="28"/>
      <c r="D14" s="28"/>
      <c r="E14" s="29"/>
      <c r="F14" s="29"/>
      <c r="G14" s="29"/>
      <c r="H14" s="29"/>
      <c r="I14" s="29"/>
      <c r="J14" s="29"/>
      <c r="K14" s="30"/>
      <c r="L14" s="6"/>
    </row>
    <row r="15" spans="2:13" x14ac:dyDescent="0.3">
      <c r="B15" s="19">
        <v>8</v>
      </c>
      <c r="C15" s="39" t="s">
        <v>67</v>
      </c>
      <c r="D15" s="40">
        <v>5</v>
      </c>
      <c r="E15" s="32">
        <v>12521</v>
      </c>
      <c r="F15" s="33">
        <f>3*E15*12</f>
        <v>450756</v>
      </c>
      <c r="G15" s="33">
        <f>4*E15*12</f>
        <v>601008</v>
      </c>
      <c r="H15" s="33">
        <f>+G15*1.07</f>
        <v>643078.56000000006</v>
      </c>
      <c r="I15" s="33">
        <f>3*E15*12</f>
        <v>450756</v>
      </c>
      <c r="J15" s="33">
        <f>+I15*1.07</f>
        <v>482308.92000000004</v>
      </c>
      <c r="K15" s="32">
        <f t="shared" ref="K15:K18" si="6">SUM(F15:J15)</f>
        <v>2627907.48</v>
      </c>
      <c r="L15" s="6"/>
    </row>
    <row r="16" spans="2:13" x14ac:dyDescent="0.3">
      <c r="B16" s="19">
        <f>+B15+1</f>
        <v>9</v>
      </c>
      <c r="C16" s="39" t="s">
        <v>119</v>
      </c>
      <c r="D16" s="40">
        <v>3</v>
      </c>
      <c r="E16" s="32">
        <v>12521</v>
      </c>
      <c r="F16" s="33">
        <f>1*E16*12</f>
        <v>150252</v>
      </c>
      <c r="G16" s="33">
        <f>+D16*E16*12</f>
        <v>450756</v>
      </c>
      <c r="H16" s="33">
        <f>+G16*1.07</f>
        <v>482308.92000000004</v>
      </c>
      <c r="I16" s="33">
        <f>+H16*1.07</f>
        <v>516070.54440000007</v>
      </c>
      <c r="J16" s="33">
        <f>+E16*1*12</f>
        <v>150252</v>
      </c>
      <c r="K16" s="32">
        <f t="shared" si="6"/>
        <v>1749639.4643999999</v>
      </c>
      <c r="L16" s="6"/>
    </row>
    <row r="17" spans="2:13" x14ac:dyDescent="0.3">
      <c r="B17" s="19">
        <f t="shared" ref="B17:B18" si="7">+B16+1</f>
        <v>10</v>
      </c>
      <c r="C17" s="39" t="s">
        <v>68</v>
      </c>
      <c r="D17" s="40">
        <v>3</v>
      </c>
      <c r="E17" s="32">
        <v>10355</v>
      </c>
      <c r="F17" s="33">
        <f>+E17*12</f>
        <v>124260</v>
      </c>
      <c r="G17" s="33">
        <f>+D17*E17*12</f>
        <v>372780</v>
      </c>
      <c r="H17" s="33">
        <f>+G17*1.07</f>
        <v>398874.60000000003</v>
      </c>
      <c r="I17" s="33">
        <f>+H17</f>
        <v>398874.60000000003</v>
      </c>
      <c r="J17" s="33">
        <f>+I17</f>
        <v>398874.60000000003</v>
      </c>
      <c r="K17" s="33">
        <f t="shared" si="6"/>
        <v>1693663.8000000003</v>
      </c>
      <c r="L17" s="6"/>
    </row>
    <row r="18" spans="2:13" x14ac:dyDescent="0.3">
      <c r="B18" s="19">
        <f t="shared" si="7"/>
        <v>11</v>
      </c>
      <c r="C18" s="39" t="s">
        <v>69</v>
      </c>
      <c r="D18" s="40">
        <v>1</v>
      </c>
      <c r="E18" s="32">
        <v>4128</v>
      </c>
      <c r="F18" s="33">
        <f>+E18*D18*12</f>
        <v>49536</v>
      </c>
      <c r="G18" s="33">
        <f t="shared" ref="G18:J18" si="8">+F18*1.07</f>
        <v>53003.520000000004</v>
      </c>
      <c r="H18" s="33">
        <f t="shared" si="8"/>
        <v>56713.766400000008</v>
      </c>
      <c r="I18" s="33">
        <f t="shared" si="8"/>
        <v>60683.730048000012</v>
      </c>
      <c r="J18" s="33">
        <f t="shared" si="8"/>
        <v>64931.591151360015</v>
      </c>
      <c r="K18" s="32">
        <f t="shared" si="6"/>
        <v>284868.60759936005</v>
      </c>
      <c r="L18" s="6"/>
    </row>
    <row r="19" spans="2:13" x14ac:dyDescent="0.3">
      <c r="B19" s="35"/>
      <c r="C19" s="36" t="s">
        <v>65</v>
      </c>
      <c r="D19" s="36">
        <f>SUM(D7:D18)</f>
        <v>18</v>
      </c>
      <c r="E19" s="37"/>
      <c r="F19" s="38">
        <f t="shared" ref="F19:K19" si="9">SUM(F15:F18)</f>
        <v>774804</v>
      </c>
      <c r="G19" s="38">
        <f t="shared" si="9"/>
        <v>1477547.52</v>
      </c>
      <c r="H19" s="38">
        <f t="shared" si="9"/>
        <v>1580975.8464000002</v>
      </c>
      <c r="I19" s="38">
        <f t="shared" si="9"/>
        <v>1426384.8744480002</v>
      </c>
      <c r="J19" s="38">
        <f t="shared" si="9"/>
        <v>1096367.11115136</v>
      </c>
      <c r="K19" s="38">
        <f t="shared" si="9"/>
        <v>6356079.3519993601</v>
      </c>
      <c r="L19" s="6"/>
      <c r="M19" s="6"/>
    </row>
    <row r="20" spans="2:13" ht="15.6" x14ac:dyDescent="0.3">
      <c r="B20" s="158" t="s">
        <v>70</v>
      </c>
      <c r="C20" s="159"/>
      <c r="D20" s="159"/>
      <c r="E20" s="160"/>
      <c r="F20" s="41">
        <f t="shared" ref="F20:K20" si="10">F13+F19</f>
        <v>1718328</v>
      </c>
      <c r="G20" s="41">
        <f t="shared" si="10"/>
        <v>2487118.2000000002</v>
      </c>
      <c r="H20" s="41">
        <f t="shared" si="10"/>
        <v>2661216.4740000004</v>
      </c>
      <c r="I20" s="41">
        <f t="shared" si="10"/>
        <v>2582242.3459800007</v>
      </c>
      <c r="J20" s="41">
        <f t="shared" si="10"/>
        <v>2333134.6056906004</v>
      </c>
      <c r="K20" s="41">
        <f t="shared" si="10"/>
        <v>11782039.625670601</v>
      </c>
      <c r="L20" s="6"/>
    </row>
    <row r="21" spans="2:13" ht="15.6" x14ac:dyDescent="0.3">
      <c r="B21" s="161" t="s">
        <v>71</v>
      </c>
      <c r="C21" s="161"/>
      <c r="D21" s="161"/>
      <c r="E21" s="161"/>
      <c r="F21" s="41">
        <f t="shared" ref="F21:K21" si="11">F20/6.86</f>
        <v>250485.13119533527</v>
      </c>
      <c r="G21" s="41">
        <f t="shared" si="11"/>
        <v>362553.67346938775</v>
      </c>
      <c r="H21" s="41">
        <f t="shared" si="11"/>
        <v>387932.43061224493</v>
      </c>
      <c r="I21" s="41">
        <f t="shared" si="11"/>
        <v>376420.16705247824</v>
      </c>
      <c r="J21" s="41">
        <f t="shared" si="11"/>
        <v>340107.08537763852</v>
      </c>
      <c r="K21" s="41">
        <f t="shared" si="11"/>
        <v>1717498.4877070845</v>
      </c>
      <c r="L21" s="6"/>
    </row>
  </sheetData>
  <mergeCells count="5">
    <mergeCell ref="B1:K1"/>
    <mergeCell ref="B2:K2"/>
    <mergeCell ref="F4:K4"/>
    <mergeCell ref="B20:E20"/>
    <mergeCell ref="B21:E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tabSelected="1" workbookViewId="0">
      <selection activeCell="E34" sqref="E34"/>
    </sheetView>
  </sheetViews>
  <sheetFormatPr defaultColWidth="11.44140625" defaultRowHeight="10.199999999999999" x14ac:dyDescent="0.2"/>
  <cols>
    <col min="1" max="1" width="47.33203125" style="53" bestFit="1" customWidth="1"/>
    <col min="2" max="2" width="10" style="53" customWidth="1"/>
    <col min="3" max="3" width="14.44140625" style="53" customWidth="1"/>
    <col min="4" max="4" width="7.5546875" style="53" customWidth="1"/>
    <col min="5" max="5" width="10.88671875" style="53" bestFit="1" customWidth="1"/>
    <col min="6" max="6" width="11.33203125" style="53" bestFit="1" customWidth="1"/>
    <col min="7" max="16384" width="11.44140625" style="53"/>
  </cols>
  <sheetData>
    <row r="1" spans="1:6" s="47" customFormat="1" ht="13.8" x14ac:dyDescent="0.3">
      <c r="B1" s="48"/>
      <c r="C1" s="49"/>
      <c r="D1" s="49"/>
      <c r="E1" s="49"/>
      <c r="F1" s="49"/>
    </row>
    <row r="2" spans="1:6" s="47" customFormat="1" ht="26.25" customHeight="1" x14ac:dyDescent="0.3">
      <c r="A2" s="165" t="s">
        <v>137</v>
      </c>
      <c r="B2" s="165"/>
      <c r="C2" s="165"/>
      <c r="D2" s="50"/>
      <c r="E2" s="50"/>
      <c r="F2" s="50"/>
    </row>
    <row r="3" spans="1:6" s="47" customFormat="1" ht="13.8" x14ac:dyDescent="0.3">
      <c r="B3" s="48"/>
      <c r="C3" s="49"/>
      <c r="D3" s="49"/>
      <c r="E3" s="49"/>
      <c r="F3" s="49"/>
    </row>
    <row r="4" spans="1:6" s="47" customFormat="1" ht="13.8" x14ac:dyDescent="0.3">
      <c r="A4" s="48" t="s">
        <v>75</v>
      </c>
      <c r="B4" s="51">
        <v>6.86</v>
      </c>
      <c r="D4" s="49"/>
      <c r="E4" s="49"/>
      <c r="F4" s="49"/>
    </row>
    <row r="5" spans="1:6" s="47" customFormat="1" ht="13.8" x14ac:dyDescent="0.3">
      <c r="B5" s="48"/>
      <c r="C5" s="49"/>
      <c r="D5" s="49"/>
      <c r="E5" s="49"/>
      <c r="F5" s="49"/>
    </row>
    <row r="6" spans="1:6" ht="11.25" customHeight="1" x14ac:dyDescent="0.2">
      <c r="A6" s="166" t="s">
        <v>76</v>
      </c>
      <c r="B6" s="166" t="s">
        <v>77</v>
      </c>
      <c r="C6" s="166" t="s">
        <v>78</v>
      </c>
      <c r="D6" s="166" t="s">
        <v>79</v>
      </c>
      <c r="E6" s="162" t="s">
        <v>80</v>
      </c>
      <c r="F6" s="52" t="s">
        <v>81</v>
      </c>
    </row>
    <row r="7" spans="1:6" x14ac:dyDescent="0.2">
      <c r="A7" s="166"/>
      <c r="B7" s="166"/>
      <c r="C7" s="166"/>
      <c r="D7" s="166"/>
      <c r="E7" s="163"/>
      <c r="F7" s="52" t="s">
        <v>82</v>
      </c>
    </row>
    <row r="8" spans="1:6" s="59" customFormat="1" x14ac:dyDescent="0.2">
      <c r="A8" s="54" t="s">
        <v>83</v>
      </c>
      <c r="B8" s="55" t="s">
        <v>84</v>
      </c>
      <c r="C8" s="56">
        <v>50000</v>
      </c>
      <c r="D8" s="56">
        <v>5</v>
      </c>
      <c r="E8" s="57">
        <f>+D8*C8</f>
        <v>250000</v>
      </c>
      <c r="F8" s="58">
        <f>+E8</f>
        <v>250000</v>
      </c>
    </row>
    <row r="9" spans="1:6" x14ac:dyDescent="0.2">
      <c r="A9" s="60" t="s">
        <v>86</v>
      </c>
      <c r="B9" s="55" t="s">
        <v>85</v>
      </c>
      <c r="C9" s="61">
        <v>50000</v>
      </c>
      <c r="D9" s="61">
        <v>1</v>
      </c>
      <c r="E9" s="62">
        <f>+D9*C9</f>
        <v>50000</v>
      </c>
      <c r="F9" s="58">
        <f>+E9</f>
        <v>50000</v>
      </c>
    </row>
    <row r="10" spans="1:6" x14ac:dyDescent="0.2">
      <c r="A10" s="60" t="s">
        <v>87</v>
      </c>
      <c r="B10" s="55" t="s">
        <v>85</v>
      </c>
      <c r="C10" s="61">
        <v>200000</v>
      </c>
      <c r="D10" s="61">
        <v>1</v>
      </c>
      <c r="E10" s="62">
        <f>+D10*C10</f>
        <v>200000</v>
      </c>
      <c r="F10" s="58">
        <f>+E10</f>
        <v>200000</v>
      </c>
    </row>
    <row r="11" spans="1:6" s="64" customFormat="1" x14ac:dyDescent="0.2">
      <c r="A11" s="164" t="s">
        <v>88</v>
      </c>
      <c r="B11" s="164"/>
      <c r="C11" s="164"/>
      <c r="D11" s="164"/>
      <c r="E11" s="63">
        <f t="shared" ref="E11:F11" si="0">SUM(E8:E10)</f>
        <v>500000</v>
      </c>
      <c r="F11" s="63">
        <f t="shared" si="0"/>
        <v>500000</v>
      </c>
    </row>
    <row r="13" spans="1:6" x14ac:dyDescent="0.2">
      <c r="C13" s="65"/>
      <c r="E13" s="66"/>
      <c r="F13" s="65"/>
    </row>
    <row r="15" spans="1:6" x14ac:dyDescent="0.2">
      <c r="C15" s="65"/>
    </row>
  </sheetData>
  <mergeCells count="7">
    <mergeCell ref="E6:E7"/>
    <mergeCell ref="A11:D11"/>
    <mergeCell ref="A2:C2"/>
    <mergeCell ref="A6:A7"/>
    <mergeCell ref="B6:B7"/>
    <mergeCell ref="C6:C7"/>
    <mergeCell ref="D6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B6AA2F5AFBC614B9274A9142CBF31F6" ma:contentTypeVersion="27" ma:contentTypeDescription="A content type to manage public (operations) IDB documents" ma:contentTypeScope="" ma:versionID="532191183786013f40377aaad68fbab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26</Value>
      <Value>60</Value>
      <Value>39</Value>
      <Value>59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R0001278834</Record_x0020_Number>
    <_dlc_DocId xmlns="cdc7663a-08f0-4737-9e8c-148ce897a09c">EZSHARE-1678154555-33</_dlc_DocId>
    <_dlc_DocIdUrl xmlns="cdc7663a-08f0-4737-9e8c-148ce897a09c">
      <Url>https://idbg.sharepoint.com/teams/EZ-BO-LON/BO-L1191/_layouts/15/DocIdRedir.aspx?ID=EZSHARE-1678154555-33</Url>
      <Description>EZSHARE-1678154555-33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12310-8CB4-43AE-AD8D-74FC4E32F1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763F33-35B4-4C1C-A0BC-97B09BEAAF84}"/>
</file>

<file path=customXml/itemProps3.xml><?xml version="1.0" encoding="utf-8"?>
<ds:datastoreItem xmlns:ds="http://schemas.openxmlformats.org/officeDocument/2006/customXml" ds:itemID="{6BDAA67D-1EC4-4961-A565-0461D6DE537D}"/>
</file>

<file path=customXml/itemProps4.xml><?xml version="1.0" encoding="utf-8"?>
<ds:datastoreItem xmlns:ds="http://schemas.openxmlformats.org/officeDocument/2006/customXml" ds:itemID="{0365E97F-BA2E-4CB1-A6C8-1C317BC319B5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cdc7663a-08f0-4737-9e8c-148ce897a09c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24BFBDB7-1D2E-4C02-A39C-31DC8DE6E8AA}"/>
</file>

<file path=customXml/itemProps6.xml><?xml version="1.0" encoding="utf-8"?>
<ds:datastoreItem xmlns:ds="http://schemas.openxmlformats.org/officeDocument/2006/customXml" ds:itemID="{28FECE27-60BA-480C-9E35-E2CCB00DC15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Resumen</vt:lpstr>
      <vt:lpstr>Componentes</vt:lpstr>
      <vt:lpstr>Adm_Costos Operativos</vt:lpstr>
      <vt:lpstr>Recursos Humanos</vt:lpstr>
      <vt:lpstr>M&amp;E_Auditoria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Inter-American Development Bank</cp:lastModifiedBy>
  <cp:lastPrinted>2017-09-03T20:50:16Z</cp:lastPrinted>
  <dcterms:created xsi:type="dcterms:W3CDTF">2013-10-30T13:45:04Z</dcterms:created>
  <dcterms:modified xsi:type="dcterms:W3CDTF">2017-11-15T20:14:19Z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60;#WATER SUPPLY URBAN|28df1b5d-8f50-49f8-b50a-8bcbae67d2a4</vt:lpwstr>
  </property>
  <property fmtid="{D5CDD505-2E9C-101B-9397-08002B2CF9AE}" pid="7" name="Fund IDB">
    <vt:lpwstr>59;#TBD|d62f6e05-3e80-4abd-9bb4-5f10b4906ff6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5cfb6472-7297-488a-979c-9f00416065f6</vt:lpwstr>
  </property>
  <property fmtid="{D5CDD505-2E9C-101B-9397-08002B2CF9AE}" pid="12" name="ContentTypeId">
    <vt:lpwstr>0x0101001A458A224826124E8B45B1D613300CFC002B6AA2F5AFBC614B9274A9142CBF31F6</vt:lpwstr>
  </property>
</Properties>
</file>