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"/>
    </mc:Choice>
  </mc:AlternateContent>
  <bookViews>
    <workbookView xWindow="0" yWindow="0" windowWidth="23040" windowHeight="9108" activeTab="2"/>
  </bookViews>
  <sheets>
    <sheet name="Estrutura do Projeto" sheetId="3" r:id="rId1"/>
    <sheet name="Informação Inicial" sheetId="2" r:id="rId2"/>
    <sheet name="Plano Aquisicoes" sheetId="6" r:id="rId3"/>
    <sheet name="Limpo" sheetId="7" state="hidden" r:id="rId4"/>
    <sheet name="Plano Operativo" sheetId="5" r:id="rId5"/>
    <sheet name="Pintado" sheetId="8" r:id="rId6"/>
  </sheets>
  <externalReferences>
    <externalReference r:id="rId7"/>
  </externalReferences>
  <definedNames>
    <definedName name="_xlnm._FilterDatabase" localSheetId="3" hidden="1">Limpo!$B$1:$J$1</definedName>
    <definedName name="_xlnm._FilterDatabase" localSheetId="2" hidden="1">'Plano Aquisicoes'!$A$11:$O$123</definedName>
    <definedName name="_xlnm._FilterDatabase" localSheetId="4" hidden="1">'Plano Operativo'!$A$10:$F$71</definedName>
    <definedName name="_xlnm.Print_Area" localSheetId="3">Limpo!$A$1:$J$67</definedName>
    <definedName name="_xlnm.Print_Area" localSheetId="5">Pintado!$A$1:$O$90</definedName>
    <definedName name="_xlnm.Print_Area" localSheetId="2">'Plano Aquisicoes'!$A$1:$O$90</definedName>
    <definedName name="_xlnm.Print_Area" localSheetId="4">'Plano Operativo'!$A$1:$AO$76</definedName>
    <definedName name="FPstatus">'[1]Financial plan (Disbursements)'!$AX$7:$AX$8</definedName>
    <definedName name="_xlnm.Print_Titles" localSheetId="3">Limpo!$1:$1</definedName>
    <definedName name="_xlnm.Print_Titles" localSheetId="5">Pintado!$1:$9</definedName>
    <definedName name="_xlnm.Print_Titles" localSheetId="2">'Plano Aquisicoes'!$1:$9</definedName>
    <definedName name="_xlnm.Print_Titles" localSheetId="4">'Plano Operativo'!$A:$F,'Plano Operativo'!$1:$11</definedName>
  </definedNames>
  <calcPr calcId="171027"/>
</workbook>
</file>

<file path=xl/calcChain.xml><?xml version="1.0" encoding="utf-8"?>
<calcChain xmlns="http://schemas.openxmlformats.org/spreadsheetml/2006/main">
  <c r="G86" i="8" l="1"/>
  <c r="G87" i="8" s="1"/>
  <c r="M85" i="8"/>
  <c r="G75" i="8"/>
  <c r="G76" i="8" s="1"/>
  <c r="M64" i="8"/>
  <c r="M63" i="8"/>
  <c r="G62" i="8"/>
  <c r="G61" i="8"/>
  <c r="G65" i="8" s="1"/>
  <c r="M60" i="8"/>
  <c r="G53" i="8"/>
  <c r="M52" i="8"/>
  <c r="M51" i="8"/>
  <c r="M47" i="8"/>
  <c r="M43" i="8"/>
  <c r="G36" i="8"/>
  <c r="G37" i="8" s="1"/>
  <c r="M35" i="8"/>
  <c r="M34" i="8"/>
  <c r="G22" i="8"/>
  <c r="M20" i="8"/>
  <c r="M19" i="8"/>
  <c r="G19" i="8"/>
  <c r="M18" i="8"/>
  <c r="G18" i="8"/>
  <c r="G26" i="8" l="1"/>
  <c r="G27" i="8" s="1"/>
  <c r="G89" i="8"/>
  <c r="I76" i="8"/>
  <c r="G66" i="8"/>
  <c r="C19" i="2"/>
  <c r="C18" i="2"/>
  <c r="C17" i="2"/>
  <c r="C16" i="2"/>
  <c r="C15" i="2"/>
  <c r="C14" i="2"/>
  <c r="C13" i="2"/>
  <c r="C12" i="2"/>
  <c r="C11" i="2"/>
  <c r="C29" i="2"/>
  <c r="C28" i="2"/>
  <c r="C26" i="2"/>
  <c r="C25" i="2"/>
  <c r="C24" i="2"/>
  <c r="G134" i="8" l="1"/>
  <c r="G90" i="8"/>
  <c r="AM60" i="5"/>
  <c r="AL60" i="5"/>
  <c r="AK60" i="5"/>
  <c r="AJ60" i="5"/>
  <c r="AI60" i="5"/>
  <c r="AH60" i="5"/>
  <c r="AG60" i="5"/>
  <c r="E60" i="5"/>
  <c r="AM45" i="5"/>
  <c r="AM67" i="5" s="1"/>
  <c r="AL45" i="5"/>
  <c r="AL67" i="5" s="1"/>
  <c r="AK45" i="5"/>
  <c r="AJ45" i="5"/>
  <c r="AI45" i="5"/>
  <c r="AI67" i="5" s="1"/>
  <c r="AH45" i="5"/>
  <c r="AH67" i="5" s="1"/>
  <c r="AG45" i="5"/>
  <c r="AG67" i="5" s="1"/>
  <c r="O45" i="5"/>
  <c r="N45" i="5"/>
  <c r="M45" i="5"/>
  <c r="L45" i="5"/>
  <c r="K45" i="5"/>
  <c r="J45" i="5"/>
  <c r="I45" i="5"/>
  <c r="H45" i="5"/>
  <c r="G45" i="5"/>
  <c r="D45" i="5"/>
  <c r="AM34" i="5"/>
  <c r="AL34" i="5"/>
  <c r="AK34" i="5"/>
  <c r="AJ34" i="5"/>
  <c r="AI34" i="5"/>
  <c r="AH34" i="5"/>
  <c r="AG34" i="5"/>
  <c r="AE34" i="5"/>
  <c r="Q34" i="5"/>
  <c r="P34" i="5"/>
  <c r="J34" i="5"/>
  <c r="I34" i="5"/>
  <c r="H34" i="5"/>
  <c r="G34" i="5"/>
  <c r="E34" i="5"/>
  <c r="D34" i="5"/>
  <c r="AN38" i="5"/>
  <c r="F38" i="5"/>
  <c r="AR38" i="5" s="1"/>
  <c r="AN66" i="5"/>
  <c r="AN65" i="5"/>
  <c r="AN64" i="5"/>
  <c r="AN63" i="5"/>
  <c r="AN62" i="5"/>
  <c r="AN61" i="5"/>
  <c r="AN59" i="5"/>
  <c r="AN58" i="5"/>
  <c r="AN57" i="5"/>
  <c r="AN56" i="5"/>
  <c r="AN55" i="5"/>
  <c r="AN54" i="5"/>
  <c r="AN53" i="5"/>
  <c r="AN52" i="5"/>
  <c r="AN51" i="5"/>
  <c r="AN50" i="5"/>
  <c r="AN48" i="5"/>
  <c r="AN47" i="5"/>
  <c r="AN46" i="5"/>
  <c r="AN44" i="5"/>
  <c r="AN43" i="5"/>
  <c r="AN42" i="5"/>
  <c r="AN41" i="5"/>
  <c r="AN40" i="5"/>
  <c r="AN37" i="5"/>
  <c r="AN34" i="5" s="1"/>
  <c r="AN36" i="5"/>
  <c r="AN35" i="5"/>
  <c r="AN33" i="5"/>
  <c r="AN32" i="5"/>
  <c r="AN31" i="5"/>
  <c r="AN30" i="5"/>
  <c r="AN29" i="5"/>
  <c r="AN27" i="5"/>
  <c r="AN26" i="5"/>
  <c r="AN25" i="5"/>
  <c r="AN24" i="5"/>
  <c r="AN23" i="5"/>
  <c r="AN22" i="5"/>
  <c r="AN21" i="5"/>
  <c r="AN19" i="5"/>
  <c r="AN18" i="5"/>
  <c r="AN17" i="5"/>
  <c r="AN16" i="5"/>
  <c r="AN14" i="5"/>
  <c r="AN13" i="5"/>
  <c r="AM49" i="5"/>
  <c r="AL49" i="5"/>
  <c r="AK49" i="5"/>
  <c r="AJ49" i="5"/>
  <c r="AI49" i="5"/>
  <c r="AH49" i="5"/>
  <c r="AG49" i="5"/>
  <c r="AK67" i="5"/>
  <c r="AJ67" i="5"/>
  <c r="AM39" i="5"/>
  <c r="AL39" i="5"/>
  <c r="AK39" i="5"/>
  <c r="AJ39" i="5"/>
  <c r="AI39" i="5"/>
  <c r="AH39" i="5"/>
  <c r="AG39" i="5"/>
  <c r="AA38" i="5" l="1"/>
  <c r="Z38" i="5"/>
  <c r="R38" i="5"/>
  <c r="S38" i="5" s="1"/>
  <c r="Y38" i="5"/>
  <c r="W38" i="5"/>
  <c r="V38" i="5"/>
  <c r="U38" i="5"/>
  <c r="T38" i="5"/>
  <c r="X38" i="5"/>
  <c r="AB38" i="5"/>
  <c r="AN45" i="5"/>
  <c r="F48" i="5"/>
  <c r="AR48" i="5" s="1"/>
  <c r="Q48" i="5" l="1"/>
  <c r="Q45" i="5" s="1"/>
  <c r="AC48" i="5"/>
  <c r="AC45" i="5" s="1"/>
  <c r="Y48" i="5"/>
  <c r="Y45" i="5" s="1"/>
  <c r="U48" i="5"/>
  <c r="U45" i="5" s="1"/>
  <c r="AA48" i="5"/>
  <c r="AA45" i="5" s="1"/>
  <c r="P48" i="5"/>
  <c r="AB48" i="5"/>
  <c r="AB45" i="5" s="1"/>
  <c r="X48" i="5"/>
  <c r="X45" i="5" s="1"/>
  <c r="T48" i="5"/>
  <c r="AE48" i="5"/>
  <c r="AE45" i="5" s="1"/>
  <c r="W48" i="5"/>
  <c r="W45" i="5" s="1"/>
  <c r="V48" i="5"/>
  <c r="V45" i="5" s="1"/>
  <c r="R48" i="5"/>
  <c r="R45" i="5" s="1"/>
  <c r="AD48" i="5"/>
  <c r="AD45" i="5" s="1"/>
  <c r="Z48" i="5"/>
  <c r="Z45" i="5" s="1"/>
  <c r="AF38" i="5"/>
  <c r="G36" i="6"/>
  <c r="T45" i="5" l="1"/>
  <c r="AF48" i="5"/>
  <c r="P45" i="5"/>
  <c r="S48" i="5"/>
  <c r="AO38" i="5"/>
  <c r="AP38" i="5" s="1"/>
  <c r="S15" i="5"/>
  <c r="S16" i="5"/>
  <c r="F65" i="5"/>
  <c r="AR65" i="5" s="1"/>
  <c r="AF63" i="5"/>
  <c r="F64" i="5"/>
  <c r="AR64" i="5" s="1"/>
  <c r="F66" i="5"/>
  <c r="AR66" i="5" s="1"/>
  <c r="F36" i="5"/>
  <c r="AR36" i="5" s="1"/>
  <c r="F37" i="5"/>
  <c r="AR37" i="5" s="1"/>
  <c r="S20" i="5"/>
  <c r="F20" i="5"/>
  <c r="AR20" i="5" s="1"/>
  <c r="F16" i="5"/>
  <c r="AR16" i="5" s="1"/>
  <c r="F15" i="5"/>
  <c r="F14" i="5"/>
  <c r="AR14" i="5" s="1"/>
  <c r="M63" i="6"/>
  <c r="M35" i="6"/>
  <c r="M20" i="6"/>
  <c r="AM20" i="5" l="1"/>
  <c r="AI20" i="5"/>
  <c r="AD20" i="5"/>
  <c r="AK20" i="5"/>
  <c r="AB20" i="5"/>
  <c r="AL20" i="5"/>
  <c r="AH20" i="5"/>
  <c r="AC20" i="5"/>
  <c r="AG20" i="5"/>
  <c r="AA20" i="5"/>
  <c r="AJ20" i="5"/>
  <c r="AE20" i="5"/>
  <c r="AD16" i="5"/>
  <c r="AC16" i="5"/>
  <c r="AE16" i="5"/>
  <c r="Z64" i="5"/>
  <c r="AF64" i="5" s="1"/>
  <c r="AB64" i="5"/>
  <c r="AA64" i="5"/>
  <c r="V65" i="5"/>
  <c r="Q65" i="5"/>
  <c r="U65" i="5"/>
  <c r="P65" i="5"/>
  <c r="T65" i="5"/>
  <c r="AF65" i="5" s="1"/>
  <c r="R65" i="5"/>
  <c r="AD36" i="5"/>
  <c r="Z36" i="5"/>
  <c r="Z34" i="5" s="1"/>
  <c r="V36" i="5"/>
  <c r="V34" i="5" s="1"/>
  <c r="R36" i="5"/>
  <c r="AB36" i="5"/>
  <c r="T36" i="5"/>
  <c r="AC36" i="5"/>
  <c r="AC34" i="5" s="1"/>
  <c r="Y36" i="5"/>
  <c r="U36" i="5"/>
  <c r="X36" i="5"/>
  <c r="X34" i="5" s="1"/>
  <c r="AA36" i="5"/>
  <c r="AA34" i="5" s="1"/>
  <c r="W36" i="5"/>
  <c r="O14" i="5"/>
  <c r="P14" i="5"/>
  <c r="Q14" i="5"/>
  <c r="AA37" i="5"/>
  <c r="W37" i="5"/>
  <c r="Y37" i="5"/>
  <c r="AD37" i="5"/>
  <c r="Z37" i="5"/>
  <c r="V37" i="5"/>
  <c r="AC37" i="5"/>
  <c r="U37" i="5"/>
  <c r="X37" i="5"/>
  <c r="R37" i="5"/>
  <c r="S37" i="5" s="1"/>
  <c r="T37" i="5"/>
  <c r="AB37" i="5"/>
  <c r="AO48" i="5"/>
  <c r="AR15" i="5"/>
  <c r="V66" i="5"/>
  <c r="R66" i="5"/>
  <c r="U66" i="5"/>
  <c r="T66" i="5"/>
  <c r="Q66" i="5"/>
  <c r="S66" i="5" s="1"/>
  <c r="S64" i="5"/>
  <c r="AO64" i="5" s="1"/>
  <c r="M62" i="6"/>
  <c r="AF37" i="5" l="1"/>
  <c r="T34" i="5"/>
  <c r="AF36" i="5"/>
  <c r="AO37" i="5"/>
  <c r="AP37" i="5" s="1"/>
  <c r="S14" i="5"/>
  <c r="U34" i="5"/>
  <c r="AB34" i="5"/>
  <c r="AD34" i="5"/>
  <c r="S65" i="5"/>
  <c r="AO65" i="5" s="1"/>
  <c r="AP65" i="5" s="1"/>
  <c r="AF16" i="5"/>
  <c r="AO16" i="5" s="1"/>
  <c r="AP16" i="5" s="1"/>
  <c r="AF20" i="5"/>
  <c r="AO20" i="5" s="1"/>
  <c r="AP20" i="5" s="1"/>
  <c r="AP48" i="5"/>
  <c r="W34" i="5"/>
  <c r="Y34" i="5"/>
  <c r="R34" i="5"/>
  <c r="S36" i="5"/>
  <c r="AN20" i="5"/>
  <c r="AF14" i="5"/>
  <c r="AO14" i="5" s="1"/>
  <c r="AP14" i="5" s="1"/>
  <c r="AE15" i="5"/>
  <c r="AI15" i="5"/>
  <c r="AD15" i="5"/>
  <c r="AA15" i="5"/>
  <c r="Z15" i="5"/>
  <c r="AC15" i="5"/>
  <c r="AB15" i="5"/>
  <c r="AH15" i="5"/>
  <c r="Y15" i="5"/>
  <c r="AF15" i="5" s="1"/>
  <c r="AG15" i="5"/>
  <c r="AF66" i="5"/>
  <c r="AO66" i="5" s="1"/>
  <c r="AP66" i="5" s="1"/>
  <c r="AP64" i="5"/>
  <c r="F42" i="5"/>
  <c r="AR42" i="5" s="1"/>
  <c r="AO36" i="5" l="1"/>
  <c r="AP36" i="5" s="1"/>
  <c r="AN15" i="5"/>
  <c r="AO15" i="5" s="1"/>
  <c r="AP15" i="5" s="1"/>
  <c r="R42" i="5"/>
  <c r="P42" i="5"/>
  <c r="Q42" i="5"/>
  <c r="F43" i="5"/>
  <c r="AR43" i="5" s="1"/>
  <c r="F28" i="5"/>
  <c r="AR28" i="5" s="1"/>
  <c r="AB43" i="5" l="1"/>
  <c r="Z43" i="5"/>
  <c r="AA43" i="5"/>
  <c r="AC43" i="5"/>
  <c r="AC28" i="5"/>
  <c r="AA28" i="5"/>
  <c r="AG28" i="5"/>
  <c r="AN28" i="5" s="1"/>
  <c r="AB28" i="5"/>
  <c r="AE28" i="5"/>
  <c r="AD28" i="5"/>
  <c r="AF42" i="5"/>
  <c r="S42" i="5"/>
  <c r="W43" i="5"/>
  <c r="V43" i="5"/>
  <c r="Y43" i="5"/>
  <c r="U43" i="5"/>
  <c r="X43" i="5"/>
  <c r="T43" i="5"/>
  <c r="M51" i="6"/>
  <c r="M59" i="6"/>
  <c r="M50" i="6"/>
  <c r="M47" i="6"/>
  <c r="AP42" i="5" l="1"/>
  <c r="AO42" i="5"/>
  <c r="AF43" i="5"/>
  <c r="S43" i="5"/>
  <c r="S28" i="5"/>
  <c r="AF28" i="5"/>
  <c r="M19" i="6"/>
  <c r="AO43" i="5" l="1"/>
  <c r="AP43" i="5" s="1"/>
  <c r="AO28" i="5"/>
  <c r="AP28" i="5"/>
  <c r="M18" i="6"/>
  <c r="M85" i="6" l="1"/>
  <c r="M34" i="6"/>
  <c r="E12" i="5" l="1"/>
  <c r="AE67" i="5"/>
  <c r="AD67" i="5"/>
  <c r="AC67" i="5"/>
  <c r="AB67" i="5"/>
  <c r="AA67" i="5"/>
  <c r="Z67" i="5"/>
  <c r="Y67" i="5"/>
  <c r="X67" i="5"/>
  <c r="W67" i="5"/>
  <c r="V67" i="5"/>
  <c r="U67" i="5"/>
  <c r="T67" i="5"/>
  <c r="F45" i="7" l="1"/>
  <c r="G45" i="7" s="1"/>
  <c r="AF58" i="5"/>
  <c r="AF55" i="5"/>
  <c r="AF51" i="5"/>
  <c r="S51" i="5"/>
  <c r="AF47" i="5"/>
  <c r="S47" i="5"/>
  <c r="AO47" i="5" s="1"/>
  <c r="AF46" i="5"/>
  <c r="S46" i="5"/>
  <c r="AF40" i="5"/>
  <c r="S40" i="5"/>
  <c r="AO40" i="5" s="1"/>
  <c r="AF35" i="5"/>
  <c r="AF34" i="5" s="1"/>
  <c r="AF33" i="5"/>
  <c r="AF31" i="5"/>
  <c r="AF29" i="5"/>
  <c r="AF23" i="5"/>
  <c r="AF22" i="5"/>
  <c r="AF21" i="5"/>
  <c r="AF18" i="5"/>
  <c r="AE49" i="5"/>
  <c r="AD49" i="5"/>
  <c r="AC49" i="5"/>
  <c r="AB49" i="5"/>
  <c r="H39" i="5"/>
  <c r="G39" i="5"/>
  <c r="E49" i="5"/>
  <c r="E39" i="5"/>
  <c r="F63" i="5"/>
  <c r="AR63" i="5" s="1"/>
  <c r="D62" i="5"/>
  <c r="D61" i="5"/>
  <c r="D59" i="5"/>
  <c r="F59" i="5" s="1"/>
  <c r="AR59" i="5" s="1"/>
  <c r="F58" i="5"/>
  <c r="AR58" i="5" s="1"/>
  <c r="P58" i="5" s="1"/>
  <c r="F57" i="5"/>
  <c r="AR57" i="5" s="1"/>
  <c r="F56" i="5"/>
  <c r="AR56" i="5" s="1"/>
  <c r="F55" i="5"/>
  <c r="AR55" i="5" s="1"/>
  <c r="F54" i="5"/>
  <c r="AR54" i="5" s="1"/>
  <c r="F53" i="5"/>
  <c r="AR53" i="5" s="1"/>
  <c r="F52" i="5"/>
  <c r="AR52" i="5" s="1"/>
  <c r="F50" i="5"/>
  <c r="AR50" i="5" s="1"/>
  <c r="E46" i="5"/>
  <c r="F44" i="7"/>
  <c r="G44" i="7" s="1"/>
  <c r="F43" i="7"/>
  <c r="F41" i="7"/>
  <c r="G22" i="6"/>
  <c r="X52" i="5" l="1"/>
  <c r="Z52" i="5"/>
  <c r="Y52" i="5"/>
  <c r="F61" i="5"/>
  <c r="D60" i="5"/>
  <c r="Y53" i="5"/>
  <c r="X53" i="5"/>
  <c r="S45" i="5"/>
  <c r="AO46" i="5"/>
  <c r="AO51" i="5"/>
  <c r="AP51" i="5" s="1"/>
  <c r="F67" i="7"/>
  <c r="E45" i="5"/>
  <c r="E70" i="5"/>
  <c r="X54" i="5"/>
  <c r="W54" i="5"/>
  <c r="Y54" i="5"/>
  <c r="O63" i="5"/>
  <c r="N63" i="5"/>
  <c r="AF45" i="5"/>
  <c r="AN67" i="5"/>
  <c r="M63" i="5"/>
  <c r="U59" i="5"/>
  <c r="P59" i="5"/>
  <c r="T59" i="5"/>
  <c r="R59" i="5"/>
  <c r="Q59" i="5"/>
  <c r="V54" i="5"/>
  <c r="Q54" i="5"/>
  <c r="R54" i="5"/>
  <c r="U54" i="5"/>
  <c r="T54" i="5"/>
  <c r="V53" i="5"/>
  <c r="R53" i="5"/>
  <c r="U53" i="5"/>
  <c r="T53" i="5"/>
  <c r="W53" i="5"/>
  <c r="W52" i="5"/>
  <c r="R52" i="5"/>
  <c r="V52" i="5"/>
  <c r="U52" i="5"/>
  <c r="T52" i="5"/>
  <c r="AA49" i="5"/>
  <c r="Y50" i="5"/>
  <c r="X50" i="5"/>
  <c r="Z50" i="5"/>
  <c r="W50" i="5"/>
  <c r="V50" i="5"/>
  <c r="Q50" i="5"/>
  <c r="U50" i="5"/>
  <c r="P50" i="5"/>
  <c r="T50" i="5"/>
  <c r="O50" i="5"/>
  <c r="R50" i="5"/>
  <c r="N50" i="5"/>
  <c r="N56" i="5"/>
  <c r="J56" i="5"/>
  <c r="T56" i="5"/>
  <c r="AF56" i="5" s="1"/>
  <c r="Q56" i="5"/>
  <c r="M56" i="5"/>
  <c r="I56" i="5"/>
  <c r="R56" i="5"/>
  <c r="P56" i="5"/>
  <c r="L56" i="5"/>
  <c r="H56" i="5"/>
  <c r="G56" i="5"/>
  <c r="K56" i="5"/>
  <c r="O56" i="5"/>
  <c r="L55" i="5"/>
  <c r="I55" i="5"/>
  <c r="H55" i="5"/>
  <c r="K55" i="5"/>
  <c r="G55" i="5"/>
  <c r="M55" i="5"/>
  <c r="J55" i="5"/>
  <c r="N58" i="5"/>
  <c r="K58" i="5"/>
  <c r="G58" i="5"/>
  <c r="J58" i="5"/>
  <c r="M58" i="5"/>
  <c r="I58" i="5"/>
  <c r="H58" i="5"/>
  <c r="O58" i="5"/>
  <c r="L58" i="5"/>
  <c r="L59" i="5"/>
  <c r="O59" i="5"/>
  <c r="K59" i="5"/>
  <c r="N59" i="5"/>
  <c r="M59" i="5"/>
  <c r="F62" i="5"/>
  <c r="AR62" i="5" s="1"/>
  <c r="AF67" i="5"/>
  <c r="F51" i="5"/>
  <c r="AR51" i="5" s="1"/>
  <c r="D49" i="5"/>
  <c r="F44" i="5"/>
  <c r="AR44" i="5" s="1"/>
  <c r="F41" i="5"/>
  <c r="AR41" i="5" s="1"/>
  <c r="F35" i="5"/>
  <c r="F27" i="5"/>
  <c r="AR27" i="5" s="1"/>
  <c r="F26" i="5"/>
  <c r="AR26" i="5" s="1"/>
  <c r="D25" i="5"/>
  <c r="D24" i="5"/>
  <c r="F21" i="5"/>
  <c r="AR21" i="5" s="1"/>
  <c r="F17" i="5"/>
  <c r="AR17" i="5" s="1"/>
  <c r="M7" i="7"/>
  <c r="AA26" i="5" l="1"/>
  <c r="W26" i="5"/>
  <c r="Z26" i="5"/>
  <c r="V26" i="5"/>
  <c r="Y26" i="5"/>
  <c r="AB26" i="5"/>
  <c r="X26" i="5"/>
  <c r="AD44" i="5"/>
  <c r="AD39" i="5" s="1"/>
  <c r="Z44" i="5"/>
  <c r="V44" i="5"/>
  <c r="O44" i="5"/>
  <c r="X44" i="5"/>
  <c r="AC44" i="5"/>
  <c r="AC39" i="5" s="1"/>
  <c r="Y44" i="5"/>
  <c r="U44" i="5"/>
  <c r="AB44" i="5"/>
  <c r="AB39" i="5" s="1"/>
  <c r="T44" i="5"/>
  <c r="AE44" i="5"/>
  <c r="AE39" i="5" s="1"/>
  <c r="AA44" i="5"/>
  <c r="W44" i="5"/>
  <c r="P21" i="5"/>
  <c r="R21" i="5"/>
  <c r="O21" i="5"/>
  <c r="N21" i="5"/>
  <c r="Q21" i="5"/>
  <c r="M21" i="5"/>
  <c r="D70" i="5"/>
  <c r="AR35" i="5"/>
  <c r="O35" i="5" s="1"/>
  <c r="O34" i="5" s="1"/>
  <c r="F34" i="5"/>
  <c r="AO45" i="5"/>
  <c r="AD17" i="5"/>
  <c r="Z17" i="5"/>
  <c r="T17" i="5"/>
  <c r="AC17" i="5"/>
  <c r="Y17" i="5"/>
  <c r="AB17" i="5"/>
  <c r="AA17" i="5"/>
  <c r="V62" i="5"/>
  <c r="T62" i="5"/>
  <c r="U62" i="5"/>
  <c r="W62" i="5"/>
  <c r="AR61" i="5"/>
  <c r="F60" i="5"/>
  <c r="Q62" i="5"/>
  <c r="R62" i="5"/>
  <c r="AF59" i="5"/>
  <c r="AF57" i="5"/>
  <c r="AF53" i="5"/>
  <c r="AF54" i="5"/>
  <c r="AF52" i="5"/>
  <c r="Y41" i="5"/>
  <c r="X41" i="5"/>
  <c r="V41" i="5"/>
  <c r="W41" i="5"/>
  <c r="N35" i="5"/>
  <c r="N34" i="5" s="1"/>
  <c r="W27" i="5"/>
  <c r="V27" i="5"/>
  <c r="U27" i="5"/>
  <c r="T27" i="5"/>
  <c r="T26" i="5"/>
  <c r="U26" i="5"/>
  <c r="L21" i="5"/>
  <c r="K21" i="5"/>
  <c r="U17" i="5"/>
  <c r="X17" i="5"/>
  <c r="N17" i="5"/>
  <c r="V17" i="5"/>
  <c r="W17" i="5"/>
  <c r="S52" i="5"/>
  <c r="F49" i="5"/>
  <c r="S58" i="5"/>
  <c r="AO58" i="5" s="1"/>
  <c r="I49" i="5"/>
  <c r="W49" i="5"/>
  <c r="AF50" i="5"/>
  <c r="AN49" i="5" s="1"/>
  <c r="T49" i="5"/>
  <c r="M49" i="5"/>
  <c r="S59" i="5"/>
  <c r="G49" i="5"/>
  <c r="S55" i="5"/>
  <c r="AO55" i="5" s="1"/>
  <c r="R49" i="5"/>
  <c r="L49" i="5"/>
  <c r="Q49" i="5"/>
  <c r="O17" i="5"/>
  <c r="R17" i="5"/>
  <c r="Q17" i="5"/>
  <c r="P17" i="5"/>
  <c r="T41" i="5"/>
  <c r="R41" i="5"/>
  <c r="U41" i="5"/>
  <c r="S53" i="5"/>
  <c r="X49" i="5"/>
  <c r="K49" i="5"/>
  <c r="P49" i="5"/>
  <c r="V49" i="5"/>
  <c r="O62" i="5"/>
  <c r="P62" i="5"/>
  <c r="N62" i="5"/>
  <c r="M62" i="5"/>
  <c r="N49" i="5"/>
  <c r="J21" i="5"/>
  <c r="I21" i="5"/>
  <c r="R26" i="5"/>
  <c r="D39" i="5"/>
  <c r="AP40" i="5"/>
  <c r="P44" i="5"/>
  <c r="P39" i="5" s="1"/>
  <c r="R44" i="5"/>
  <c r="Q44" i="5"/>
  <c r="S54" i="5"/>
  <c r="H49" i="5"/>
  <c r="S56" i="5"/>
  <c r="AO56" i="5" s="1"/>
  <c r="S57" i="5"/>
  <c r="Z49" i="5"/>
  <c r="Y49" i="5"/>
  <c r="O49" i="5"/>
  <c r="U49" i="5"/>
  <c r="S50" i="5"/>
  <c r="AO50" i="5" s="1"/>
  <c r="J49" i="5"/>
  <c r="S63" i="5"/>
  <c r="AO63" i="5" s="1"/>
  <c r="F25" i="5"/>
  <c r="AR25" i="5" s="1"/>
  <c r="F32" i="5"/>
  <c r="AR32" i="5" s="1"/>
  <c r="F18" i="5"/>
  <c r="AR18" i="5" s="1"/>
  <c r="F33" i="5"/>
  <c r="AR33" i="5" s="1"/>
  <c r="S33" i="5"/>
  <c r="AO33" i="5" s="1"/>
  <c r="F19" i="5"/>
  <c r="AR19" i="5" s="1"/>
  <c r="F29" i="5"/>
  <c r="AR29" i="5" s="1"/>
  <c r="F23" i="5"/>
  <c r="S23" i="5"/>
  <c r="AO23" i="5" s="1"/>
  <c r="F30" i="5"/>
  <c r="AR30" i="5" s="1"/>
  <c r="F24" i="5"/>
  <c r="AR24" i="5" s="1"/>
  <c r="F31" i="5"/>
  <c r="AR31" i="5" s="1"/>
  <c r="F13" i="5"/>
  <c r="D12" i="5"/>
  <c r="F40" i="5"/>
  <c r="AR40" i="5" s="1"/>
  <c r="F22" i="5"/>
  <c r="AR22" i="5" s="1"/>
  <c r="G62" i="7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K35" i="5" l="1"/>
  <c r="K34" i="5" s="1"/>
  <c r="V61" i="5"/>
  <c r="V60" i="5" s="1"/>
  <c r="AC61" i="5"/>
  <c r="AC60" i="5" s="1"/>
  <c r="L61" i="5"/>
  <c r="L60" i="5" s="1"/>
  <c r="T61" i="5"/>
  <c r="R61" i="5"/>
  <c r="R60" i="5" s="1"/>
  <c r="W61" i="5"/>
  <c r="W60" i="5" s="1"/>
  <c r="AD61" i="5"/>
  <c r="AD60" i="5" s="1"/>
  <c r="M61" i="5"/>
  <c r="M60" i="5" s="1"/>
  <c r="AB61" i="5"/>
  <c r="AB60" i="5" s="1"/>
  <c r="AE61" i="5"/>
  <c r="AE60" i="5" s="1"/>
  <c r="I61" i="5"/>
  <c r="I60" i="5" s="1"/>
  <c r="X61" i="5"/>
  <c r="X60" i="5" s="1"/>
  <c r="J61" i="5"/>
  <c r="J60" i="5" s="1"/>
  <c r="Q61" i="5"/>
  <c r="Q60" i="5" s="1"/>
  <c r="Y61" i="5"/>
  <c r="Y60" i="5" s="1"/>
  <c r="H61" i="5"/>
  <c r="H60" i="5" s="1"/>
  <c r="O61" i="5"/>
  <c r="O60" i="5" s="1"/>
  <c r="N61" i="5"/>
  <c r="N60" i="5" s="1"/>
  <c r="AA61" i="5"/>
  <c r="AA60" i="5" s="1"/>
  <c r="U61" i="5"/>
  <c r="U60" i="5" s="1"/>
  <c r="K61" i="5"/>
  <c r="K60" i="5" s="1"/>
  <c r="Z61" i="5"/>
  <c r="Z60" i="5" s="1"/>
  <c r="P61" i="5"/>
  <c r="P60" i="5" s="1"/>
  <c r="G61" i="5"/>
  <c r="L35" i="5"/>
  <c r="L34" i="5" s="1"/>
  <c r="G2" i="7"/>
  <c r="E67" i="7"/>
  <c r="AO57" i="5"/>
  <c r="AO59" i="5"/>
  <c r="AP59" i="5" s="1"/>
  <c r="M35" i="5"/>
  <c r="M34" i="5" s="1"/>
  <c r="AO54" i="5"/>
  <c r="AO53" i="5"/>
  <c r="AP53" i="5" s="1"/>
  <c r="AO52" i="5"/>
  <c r="AP52" i="5" s="1"/>
  <c r="AK12" i="5"/>
  <c r="AK68" i="5" s="1"/>
  <c r="AK69" i="5" s="1"/>
  <c r="AJ12" i="5"/>
  <c r="AJ68" i="5" s="1"/>
  <c r="AJ69" i="5" s="1"/>
  <c r="AI12" i="5"/>
  <c r="AI68" i="5" s="1"/>
  <c r="AI69" i="5" s="1"/>
  <c r="AH12" i="5"/>
  <c r="AH68" i="5" s="1"/>
  <c r="AH69" i="5" s="1"/>
  <c r="AG12" i="5"/>
  <c r="AG68" i="5" s="1"/>
  <c r="AG69" i="5" s="1"/>
  <c r="AM12" i="5"/>
  <c r="AM68" i="5" s="1"/>
  <c r="AM69" i="5" s="1"/>
  <c r="AL12" i="5"/>
  <c r="AL68" i="5" s="1"/>
  <c r="AL69" i="5" s="1"/>
  <c r="AF62" i="5"/>
  <c r="O18" i="5"/>
  <c r="X25" i="5"/>
  <c r="W25" i="5"/>
  <c r="V24" i="5"/>
  <c r="W24" i="5"/>
  <c r="Z39" i="5"/>
  <c r="AA39" i="5"/>
  <c r="Y39" i="5"/>
  <c r="X39" i="5"/>
  <c r="W39" i="5"/>
  <c r="AF27" i="5"/>
  <c r="AO27" i="5" s="1"/>
  <c r="AP56" i="5"/>
  <c r="AP54" i="5"/>
  <c r="AP58" i="5"/>
  <c r="AP63" i="5"/>
  <c r="AP57" i="5"/>
  <c r="AP55" i="5"/>
  <c r="V25" i="5"/>
  <c r="U25" i="5"/>
  <c r="T25" i="5"/>
  <c r="U24" i="5"/>
  <c r="T24" i="5"/>
  <c r="R24" i="5"/>
  <c r="Q24" i="5"/>
  <c r="AF17" i="5"/>
  <c r="T19" i="5"/>
  <c r="S27" i="5"/>
  <c r="V39" i="5"/>
  <c r="AP33" i="5"/>
  <c r="M39" i="5"/>
  <c r="AP23" i="5"/>
  <c r="Q31" i="5"/>
  <c r="O31" i="5"/>
  <c r="K31" i="5"/>
  <c r="G31" i="5"/>
  <c r="P31" i="5"/>
  <c r="N31" i="5"/>
  <c r="J31" i="5"/>
  <c r="M31" i="5"/>
  <c r="I31" i="5"/>
  <c r="R31" i="5"/>
  <c r="H31" i="5"/>
  <c r="L31" i="5"/>
  <c r="AA32" i="5"/>
  <c r="W32" i="5"/>
  <c r="R32" i="5"/>
  <c r="N32" i="5"/>
  <c r="J32" i="5"/>
  <c r="Z32" i="5"/>
  <c r="V32" i="5"/>
  <c r="Q32" i="5"/>
  <c r="M32" i="5"/>
  <c r="I32" i="5"/>
  <c r="AC32" i="5"/>
  <c r="Y32" i="5"/>
  <c r="U32" i="5"/>
  <c r="P32" i="5"/>
  <c r="L32" i="5"/>
  <c r="H32" i="5"/>
  <c r="O32" i="5"/>
  <c r="AB32" i="5"/>
  <c r="K32" i="5"/>
  <c r="T32" i="5"/>
  <c r="X32" i="5"/>
  <c r="G32" i="5"/>
  <c r="AF41" i="5"/>
  <c r="AN39" i="5" s="1"/>
  <c r="S26" i="5"/>
  <c r="U39" i="5"/>
  <c r="Q25" i="5"/>
  <c r="P25" i="5"/>
  <c r="R25" i="5"/>
  <c r="S49" i="5"/>
  <c r="AF44" i="5"/>
  <c r="S44" i="5"/>
  <c r="AO44" i="5" s="1"/>
  <c r="I39" i="5"/>
  <c r="S35" i="5"/>
  <c r="S62" i="5"/>
  <c r="S41" i="5"/>
  <c r="AO41" i="5" s="1"/>
  <c r="O39" i="5"/>
  <c r="L39" i="5"/>
  <c r="T39" i="5"/>
  <c r="Q39" i="5"/>
  <c r="J39" i="5"/>
  <c r="O29" i="5"/>
  <c r="K29" i="5"/>
  <c r="G29" i="5"/>
  <c r="N29" i="5"/>
  <c r="J29" i="5"/>
  <c r="Q29" i="5"/>
  <c r="M29" i="5"/>
  <c r="I29" i="5"/>
  <c r="H29" i="5"/>
  <c r="P29" i="5"/>
  <c r="L29" i="5"/>
  <c r="K18" i="5"/>
  <c r="N18" i="5"/>
  <c r="J18" i="5"/>
  <c r="M18" i="5"/>
  <c r="I18" i="5"/>
  <c r="L18" i="5"/>
  <c r="H18" i="5"/>
  <c r="S17" i="5"/>
  <c r="N39" i="5"/>
  <c r="AF49" i="5"/>
  <c r="I22" i="5"/>
  <c r="H22" i="5"/>
  <c r="G22" i="5"/>
  <c r="Q19" i="5"/>
  <c r="P19" i="5"/>
  <c r="O19" i="5"/>
  <c r="R19" i="5"/>
  <c r="N19" i="5"/>
  <c r="AF26" i="5"/>
  <c r="AO26" i="5" s="1"/>
  <c r="S21" i="5"/>
  <c r="AO21" i="5" s="1"/>
  <c r="R39" i="5"/>
  <c r="K39" i="5"/>
  <c r="Z30" i="5"/>
  <c r="N30" i="5"/>
  <c r="Y30" i="5"/>
  <c r="M30" i="5"/>
  <c r="X30" i="5"/>
  <c r="R30" i="5"/>
  <c r="L30" i="5"/>
  <c r="W30" i="5"/>
  <c r="K30" i="5"/>
  <c r="V30" i="5"/>
  <c r="J30" i="5"/>
  <c r="U30" i="5"/>
  <c r="T30" i="5"/>
  <c r="H30" i="5"/>
  <c r="G30" i="5"/>
  <c r="AE30" i="5"/>
  <c r="Q30" i="5"/>
  <c r="AD30" i="5"/>
  <c r="AD12" i="5" s="1"/>
  <c r="AD68" i="5" s="1"/>
  <c r="AD69" i="5" s="1"/>
  <c r="P30" i="5"/>
  <c r="AC30" i="5"/>
  <c r="I30" i="5"/>
  <c r="AB30" i="5"/>
  <c r="AA30" i="5"/>
  <c r="O30" i="5"/>
  <c r="AR13" i="5"/>
  <c r="G14" i="7"/>
  <c r="AO35" i="5" l="1"/>
  <c r="AO34" i="5" s="1"/>
  <c r="S34" i="5"/>
  <c r="G67" i="7"/>
  <c r="G60" i="5"/>
  <c r="S61" i="5"/>
  <c r="T60" i="5"/>
  <c r="AF61" i="5"/>
  <c r="S60" i="5"/>
  <c r="AO62" i="5"/>
  <c r="AO17" i="5"/>
  <c r="AP17" i="5" s="1"/>
  <c r="AF60" i="5"/>
  <c r="AN60" i="5"/>
  <c r="AP41" i="5"/>
  <c r="AP27" i="5"/>
  <c r="AF25" i="5"/>
  <c r="AB12" i="5"/>
  <c r="AB68" i="5" s="1"/>
  <c r="AB69" i="5" s="1"/>
  <c r="Z12" i="5"/>
  <c r="Z68" i="5" s="1"/>
  <c r="Z69" i="5" s="1"/>
  <c r="AP44" i="5"/>
  <c r="AF24" i="5"/>
  <c r="AF19" i="5"/>
  <c r="AC12" i="5"/>
  <c r="AC68" i="5" s="1"/>
  <c r="AC69" i="5" s="1"/>
  <c r="AP26" i="5"/>
  <c r="X13" i="5"/>
  <c r="X12" i="5" s="1"/>
  <c r="X68" i="5" s="1"/>
  <c r="X69" i="5" s="1"/>
  <c r="W13" i="5"/>
  <c r="W12" i="5" s="1"/>
  <c r="W68" i="5" s="1"/>
  <c r="W69" i="5" s="1"/>
  <c r="U13" i="5"/>
  <c r="U12" i="5" s="1"/>
  <c r="U68" i="5" s="1"/>
  <c r="U69" i="5" s="1"/>
  <c r="V13" i="5"/>
  <c r="V12" i="5" s="1"/>
  <c r="V68" i="5" s="1"/>
  <c r="V69" i="5" s="1"/>
  <c r="AP21" i="5"/>
  <c r="AA12" i="5"/>
  <c r="AA68" i="5" s="1"/>
  <c r="AA69" i="5" s="1"/>
  <c r="Y12" i="5"/>
  <c r="Y68" i="5" s="1"/>
  <c r="Y69" i="5" s="1"/>
  <c r="S19" i="5"/>
  <c r="S18" i="5"/>
  <c r="AO18" i="5" s="1"/>
  <c r="S25" i="5"/>
  <c r="L12" i="5"/>
  <c r="L68" i="5" s="1"/>
  <c r="J12" i="5"/>
  <c r="J68" i="5" s="1"/>
  <c r="K12" i="5"/>
  <c r="K68" i="5" s="1"/>
  <c r="S22" i="5"/>
  <c r="AO22" i="5" s="1"/>
  <c r="S29" i="5"/>
  <c r="AO29" i="5" s="1"/>
  <c r="AF39" i="5"/>
  <c r="AP50" i="5"/>
  <c r="AP49" i="5" s="1"/>
  <c r="AO49" i="5"/>
  <c r="AF32" i="5"/>
  <c r="S31" i="5"/>
  <c r="AO31" i="5" s="1"/>
  <c r="S39" i="5"/>
  <c r="S24" i="5"/>
  <c r="S32" i="5"/>
  <c r="AO32" i="5" s="1"/>
  <c r="S30" i="5"/>
  <c r="AO30" i="5" s="1"/>
  <c r="AF30" i="5"/>
  <c r="N13" i="5"/>
  <c r="N12" i="5" s="1"/>
  <c r="N68" i="5" s="1"/>
  <c r="T13" i="5"/>
  <c r="Q13" i="5"/>
  <c r="O13" i="5"/>
  <c r="R13" i="5"/>
  <c r="P13" i="5"/>
  <c r="I12" i="5"/>
  <c r="I68" i="5" s="1"/>
  <c r="AO24" i="5" l="1"/>
  <c r="AO25" i="5"/>
  <c r="AP39" i="5"/>
  <c r="AO60" i="5"/>
  <c r="AO61" i="5"/>
  <c r="AP61" i="5" s="1"/>
  <c r="AP60" i="5" s="1"/>
  <c r="AP62" i="5"/>
  <c r="AO19" i="5"/>
  <c r="AP19" i="5" s="1"/>
  <c r="AO39" i="5"/>
  <c r="AE12" i="5"/>
  <c r="AE68" i="5" s="1"/>
  <c r="AE69" i="5" s="1"/>
  <c r="O12" i="5"/>
  <c r="O68" i="5" s="1"/>
  <c r="R12" i="5"/>
  <c r="R68" i="5" s="1"/>
  <c r="P12" i="5"/>
  <c r="P68" i="5" s="1"/>
  <c r="Q12" i="5"/>
  <c r="Q68" i="5" s="1"/>
  <c r="AP18" i="5"/>
  <c r="AP32" i="5"/>
  <c r="AP25" i="5"/>
  <c r="AP24" i="5"/>
  <c r="AP29" i="5"/>
  <c r="AP31" i="5"/>
  <c r="AP22" i="5"/>
  <c r="AP35" i="5"/>
  <c r="AP34" i="5" s="1"/>
  <c r="M12" i="5"/>
  <c r="M68" i="5" s="1"/>
  <c r="S13" i="5"/>
  <c r="AF13" i="5"/>
  <c r="AN12" i="5" s="1"/>
  <c r="AN68" i="5" s="1"/>
  <c r="T12" i="5"/>
  <c r="T68" i="5" s="1"/>
  <c r="T69" i="5" s="1"/>
  <c r="G61" i="6"/>
  <c r="AO13" i="5" l="1"/>
  <c r="AN69" i="5"/>
  <c r="S12" i="5"/>
  <c r="S68" i="5" s="1"/>
  <c r="AF12" i="5"/>
  <c r="AF68" i="5" s="1"/>
  <c r="AF69" i="5" s="1"/>
  <c r="AP30" i="5"/>
  <c r="AO68" i="5" l="1"/>
  <c r="AP13" i="5"/>
  <c r="AP12" i="5" s="1"/>
  <c r="AO12" i="5"/>
  <c r="G86" i="6" l="1"/>
  <c r="G87" i="6" s="1"/>
  <c r="G60" i="6"/>
  <c r="G19" i="6" l="1"/>
  <c r="G18" i="6" l="1"/>
  <c r="G26" i="6" s="1"/>
  <c r="G27" i="6" s="1"/>
  <c r="F47" i="5" l="1"/>
  <c r="AP47" i="5" s="1"/>
  <c r="R67" i="5" l="1"/>
  <c r="R69" i="5" s="1"/>
  <c r="N67" i="5"/>
  <c r="N69" i="5" s="1"/>
  <c r="J67" i="5"/>
  <c r="J69" i="5" s="1"/>
  <c r="Q67" i="5"/>
  <c r="Q69" i="5" s="1"/>
  <c r="M67" i="5"/>
  <c r="M69" i="5" s="1"/>
  <c r="I67" i="5"/>
  <c r="I69" i="5" s="1"/>
  <c r="P67" i="5"/>
  <c r="P69" i="5" s="1"/>
  <c r="L67" i="5"/>
  <c r="L69" i="5" s="1"/>
  <c r="H67" i="5"/>
  <c r="K67" i="5"/>
  <c r="K69" i="5" s="1"/>
  <c r="O67" i="5"/>
  <c r="O69" i="5" s="1"/>
  <c r="AR47" i="5"/>
  <c r="F39" i="5"/>
  <c r="G67" i="5" l="1"/>
  <c r="G52" i="6"/>
  <c r="G64" i="6" s="1"/>
  <c r="G65" i="6" s="1"/>
  <c r="S67" i="5" l="1"/>
  <c r="AO67" i="5" s="1"/>
  <c r="G75" i="6"/>
  <c r="G76" i="6" l="1"/>
  <c r="I76" i="6"/>
  <c r="S69" i="5"/>
  <c r="AO69" i="5" s="1"/>
  <c r="G89" i="6"/>
  <c r="G37" i="6"/>
  <c r="F46" i="5"/>
  <c r="F45" i="5" l="1"/>
  <c r="AP46" i="5"/>
  <c r="AP45" i="5" s="1"/>
  <c r="F70" i="5"/>
  <c r="AR46" i="5"/>
  <c r="F67" i="5" l="1"/>
  <c r="F12" i="5"/>
  <c r="F68" i="5" s="1"/>
  <c r="F69" i="5" l="1"/>
  <c r="G134" i="6"/>
  <c r="G90" i="6"/>
  <c r="H12" i="5" l="1"/>
  <c r="H68" i="5" s="1"/>
  <c r="H69" i="5" s="1"/>
  <c r="G12" i="5" l="1"/>
  <c r="G68" i="5" s="1"/>
  <c r="G69" i="5" s="1"/>
  <c r="C30" i="2" l="1"/>
  <c r="C20" i="2" l="1"/>
  <c r="B20" i="2" l="1"/>
  <c r="B30" i="2"/>
  <c r="B31" i="2" l="1"/>
  <c r="B32" i="2" s="1"/>
  <c r="C31" i="2"/>
  <c r="C32" i="2" s="1"/>
</calcChain>
</file>

<file path=xl/sharedStrings.xml><?xml version="1.0" encoding="utf-8"?>
<sst xmlns="http://schemas.openxmlformats.org/spreadsheetml/2006/main" count="1470" uniqueCount="408">
  <si>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</si>
  <si>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</si>
  <si>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</si>
  <si>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</si>
  <si>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</si>
  <si>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</si>
  <si>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</si>
  <si>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</si>
  <si>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</si>
  <si>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</si>
  <si>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</si>
  <si>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</si>
  <si>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</si>
  <si>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</si>
  <si>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</si>
  <si>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</si>
  <si>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</si>
  <si>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</si>
  <si>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</si>
  <si>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</si>
  <si>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</si>
  <si>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</si>
  <si>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</si>
  <si>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</si>
  <si>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</si>
  <si>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</si>
  <si>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</si>
  <si>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</si>
  <si>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</si>
  <si>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</si>
  <si>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</si>
  <si>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</si>
  <si>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</si>
  <si>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</si>
  <si>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</si>
  <si>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</si>
  <si>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</si>
  <si>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</si>
  <si>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</si>
  <si>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</si>
  <si>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</si>
  <si>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</si>
  <si>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</si>
  <si>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</si>
  <si>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</si>
  <si>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</si>
  <si>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</si>
  <si>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</si>
  <si>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</si>
  <si>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</si>
  <si>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</si>
  <si>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</si>
  <si>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</si>
  <si>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</si>
  <si>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</si>
  <si>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</si>
  <si>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</si>
  <si>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</si>
  <si>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</si>
  <si>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ESTADO DE SERGIPE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</si>
  <si>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</si>
  <si>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</si>
  <si>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</si>
  <si>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</si>
  <si>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</si>
  <si>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Componente 6 - Administração do Programa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</si>
  <si>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</si>
  <si>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</si>
  <si>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</si>
  <si>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</si>
  <si>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</si>
  <si>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</si>
  <si>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</si>
  <si>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</si>
  <si>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</si>
  <si>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</si>
  <si>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</si>
  <si>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</si>
  <si>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</si>
  <si>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</si>
  <si>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</si>
  <si>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</si>
  <si>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</si>
  <si>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</si>
  <si>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</si>
  <si>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</si>
  <si>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</si>
  <si>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</si>
  <si>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</si>
  <si>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</si>
  <si>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</si>
  <si>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</si>
  <si>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</si>
  <si>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MESES</t>
  </si>
  <si>
    <t>COMPONENTE</t>
  </si>
  <si>
    <t>1.</t>
  </si>
  <si>
    <t>Componente 2 - Promoção turística</t>
  </si>
  <si>
    <t>2.</t>
  </si>
  <si>
    <t>3.</t>
  </si>
  <si>
    <t>5.</t>
  </si>
  <si>
    <t>6.</t>
  </si>
  <si>
    <t>Componente 5 - Gestão Ambiental</t>
  </si>
  <si>
    <t>Administração do Programa</t>
  </si>
  <si>
    <t>4.</t>
  </si>
  <si>
    <t>VALOR TOTAL (US$ x mil)</t>
  </si>
  <si>
    <t>VALOR DA FONTE EXTERNA - BID (US$ x mil)</t>
  </si>
  <si>
    <t>VALOR DA CONTRAPARTIDA LOCAL (US$ x mil)</t>
  </si>
  <si>
    <t>Contrapartida</t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</si>
  <si>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</si>
  <si>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</si>
  <si>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</si>
  <si>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</si>
  <si>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</si>
  <si>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</si>
  <si>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</si>
  <si>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</si>
  <si>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</si>
  <si>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</si>
  <si>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</si>
  <si>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</si>
  <si>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</si>
  <si>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</si>
  <si>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</si>
  <si>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</si>
  <si>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</si>
  <si>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</si>
  <si>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BRB3015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</si>
  <si>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</si>
  <si>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</si>
  <si>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</si>
  <si>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</si>
  <si>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</si>
  <si>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</si>
  <si>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</si>
  <si>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</si>
  <si>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</si>
  <si>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</si>
  <si>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</si>
  <si>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</si>
  <si>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</si>
  <si>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</si>
  <si>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</si>
  <si>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</si>
  <si>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</si>
  <si>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</si>
  <si>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</si>
  <si>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</si>
  <si>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</si>
  <si>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</si>
  <si>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</si>
  <si>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</si>
  <si>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</si>
  <si>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</si>
  <si>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</si>
  <si>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</si>
  <si>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</si>
  <si>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</si>
  <si>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</si>
  <si>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</si>
  <si>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</si>
  <si>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</si>
  <si>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</si>
  <si>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</si>
  <si>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</si>
  <si>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</si>
  <si>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</si>
  <si>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</si>
  <si>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</si>
  <si>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</si>
  <si>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</si>
  <si>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</si>
  <si>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</si>
  <si>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</si>
  <si>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</si>
  <si>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</si>
  <si>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</si>
  <si>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</si>
  <si>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</si>
  <si>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</si>
  <si>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</si>
  <si>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</si>
  <si>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</si>
  <si>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</si>
  <si>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</si>
  <si>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</si>
  <si>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</si>
  <si>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</si>
  <si>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</si>
  <si>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</si>
  <si>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</si>
  <si>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</si>
  <si>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</si>
  <si>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</si>
  <si>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</si>
  <si>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</si>
  <si>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</si>
  <si>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</si>
  <si>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</si>
  <si>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</si>
  <si>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</si>
  <si>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</si>
  <si>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</si>
  <si>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</si>
  <si>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</si>
  <si>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</si>
  <si>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</si>
  <si>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</si>
  <si>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</si>
  <si>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</si>
  <si>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</si>
  <si>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</si>
  <si>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</si>
  <si>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</si>
  <si>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</si>
  <si>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</si>
  <si>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</si>
  <si>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</si>
  <si>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</si>
  <si>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</si>
  <si>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</si>
  <si>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</si>
  <si>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</si>
  <si>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</si>
  <si>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</si>
  <si>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</si>
  <si>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</si>
  <si>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</si>
  <si>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</si>
  <si>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</si>
  <si>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</si>
  <si>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</si>
  <si>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</si>
  <si>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</si>
  <si>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</si>
  <si>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</si>
  <si>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</si>
  <si>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</si>
  <si>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</si>
  <si>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</si>
  <si>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</si>
  <si>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</si>
  <si>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</si>
  <si>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</si>
  <si>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</si>
  <si>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</si>
  <si>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</si>
  <si>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</si>
  <si>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</si>
  <si>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</si>
  <si>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</si>
  <si>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</si>
  <si>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</si>
  <si>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</si>
  <si>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</si>
  <si>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</si>
  <si>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</si>
  <si>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</si>
  <si>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</si>
  <si>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</si>
  <si>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</si>
  <si>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</si>
  <si>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</si>
  <si>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</si>
  <si>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</si>
  <si>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</si>
  <si>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</si>
  <si>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</si>
  <si>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</si>
  <si>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</si>
  <si>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</si>
  <si>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</si>
  <si>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</si>
  <si>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</si>
  <si>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</si>
  <si>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Total 2017</t>
  </si>
  <si>
    <t>Duração contrato (meses)</t>
  </si>
  <si>
    <t>Valor mensal</t>
  </si>
  <si>
    <t>Duraçao contrato</t>
  </si>
  <si>
    <t>?</t>
  </si>
  <si>
    <t>foi</t>
  </si>
  <si>
    <t>12 em 2017</t>
  </si>
  <si>
    <t>período ref. processo licitatório</t>
  </si>
  <si>
    <t>período ref. execução do contrato</t>
  </si>
  <si>
    <t>Geral</t>
  </si>
  <si>
    <t>Total 2018</t>
  </si>
  <si>
    <t>BR11628</t>
  </si>
  <si>
    <t>BR11627</t>
  </si>
  <si>
    <t>Diferença</t>
  </si>
  <si>
    <t>processos já contratados e/ou encerrados</t>
  </si>
  <si>
    <t>Observações</t>
  </si>
  <si>
    <t>Contrato encerrado</t>
  </si>
  <si>
    <t>Comprovação já foi feita</t>
  </si>
  <si>
    <t>Contrato em andamento desde 2014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</si>
  <si>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</si>
  <si>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</si>
  <si>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</si>
  <si>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</si>
  <si>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</si>
  <si>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</si>
  <si>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</si>
  <si>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</si>
  <si>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</si>
  <si>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SECRETARIA DE ESTADO DO TURISMO</t>
  </si>
  <si>
    <t>SETUR</t>
  </si>
  <si>
    <t>UCP/SETUR</t>
  </si>
  <si>
    <t>Capacitação da equipe UCP/SETUR</t>
  </si>
  <si>
    <t>BRB3626</t>
  </si>
  <si>
    <t>Implementação do plano de fortalecimento de gestão municipal e estadual - bens (equipamentos informática para SETUR)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</si>
  <si>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</si>
  <si>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</si>
  <si>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</si>
  <si>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</si>
  <si>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</si>
  <si>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</si>
  <si>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</si>
  <si>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</si>
  <si>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</si>
  <si>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</si>
  <si>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</si>
  <si>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</si>
  <si>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</si>
  <si>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</si>
  <si>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</si>
  <si>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</si>
  <si>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</si>
  <si>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</si>
  <si>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</si>
  <si>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</si>
  <si>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</si>
  <si>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</si>
  <si>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</si>
  <si>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>033.000.00006/2017-9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</si>
  <si>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</si>
  <si>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</si>
  <si>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Execução fortalecimento institucional</t>
  </si>
  <si>
    <t>ID PMR</t>
  </si>
  <si>
    <t>1.2.6</t>
  </si>
  <si>
    <t>1.4.2.3 - 1.4.2.7 - 5.2.8.3</t>
  </si>
  <si>
    <t>1.4.2.4</t>
  </si>
  <si>
    <t>1.4.2.5</t>
  </si>
  <si>
    <t>5.2.8.2</t>
  </si>
  <si>
    <t>3.2.5.1</t>
  </si>
  <si>
    <t>1.2.1 - 1.4.1 - 3.1.1</t>
  </si>
  <si>
    <t>1.2.4 - 1.2.5</t>
  </si>
  <si>
    <t>1.3.1</t>
  </si>
  <si>
    <t>1.4.2.2</t>
  </si>
  <si>
    <t>1.4.2.8</t>
  </si>
  <si>
    <t>1.6.1</t>
  </si>
  <si>
    <t>3.2.5.2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</si>
  <si>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</si>
  <si>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</si>
  <si>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</si>
  <si>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</si>
  <si>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</si>
  <si>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</si>
  <si>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</si>
  <si>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</si>
  <si>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</si>
  <si>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t>Capacitação de profissionais diretamente ligados ao turismo</t>
  </si>
  <si>
    <t>Elaboração do Plano de Manejo da APA Litoral Sul</t>
  </si>
  <si>
    <t>033.000.00074/2016-7</t>
  </si>
  <si>
    <t>1.2.2.1</t>
  </si>
  <si>
    <t>1.2.2.2</t>
  </si>
  <si>
    <t>Execução de projetos de modernização e museológicos museus</t>
  </si>
  <si>
    <t>Execução de adequação da trilha do cangaço e de trilhas na MONA da Grota do Angico (abertura de trilha, sinalização, melhoria)</t>
  </si>
  <si>
    <t>1.3.2</t>
  </si>
  <si>
    <t>Avaliação final do Programa</t>
  </si>
  <si>
    <t xml:space="preserve">1.4.2.6 </t>
  </si>
  <si>
    <t>1.4.2.9</t>
  </si>
  <si>
    <t>033.000.00123/2016-7</t>
  </si>
  <si>
    <t>6.4</t>
  </si>
  <si>
    <t>6.5</t>
  </si>
  <si>
    <t>Publicação de aquisições</t>
  </si>
  <si>
    <t>Auditoria</t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</si>
  <si>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16</t>
    </r>
  </si>
  <si>
    <t>Publicação de Aquisições</t>
  </si>
  <si>
    <t>1.2.3</t>
  </si>
  <si>
    <t>4.2</t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</si>
  <si>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Glauberter Teles rev. EAP</t>
    </r>
  </si>
  <si>
    <t>Total (U$ x mil)</t>
  </si>
  <si>
    <t>Componente</t>
  </si>
  <si>
    <t>Modalidade</t>
  </si>
  <si>
    <t>Total 2019</t>
  </si>
  <si>
    <t>Contrato todo pago. Inclusive 1o e 2o aditivos</t>
  </si>
  <si>
    <t>Execução de outras orlas [OBRAS A DETALHAR]</t>
  </si>
  <si>
    <t>Execução atracadouros [OBRAS A DETALHAR]</t>
  </si>
  <si>
    <t>Diagnóstico para o sistema de informações turísticas</t>
  </si>
  <si>
    <t>Diagnóstico e Plano de Ação para Educação e Sensibilização Ambiental</t>
  </si>
  <si>
    <t>Outras obras de adequação e melhoria de infraestrutura de acesso a atrativos turísticos [CONTRAPARTIDA A DETALHAR]</t>
  </si>
  <si>
    <t>Contrapartida a detalhar. Comprovação prevista para 15 meses.</t>
  </si>
  <si>
    <t>[VER]</t>
  </si>
  <si>
    <r>
      <t xml:space="preserve">Execução de outras orlas </t>
    </r>
    <r>
      <rPr>
        <sz val="10"/>
        <color rgb="FFFF0000"/>
        <rFont val="Calibri"/>
        <family val="2"/>
        <scheme val="minor"/>
      </rPr>
      <t>[OBRAS A DETALHAR]</t>
    </r>
  </si>
  <si>
    <r>
      <t>Execução atracadouros</t>
    </r>
    <r>
      <rPr>
        <sz val="10"/>
        <color rgb="FFFF0000"/>
        <rFont val="Calibri"/>
        <family val="2"/>
        <scheme val="minor"/>
      </rPr>
      <t xml:space="preserve"> [OBRAS A DETALHAR]</t>
    </r>
  </si>
  <si>
    <r>
      <t xml:space="preserve">Outras obras de adequação e melhoria de infraestrutura de acesso a atrativos turísticos </t>
    </r>
    <r>
      <rPr>
        <sz val="10"/>
        <color rgb="FFFF0000"/>
        <rFont val="Calibri"/>
        <family val="2"/>
        <scheme val="minor"/>
      </rPr>
      <t>[CONTRAPARTIDA A DETALHAR]</t>
    </r>
  </si>
  <si>
    <t>VERSÃO 16 - 29/05/2017</t>
  </si>
  <si>
    <t>PLANO OPERATIVO ANUAL (POA) 2017 / 2018 / 2019</t>
  </si>
  <si>
    <t>038.000.00016/2017-4</t>
  </si>
  <si>
    <t>038.000.00015/2017-1</t>
  </si>
  <si>
    <t>038.000.00014/2017-5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</si>
  <si>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30/05/2017</t>
    </r>
  </si>
  <si>
    <t>PLANO DE AQUISIÇÕES (PA) 2017 / 2018</t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</si>
  <si>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17</t>
    </r>
  </si>
  <si>
    <t>BRB3051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</si>
  <si>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20/06/2017</t>
    </r>
  </si>
  <si>
    <r>
      <t xml:space="preserve">Elaboração de projetos de modernização de museus, centros culturais e patrimônio, incluindo projeto museológico/ interpretativo </t>
    </r>
    <r>
      <rPr>
        <sz val="10"/>
        <color rgb="FFFF0000"/>
        <rFont val="Calibri"/>
        <family val="2"/>
        <scheme val="minor"/>
      </rPr>
      <t>[Museu Afro-Brasileiro]</t>
    </r>
  </si>
  <si>
    <r>
      <t>Execução de projetos de modernização e museológicos museus</t>
    </r>
    <r>
      <rPr>
        <sz val="10"/>
        <color rgb="FFFF0000"/>
        <rFont val="Calibri"/>
        <family val="2"/>
        <scheme val="minor"/>
      </rPr>
      <t xml:space="preserve"> [Museu Afro-Brasileiro]</t>
    </r>
  </si>
  <si>
    <r>
      <t>Elaboração de projetos de modernização de museus, centros culturais e patrimônio, incluindo projeto museológico/ interpretativo</t>
    </r>
    <r>
      <rPr>
        <sz val="10"/>
        <color rgb="FFFF0000"/>
        <rFont val="Calibri"/>
        <family val="2"/>
        <scheme val="minor"/>
      </rPr>
      <t xml:space="preserve"> [Museu Afro-Brasileiro]</t>
    </r>
  </si>
  <si>
    <r>
      <t xml:space="preserve">Execução de projetos de modernização e museológicos museus </t>
    </r>
    <r>
      <rPr>
        <sz val="10"/>
        <color rgb="FFFF0000"/>
        <rFont val="Calibri"/>
        <family val="2"/>
        <scheme val="minor"/>
      </rPr>
      <t>[Museu Afro-Brasileiro]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</si>
</sst>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* #,##0.00_);_(* \(#,##0.00\);_(* \-??_);_(@_)"/>
    <numFmt numFmtId="168" formatCode="_-* #,##0.000_-;\-* #,##0.000_-;_-* &quot;-&quot;??_-;_-@_-"/>
    <numFmt numFmtId="169" formatCode="0.0%"/>
  </numFmts>
  <fonts count="6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0" fontId="1" fillId="0" borderId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  <xf numFmtId="9" fontId="32" fillId="0" borderId="0" applyFont="0" applyFill="0" applyBorder="0" applyAlignment="0" applyProtection="0"/>
  </cellStyleXfs>
  <cellXfs count="330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6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8" fillId="24" borderId="21" xfId="1" applyFont="1" applyFill="1" applyBorder="1" applyAlignment="1">
      <alignment horizontal="center" vertical="center"/>
    </xf>
    <xf numFmtId="0" fontId="28" fillId="24" borderId="22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right" vertical="center" wrapText="1"/>
    </xf>
    <xf numFmtId="166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4" fontId="20" fillId="0" borderId="15" xfId="1" applyNumberFormat="1" applyFont="1" applyFill="1" applyBorder="1" applyAlignment="1">
      <alignment horizontal="center" vertical="center" wrapText="1"/>
    </xf>
    <xf numFmtId="14" fontId="20" fillId="0" borderId="16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7" fontId="20" fillId="0" borderId="10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center"/>
    </xf>
    <xf numFmtId="0" fontId="37" fillId="0" borderId="0" xfId="0" applyFont="1"/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3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4" fontId="43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0" fontId="46" fillId="0" borderId="0" xfId="0" applyNumberFormat="1" applyFont="1"/>
    <xf numFmtId="0" fontId="33" fillId="0" borderId="10" xfId="38" applyFont="1" applyFill="1" applyBorder="1" applyAlignment="1">
      <alignment vertical="center" wrapText="1"/>
    </xf>
    <xf numFmtId="17" fontId="33" fillId="0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4" fontId="47" fillId="0" borderId="0" xfId="38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165" fontId="29" fillId="0" borderId="0" xfId="44" applyFont="1" applyFill="1" applyBorder="1" applyAlignment="1">
      <alignment horizontal="right" vertical="center" wrapText="1"/>
    </xf>
    <xf numFmtId="0" fontId="33" fillId="25" borderId="10" xfId="38" applyFont="1" applyFill="1" applyBorder="1" applyAlignment="1">
      <alignment horizontal="left" vertical="center" wrapText="1"/>
    </xf>
    <xf numFmtId="0" fontId="33" fillId="0" borderId="10" xfId="38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/>
    </xf>
    <xf numFmtId="0" fontId="29" fillId="0" borderId="0" xfId="38" applyFont="1" applyFill="1" applyBorder="1" applyAlignment="1">
      <alignment vertical="center"/>
    </xf>
    <xf numFmtId="4" fontId="33" fillId="0" borderId="10" xfId="0" applyNumberFormat="1" applyFont="1" applyFill="1" applyBorder="1" applyAlignment="1">
      <alignment vertical="center" wrapText="1"/>
    </xf>
    <xf numFmtId="1" fontId="33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33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33" fillId="0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50" fillId="0" borderId="0" xfId="38" applyFont="1" applyAlignment="1">
      <alignment vertical="center"/>
    </xf>
    <xf numFmtId="1" fontId="33" fillId="25" borderId="10" xfId="0" applyNumberFormat="1" applyFont="1" applyFill="1" applyBorder="1" applyAlignment="1">
      <alignment horizontal="center" vertical="center" wrapText="1"/>
    </xf>
    <xf numFmtId="17" fontId="50" fillId="0" borderId="10" xfId="0" applyNumberFormat="1" applyFont="1" applyFill="1" applyBorder="1" applyAlignment="1">
      <alignment horizontal="center" vertical="center" wrapText="1"/>
    </xf>
    <xf numFmtId="17" fontId="33" fillId="29" borderId="10" xfId="0" applyNumberFormat="1" applyFont="1" applyFill="1" applyBorder="1" applyAlignment="1">
      <alignment horizontal="center" vertical="center" wrapText="1"/>
    </xf>
    <xf numFmtId="0" fontId="33" fillId="25" borderId="10" xfId="38" applyFont="1" applyFill="1" applyBorder="1" applyAlignment="1">
      <alignment vertical="center" wrapText="1"/>
    </xf>
    <xf numFmtId="4" fontId="33" fillId="30" borderId="10" xfId="0" applyNumberFormat="1" applyFont="1" applyFill="1" applyBorder="1" applyAlignment="1">
      <alignment horizontal="justify" vertical="center" wrapText="1"/>
    </xf>
    <xf numFmtId="0" fontId="33" fillId="0" borderId="10" xfId="38" applyFont="1" applyFill="1" applyBorder="1" applyAlignment="1">
      <alignment horizontal="left" vertical="center" wrapText="1"/>
    </xf>
    <xf numFmtId="0" fontId="33" fillId="25" borderId="10" xfId="38" applyFont="1" applyFill="1" applyBorder="1" applyAlignment="1">
      <alignment horizontal="center" vertical="center" wrapText="1"/>
    </xf>
    <xf numFmtId="9" fontId="33" fillId="25" borderId="10" xfId="38" applyNumberFormat="1" applyFont="1" applyFill="1" applyBorder="1" applyAlignment="1">
      <alignment horizontal="center" vertical="center" wrapText="1"/>
    </xf>
    <xf numFmtId="17" fontId="33" fillId="25" borderId="10" xfId="0" applyNumberFormat="1" applyFont="1" applyFill="1" applyBorder="1" applyAlignment="1">
      <alignment horizontal="center" vertical="center" wrapText="1"/>
    </xf>
    <xf numFmtId="0" fontId="33" fillId="29" borderId="10" xfId="38" applyFont="1" applyFill="1" applyBorder="1" applyAlignment="1">
      <alignment horizontal="center" vertical="center" wrapText="1"/>
    </xf>
    <xf numFmtId="4" fontId="33" fillId="29" borderId="10" xfId="0" applyNumberFormat="1" applyFont="1" applyFill="1" applyBorder="1" applyAlignment="1">
      <alignment horizontal="justify" vertical="center" wrapText="1"/>
    </xf>
    <xf numFmtId="0" fontId="33" fillId="29" borderId="10" xfId="38" applyFont="1" applyFill="1" applyBorder="1" applyAlignment="1">
      <alignment horizontal="left" vertical="center" wrapText="1"/>
    </xf>
    <xf numFmtId="0" fontId="33" fillId="29" borderId="10" xfId="38" applyFont="1" applyFill="1" applyBorder="1" applyAlignment="1">
      <alignment vertical="center" wrapText="1"/>
    </xf>
    <xf numFmtId="4" fontId="33" fillId="29" borderId="10" xfId="0" applyNumberFormat="1" applyFont="1" applyFill="1" applyBorder="1" applyAlignment="1">
      <alignment horizontal="right" vertical="center" wrapText="1"/>
    </xf>
    <xf numFmtId="1" fontId="33" fillId="0" borderId="10" xfId="38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52" fillId="0" borderId="10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26" borderId="10" xfId="38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horizontal="justify" vertical="center" wrapText="1"/>
    </xf>
    <xf numFmtId="0" fontId="33" fillId="26" borderId="10" xfId="38" applyFont="1" applyFill="1" applyBorder="1" applyAlignment="1">
      <alignment horizontal="left" vertical="center" wrapText="1"/>
    </xf>
    <xf numFmtId="4" fontId="33" fillId="26" borderId="10" xfId="0" applyNumberFormat="1" applyFont="1" applyFill="1" applyBorder="1" applyAlignment="1">
      <alignment horizontal="right" vertical="center" wrapText="1"/>
    </xf>
    <xf numFmtId="17" fontId="33" fillId="26" borderId="10" xfId="0" applyNumberFormat="1" applyFont="1" applyFill="1" applyBorder="1" applyAlignment="1">
      <alignment horizontal="center" vertical="center" wrapText="1"/>
    </xf>
    <xf numFmtId="0" fontId="33" fillId="26" borderId="10" xfId="38" applyFont="1" applyFill="1" applyBorder="1" applyAlignment="1">
      <alignment vertical="center" wrapText="1"/>
    </xf>
    <xf numFmtId="0" fontId="33" fillId="31" borderId="10" xfId="38" applyFont="1" applyFill="1" applyBorder="1" applyAlignment="1">
      <alignment horizontal="center" vertical="center" wrapText="1"/>
    </xf>
    <xf numFmtId="4" fontId="33" fillId="31" borderId="10" xfId="0" applyNumberFormat="1" applyFont="1" applyFill="1" applyBorder="1" applyAlignment="1">
      <alignment horizontal="justify" vertical="center" wrapText="1"/>
    </xf>
    <xf numFmtId="0" fontId="33" fillId="31" borderId="10" xfId="38" applyFont="1" applyFill="1" applyBorder="1" applyAlignment="1">
      <alignment horizontal="left" vertical="center" wrapText="1"/>
    </xf>
    <xf numFmtId="4" fontId="33" fillId="31" borderId="10" xfId="0" applyNumberFormat="1" applyFont="1" applyFill="1" applyBorder="1" applyAlignment="1">
      <alignment horizontal="right" vertical="center" wrapText="1"/>
    </xf>
    <xf numFmtId="17" fontId="33" fillId="31" borderId="10" xfId="0" applyNumberFormat="1" applyFont="1" applyFill="1" applyBorder="1" applyAlignment="1">
      <alignment horizontal="center" vertical="center" wrapText="1"/>
    </xf>
    <xf numFmtId="0" fontId="33" fillId="29" borderId="10" xfId="0" applyFont="1" applyFill="1" applyBorder="1" applyAlignment="1">
      <alignment horizontal="center" vertical="center" wrapText="1"/>
    </xf>
    <xf numFmtId="1" fontId="33" fillId="29" borderId="10" xfId="0" applyNumberFormat="1" applyFont="1" applyFill="1" applyBorder="1" applyAlignment="1">
      <alignment horizontal="center" vertical="center" wrapText="1"/>
    </xf>
    <xf numFmtId="1" fontId="33" fillId="26" borderId="10" xfId="0" applyNumberFormat="1" applyFont="1" applyFill="1" applyBorder="1" applyAlignment="1">
      <alignment horizontal="center" vertical="center" wrapText="1"/>
    </xf>
    <xf numFmtId="1" fontId="33" fillId="29" borderId="10" xfId="0" applyNumberFormat="1" applyFont="1" applyFill="1" applyBorder="1" applyAlignment="1">
      <alignment horizontal="justify" vertical="center" wrapText="1"/>
    </xf>
    <xf numFmtId="4" fontId="33" fillId="29" borderId="10" xfId="0" applyNumberFormat="1" applyFont="1" applyFill="1" applyBorder="1" applyAlignment="1">
      <alignment vertical="center" wrapText="1"/>
    </xf>
    <xf numFmtId="0" fontId="33" fillId="26" borderId="10" xfId="0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vertical="center" wrapText="1"/>
    </xf>
    <xf numFmtId="0" fontId="33" fillId="32" borderId="10" xfId="0" applyFont="1" applyFill="1" applyBorder="1" applyAlignment="1">
      <alignment horizontal="center" vertical="center" wrapText="1"/>
    </xf>
    <xf numFmtId="4" fontId="33" fillId="32" borderId="10" xfId="0" applyNumberFormat="1" applyFont="1" applyFill="1" applyBorder="1" applyAlignment="1">
      <alignment horizontal="justify" vertical="center" wrapText="1"/>
    </xf>
    <xf numFmtId="0" fontId="33" fillId="32" borderId="10" xfId="38" applyFont="1" applyFill="1" applyBorder="1" applyAlignment="1">
      <alignment vertical="center" wrapText="1"/>
    </xf>
    <xf numFmtId="4" fontId="33" fillId="32" borderId="10" xfId="0" applyNumberFormat="1" applyFont="1" applyFill="1" applyBorder="1" applyAlignment="1">
      <alignment vertical="center" wrapText="1"/>
    </xf>
    <xf numFmtId="4" fontId="33" fillId="32" borderId="10" xfId="0" applyNumberFormat="1" applyFont="1" applyFill="1" applyBorder="1" applyAlignment="1">
      <alignment horizontal="right" vertical="center" wrapText="1"/>
    </xf>
    <xf numFmtId="17" fontId="33" fillId="32" borderId="10" xfId="0" applyNumberFormat="1" applyFont="1" applyFill="1" applyBorder="1" applyAlignment="1">
      <alignment horizontal="center" vertical="center" wrapText="1"/>
    </xf>
    <xf numFmtId="1" fontId="33" fillId="32" borderId="10" xfId="0" applyNumberFormat="1" applyFont="1" applyFill="1" applyBorder="1" applyAlignment="1">
      <alignment horizontal="center" vertical="center" wrapText="1"/>
    </xf>
    <xf numFmtId="1" fontId="33" fillId="32" borderId="10" xfId="0" applyNumberFormat="1" applyFont="1" applyFill="1" applyBorder="1" applyAlignment="1">
      <alignment horizontal="justify" vertical="center" wrapText="1"/>
    </xf>
    <xf numFmtId="1" fontId="33" fillId="26" borderId="10" xfId="0" applyNumberFormat="1" applyFont="1" applyFill="1" applyBorder="1" applyAlignment="1">
      <alignment horizontal="justify" vertical="center" wrapText="1"/>
    </xf>
    <xf numFmtId="0" fontId="33" fillId="25" borderId="10" xfId="0" applyFont="1" applyFill="1" applyBorder="1" applyAlignment="1">
      <alignment horizontal="center" vertical="center" wrapText="1"/>
    </xf>
    <xf numFmtId="1" fontId="33" fillId="25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right" vertical="center" wrapText="1"/>
    </xf>
    <xf numFmtId="17" fontId="50" fillId="25" borderId="10" xfId="0" applyNumberFormat="1" applyFont="1" applyFill="1" applyBorder="1" applyAlignment="1">
      <alignment horizontal="center" vertical="center" wrapText="1"/>
    </xf>
    <xf numFmtId="4" fontId="33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9" borderId="0" xfId="0" applyFill="1" applyAlignment="1">
      <alignment vertical="center" wrapText="1"/>
    </xf>
    <xf numFmtId="0" fontId="0" fillId="31" borderId="0" xfId="0" applyFill="1" applyAlignment="1">
      <alignment vertical="center" wrapText="1"/>
    </xf>
    <xf numFmtId="14" fontId="0" fillId="32" borderId="0" xfId="0" applyNumberFormat="1" applyFill="1" applyAlignment="1">
      <alignment vertical="center" wrapText="1"/>
    </xf>
    <xf numFmtId="0" fontId="43" fillId="0" borderId="0" xfId="0" applyFont="1" applyBorder="1" applyAlignment="1">
      <alignment horizontal="right" vertical="center"/>
    </xf>
    <xf numFmtId="4" fontId="42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0" fillId="29" borderId="10" xfId="0" applyFill="1" applyBorder="1" applyAlignment="1">
      <alignment horizontal="center" vertical="center"/>
    </xf>
    <xf numFmtId="0" fontId="0" fillId="32" borderId="10" xfId="0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2" fontId="43" fillId="33" borderId="10" xfId="0" applyNumberFormat="1" applyFont="1" applyFill="1" applyBorder="1" applyAlignment="1">
      <alignment horizontal="center" vertical="center"/>
    </xf>
    <xf numFmtId="4" fontId="44" fillId="29" borderId="10" xfId="0" applyNumberFormat="1" applyFont="1" applyFill="1" applyBorder="1" applyAlignment="1">
      <alignment horizontal="center" vertical="center" wrapText="1"/>
    </xf>
    <xf numFmtId="2" fontId="43" fillId="34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54" fillId="0" borderId="0" xfId="0" applyFont="1" applyBorder="1" applyAlignment="1">
      <alignment horizontal="right" vertical="center"/>
    </xf>
    <xf numFmtId="4" fontId="33" fillId="34" borderId="10" xfId="0" applyNumberFormat="1" applyFont="1" applyFill="1" applyBorder="1" applyAlignment="1">
      <alignment vertical="center" wrapText="1"/>
    </xf>
    <xf numFmtId="0" fontId="43" fillId="0" borderId="0" xfId="0" applyFont="1" applyAlignment="1">
      <alignment horizontal="right" vertical="center"/>
    </xf>
    <xf numFmtId="0" fontId="20" fillId="0" borderId="0" xfId="38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52" fillId="0" borderId="30" xfId="38" applyFont="1" applyFill="1" applyBorder="1" applyAlignment="1">
      <alignment vertical="center"/>
    </xf>
    <xf numFmtId="0" fontId="52" fillId="25" borderId="10" xfId="38" applyFont="1" applyFill="1" applyBorder="1" applyAlignment="1">
      <alignment horizontal="right" vertical="center" wrapText="1"/>
    </xf>
    <xf numFmtId="0" fontId="52" fillId="0" borderId="10" xfId="38" applyFont="1" applyFill="1" applyBorder="1" applyAlignment="1">
      <alignment horizontal="right" vertical="center" wrapText="1"/>
    </xf>
    <xf numFmtId="4" fontId="33" fillId="35" borderId="10" xfId="0" applyNumberFormat="1" applyFont="1" applyFill="1" applyBorder="1" applyAlignment="1">
      <alignment horizontal="right" vertical="center" wrapText="1"/>
    </xf>
    <xf numFmtId="4" fontId="33" fillId="25" borderId="10" xfId="0" applyNumberFormat="1" applyFont="1" applyFill="1" applyBorder="1" applyAlignment="1">
      <alignment vertical="center" wrapText="1"/>
    </xf>
    <xf numFmtId="0" fontId="33" fillId="35" borderId="10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left" vertical="center" wrapText="1"/>
    </xf>
    <xf numFmtId="10" fontId="20" fillId="0" borderId="10" xfId="38" applyNumberFormat="1" applyFont="1" applyFill="1" applyBorder="1" applyAlignment="1">
      <alignment horizontal="center" vertical="center" wrapText="1"/>
    </xf>
    <xf numFmtId="4" fontId="20" fillId="0" borderId="10" xfId="38" applyNumberFormat="1" applyFont="1" applyFill="1" applyBorder="1" applyAlignment="1">
      <alignment horizontal="right" vertical="center" wrapText="1"/>
    </xf>
    <xf numFmtId="17" fontId="20" fillId="0" borderId="10" xfId="38" applyNumberFormat="1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vertical="center" wrapText="1"/>
    </xf>
    <xf numFmtId="0" fontId="33" fillId="0" borderId="29" xfId="45" applyFont="1" applyFill="1" applyBorder="1" applyAlignment="1">
      <alignment vertical="center"/>
    </xf>
    <xf numFmtId="0" fontId="33" fillId="0" borderId="30" xfId="45" applyFont="1" applyFill="1" applyBorder="1" applyAlignment="1">
      <alignment vertical="center" wrapText="1"/>
    </xf>
    <xf numFmtId="9" fontId="33" fillId="0" borderId="10" xfId="45" applyNumberFormat="1" applyFont="1" applyFill="1" applyBorder="1" applyAlignment="1">
      <alignment horizontal="center" vertical="center" wrapText="1"/>
    </xf>
    <xf numFmtId="1" fontId="33" fillId="0" borderId="10" xfId="45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57" fillId="0" borderId="0" xfId="0" applyFont="1" applyAlignment="1">
      <alignment horizontal="left" vertical="center"/>
    </xf>
    <xf numFmtId="0" fontId="29" fillId="26" borderId="31" xfId="0" applyFont="1" applyFill="1" applyBorder="1" applyAlignment="1">
      <alignment horizontal="center" vertical="center" wrapText="1"/>
    </xf>
    <xf numFmtId="0" fontId="29" fillId="26" borderId="28" xfId="0" applyFont="1" applyFill="1" applyBorder="1" applyAlignment="1">
      <alignment horizontal="left" vertical="center" wrapText="1"/>
    </xf>
    <xf numFmtId="4" fontId="47" fillId="26" borderId="28" xfId="0" applyNumberFormat="1" applyFont="1" applyFill="1" applyBorder="1" applyAlignment="1">
      <alignment vertical="center" wrapText="1"/>
    </xf>
    <xf numFmtId="4" fontId="29" fillId="26" borderId="28" xfId="0" applyNumberFormat="1" applyFont="1" applyFill="1" applyBorder="1" applyAlignment="1">
      <alignment vertical="center" wrapText="1"/>
    </xf>
    <xf numFmtId="4" fontId="51" fillId="26" borderId="28" xfId="0" applyNumberFormat="1" applyFont="1" applyFill="1" applyBorder="1" applyAlignment="1">
      <alignment vertical="center" wrapText="1"/>
    </xf>
    <xf numFmtId="4" fontId="58" fillId="27" borderId="32" xfId="0" applyNumberFormat="1" applyFont="1" applyFill="1" applyBorder="1" applyAlignment="1">
      <alignment vertical="center" wrapText="1"/>
    </xf>
    <xf numFmtId="0" fontId="33" fillId="0" borderId="17" xfId="0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left" vertical="center" wrapText="1"/>
    </xf>
    <xf numFmtId="2" fontId="33" fillId="34" borderId="10" xfId="0" applyNumberFormat="1" applyFont="1" applyFill="1" applyBorder="1" applyAlignment="1">
      <alignment vertical="center"/>
    </xf>
    <xf numFmtId="2" fontId="33" fillId="33" borderId="10" xfId="0" applyNumberFormat="1" applyFont="1" applyFill="1" applyBorder="1" applyAlignment="1">
      <alignment vertical="center"/>
    </xf>
    <xf numFmtId="4" fontId="51" fillId="26" borderId="10" xfId="0" applyNumberFormat="1" applyFont="1" applyFill="1" applyBorder="1" applyAlignment="1">
      <alignment vertical="center" wrapText="1"/>
    </xf>
    <xf numFmtId="4" fontId="58" fillId="27" borderId="14" xfId="0" applyNumberFormat="1" applyFont="1" applyFill="1" applyBorder="1" applyAlignment="1">
      <alignment vertical="center" wrapText="1"/>
    </xf>
    <xf numFmtId="2" fontId="33" fillId="0" borderId="10" xfId="0" applyNumberFormat="1" applyFont="1" applyFill="1" applyBorder="1" applyAlignment="1">
      <alignment vertical="center"/>
    </xf>
    <xf numFmtId="4" fontId="33" fillId="33" borderId="10" xfId="0" applyNumberFormat="1" applyFont="1" applyFill="1" applyBorder="1" applyAlignment="1">
      <alignment vertical="center" wrapText="1"/>
    </xf>
    <xf numFmtId="0" fontId="33" fillId="29" borderId="17" xfId="0" applyFont="1" applyFill="1" applyBorder="1" applyAlignment="1">
      <alignment horizontal="center" vertical="center" wrapText="1"/>
    </xf>
    <xf numFmtId="4" fontId="20" fillId="29" borderId="10" xfId="0" applyNumberFormat="1" applyFont="1" applyFill="1" applyBorder="1" applyAlignment="1">
      <alignment horizontal="left" vertical="center" wrapText="1"/>
    </xf>
    <xf numFmtId="0" fontId="29" fillId="26" borderId="17" xfId="0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left" vertical="center" wrapText="1"/>
    </xf>
    <xf numFmtId="0" fontId="20" fillId="26" borderId="10" xfId="38" applyFont="1" applyFill="1" applyBorder="1" applyAlignment="1">
      <alignment vertical="center" wrapText="1"/>
    </xf>
    <xf numFmtId="4" fontId="47" fillId="26" borderId="10" xfId="0" applyNumberFormat="1" applyFont="1" applyFill="1" applyBorder="1" applyAlignment="1">
      <alignment vertical="center" wrapText="1"/>
    </xf>
    <xf numFmtId="4" fontId="29" fillId="26" borderId="10" xfId="0" applyNumberFormat="1" applyFont="1" applyFill="1" applyBorder="1" applyAlignment="1">
      <alignment horizontal="center" vertical="center" wrapText="1"/>
    </xf>
    <xf numFmtId="4" fontId="58" fillId="27" borderId="14" xfId="0" quotePrefix="1" applyNumberFormat="1" applyFont="1" applyFill="1" applyBorder="1" applyAlignment="1">
      <alignment vertical="center" wrapText="1"/>
    </xf>
    <xf numFmtId="1" fontId="47" fillId="0" borderId="17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 applyAlignment="1">
      <alignment vertical="center" wrapText="1"/>
    </xf>
    <xf numFmtId="1" fontId="47" fillId="0" borderId="18" xfId="0" applyNumberFormat="1" applyFont="1" applyFill="1" applyBorder="1" applyAlignment="1">
      <alignment horizontal="center" vertical="center" wrapText="1"/>
    </xf>
    <xf numFmtId="4" fontId="29" fillId="0" borderId="15" xfId="0" applyNumberFormat="1" applyFont="1" applyFill="1" applyBorder="1" applyAlignment="1">
      <alignment vertical="center" wrapText="1"/>
    </xf>
    <xf numFmtId="4" fontId="51" fillId="26" borderId="15" xfId="0" applyNumberFormat="1" applyFont="1" applyFill="1" applyBorder="1" applyAlignment="1">
      <alignment vertical="center" wrapText="1"/>
    </xf>
    <xf numFmtId="17" fontId="59" fillId="27" borderId="15" xfId="0" applyNumberFormat="1" applyFont="1" applyFill="1" applyBorder="1" applyAlignment="1">
      <alignment horizontal="center" vertical="center" wrapText="1"/>
    </xf>
    <xf numFmtId="0" fontId="50" fillId="24" borderId="16" xfId="38" applyFont="1" applyFill="1" applyBorder="1" applyAlignment="1">
      <alignment horizontal="center" vertical="center" wrapText="1"/>
    </xf>
    <xf numFmtId="0" fontId="50" fillId="24" borderId="15" xfId="38" applyFont="1" applyFill="1" applyBorder="1" applyAlignment="1">
      <alignment horizontal="center" vertical="center" wrapText="1"/>
    </xf>
    <xf numFmtId="4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68" fontId="50" fillId="0" borderId="0" xfId="44" applyNumberFormat="1" applyFont="1" applyAlignment="1">
      <alignment vertical="center"/>
    </xf>
    <xf numFmtId="168" fontId="51" fillId="0" borderId="0" xfId="44" applyNumberFormat="1" applyFont="1" applyAlignment="1">
      <alignment vertical="center"/>
    </xf>
    <xf numFmtId="4" fontId="58" fillId="27" borderId="16" xfId="0" applyNumberFormat="1" applyFont="1" applyFill="1" applyBorder="1" applyAlignment="1">
      <alignment vertical="center" wrapText="1"/>
    </xf>
    <xf numFmtId="168" fontId="33" fillId="0" borderId="0" xfId="44" applyNumberFormat="1" applyFont="1" applyAlignment="1">
      <alignment vertical="center"/>
    </xf>
    <xf numFmtId="0" fontId="20" fillId="25" borderId="10" xfId="38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vertical="center" wrapText="1"/>
    </xf>
    <xf numFmtId="0" fontId="55" fillId="25" borderId="10" xfId="38" applyFont="1" applyFill="1" applyBorder="1" applyAlignment="1">
      <alignment horizontal="right" vertical="center" wrapText="1"/>
    </xf>
    <xf numFmtId="9" fontId="20" fillId="25" borderId="10" xfId="38" applyNumberFormat="1" applyFont="1" applyFill="1" applyBorder="1" applyAlignment="1">
      <alignment horizontal="center" vertical="center" wrapText="1"/>
    </xf>
    <xf numFmtId="17" fontId="20" fillId="25" borderId="10" xfId="0" applyNumberFormat="1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>
      <alignment horizontal="left" vertical="center" wrapText="1"/>
    </xf>
    <xf numFmtId="0" fontId="33" fillId="25" borderId="17" xfId="0" applyFont="1" applyFill="1" applyBorder="1" applyAlignment="1">
      <alignment horizontal="center" vertical="center" wrapText="1"/>
    </xf>
    <xf numFmtId="4" fontId="46" fillId="0" borderId="0" xfId="0" applyNumberFormat="1" applyFont="1" applyAlignment="1">
      <alignment horizontal="right" vertical="center"/>
    </xf>
    <xf numFmtId="169" fontId="0" fillId="0" borderId="0" xfId="69" applyNumberFormat="1" applyFont="1"/>
    <xf numFmtId="165" fontId="0" fillId="0" borderId="0" xfId="0" applyNumberFormat="1"/>
    <xf numFmtId="0" fontId="22" fillId="24" borderId="10" xfId="38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>
      <alignment horizontal="justify" vertical="center" wrapText="1"/>
    </xf>
    <xf numFmtId="0" fontId="52" fillId="29" borderId="10" xfId="38" applyFont="1" applyFill="1" applyBorder="1" applyAlignment="1">
      <alignment horizontal="right" vertical="center" wrapText="1"/>
    </xf>
    <xf numFmtId="9" fontId="33" fillId="29" borderId="10" xfId="38" applyNumberFormat="1" applyFont="1" applyFill="1" applyBorder="1" applyAlignment="1">
      <alignment horizontal="center" vertical="center" wrapText="1"/>
    </xf>
    <xf numFmtId="0" fontId="33" fillId="36" borderId="10" xfId="38" applyFont="1" applyFill="1" applyBorder="1" applyAlignment="1">
      <alignment horizontal="center" vertical="center" wrapText="1"/>
    </xf>
    <xf numFmtId="4" fontId="33" fillId="36" borderId="10" xfId="0" applyNumberFormat="1" applyFont="1" applyFill="1" applyBorder="1" applyAlignment="1">
      <alignment horizontal="justify" vertical="center" wrapText="1"/>
    </xf>
    <xf numFmtId="0" fontId="33" fillId="36" borderId="10" xfId="38" applyFont="1" applyFill="1" applyBorder="1" applyAlignment="1">
      <alignment horizontal="left" vertical="center" wrapText="1"/>
    </xf>
    <xf numFmtId="0" fontId="52" fillId="36" borderId="10" xfId="38" applyFont="1" applyFill="1" applyBorder="1" applyAlignment="1">
      <alignment horizontal="right" vertical="center" wrapText="1"/>
    </xf>
    <xf numFmtId="4" fontId="33" fillId="36" borderId="10" xfId="0" applyNumberFormat="1" applyFont="1" applyFill="1" applyBorder="1" applyAlignment="1">
      <alignment horizontal="right" vertical="center" wrapText="1"/>
    </xf>
    <xf numFmtId="9" fontId="33" fillId="36" borderId="10" xfId="38" applyNumberFormat="1" applyFont="1" applyFill="1" applyBorder="1" applyAlignment="1">
      <alignment horizontal="center" vertical="center" wrapText="1"/>
    </xf>
    <xf numFmtId="17" fontId="33" fillId="36" borderId="10" xfId="0" applyNumberFormat="1" applyFont="1" applyFill="1" applyBorder="1" applyAlignment="1">
      <alignment horizontal="center" vertical="center" wrapText="1"/>
    </xf>
    <xf numFmtId="0" fontId="33" fillId="36" borderId="10" xfId="38" applyFont="1" applyFill="1" applyBorder="1" applyAlignment="1">
      <alignment vertical="center" wrapText="1"/>
    </xf>
    <xf numFmtId="0" fontId="33" fillId="36" borderId="10" xfId="0" applyFont="1" applyFill="1" applyBorder="1" applyAlignment="1">
      <alignment horizontal="center" vertical="center" wrapText="1"/>
    </xf>
    <xf numFmtId="0" fontId="52" fillId="36" borderId="29" xfId="38" applyFont="1" applyFill="1" applyBorder="1" applyAlignment="1">
      <alignment vertical="center"/>
    </xf>
    <xf numFmtId="0" fontId="52" fillId="36" borderId="30" xfId="38" applyFont="1" applyFill="1" applyBorder="1" applyAlignment="1">
      <alignment vertical="center" wrapText="1"/>
    </xf>
    <xf numFmtId="1" fontId="33" fillId="36" borderId="10" xfId="38" applyNumberFormat="1" applyFont="1" applyFill="1" applyBorder="1" applyAlignment="1">
      <alignment horizontal="center" vertical="center" wrapText="1"/>
    </xf>
    <xf numFmtId="4" fontId="33" fillId="36" borderId="10" xfId="0" applyNumberFormat="1" applyFont="1" applyFill="1" applyBorder="1" applyAlignment="1">
      <alignment horizontal="left" vertical="center" wrapText="1"/>
    </xf>
    <xf numFmtId="1" fontId="33" fillId="36" borderId="10" xfId="0" applyNumberFormat="1" applyFont="1" applyFill="1" applyBorder="1" applyAlignment="1">
      <alignment horizontal="justify" vertical="center" wrapText="1"/>
    </xf>
    <xf numFmtId="1" fontId="33" fillId="36" borderId="10" xfId="0" applyNumberFormat="1" applyFont="1" applyFill="1" applyBorder="1" applyAlignment="1">
      <alignment horizontal="center" vertical="center" wrapText="1"/>
    </xf>
    <xf numFmtId="0" fontId="52" fillId="36" borderId="10" xfId="38" applyFont="1" applyFill="1" applyBorder="1" applyAlignment="1">
      <alignment horizontal="center" vertical="center" wrapText="1"/>
    </xf>
    <xf numFmtId="0" fontId="20" fillId="36" borderId="10" xfId="38" applyFont="1" applyFill="1" applyBorder="1" applyAlignment="1">
      <alignment horizontal="center" vertical="center" wrapText="1"/>
    </xf>
    <xf numFmtId="0" fontId="52" fillId="36" borderId="30" xfId="38" applyFont="1" applyFill="1" applyBorder="1" applyAlignment="1">
      <alignment vertical="center"/>
    </xf>
    <xf numFmtId="49" fontId="33" fillId="29" borderId="10" xfId="0" applyNumberFormat="1" applyFont="1" applyFill="1" applyBorder="1" applyAlignment="1">
      <alignment horizontal="center" vertical="center" wrapText="1"/>
    </xf>
    <xf numFmtId="0" fontId="52" fillId="29" borderId="29" xfId="38" applyFont="1" applyFill="1" applyBorder="1" applyAlignment="1">
      <alignment vertical="center"/>
    </xf>
    <xf numFmtId="0" fontId="52" fillId="29" borderId="30" xfId="38" applyFont="1" applyFill="1" applyBorder="1" applyAlignment="1">
      <alignment vertical="center" wrapText="1"/>
    </xf>
    <xf numFmtId="1" fontId="33" fillId="29" borderId="10" xfId="38" applyNumberFormat="1" applyFont="1" applyFill="1" applyBorder="1" applyAlignment="1">
      <alignment horizontal="center" vertical="center" wrapText="1"/>
    </xf>
    <xf numFmtId="0" fontId="52" fillId="29" borderId="10" xfId="38" applyFont="1" applyFill="1" applyBorder="1" applyAlignment="1">
      <alignment horizontal="center" vertical="center" wrapText="1"/>
    </xf>
    <xf numFmtId="0" fontId="20" fillId="29" borderId="10" xfId="38" applyFont="1" applyFill="1" applyBorder="1" applyAlignment="1">
      <alignment horizontal="center" vertical="center" wrapText="1"/>
    </xf>
    <xf numFmtId="0" fontId="52" fillId="29" borderId="30" xfId="38" applyFont="1" applyFill="1" applyBorder="1" applyAlignment="1">
      <alignment vertical="center"/>
    </xf>
    <xf numFmtId="0" fontId="20" fillId="0" borderId="23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52" fillId="0" borderId="29" xfId="38" applyFont="1" applyFill="1" applyBorder="1" applyAlignment="1">
      <alignment horizontal="center" vertical="center"/>
    </xf>
    <xf numFmtId="0" fontId="52" fillId="0" borderId="30" xfId="38" applyFont="1" applyFill="1" applyBorder="1" applyAlignment="1">
      <alignment horizontal="center" vertical="center"/>
    </xf>
    <xf numFmtId="0" fontId="21" fillId="24" borderId="27" xfId="38" applyFont="1" applyFill="1" applyBorder="1" applyAlignment="1">
      <alignment horizontal="left" vertical="center" wrapText="1"/>
    </xf>
    <xf numFmtId="0" fontId="21" fillId="24" borderId="28" xfId="38" applyFont="1" applyFill="1" applyBorder="1" applyAlignment="1">
      <alignment horizontal="left" vertical="center" wrapText="1"/>
    </xf>
    <xf numFmtId="0" fontId="21" fillId="24" borderId="26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6" fillId="28" borderId="20" xfId="0" applyFont="1" applyFill="1" applyBorder="1" applyAlignment="1">
      <alignment horizontal="center" vertical="center"/>
    </xf>
    <xf numFmtId="0" fontId="36" fillId="28" borderId="19" xfId="0" applyFont="1" applyFill="1" applyBorder="1" applyAlignment="1">
      <alignment horizontal="center" vertical="center"/>
    </xf>
    <xf numFmtId="0" fontId="36" fillId="28" borderId="28" xfId="0" applyFont="1" applyFill="1" applyBorder="1" applyAlignment="1">
      <alignment horizontal="center" vertical="center"/>
    </xf>
    <xf numFmtId="0" fontId="36" fillId="28" borderId="20" xfId="0" applyFont="1" applyFill="1" applyBorder="1" applyAlignment="1">
      <alignment horizontal="center" vertical="center" wrapText="1"/>
    </xf>
    <xf numFmtId="0" fontId="36" fillId="28" borderId="19" xfId="0" applyFont="1" applyFill="1" applyBorder="1" applyAlignment="1">
      <alignment horizontal="center" vertical="center" wrapText="1"/>
    </xf>
    <xf numFmtId="0" fontId="36" fillId="28" borderId="28" xfId="0" applyFont="1" applyFill="1" applyBorder="1" applyAlignment="1">
      <alignment horizontal="center" vertical="center" wrapText="1"/>
    </xf>
    <xf numFmtId="0" fontId="52" fillId="0" borderId="29" xfId="38" applyFont="1" applyFill="1" applyBorder="1" applyAlignment="1">
      <alignment horizontal="left" vertical="center"/>
    </xf>
    <xf numFmtId="0" fontId="52" fillId="0" borderId="30" xfId="38" applyFont="1" applyFill="1" applyBorder="1" applyAlignment="1">
      <alignment horizontal="left" vertical="center"/>
    </xf>
    <xf numFmtId="0" fontId="21" fillId="24" borderId="20" xfId="38" applyFont="1" applyFill="1" applyBorder="1" applyAlignment="1">
      <alignment horizontal="left" vertical="center" wrapText="1"/>
    </xf>
    <xf numFmtId="0" fontId="52" fillId="0" borderId="29" xfId="38" applyFont="1" applyFill="1" applyBorder="1" applyAlignment="1">
      <alignment horizontal="left" vertical="center" wrapText="1"/>
    </xf>
    <xf numFmtId="0" fontId="52" fillId="0" borderId="30" xfId="38" applyFont="1" applyFill="1" applyBorder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23" fillId="0" borderId="0" xfId="38" applyFont="1" applyFill="1" applyBorder="1" applyAlignment="1">
      <alignment horizontal="left" vertical="center" wrapText="1"/>
    </xf>
    <xf numFmtId="0" fontId="22" fillId="24" borderId="11" xfId="38" applyFont="1" applyFill="1" applyBorder="1" applyAlignment="1">
      <alignment horizontal="center" vertical="center" wrapText="1"/>
    </xf>
    <xf numFmtId="0" fontId="22" fillId="24" borderId="18" xfId="38" applyFont="1" applyFill="1" applyBorder="1" applyAlignment="1">
      <alignment horizontal="center" vertical="center" wrapText="1"/>
    </xf>
    <xf numFmtId="4" fontId="29" fillId="0" borderId="10" xfId="0" applyNumberFormat="1" applyFont="1" applyFill="1" applyBorder="1" applyAlignment="1">
      <alignment horizontal="right" vertical="center" wrapText="1"/>
    </xf>
    <xf numFmtId="4" fontId="29" fillId="0" borderId="15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9" fillId="27" borderId="12" xfId="0" applyFont="1" applyFill="1" applyBorder="1" applyAlignment="1">
      <alignment horizontal="center" vertical="center" wrapText="1"/>
    </xf>
    <xf numFmtId="0" fontId="59" fillId="27" borderId="15" xfId="0" applyFont="1" applyFill="1" applyBorder="1" applyAlignment="1">
      <alignment horizontal="center" vertical="center" wrapText="1"/>
    </xf>
    <xf numFmtId="0" fontId="59" fillId="27" borderId="12" xfId="38" applyFont="1" applyFill="1" applyBorder="1" applyAlignment="1">
      <alignment horizontal="center" vertical="center" wrapText="1"/>
    </xf>
    <xf numFmtId="0" fontId="59" fillId="27" borderId="15" xfId="38" applyFont="1" applyFill="1" applyBorder="1" applyAlignment="1">
      <alignment horizontal="center" vertical="center" wrapText="1"/>
    </xf>
    <xf numFmtId="4" fontId="59" fillId="27" borderId="12" xfId="0" applyNumberFormat="1" applyFont="1" applyFill="1" applyBorder="1" applyAlignment="1">
      <alignment horizontal="center" vertical="center" wrapText="1"/>
    </xf>
    <xf numFmtId="4" fontId="59" fillId="27" borderId="15" xfId="0" applyNumberFormat="1" applyFont="1" applyFill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22" fillId="24" borderId="12" xfId="38" applyFont="1" applyFill="1" applyBorder="1" applyAlignment="1">
      <alignment horizontal="center" vertical="center" wrapText="1"/>
    </xf>
    <xf numFmtId="0" fontId="22" fillId="24" borderId="34" xfId="38" applyFont="1" applyFill="1" applyBorder="1" applyAlignment="1">
      <alignment horizontal="center" vertical="center" wrapText="1"/>
    </xf>
    <xf numFmtId="0" fontId="22" fillId="24" borderId="35" xfId="38" applyFont="1" applyFill="1" applyBorder="1" applyAlignment="1">
      <alignment horizontal="center" vertical="center" wrapText="1"/>
    </xf>
    <xf numFmtId="0" fontId="22" fillId="24" borderId="36" xfId="38" applyFont="1" applyFill="1" applyBorder="1" applyAlignment="1">
      <alignment horizontal="center" vertical="center" wrapText="1"/>
    </xf>
    <xf numFmtId="0" fontId="22" fillId="24" borderId="37" xfId="38" applyFont="1" applyFill="1" applyBorder="1" applyAlignment="1">
      <alignment horizontal="center" vertical="center" wrapText="1"/>
    </xf>
    <xf numFmtId="0" fontId="52" fillId="36" borderId="29" xfId="38" applyFont="1" applyFill="1" applyBorder="1" applyAlignment="1">
      <alignment horizontal="center" vertical="center"/>
    </xf>
    <xf numFmtId="0" fontId="52" fillId="36" borderId="30" xfId="38" applyFont="1" applyFill="1" applyBorder="1" applyAlignment="1">
      <alignment horizontal="center" vertical="center"/>
    </xf>
    <xf numFmtId="0" fontId="52" fillId="36" borderId="29" xfId="38" applyFont="1" applyFill="1" applyBorder="1" applyAlignment="1">
      <alignment horizontal="left" vertical="center"/>
    </xf>
    <xf numFmtId="0" fontId="52" fillId="36" borderId="30" xfId="38" applyFont="1" applyFill="1" applyBorder="1" applyAlignment="1">
      <alignment horizontal="left" vertical="center"/>
    </xf>
    <xf numFmtId="0" fontId="52" fillId="36" borderId="29" xfId="38" applyFont="1" applyFill="1" applyBorder="1" applyAlignment="1">
      <alignment horizontal="left" vertical="center" wrapText="1"/>
    </xf>
    <xf numFmtId="0" fontId="52" fillId="36" borderId="30" xfId="38" applyFont="1" applyFill="1" applyBorder="1" applyAlignment="1">
      <alignment horizontal="left" vertical="center" wrapText="1"/>
    </xf>
  </cellXfs>
  <cellStyles count="7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46"/>
    <cellStyle name="Currency 2" xfId="47"/>
    <cellStyle name="Currency 3" xfId="4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5"/>
    <cellStyle name="Normal 2 2 2" xfId="49"/>
    <cellStyle name="Normal 2 3" xfId="50"/>
    <cellStyle name="Normal 3" xfId="1"/>
    <cellStyle name="Normal 3 2" xfId="51"/>
    <cellStyle name="Normal 3 3" xfId="52"/>
    <cellStyle name="Normal 3 4" xfId="53"/>
    <cellStyle name="Normal 4" xfId="54"/>
    <cellStyle name="Normal 4 2" xfId="55"/>
    <cellStyle name="Normal 4 3" xfId="56"/>
    <cellStyle name="Normal 5" xfId="57"/>
    <cellStyle name="Normal 5 2" xfId="58"/>
    <cellStyle name="Normal 5 3" xfId="59"/>
    <cellStyle name="Normal 6" xfId="60"/>
    <cellStyle name="Normal 7" xfId="61"/>
    <cellStyle name="Normal 8" xfId="62"/>
    <cellStyle name="Normal 9" xfId="63"/>
    <cellStyle name="Note 2" xfId="39"/>
    <cellStyle name="Output 2" xfId="40"/>
    <cellStyle name="Percent 2" xfId="64"/>
    <cellStyle name="Porcentagem" xfId="69" builtinId="5"/>
    <cellStyle name="Porcentagem 2" xfId="65"/>
    <cellStyle name="Separador de milhares 2" xfId="66"/>
    <cellStyle name="Title 2" xfId="41"/>
    <cellStyle name="Título 5" xfId="67"/>
    <cellStyle name="Total 2" xfId="42"/>
    <cellStyle name="Vírgula" xfId="44" builtinId="3"/>
    <cellStyle name="Vírgula 2" xfId="68"/>
    <cellStyle name="Warning Text 2" xfId="43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D20"/>
  <sheetViews>
    <sheetView workbookViewId="0">
      <selection activeCell="D4" sqref="D4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4"/>
      <c r="C1" s="14"/>
      <c r="D1" s="14"/>
    </row>
    <row r="2" spans="2:4" x14ac:dyDescent="0.3">
      <c r="B2" s="15" t="s">
        <v>32</v>
      </c>
      <c r="C2" s="16" t="s">
        <v>25</v>
      </c>
      <c r="D2" s="17" t="s">
        <v>26</v>
      </c>
    </row>
    <row r="3" spans="2:4" x14ac:dyDescent="0.3">
      <c r="B3" s="263" t="s">
        <v>59</v>
      </c>
      <c r="C3" s="18" t="s">
        <v>302</v>
      </c>
      <c r="D3" s="19" t="s">
        <v>303</v>
      </c>
    </row>
    <row r="4" spans="2:4" x14ac:dyDescent="0.3">
      <c r="B4" s="264"/>
      <c r="C4" s="18"/>
      <c r="D4" s="19"/>
    </row>
    <row r="5" spans="2:4" x14ac:dyDescent="0.3">
      <c r="B5" s="264"/>
      <c r="C5" s="18"/>
      <c r="D5" s="19"/>
    </row>
    <row r="6" spans="2:4" x14ac:dyDescent="0.3">
      <c r="B6" s="264"/>
      <c r="C6" s="18"/>
      <c r="D6" s="19"/>
    </row>
    <row r="7" spans="2:4" x14ac:dyDescent="0.3">
      <c r="B7" s="264"/>
      <c r="C7" s="18"/>
      <c r="D7" s="19"/>
    </row>
    <row r="8" spans="2:4" x14ac:dyDescent="0.3">
      <c r="B8" s="264"/>
      <c r="C8" s="18"/>
      <c r="D8" s="19"/>
    </row>
    <row r="9" spans="2:4" ht="15" thickBot="1" x14ac:dyDescent="0.35">
      <c r="B9" s="265"/>
      <c r="C9" s="20"/>
      <c r="D9" s="21"/>
    </row>
    <row r="11" spans="2:4" ht="49.5" customHeight="1" x14ac:dyDescent="0.3">
      <c r="B11" s="268" t="s">
        <v>27</v>
      </c>
      <c r="C11" s="268"/>
      <c r="D11" s="14"/>
    </row>
    <row r="12" spans="2:4" ht="15" thickBot="1" x14ac:dyDescent="0.35">
      <c r="B12" s="14"/>
      <c r="C12" s="14"/>
      <c r="D12" s="14"/>
    </row>
    <row r="13" spans="2:4" x14ac:dyDescent="0.3">
      <c r="B13" s="22" t="s">
        <v>28</v>
      </c>
      <c r="C13" s="23" t="s">
        <v>29</v>
      </c>
      <c r="D13" s="24"/>
    </row>
    <row r="14" spans="2:4" x14ac:dyDescent="0.3">
      <c r="B14" s="266" t="s">
        <v>30</v>
      </c>
      <c r="C14" s="18" t="s">
        <v>61</v>
      </c>
      <c r="D14" s="24"/>
    </row>
    <row r="15" spans="2:4" x14ac:dyDescent="0.3">
      <c r="B15" s="266"/>
      <c r="C15" s="18" t="s">
        <v>60</v>
      </c>
      <c r="D15" s="14"/>
    </row>
    <row r="16" spans="2:4" x14ac:dyDescent="0.3">
      <c r="B16" s="266"/>
      <c r="C16" s="18" t="s">
        <v>62</v>
      </c>
      <c r="D16" s="14"/>
    </row>
    <row r="17" spans="2:3" x14ac:dyDescent="0.3">
      <c r="B17" s="266"/>
      <c r="C17" s="18" t="s">
        <v>63</v>
      </c>
    </row>
    <row r="18" spans="2:3" ht="15" thickBot="1" x14ac:dyDescent="0.35">
      <c r="B18" s="267"/>
      <c r="C18" s="18" t="s">
        <v>64</v>
      </c>
    </row>
    <row r="20" spans="2:3" ht="54" customHeight="1" x14ac:dyDescent="0.3">
      <c r="B20" s="269" t="s">
        <v>31</v>
      </c>
      <c r="C20" s="269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E32"/>
  <sheetViews>
    <sheetView workbookViewId="0">
      <selection sqref="A1:C1"/>
    </sheetView>
  </sheetViews>
  <sheetFormatPr defaultRowHeight="14.4" x14ac:dyDescent="0.3"/>
  <cols>
    <col min="1" max="1" width="46" bestFit="1" customWidth="1"/>
    <col min="2" max="2" width="35.109375" customWidth="1"/>
    <col min="3" max="3" width="33.44140625" customWidth="1"/>
    <col min="4" max="4" width="16" bestFit="1" customWidth="1"/>
    <col min="5" max="5" width="13.33203125" bestFit="1" customWidth="1"/>
  </cols>
  <sheetData>
    <row r="1" spans="1:4" ht="15" thickBot="1" x14ac:dyDescent="0.35">
      <c r="A1" s="274" t="s">
        <v>3</v>
      </c>
      <c r="B1" s="274"/>
      <c r="C1" s="274"/>
    </row>
    <row r="2" spans="1:4" ht="15.6" x14ac:dyDescent="0.3">
      <c r="A2" s="270" t="s">
        <v>4</v>
      </c>
      <c r="B2" s="271"/>
      <c r="C2" s="272"/>
    </row>
    <row r="3" spans="1:4" ht="15.6" x14ac:dyDescent="0.3">
      <c r="A3" s="4" t="s">
        <v>5</v>
      </c>
      <c r="B3" s="5" t="s">
        <v>6</v>
      </c>
      <c r="C3" s="6" t="s">
        <v>7</v>
      </c>
    </row>
    <row r="4" spans="1:4" ht="15" thickBot="1" x14ac:dyDescent="0.35">
      <c r="A4" s="7" t="s">
        <v>8</v>
      </c>
      <c r="B4" s="40">
        <v>42736</v>
      </c>
      <c r="C4" s="41">
        <v>43676</v>
      </c>
    </row>
    <row r="5" spans="1:4" ht="15" thickBot="1" x14ac:dyDescent="0.35">
      <c r="A5" s="273"/>
      <c r="B5" s="273"/>
      <c r="C5" s="273"/>
    </row>
    <row r="6" spans="1:4" ht="15.6" x14ac:dyDescent="0.3">
      <c r="A6" s="270" t="s">
        <v>9</v>
      </c>
      <c r="B6" s="271"/>
      <c r="C6" s="272"/>
    </row>
    <row r="7" spans="1:4" ht="15" thickBot="1" x14ac:dyDescent="0.35">
      <c r="A7" s="7" t="s">
        <v>10</v>
      </c>
      <c r="B7" s="275" t="s">
        <v>394</v>
      </c>
      <c r="C7" s="276"/>
    </row>
    <row r="8" spans="1:4" ht="15" thickBot="1" x14ac:dyDescent="0.35">
      <c r="A8" s="273"/>
      <c r="B8" s="273"/>
      <c r="C8" s="273"/>
    </row>
    <row r="9" spans="1:4" ht="15.6" x14ac:dyDescent="0.3">
      <c r="A9" s="270" t="s">
        <v>11</v>
      </c>
      <c r="B9" s="271"/>
      <c r="C9" s="272"/>
    </row>
    <row r="10" spans="1:4" ht="31.2" x14ac:dyDescent="0.3">
      <c r="A10" s="4" t="s">
        <v>12</v>
      </c>
      <c r="B10" s="5" t="s">
        <v>13</v>
      </c>
      <c r="C10" s="6" t="s">
        <v>14</v>
      </c>
    </row>
    <row r="11" spans="1:4" x14ac:dyDescent="0.3">
      <c r="A11" s="8" t="s">
        <v>15</v>
      </c>
      <c r="B11" s="9">
        <v>14065780</v>
      </c>
      <c r="C11" s="29">
        <f>B11+21542487</f>
        <v>35608267</v>
      </c>
      <c r="D11" s="2"/>
    </row>
    <row r="12" spans="1:4" x14ac:dyDescent="0.3">
      <c r="A12" s="8" t="s">
        <v>16</v>
      </c>
      <c r="B12" s="9">
        <v>250000</v>
      </c>
      <c r="C12" s="29">
        <f t="shared" ref="C12:C19" si="0">B12</f>
        <v>250000</v>
      </c>
      <c r="D12" s="2"/>
    </row>
    <row r="13" spans="1:4" x14ac:dyDescent="0.3">
      <c r="A13" s="8" t="s">
        <v>17</v>
      </c>
      <c r="B13" s="9">
        <v>4015000</v>
      </c>
      <c r="C13" s="29">
        <f t="shared" si="0"/>
        <v>4015000</v>
      </c>
      <c r="D13" s="2"/>
    </row>
    <row r="14" spans="1:4" x14ac:dyDescent="0.3">
      <c r="A14" s="8" t="s">
        <v>18</v>
      </c>
      <c r="B14" s="28">
        <v>1189040</v>
      </c>
      <c r="C14" s="29">
        <f t="shared" si="0"/>
        <v>1189040</v>
      </c>
      <c r="D14" s="2"/>
    </row>
    <row r="15" spans="1:4" x14ac:dyDescent="0.3">
      <c r="A15" s="8" t="s">
        <v>19</v>
      </c>
      <c r="B15" s="9">
        <v>0</v>
      </c>
      <c r="C15" s="29">
        <f t="shared" si="0"/>
        <v>0</v>
      </c>
      <c r="D15" s="2"/>
    </row>
    <row r="16" spans="1:4" x14ac:dyDescent="0.3">
      <c r="A16" s="8" t="s">
        <v>20</v>
      </c>
      <c r="B16" s="9">
        <v>13702900</v>
      </c>
      <c r="C16" s="29">
        <f t="shared" si="0"/>
        <v>13702900</v>
      </c>
      <c r="D16" s="2"/>
    </row>
    <row r="17" spans="1:5" x14ac:dyDescent="0.3">
      <c r="A17" s="10" t="s">
        <v>21</v>
      </c>
      <c r="B17" s="9">
        <v>0</v>
      </c>
      <c r="C17" s="29">
        <f t="shared" si="0"/>
        <v>0</v>
      </c>
      <c r="D17" s="2"/>
    </row>
    <row r="18" spans="1:5" x14ac:dyDescent="0.3">
      <c r="A18" s="8" t="s">
        <v>22</v>
      </c>
      <c r="B18" s="9">
        <v>0</v>
      </c>
      <c r="C18" s="29">
        <f t="shared" si="0"/>
        <v>0</v>
      </c>
      <c r="D18" s="2"/>
    </row>
    <row r="19" spans="1:5" x14ac:dyDescent="0.3">
      <c r="A19" s="10" t="s">
        <v>23</v>
      </c>
      <c r="B19" s="9">
        <v>0</v>
      </c>
      <c r="C19" s="29">
        <f t="shared" si="0"/>
        <v>0</v>
      </c>
      <c r="D19" s="2"/>
    </row>
    <row r="20" spans="1:5" ht="16.2" thickBot="1" x14ac:dyDescent="0.35">
      <c r="A20" s="11" t="s">
        <v>24</v>
      </c>
      <c r="B20" s="12">
        <f>SUM(B11:B19)</f>
        <v>33222720</v>
      </c>
      <c r="C20" s="13">
        <f>SUM(C11:C19)</f>
        <v>54765207</v>
      </c>
      <c r="D20" s="2"/>
      <c r="E20" s="42"/>
    </row>
    <row r="21" spans="1:5" ht="15" thickBot="1" x14ac:dyDescent="0.35"/>
    <row r="22" spans="1:5" ht="15.6" x14ac:dyDescent="0.3">
      <c r="A22" s="270" t="s">
        <v>33</v>
      </c>
      <c r="B22" s="271"/>
      <c r="C22" s="272"/>
    </row>
    <row r="23" spans="1:5" ht="31.2" x14ac:dyDescent="0.3">
      <c r="A23" s="25" t="s">
        <v>34</v>
      </c>
      <c r="B23" s="26" t="s">
        <v>13</v>
      </c>
      <c r="C23" s="27" t="s">
        <v>14</v>
      </c>
    </row>
    <row r="24" spans="1:5" x14ac:dyDescent="0.3">
      <c r="A24" s="8" t="s">
        <v>61</v>
      </c>
      <c r="B24" s="28">
        <v>15564593</v>
      </c>
      <c r="C24" s="29">
        <f>B24</f>
        <v>15564593</v>
      </c>
    </row>
    <row r="25" spans="1:5" x14ac:dyDescent="0.3">
      <c r="A25" s="8" t="s">
        <v>60</v>
      </c>
      <c r="B25" s="28">
        <v>4350000</v>
      </c>
      <c r="C25" s="29">
        <f>B25</f>
        <v>4350000</v>
      </c>
    </row>
    <row r="26" spans="1:5" x14ac:dyDescent="0.3">
      <c r="A26" s="8" t="s">
        <v>62</v>
      </c>
      <c r="B26" s="28">
        <v>1375085</v>
      </c>
      <c r="C26" s="29">
        <f>B26</f>
        <v>1375085</v>
      </c>
    </row>
    <row r="27" spans="1:5" x14ac:dyDescent="0.3">
      <c r="A27" s="8" t="s">
        <v>63</v>
      </c>
      <c r="B27" s="28">
        <v>0</v>
      </c>
      <c r="C27" s="29">
        <v>21542487</v>
      </c>
    </row>
    <row r="28" spans="1:5" x14ac:dyDescent="0.3">
      <c r="A28" s="8" t="s">
        <v>64</v>
      </c>
      <c r="B28" s="28">
        <v>5157437</v>
      </c>
      <c r="C28" s="29">
        <f>B28</f>
        <v>5157437</v>
      </c>
    </row>
    <row r="29" spans="1:5" x14ac:dyDescent="0.3">
      <c r="A29" s="30" t="s">
        <v>65</v>
      </c>
      <c r="B29" s="28">
        <v>5866616</v>
      </c>
      <c r="C29" s="29">
        <f>B29</f>
        <v>5866616</v>
      </c>
    </row>
    <row r="30" spans="1:5" ht="16.2" thickBot="1" x14ac:dyDescent="0.35">
      <c r="A30" s="31" t="s">
        <v>24</v>
      </c>
      <c r="B30" s="32">
        <f>SUM(B24:B29)</f>
        <v>32313731</v>
      </c>
      <c r="C30" s="33">
        <f>SUM(C24:C29)</f>
        <v>53856218</v>
      </c>
    </row>
    <row r="31" spans="1:5" x14ac:dyDescent="0.3">
      <c r="B31" s="42">
        <f>B30</f>
        <v>32313731</v>
      </c>
      <c r="C31" s="42">
        <f>C30-B30</f>
        <v>21542487</v>
      </c>
    </row>
    <row r="32" spans="1:5" x14ac:dyDescent="0.3">
      <c r="B32" s="232">
        <f>B31/C30</f>
        <v>0.60000000371359163</v>
      </c>
      <c r="C32" s="232">
        <f>C31/C30</f>
        <v>0.39999999628640837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abSelected="1" view="pageBreakPreview" zoomScale="75" zoomScaleNormal="75" zoomScaleSheetLayoutView="75" workbookViewId="0">
      <selection activeCell="H2" sqref="H2"/>
    </sheetView>
  </sheetViews>
  <sheetFormatPr defaultColWidth="9.109375" defaultRowHeight="14.4" x14ac:dyDescent="0.3"/>
  <cols>
    <col min="1" max="1" width="13.44140625" style="2" customWidth="1"/>
    <col min="2" max="2" width="9.88671875" style="2" customWidth="1"/>
    <col min="3" max="3" width="36.5546875" style="2" customWidth="1"/>
    <col min="4" max="4" width="23.109375" style="2" customWidth="1"/>
    <col min="5" max="5" width="18.109375" style="2" customWidth="1"/>
    <col min="6" max="6" width="17.88671875" style="2" customWidth="1"/>
    <col min="7" max="7" width="17.6640625" style="34" customWidth="1"/>
    <col min="8" max="9" width="17.6640625" style="35" customWidth="1"/>
    <col min="10" max="10" width="12.88671875" style="2" customWidth="1"/>
    <col min="11" max="11" width="21.109375" style="2" customWidth="1"/>
    <col min="12" max="12" width="13.5546875" style="2" customWidth="1"/>
    <col min="13" max="13" width="12.6640625" style="2" customWidth="1"/>
    <col min="14" max="14" width="11.88671875" style="113" customWidth="1"/>
    <col min="15" max="15" width="16.6640625" style="2" customWidth="1"/>
    <col min="16" max="16" width="9.109375" style="2"/>
    <col min="17" max="18" width="12" style="2" bestFit="1" customWidth="1"/>
    <col min="19" max="16384" width="9.109375" style="2"/>
  </cols>
  <sheetData>
    <row r="1" spans="1:16" ht="18" x14ac:dyDescent="0.3">
      <c r="A1" s="48" t="s">
        <v>77</v>
      </c>
    </row>
    <row r="2" spans="1:16" ht="18" x14ac:dyDescent="0.35">
      <c r="A2" s="49" t="s">
        <v>78</v>
      </c>
    </row>
    <row r="3" spans="1:16" ht="10.5" customHeight="1" x14ac:dyDescent="0.3">
      <c r="A3" s="50"/>
    </row>
    <row r="4" spans="1:16" ht="18" x14ac:dyDescent="0.3">
      <c r="A4" s="187" t="s">
        <v>400</v>
      </c>
    </row>
    <row r="5" spans="1:16" ht="10.5" customHeight="1" x14ac:dyDescent="0.3">
      <c r="A5" s="52"/>
    </row>
    <row r="6" spans="1:16" ht="15.6" x14ac:dyDescent="0.3">
      <c r="A6" s="51" t="s">
        <v>403</v>
      </c>
    </row>
    <row r="7" spans="1:16" ht="15.6" x14ac:dyDescent="0.3">
      <c r="A7" s="51" t="s">
        <v>401</v>
      </c>
      <c r="B7" s="44"/>
    </row>
    <row r="8" spans="1:16" ht="15.6" x14ac:dyDescent="0.3">
      <c r="A8" s="51" t="s">
        <v>378</v>
      </c>
      <c r="B8" s="44"/>
    </row>
    <row r="9" spans="1:16" ht="10.65" customHeight="1" x14ac:dyDescent="0.3"/>
    <row r="10" spans="1:16" ht="15.6" x14ac:dyDescent="0.3">
      <c r="A10" s="279" t="s">
        <v>0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1"/>
      <c r="P10" s="1"/>
    </row>
    <row r="11" spans="1:16" ht="15" customHeight="1" x14ac:dyDescent="0.3">
      <c r="A11" s="282" t="s">
        <v>38</v>
      </c>
      <c r="B11" s="282" t="s">
        <v>335</v>
      </c>
      <c r="C11" s="282" t="s">
        <v>121</v>
      </c>
      <c r="D11" s="282" t="s">
        <v>119</v>
      </c>
      <c r="E11" s="282" t="s">
        <v>116</v>
      </c>
      <c r="F11" s="282" t="s">
        <v>325</v>
      </c>
      <c r="G11" s="283" t="s">
        <v>48</v>
      </c>
      <c r="H11" s="283"/>
      <c r="I11" s="283"/>
      <c r="J11" s="282" t="s">
        <v>117</v>
      </c>
      <c r="K11" s="282" t="s">
        <v>118</v>
      </c>
      <c r="L11" s="282" t="s">
        <v>49</v>
      </c>
      <c r="M11" s="282"/>
      <c r="N11" s="282" t="s">
        <v>79</v>
      </c>
      <c r="O11" s="282" t="s">
        <v>80</v>
      </c>
      <c r="P11" s="1"/>
    </row>
    <row r="12" spans="1:16" ht="54.75" customHeight="1" x14ac:dyDescent="0.3">
      <c r="A12" s="282"/>
      <c r="B12" s="282"/>
      <c r="C12" s="282"/>
      <c r="D12" s="282"/>
      <c r="E12" s="282"/>
      <c r="F12" s="282"/>
      <c r="G12" s="39" t="s">
        <v>140</v>
      </c>
      <c r="H12" s="47" t="s">
        <v>128</v>
      </c>
      <c r="I12" s="47" t="s">
        <v>129</v>
      </c>
      <c r="J12" s="282"/>
      <c r="K12" s="282"/>
      <c r="L12" s="46" t="s">
        <v>50</v>
      </c>
      <c r="M12" s="46" t="s">
        <v>51</v>
      </c>
      <c r="N12" s="282"/>
      <c r="O12" s="282"/>
      <c r="P12" s="1"/>
    </row>
    <row r="13" spans="1:16" ht="54.75" customHeight="1" x14ac:dyDescent="0.3">
      <c r="A13" s="75" t="s">
        <v>304</v>
      </c>
      <c r="B13" s="83" t="s">
        <v>362</v>
      </c>
      <c r="C13" s="175" t="s">
        <v>405</v>
      </c>
      <c r="D13" s="100" t="s">
        <v>39</v>
      </c>
      <c r="E13" s="83">
        <v>1</v>
      </c>
      <c r="F13" s="83"/>
      <c r="G13" s="177">
        <v>450</v>
      </c>
      <c r="H13" s="176">
        <v>1</v>
      </c>
      <c r="I13" s="176">
        <v>0</v>
      </c>
      <c r="J13" s="83">
        <v>1</v>
      </c>
      <c r="K13" s="75" t="s">
        <v>36</v>
      </c>
      <c r="L13" s="178">
        <v>43130</v>
      </c>
      <c r="M13" s="178">
        <v>43250</v>
      </c>
      <c r="N13" s="83"/>
      <c r="O13" s="175" t="s">
        <v>83</v>
      </c>
      <c r="P13" s="1"/>
    </row>
    <row r="14" spans="1:16" ht="54.75" customHeight="1" x14ac:dyDescent="0.3">
      <c r="A14" s="75" t="s">
        <v>304</v>
      </c>
      <c r="B14" s="83" t="s">
        <v>376</v>
      </c>
      <c r="C14" s="175" t="s">
        <v>364</v>
      </c>
      <c r="D14" s="100" t="s">
        <v>39</v>
      </c>
      <c r="E14" s="83">
        <v>1</v>
      </c>
      <c r="F14" s="83"/>
      <c r="G14" s="177">
        <v>300</v>
      </c>
      <c r="H14" s="176">
        <v>1</v>
      </c>
      <c r="I14" s="176">
        <v>0</v>
      </c>
      <c r="J14" s="83">
        <v>1</v>
      </c>
      <c r="K14" s="75" t="s">
        <v>36</v>
      </c>
      <c r="L14" s="178">
        <v>43241</v>
      </c>
      <c r="M14" s="178">
        <v>43361</v>
      </c>
      <c r="N14" s="83"/>
      <c r="O14" s="175" t="s">
        <v>83</v>
      </c>
      <c r="P14" s="1"/>
    </row>
    <row r="15" spans="1:16" ht="45" customHeight="1" x14ac:dyDescent="0.3">
      <c r="A15" s="75" t="s">
        <v>304</v>
      </c>
      <c r="B15" s="75" t="s">
        <v>336</v>
      </c>
      <c r="C15" s="89" t="s">
        <v>70</v>
      </c>
      <c r="D15" s="100" t="s">
        <v>73</v>
      </c>
      <c r="E15" s="75">
        <v>1</v>
      </c>
      <c r="F15" s="171" t="s">
        <v>309</v>
      </c>
      <c r="G15" s="143">
        <v>430.35</v>
      </c>
      <c r="H15" s="84">
        <v>1</v>
      </c>
      <c r="I15" s="84">
        <v>0</v>
      </c>
      <c r="J15" s="75">
        <v>1</v>
      </c>
      <c r="K15" s="75" t="s">
        <v>36</v>
      </c>
      <c r="L15" s="68">
        <v>42576</v>
      </c>
      <c r="M15" s="68">
        <v>42766</v>
      </c>
      <c r="N15" s="75" t="s">
        <v>306</v>
      </c>
      <c r="O15" s="67" t="s">
        <v>85</v>
      </c>
      <c r="P15" s="1"/>
    </row>
    <row r="16" spans="1:16" ht="45" customHeight="1" x14ac:dyDescent="0.3">
      <c r="A16" s="75" t="s">
        <v>304</v>
      </c>
      <c r="B16" s="75" t="s">
        <v>365</v>
      </c>
      <c r="C16" s="89" t="s">
        <v>187</v>
      </c>
      <c r="D16" s="67" t="s">
        <v>39</v>
      </c>
      <c r="E16" s="75">
        <v>1</v>
      </c>
      <c r="F16" s="171"/>
      <c r="G16" s="143">
        <v>5708.82</v>
      </c>
      <c r="H16" s="84">
        <v>1</v>
      </c>
      <c r="I16" s="84">
        <v>0</v>
      </c>
      <c r="J16" s="75">
        <v>1</v>
      </c>
      <c r="K16" s="75" t="s">
        <v>36</v>
      </c>
      <c r="L16" s="68">
        <v>43160</v>
      </c>
      <c r="M16" s="68">
        <v>43282</v>
      </c>
      <c r="N16" s="75"/>
      <c r="O16" s="100" t="s">
        <v>83</v>
      </c>
      <c r="P16" s="1"/>
    </row>
    <row r="17" spans="1:16" ht="60" customHeight="1" x14ac:dyDescent="0.3">
      <c r="A17" s="75" t="s">
        <v>304</v>
      </c>
      <c r="B17" s="75" t="s">
        <v>337</v>
      </c>
      <c r="C17" s="89" t="s">
        <v>66</v>
      </c>
      <c r="D17" s="67" t="s">
        <v>39</v>
      </c>
      <c r="E17" s="75">
        <v>1</v>
      </c>
      <c r="F17" s="171" t="s">
        <v>310</v>
      </c>
      <c r="G17" s="143">
        <v>1844.22</v>
      </c>
      <c r="H17" s="84">
        <v>1</v>
      </c>
      <c r="I17" s="84">
        <v>0</v>
      </c>
      <c r="J17" s="75" t="s">
        <v>125</v>
      </c>
      <c r="K17" s="101" t="s">
        <v>36</v>
      </c>
      <c r="L17" s="68">
        <v>42194</v>
      </c>
      <c r="M17" s="68">
        <v>42277</v>
      </c>
      <c r="N17" s="75" t="s">
        <v>402</v>
      </c>
      <c r="O17" s="67" t="s">
        <v>85</v>
      </c>
      <c r="P17" s="1"/>
    </row>
    <row r="18" spans="1:16" ht="45" customHeight="1" x14ac:dyDescent="0.3">
      <c r="A18" s="101" t="s">
        <v>304</v>
      </c>
      <c r="B18" s="75" t="s">
        <v>338</v>
      </c>
      <c r="C18" s="89" t="s">
        <v>110</v>
      </c>
      <c r="D18" s="74" t="s">
        <v>39</v>
      </c>
      <c r="E18" s="101">
        <v>1</v>
      </c>
      <c r="F18" s="170" t="s">
        <v>360</v>
      </c>
      <c r="G18" s="143">
        <f>2268495.07/3.1358/1000</f>
        <v>723.41828879392813</v>
      </c>
      <c r="H18" s="102">
        <v>1</v>
      </c>
      <c r="I18" s="102">
        <v>0</v>
      </c>
      <c r="J18" s="101">
        <v>1</v>
      </c>
      <c r="K18" s="101" t="s">
        <v>36</v>
      </c>
      <c r="L18" s="103">
        <v>42901</v>
      </c>
      <c r="M18" s="103">
        <f>L18+120</f>
        <v>43021</v>
      </c>
      <c r="N18" s="75"/>
      <c r="O18" s="67" t="s">
        <v>83</v>
      </c>
      <c r="P18" s="1"/>
    </row>
    <row r="19" spans="1:16" ht="30" customHeight="1" x14ac:dyDescent="0.3">
      <c r="A19" s="101" t="s">
        <v>304</v>
      </c>
      <c r="B19" s="75" t="s">
        <v>339</v>
      </c>
      <c r="C19" s="89" t="s">
        <v>111</v>
      </c>
      <c r="D19" s="74" t="s">
        <v>39</v>
      </c>
      <c r="E19" s="101">
        <v>1</v>
      </c>
      <c r="F19" s="170"/>
      <c r="G19" s="143">
        <f>1355174.61/3.1358/1000</f>
        <v>432.16232221442692</v>
      </c>
      <c r="H19" s="102">
        <v>1</v>
      </c>
      <c r="I19" s="102">
        <v>0</v>
      </c>
      <c r="J19" s="101">
        <v>1</v>
      </c>
      <c r="K19" s="101" t="s">
        <v>36</v>
      </c>
      <c r="L19" s="103">
        <v>42901</v>
      </c>
      <c r="M19" s="103">
        <f>L19+90</f>
        <v>42991</v>
      </c>
      <c r="N19" s="75"/>
      <c r="O19" s="67" t="s">
        <v>83</v>
      </c>
      <c r="P19" s="1"/>
    </row>
    <row r="20" spans="1:16" ht="30" customHeight="1" x14ac:dyDescent="0.3">
      <c r="A20" s="224" t="s">
        <v>304</v>
      </c>
      <c r="B20" s="101" t="s">
        <v>367</v>
      </c>
      <c r="C20" s="235" t="s">
        <v>391</v>
      </c>
      <c r="D20" s="225" t="s">
        <v>39</v>
      </c>
      <c r="E20" s="224">
        <v>1</v>
      </c>
      <c r="F20" s="226"/>
      <c r="G20" s="143">
        <v>1974.4</v>
      </c>
      <c r="H20" s="227">
        <v>1</v>
      </c>
      <c r="I20" s="227">
        <v>0</v>
      </c>
      <c r="J20" s="224">
        <v>1</v>
      </c>
      <c r="K20" s="224" t="s">
        <v>36</v>
      </c>
      <c r="L20" s="228">
        <v>42901</v>
      </c>
      <c r="M20" s="103">
        <f>L20+150</f>
        <v>43051</v>
      </c>
      <c r="N20" s="101"/>
      <c r="O20" s="225" t="s">
        <v>83</v>
      </c>
      <c r="P20" s="1"/>
    </row>
    <row r="21" spans="1:16" ht="30" customHeight="1" x14ac:dyDescent="0.3">
      <c r="A21" s="224" t="s">
        <v>304</v>
      </c>
      <c r="B21" s="101" t="s">
        <v>368</v>
      </c>
      <c r="C21" s="235" t="s">
        <v>392</v>
      </c>
      <c r="D21" s="225" t="s">
        <v>39</v>
      </c>
      <c r="E21" s="224">
        <v>1</v>
      </c>
      <c r="F21" s="226"/>
      <c r="G21" s="143">
        <v>493.6</v>
      </c>
      <c r="H21" s="227">
        <v>1</v>
      </c>
      <c r="I21" s="227">
        <v>0</v>
      </c>
      <c r="J21" s="224">
        <v>1</v>
      </c>
      <c r="K21" s="224" t="s">
        <v>36</v>
      </c>
      <c r="L21" s="228">
        <v>43177</v>
      </c>
      <c r="M21" s="103">
        <v>43297</v>
      </c>
      <c r="N21" s="101"/>
      <c r="O21" s="225" t="s">
        <v>83</v>
      </c>
      <c r="P21" s="1"/>
    </row>
    <row r="22" spans="1:16" ht="90" customHeight="1" x14ac:dyDescent="0.3">
      <c r="A22" s="75" t="s">
        <v>271</v>
      </c>
      <c r="B22" s="75" t="s">
        <v>136</v>
      </c>
      <c r="C22" s="89" t="s">
        <v>270</v>
      </c>
      <c r="D22" s="100" t="s">
        <v>37</v>
      </c>
      <c r="E22" s="75">
        <v>1</v>
      </c>
      <c r="F22" s="171" t="s">
        <v>294</v>
      </c>
      <c r="G22" s="143">
        <f>444.067+444.067</f>
        <v>888.13400000000001</v>
      </c>
      <c r="H22" s="84">
        <v>0</v>
      </c>
      <c r="I22" s="84">
        <v>1</v>
      </c>
      <c r="J22" s="75">
        <v>4</v>
      </c>
      <c r="K22" s="75" t="s">
        <v>37</v>
      </c>
      <c r="L22" s="75">
        <v>2010</v>
      </c>
      <c r="M22" s="168" t="s">
        <v>297</v>
      </c>
      <c r="N22" s="75" t="s">
        <v>296</v>
      </c>
      <c r="O22" s="67" t="s">
        <v>2</v>
      </c>
      <c r="P22" s="1"/>
    </row>
    <row r="23" spans="1:16" ht="45" customHeight="1" x14ac:dyDescent="0.3">
      <c r="A23" s="75" t="s">
        <v>269</v>
      </c>
      <c r="B23" s="75" t="s">
        <v>137</v>
      </c>
      <c r="C23" s="89" t="s">
        <v>268</v>
      </c>
      <c r="D23" s="100" t="s">
        <v>37</v>
      </c>
      <c r="E23" s="75">
        <v>1</v>
      </c>
      <c r="F23" s="171" t="s">
        <v>308</v>
      </c>
      <c r="G23" s="143">
        <v>6340.7389999999996</v>
      </c>
      <c r="H23" s="84">
        <v>0</v>
      </c>
      <c r="I23" s="84">
        <v>1</v>
      </c>
      <c r="J23" s="75">
        <v>4</v>
      </c>
      <c r="K23" s="75" t="s">
        <v>37</v>
      </c>
      <c r="L23" s="168">
        <v>2012</v>
      </c>
      <c r="M23" s="168" t="s">
        <v>295</v>
      </c>
      <c r="N23" s="75" t="s">
        <v>293</v>
      </c>
      <c r="O23" s="67" t="s">
        <v>2</v>
      </c>
      <c r="P23" s="1"/>
    </row>
    <row r="24" spans="1:16" ht="60" customHeight="1" x14ac:dyDescent="0.3">
      <c r="A24" s="75" t="s">
        <v>390</v>
      </c>
      <c r="B24" s="75" t="s">
        <v>377</v>
      </c>
      <c r="C24" s="87" t="s">
        <v>393</v>
      </c>
      <c r="D24" s="100" t="s">
        <v>37</v>
      </c>
      <c r="E24" s="75">
        <v>1</v>
      </c>
      <c r="F24" s="171" t="s">
        <v>294</v>
      </c>
      <c r="G24" s="143">
        <v>8396.5069999999996</v>
      </c>
      <c r="H24" s="84">
        <v>0</v>
      </c>
      <c r="I24" s="84">
        <v>1</v>
      </c>
      <c r="J24" s="75">
        <v>4</v>
      </c>
      <c r="K24" s="75" t="s">
        <v>37</v>
      </c>
      <c r="L24" s="75">
        <v>2017</v>
      </c>
      <c r="M24" s="75">
        <v>2018</v>
      </c>
      <c r="N24" s="75" t="s">
        <v>294</v>
      </c>
      <c r="O24" s="100" t="s">
        <v>83</v>
      </c>
      <c r="P24" s="1"/>
    </row>
    <row r="25" spans="1:16" ht="45" customHeight="1" x14ac:dyDescent="0.3">
      <c r="A25" s="101" t="s">
        <v>304</v>
      </c>
      <c r="B25" s="75" t="s">
        <v>340</v>
      </c>
      <c r="C25" s="89" t="s">
        <v>113</v>
      </c>
      <c r="D25" s="74" t="s">
        <v>39</v>
      </c>
      <c r="E25" s="101">
        <v>1</v>
      </c>
      <c r="F25" s="170" t="s">
        <v>326</v>
      </c>
      <c r="G25" s="143">
        <v>1858.81</v>
      </c>
      <c r="H25" s="102">
        <v>1</v>
      </c>
      <c r="I25" s="102">
        <v>0</v>
      </c>
      <c r="J25" s="101">
        <v>5</v>
      </c>
      <c r="K25" s="101" t="s">
        <v>36</v>
      </c>
      <c r="L25" s="103">
        <v>42471</v>
      </c>
      <c r="M25" s="103">
        <v>42647</v>
      </c>
      <c r="N25" s="75" t="s">
        <v>238</v>
      </c>
      <c r="O25" s="67" t="s">
        <v>85</v>
      </c>
      <c r="P25" s="1"/>
    </row>
    <row r="26" spans="1:16" x14ac:dyDescent="0.3">
      <c r="A26" s="36"/>
      <c r="B26" s="36"/>
      <c r="C26" s="36"/>
      <c r="D26" s="36"/>
      <c r="E26" s="77" t="s">
        <v>157</v>
      </c>
      <c r="F26" s="53"/>
      <c r="G26" s="71">
        <f>SUM(G13:G25)</f>
        <v>29841.160611008356</v>
      </c>
      <c r="H26" s="69"/>
      <c r="I26" s="69"/>
      <c r="J26" s="69"/>
      <c r="K26" s="36"/>
      <c r="L26" s="36"/>
      <c r="M26" s="36"/>
      <c r="N26" s="167"/>
      <c r="O26" s="36"/>
      <c r="P26" s="1"/>
    </row>
    <row r="27" spans="1:16" ht="15" customHeight="1" x14ac:dyDescent="0.3">
      <c r="E27" s="77" t="s">
        <v>170</v>
      </c>
      <c r="F27" s="77"/>
      <c r="G27" s="71">
        <f>G26-G15-G17-G22-G23-G25</f>
        <v>18478.907611008352</v>
      </c>
    </row>
    <row r="28" spans="1:16" ht="15" customHeight="1" x14ac:dyDescent="0.3">
      <c r="E28" s="77"/>
      <c r="F28" s="77"/>
      <c r="G28" s="71"/>
    </row>
    <row r="29" spans="1:16" ht="15.6" x14ac:dyDescent="0.3">
      <c r="A29" s="279" t="s">
        <v>167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1"/>
      <c r="P29" s="1"/>
    </row>
    <row r="30" spans="1:16" ht="15" customHeight="1" x14ac:dyDescent="0.3">
      <c r="A30" s="282" t="s">
        <v>38</v>
      </c>
      <c r="B30" s="282" t="s">
        <v>142</v>
      </c>
      <c r="C30" s="282" t="s">
        <v>121</v>
      </c>
      <c r="D30" s="282" t="s">
        <v>119</v>
      </c>
      <c r="E30" s="282" t="s">
        <v>116</v>
      </c>
      <c r="F30" s="282" t="s">
        <v>325</v>
      </c>
      <c r="G30" s="283" t="s">
        <v>48</v>
      </c>
      <c r="H30" s="283"/>
      <c r="I30" s="283"/>
      <c r="J30" s="282" t="s">
        <v>117</v>
      </c>
      <c r="K30" s="282" t="s">
        <v>118</v>
      </c>
      <c r="L30" s="282" t="s">
        <v>49</v>
      </c>
      <c r="M30" s="282"/>
      <c r="N30" s="282" t="s">
        <v>79</v>
      </c>
      <c r="O30" s="282" t="s">
        <v>80</v>
      </c>
      <c r="P30" s="1"/>
    </row>
    <row r="31" spans="1:16" ht="51.75" customHeight="1" x14ac:dyDescent="0.3">
      <c r="A31" s="282"/>
      <c r="B31" s="282"/>
      <c r="C31" s="282"/>
      <c r="D31" s="282"/>
      <c r="E31" s="282"/>
      <c r="F31" s="282"/>
      <c r="G31" s="39" t="s">
        <v>140</v>
      </c>
      <c r="H31" s="81" t="s">
        <v>128</v>
      </c>
      <c r="I31" s="81" t="s">
        <v>129</v>
      </c>
      <c r="J31" s="282"/>
      <c r="K31" s="282"/>
      <c r="L31" s="70" t="s">
        <v>50</v>
      </c>
      <c r="M31" s="70" t="s">
        <v>51</v>
      </c>
      <c r="N31" s="282"/>
      <c r="O31" s="282"/>
      <c r="P31" s="1"/>
    </row>
    <row r="32" spans="1:16" ht="51.75" customHeight="1" x14ac:dyDescent="0.3">
      <c r="A32" s="75" t="s">
        <v>304</v>
      </c>
      <c r="B32" s="83" t="s">
        <v>205</v>
      </c>
      <c r="C32" s="175" t="s">
        <v>206</v>
      </c>
      <c r="D32" s="3" t="s">
        <v>39</v>
      </c>
      <c r="E32" s="83">
        <v>1</v>
      </c>
      <c r="F32" s="83"/>
      <c r="G32" s="177">
        <v>2000</v>
      </c>
      <c r="H32" s="176">
        <v>1</v>
      </c>
      <c r="I32" s="176">
        <v>0</v>
      </c>
      <c r="J32" s="83">
        <v>2</v>
      </c>
      <c r="K32" s="83" t="s">
        <v>36</v>
      </c>
      <c r="L32" s="178">
        <v>42934</v>
      </c>
      <c r="M32" s="178">
        <v>43054</v>
      </c>
      <c r="N32" s="83"/>
      <c r="O32" s="175" t="s">
        <v>83</v>
      </c>
      <c r="P32" s="1"/>
    </row>
    <row r="33" spans="1:16" ht="51.75" customHeight="1" x14ac:dyDescent="0.3">
      <c r="A33" s="75" t="s">
        <v>304</v>
      </c>
      <c r="B33" s="83" t="s">
        <v>207</v>
      </c>
      <c r="C33" s="175" t="s">
        <v>208</v>
      </c>
      <c r="D33" s="3" t="s">
        <v>39</v>
      </c>
      <c r="E33" s="83">
        <v>1</v>
      </c>
      <c r="F33" s="83"/>
      <c r="G33" s="177">
        <v>2000</v>
      </c>
      <c r="H33" s="176">
        <v>1</v>
      </c>
      <c r="I33" s="176">
        <v>0</v>
      </c>
      <c r="J33" s="83">
        <v>2</v>
      </c>
      <c r="K33" s="83" t="s">
        <v>36</v>
      </c>
      <c r="L33" s="178">
        <v>42934</v>
      </c>
      <c r="M33" s="178">
        <v>43054</v>
      </c>
      <c r="N33" s="83"/>
      <c r="O33" s="175" t="s">
        <v>83</v>
      </c>
      <c r="P33" s="1"/>
    </row>
    <row r="34" spans="1:16" ht="60" customHeight="1" x14ac:dyDescent="0.3">
      <c r="A34" s="75" t="s">
        <v>304</v>
      </c>
      <c r="B34" s="79" t="s">
        <v>341</v>
      </c>
      <c r="C34" s="89" t="s">
        <v>307</v>
      </c>
      <c r="D34" s="67" t="s">
        <v>73</v>
      </c>
      <c r="E34" s="75">
        <v>1</v>
      </c>
      <c r="F34" s="75"/>
      <c r="G34" s="72">
        <v>250</v>
      </c>
      <c r="H34" s="84">
        <v>1</v>
      </c>
      <c r="I34" s="84">
        <v>0</v>
      </c>
      <c r="J34" s="75">
        <v>3</v>
      </c>
      <c r="K34" s="75" t="s">
        <v>35</v>
      </c>
      <c r="L34" s="68">
        <v>42901</v>
      </c>
      <c r="M34" s="68">
        <f t="shared" ref="M34" si="0">L34+90</f>
        <v>42991</v>
      </c>
      <c r="N34" s="112" t="s">
        <v>300</v>
      </c>
      <c r="O34" s="67" t="s">
        <v>83</v>
      </c>
      <c r="P34" s="94"/>
    </row>
    <row r="35" spans="1:16" ht="30" customHeight="1" x14ac:dyDescent="0.3">
      <c r="A35" s="75" t="s">
        <v>304</v>
      </c>
      <c r="B35" s="95" t="s">
        <v>370</v>
      </c>
      <c r="C35" s="86" t="s">
        <v>372</v>
      </c>
      <c r="D35" s="67" t="s">
        <v>44</v>
      </c>
      <c r="E35" s="75">
        <v>1</v>
      </c>
      <c r="F35" s="169"/>
      <c r="G35" s="72">
        <v>15</v>
      </c>
      <c r="H35" s="84">
        <v>1</v>
      </c>
      <c r="I35" s="84">
        <v>0</v>
      </c>
      <c r="J35" s="109">
        <v>6</v>
      </c>
      <c r="K35" s="75" t="s">
        <v>35</v>
      </c>
      <c r="L35" s="68">
        <v>42901</v>
      </c>
      <c r="M35" s="68">
        <f>L35+90</f>
        <v>42991</v>
      </c>
      <c r="N35" s="112" t="s">
        <v>300</v>
      </c>
      <c r="O35" s="67" t="s">
        <v>83</v>
      </c>
      <c r="P35" s="93"/>
    </row>
    <row r="36" spans="1:16" x14ac:dyDescent="0.3">
      <c r="A36" s="36"/>
      <c r="B36" s="36"/>
      <c r="C36" s="36"/>
      <c r="D36" s="36"/>
      <c r="E36" s="76" t="s">
        <v>168</v>
      </c>
      <c r="F36" s="53"/>
      <c r="G36" s="54">
        <f>SUM(G32:G35)</f>
        <v>4265</v>
      </c>
      <c r="H36" s="38"/>
      <c r="I36" s="38"/>
      <c r="J36" s="36"/>
      <c r="K36" s="36"/>
      <c r="L36" s="36"/>
      <c r="M36" s="36"/>
      <c r="N36" s="167"/>
      <c r="O36" s="36"/>
      <c r="P36" s="1"/>
    </row>
    <row r="37" spans="1:16" x14ac:dyDescent="0.3">
      <c r="E37" s="76" t="s">
        <v>169</v>
      </c>
      <c r="F37" s="77"/>
      <c r="G37" s="54">
        <f>G36</f>
        <v>4265</v>
      </c>
    </row>
    <row r="38" spans="1:16" x14ac:dyDescent="0.3">
      <c r="E38" s="76"/>
      <c r="F38" s="77"/>
      <c r="G38" s="54"/>
    </row>
    <row r="39" spans="1:16" ht="15.75" customHeight="1" x14ac:dyDescent="0.3">
      <c r="A39" s="279" t="s">
        <v>52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1"/>
    </row>
    <row r="40" spans="1:16" ht="15" customHeight="1" x14ac:dyDescent="0.3">
      <c r="A40" s="282" t="s">
        <v>38</v>
      </c>
      <c r="B40" s="282" t="s">
        <v>142</v>
      </c>
      <c r="C40" s="282" t="s">
        <v>121</v>
      </c>
      <c r="D40" s="282" t="s">
        <v>120</v>
      </c>
      <c r="E40" s="300"/>
      <c r="F40" s="300"/>
      <c r="G40" s="283" t="s">
        <v>48</v>
      </c>
      <c r="H40" s="283"/>
      <c r="I40" s="283"/>
      <c r="J40" s="282" t="s">
        <v>117</v>
      </c>
      <c r="K40" s="282" t="s">
        <v>118</v>
      </c>
      <c r="L40" s="282" t="s">
        <v>49</v>
      </c>
      <c r="M40" s="282"/>
      <c r="N40" s="282" t="s">
        <v>79</v>
      </c>
      <c r="O40" s="282" t="s">
        <v>80</v>
      </c>
    </row>
    <row r="41" spans="1:16" ht="45" customHeight="1" x14ac:dyDescent="0.3">
      <c r="A41" s="282"/>
      <c r="B41" s="282"/>
      <c r="C41" s="282"/>
      <c r="D41" s="282"/>
      <c r="E41" s="285" t="s">
        <v>325</v>
      </c>
      <c r="F41" s="285"/>
      <c r="G41" s="39" t="s">
        <v>140</v>
      </c>
      <c r="H41" s="81" t="s">
        <v>128</v>
      </c>
      <c r="I41" s="81" t="s">
        <v>129</v>
      </c>
      <c r="J41" s="282"/>
      <c r="K41" s="282"/>
      <c r="L41" s="46" t="s">
        <v>81</v>
      </c>
      <c r="M41" s="46" t="s">
        <v>51</v>
      </c>
      <c r="N41" s="282"/>
      <c r="O41" s="282"/>
    </row>
    <row r="42" spans="1:16" ht="45" customHeight="1" x14ac:dyDescent="0.3">
      <c r="A42" s="75" t="s">
        <v>304</v>
      </c>
      <c r="B42" s="92" t="s">
        <v>342</v>
      </c>
      <c r="C42" s="89" t="s">
        <v>153</v>
      </c>
      <c r="D42" s="67" t="s">
        <v>74</v>
      </c>
      <c r="E42" s="298" t="s">
        <v>330</v>
      </c>
      <c r="F42" s="299"/>
      <c r="G42" s="143">
        <v>468</v>
      </c>
      <c r="H42" s="84">
        <v>1</v>
      </c>
      <c r="I42" s="84">
        <v>0</v>
      </c>
      <c r="J42" s="109">
        <v>1</v>
      </c>
      <c r="K42" s="75" t="s">
        <v>36</v>
      </c>
      <c r="L42" s="68">
        <v>42663</v>
      </c>
      <c r="M42" s="68">
        <v>42937</v>
      </c>
      <c r="N42" s="75"/>
      <c r="O42" s="67" t="s">
        <v>45</v>
      </c>
    </row>
    <row r="43" spans="1:16" ht="65.099999999999994" customHeight="1" x14ac:dyDescent="0.3">
      <c r="A43" s="75" t="s">
        <v>304</v>
      </c>
      <c r="B43" s="92" t="s">
        <v>361</v>
      </c>
      <c r="C43" s="89" t="s">
        <v>404</v>
      </c>
      <c r="D43" s="67" t="s">
        <v>44</v>
      </c>
      <c r="E43" s="277"/>
      <c r="F43" s="278"/>
      <c r="G43" s="143">
        <v>50</v>
      </c>
      <c r="H43" s="84">
        <v>1</v>
      </c>
      <c r="I43" s="84">
        <v>0</v>
      </c>
      <c r="J43" s="109">
        <v>1</v>
      </c>
      <c r="K43" s="75" t="s">
        <v>36</v>
      </c>
      <c r="L43" s="68" t="s">
        <v>260</v>
      </c>
      <c r="M43" s="68">
        <v>42957</v>
      </c>
      <c r="N43" s="75"/>
      <c r="O43" s="67" t="s">
        <v>83</v>
      </c>
    </row>
    <row r="44" spans="1:16" s="111" customFormat="1" ht="60" customHeight="1" x14ac:dyDescent="0.3">
      <c r="A44" s="75" t="s">
        <v>304</v>
      </c>
      <c r="B44" s="92" t="s">
        <v>343</v>
      </c>
      <c r="C44" s="89" t="s">
        <v>183</v>
      </c>
      <c r="D44" s="67" t="s">
        <v>74</v>
      </c>
      <c r="E44" s="298" t="s">
        <v>329</v>
      </c>
      <c r="F44" s="299"/>
      <c r="G44" s="143">
        <v>500</v>
      </c>
      <c r="H44" s="84">
        <v>1</v>
      </c>
      <c r="I44" s="84">
        <v>0</v>
      </c>
      <c r="J44" s="109">
        <v>1</v>
      </c>
      <c r="K44" s="75" t="s">
        <v>36</v>
      </c>
      <c r="L44" s="68">
        <v>42663</v>
      </c>
      <c r="M44" s="68">
        <v>42937</v>
      </c>
      <c r="N44" s="75"/>
      <c r="O44" s="67" t="s">
        <v>45</v>
      </c>
    </row>
    <row r="45" spans="1:16" ht="45" customHeight="1" x14ac:dyDescent="0.3">
      <c r="A45" s="75" t="s">
        <v>304</v>
      </c>
      <c r="B45" s="92" t="s">
        <v>344</v>
      </c>
      <c r="C45" s="89" t="s">
        <v>112</v>
      </c>
      <c r="D45" s="67" t="s">
        <v>74</v>
      </c>
      <c r="E45" s="298" t="s">
        <v>331</v>
      </c>
      <c r="F45" s="299"/>
      <c r="G45" s="143">
        <v>491.17</v>
      </c>
      <c r="H45" s="84">
        <v>1</v>
      </c>
      <c r="I45" s="84">
        <v>0</v>
      </c>
      <c r="J45" s="109">
        <v>1</v>
      </c>
      <c r="K45" s="75" t="s">
        <v>36</v>
      </c>
      <c r="L45" s="68">
        <v>42695</v>
      </c>
      <c r="M45" s="68">
        <v>42937</v>
      </c>
      <c r="N45" s="75"/>
      <c r="O45" s="67" t="s">
        <v>45</v>
      </c>
    </row>
    <row r="46" spans="1:16" ht="54.9" customHeight="1" x14ac:dyDescent="0.3">
      <c r="A46" s="75" t="s">
        <v>304</v>
      </c>
      <c r="B46" s="92" t="s">
        <v>345</v>
      </c>
      <c r="C46" s="89" t="s">
        <v>190</v>
      </c>
      <c r="D46" s="67" t="s">
        <v>44</v>
      </c>
      <c r="E46" s="298" t="s">
        <v>311</v>
      </c>
      <c r="F46" s="299"/>
      <c r="G46" s="143">
        <v>20.2</v>
      </c>
      <c r="H46" s="84">
        <v>1</v>
      </c>
      <c r="I46" s="84">
        <v>0</v>
      </c>
      <c r="J46" s="109">
        <v>1</v>
      </c>
      <c r="K46" s="75" t="s">
        <v>35</v>
      </c>
      <c r="L46" s="68" t="s">
        <v>260</v>
      </c>
      <c r="M46" s="68">
        <v>42558</v>
      </c>
      <c r="N46" s="112" t="s">
        <v>133</v>
      </c>
      <c r="O46" s="67" t="s">
        <v>2</v>
      </c>
    </row>
    <row r="47" spans="1:16" ht="54.9" customHeight="1" x14ac:dyDescent="0.3">
      <c r="A47" s="101" t="s">
        <v>304</v>
      </c>
      <c r="B47" s="92" t="s">
        <v>346</v>
      </c>
      <c r="C47" s="89" t="s">
        <v>332</v>
      </c>
      <c r="D47" s="67" t="s">
        <v>74</v>
      </c>
      <c r="E47" s="277"/>
      <c r="F47" s="278"/>
      <c r="G47" s="143">
        <v>285</v>
      </c>
      <c r="H47" s="84">
        <v>1</v>
      </c>
      <c r="I47" s="84">
        <v>0</v>
      </c>
      <c r="J47" s="109">
        <v>1</v>
      </c>
      <c r="K47" s="75" t="s">
        <v>36</v>
      </c>
      <c r="L47" s="68">
        <v>42901</v>
      </c>
      <c r="M47" s="68">
        <f>L47+180</f>
        <v>43081</v>
      </c>
      <c r="N47" s="75"/>
      <c r="O47" s="67" t="s">
        <v>83</v>
      </c>
    </row>
    <row r="48" spans="1:16" ht="45" customHeight="1" x14ac:dyDescent="0.3">
      <c r="A48" s="75" t="s">
        <v>304</v>
      </c>
      <c r="B48" s="79" t="s">
        <v>347</v>
      </c>
      <c r="C48" s="89" t="s">
        <v>135</v>
      </c>
      <c r="D48" s="67" t="s">
        <v>74</v>
      </c>
      <c r="E48" s="298" t="s">
        <v>312</v>
      </c>
      <c r="F48" s="299"/>
      <c r="G48" s="143">
        <v>519.64</v>
      </c>
      <c r="H48" s="84">
        <v>1</v>
      </c>
      <c r="I48" s="84">
        <v>0</v>
      </c>
      <c r="J48" s="109">
        <v>1</v>
      </c>
      <c r="K48" s="75" t="s">
        <v>36</v>
      </c>
      <c r="L48" s="68">
        <v>42248</v>
      </c>
      <c r="M48" s="68">
        <v>42614</v>
      </c>
      <c r="N48" s="75" t="s">
        <v>196</v>
      </c>
      <c r="O48" s="67" t="s">
        <v>85</v>
      </c>
      <c r="P48" s="93"/>
    </row>
    <row r="49" spans="1:16" ht="54.9" customHeight="1" x14ac:dyDescent="0.3">
      <c r="A49" s="75" t="s">
        <v>304</v>
      </c>
      <c r="B49" s="79" t="s">
        <v>115</v>
      </c>
      <c r="C49" s="89" t="s">
        <v>114</v>
      </c>
      <c r="D49" s="67" t="s">
        <v>74</v>
      </c>
      <c r="E49" s="298" t="s">
        <v>313</v>
      </c>
      <c r="F49" s="299"/>
      <c r="G49" s="143">
        <v>298.74</v>
      </c>
      <c r="H49" s="84">
        <v>1</v>
      </c>
      <c r="I49" s="84">
        <v>0</v>
      </c>
      <c r="J49" s="109">
        <v>2</v>
      </c>
      <c r="K49" s="75" t="s">
        <v>36</v>
      </c>
      <c r="L49" s="68">
        <v>42451</v>
      </c>
      <c r="M49" s="68">
        <v>42788</v>
      </c>
      <c r="N49" s="75" t="s">
        <v>298</v>
      </c>
      <c r="O49" s="67" t="s">
        <v>85</v>
      </c>
    </row>
    <row r="50" spans="1:16" ht="30" customHeight="1" x14ac:dyDescent="0.3">
      <c r="A50" s="75" t="s">
        <v>304</v>
      </c>
      <c r="B50" s="92" t="s">
        <v>213</v>
      </c>
      <c r="C50" s="90" t="s">
        <v>299</v>
      </c>
      <c r="D50" s="67" t="s">
        <v>74</v>
      </c>
      <c r="E50" s="298" t="s">
        <v>396</v>
      </c>
      <c r="F50" s="299"/>
      <c r="G50" s="143">
        <v>350</v>
      </c>
      <c r="H50" s="84">
        <v>1</v>
      </c>
      <c r="I50" s="84">
        <v>0</v>
      </c>
      <c r="J50" s="109">
        <v>3</v>
      </c>
      <c r="K50" s="75" t="s">
        <v>36</v>
      </c>
      <c r="L50" s="68">
        <v>42870</v>
      </c>
      <c r="M50" s="68">
        <f>L50+180</f>
        <v>43050</v>
      </c>
      <c r="N50" s="75"/>
      <c r="O50" s="67" t="s">
        <v>45</v>
      </c>
      <c r="P50" s="93"/>
    </row>
    <row r="51" spans="1:16" ht="30" customHeight="1" x14ac:dyDescent="0.3">
      <c r="A51" s="75" t="s">
        <v>304</v>
      </c>
      <c r="B51" s="92" t="s">
        <v>348</v>
      </c>
      <c r="C51" s="90" t="s">
        <v>334</v>
      </c>
      <c r="D51" s="67" t="s">
        <v>74</v>
      </c>
      <c r="E51" s="277"/>
      <c r="F51" s="278"/>
      <c r="G51" s="143">
        <v>300</v>
      </c>
      <c r="H51" s="84">
        <v>1</v>
      </c>
      <c r="I51" s="84">
        <v>0</v>
      </c>
      <c r="J51" s="109">
        <v>3</v>
      </c>
      <c r="K51" s="75" t="s">
        <v>36</v>
      </c>
      <c r="L51" s="68">
        <v>42901</v>
      </c>
      <c r="M51" s="68">
        <f>L51+180</f>
        <v>43081</v>
      </c>
      <c r="N51" s="75"/>
      <c r="O51" s="67" t="s">
        <v>83</v>
      </c>
      <c r="P51" s="93"/>
    </row>
    <row r="52" spans="1:16" ht="60" customHeight="1" x14ac:dyDescent="0.3">
      <c r="A52" s="75" t="s">
        <v>304</v>
      </c>
      <c r="B52" s="79" t="s">
        <v>349</v>
      </c>
      <c r="C52" s="86" t="s">
        <v>147</v>
      </c>
      <c r="D52" s="67" t="s">
        <v>88</v>
      </c>
      <c r="E52" s="298" t="s">
        <v>314</v>
      </c>
      <c r="F52" s="299"/>
      <c r="G52" s="172">
        <f>14401167/1000/2.26</f>
        <v>6372.1977876106203</v>
      </c>
      <c r="H52" s="84">
        <v>1</v>
      </c>
      <c r="I52" s="84">
        <v>0</v>
      </c>
      <c r="J52" s="109" t="s">
        <v>251</v>
      </c>
      <c r="K52" s="75" t="s">
        <v>36</v>
      </c>
      <c r="L52" s="68">
        <v>41430</v>
      </c>
      <c r="M52" s="68">
        <v>41852</v>
      </c>
      <c r="N52" s="75" t="s">
        <v>127</v>
      </c>
      <c r="O52" s="67" t="s">
        <v>85</v>
      </c>
      <c r="P52" s="93"/>
    </row>
    <row r="53" spans="1:16" ht="69.900000000000006" customHeight="1" x14ac:dyDescent="0.3">
      <c r="A53" s="75" t="s">
        <v>304</v>
      </c>
      <c r="B53" s="92" t="s">
        <v>166</v>
      </c>
      <c r="C53" s="90" t="s">
        <v>262</v>
      </c>
      <c r="D53" s="67" t="s">
        <v>74</v>
      </c>
      <c r="E53" s="301" t="s">
        <v>328</v>
      </c>
      <c r="F53" s="302"/>
      <c r="G53" s="172">
        <v>408.71</v>
      </c>
      <c r="H53" s="84">
        <v>1</v>
      </c>
      <c r="I53" s="84">
        <v>0</v>
      </c>
      <c r="J53" s="109">
        <v>5</v>
      </c>
      <c r="K53" s="75" t="s">
        <v>36</v>
      </c>
      <c r="L53" s="68">
        <v>42678</v>
      </c>
      <c r="M53" s="68">
        <v>42937</v>
      </c>
      <c r="N53" s="75"/>
      <c r="O53" s="67" t="s">
        <v>45</v>
      </c>
      <c r="P53" s="93"/>
    </row>
    <row r="54" spans="1:16" ht="75" customHeight="1" x14ac:dyDescent="0.3">
      <c r="A54" s="75" t="s">
        <v>304</v>
      </c>
      <c r="B54" s="92" t="s">
        <v>67</v>
      </c>
      <c r="C54" s="86" t="s">
        <v>124</v>
      </c>
      <c r="D54" s="67" t="s">
        <v>74</v>
      </c>
      <c r="E54" s="298" t="s">
        <v>397</v>
      </c>
      <c r="F54" s="299"/>
      <c r="G54" s="172">
        <v>400.18</v>
      </c>
      <c r="H54" s="84">
        <v>1</v>
      </c>
      <c r="I54" s="84">
        <v>0</v>
      </c>
      <c r="J54" s="109">
        <v>5</v>
      </c>
      <c r="K54" s="75" t="s">
        <v>36</v>
      </c>
      <c r="L54" s="68">
        <v>42870</v>
      </c>
      <c r="M54" s="68">
        <v>43041</v>
      </c>
      <c r="N54" s="75"/>
      <c r="O54" s="67" t="s">
        <v>45</v>
      </c>
    </row>
    <row r="55" spans="1:16" ht="45" customHeight="1" x14ac:dyDescent="0.3">
      <c r="A55" s="75" t="s">
        <v>304</v>
      </c>
      <c r="B55" s="92" t="s">
        <v>229</v>
      </c>
      <c r="C55" s="86" t="s">
        <v>359</v>
      </c>
      <c r="D55" s="67" t="s">
        <v>74</v>
      </c>
      <c r="E55" s="277"/>
      <c r="F55" s="278"/>
      <c r="G55" s="172">
        <v>300</v>
      </c>
      <c r="H55" s="84">
        <v>1</v>
      </c>
      <c r="I55" s="84">
        <v>0</v>
      </c>
      <c r="J55" s="109">
        <v>5</v>
      </c>
      <c r="K55" s="75" t="s">
        <v>36</v>
      </c>
      <c r="L55" s="68">
        <v>42870</v>
      </c>
      <c r="M55" s="68">
        <v>43041</v>
      </c>
      <c r="N55" s="75"/>
      <c r="O55" s="67" t="s">
        <v>45</v>
      </c>
    </row>
    <row r="56" spans="1:16" ht="45" customHeight="1" x14ac:dyDescent="0.3">
      <c r="A56" s="75" t="s">
        <v>304</v>
      </c>
      <c r="B56" s="79" t="s">
        <v>151</v>
      </c>
      <c r="C56" s="86" t="s">
        <v>123</v>
      </c>
      <c r="D56" s="67" t="s">
        <v>74</v>
      </c>
      <c r="E56" s="298" t="s">
        <v>398</v>
      </c>
      <c r="F56" s="299"/>
      <c r="G56" s="172">
        <v>450</v>
      </c>
      <c r="H56" s="84">
        <v>1</v>
      </c>
      <c r="I56" s="84">
        <v>0</v>
      </c>
      <c r="J56" s="109">
        <v>5</v>
      </c>
      <c r="K56" s="75" t="s">
        <v>36</v>
      </c>
      <c r="L56" s="68">
        <v>42678</v>
      </c>
      <c r="M56" s="68">
        <v>43015</v>
      </c>
      <c r="N56" s="75"/>
      <c r="O56" s="67" t="s">
        <v>45</v>
      </c>
    </row>
    <row r="57" spans="1:16" ht="60" customHeight="1" x14ac:dyDescent="0.3">
      <c r="A57" s="75" t="s">
        <v>304</v>
      </c>
      <c r="B57" s="79" t="s">
        <v>145</v>
      </c>
      <c r="C57" s="86" t="s">
        <v>76</v>
      </c>
      <c r="D57" s="67" t="s">
        <v>74</v>
      </c>
      <c r="E57" s="298" t="s">
        <v>315</v>
      </c>
      <c r="F57" s="299"/>
      <c r="G57" s="72">
        <v>247.54</v>
      </c>
      <c r="H57" s="84">
        <v>1</v>
      </c>
      <c r="I57" s="84">
        <v>0</v>
      </c>
      <c r="J57" s="109">
        <v>5</v>
      </c>
      <c r="K57" s="75" t="s">
        <v>36</v>
      </c>
      <c r="L57" s="68">
        <v>42186</v>
      </c>
      <c r="M57" s="68">
        <v>42662</v>
      </c>
      <c r="N57" s="75" t="s">
        <v>285</v>
      </c>
      <c r="O57" s="67" t="s">
        <v>85</v>
      </c>
    </row>
    <row r="58" spans="1:16" ht="30" customHeight="1" x14ac:dyDescent="0.3">
      <c r="A58" s="75" t="s">
        <v>304</v>
      </c>
      <c r="B58" s="79" t="s">
        <v>350</v>
      </c>
      <c r="C58" s="86" t="s">
        <v>68</v>
      </c>
      <c r="D58" s="67" t="s">
        <v>74</v>
      </c>
      <c r="E58" s="298" t="s">
        <v>316</v>
      </c>
      <c r="F58" s="299"/>
      <c r="G58" s="72">
        <v>453.53</v>
      </c>
      <c r="H58" s="84">
        <v>1</v>
      </c>
      <c r="I58" s="84">
        <v>0</v>
      </c>
      <c r="J58" s="109">
        <v>5</v>
      </c>
      <c r="K58" s="75" t="s">
        <v>36</v>
      </c>
      <c r="L58" s="68">
        <v>42186</v>
      </c>
      <c r="M58" s="68">
        <v>42662</v>
      </c>
      <c r="N58" s="75" t="s">
        <v>286</v>
      </c>
      <c r="O58" s="67" t="s">
        <v>85</v>
      </c>
    </row>
    <row r="59" spans="1:16" ht="69.900000000000006" customHeight="1" x14ac:dyDescent="0.3">
      <c r="A59" s="75" t="s">
        <v>304</v>
      </c>
      <c r="B59" s="79" t="s">
        <v>351</v>
      </c>
      <c r="C59" s="86" t="s">
        <v>333</v>
      </c>
      <c r="D59" s="174" t="s">
        <v>57</v>
      </c>
      <c r="E59" s="277"/>
      <c r="F59" s="278"/>
      <c r="G59" s="172">
        <v>102.333</v>
      </c>
      <c r="H59" s="84">
        <v>1</v>
      </c>
      <c r="I59" s="84">
        <v>0</v>
      </c>
      <c r="J59" s="109">
        <v>5</v>
      </c>
      <c r="K59" s="75" t="s">
        <v>36</v>
      </c>
      <c r="L59" s="68">
        <v>42901</v>
      </c>
      <c r="M59" s="68">
        <f>L59+120</f>
        <v>43021</v>
      </c>
      <c r="N59" s="75"/>
      <c r="O59" s="67" t="s">
        <v>83</v>
      </c>
    </row>
    <row r="60" spans="1:16" ht="45" customHeight="1" x14ac:dyDescent="0.3">
      <c r="A60" s="75" t="s">
        <v>304</v>
      </c>
      <c r="B60" s="79" t="s">
        <v>146</v>
      </c>
      <c r="C60" s="86" t="s">
        <v>69</v>
      </c>
      <c r="D60" s="67" t="s">
        <v>74</v>
      </c>
      <c r="E60" s="298" t="s">
        <v>317</v>
      </c>
      <c r="F60" s="299"/>
      <c r="G60" s="72">
        <f>((343011.03)+(111648.73 *3.5014))/3.1358/1000</f>
        <v>234.05124472925567</v>
      </c>
      <c r="H60" s="84">
        <v>1</v>
      </c>
      <c r="I60" s="84">
        <v>0</v>
      </c>
      <c r="J60" s="109">
        <v>5</v>
      </c>
      <c r="K60" s="75" t="s">
        <v>35</v>
      </c>
      <c r="L60" s="68">
        <v>42186</v>
      </c>
      <c r="M60" s="68">
        <v>42789</v>
      </c>
      <c r="N60" s="112" t="s">
        <v>300</v>
      </c>
      <c r="O60" s="67" t="s">
        <v>85</v>
      </c>
    </row>
    <row r="61" spans="1:16" ht="30" customHeight="1" x14ac:dyDescent="0.3">
      <c r="A61" s="75" t="s">
        <v>304</v>
      </c>
      <c r="B61" s="95" t="s">
        <v>245</v>
      </c>
      <c r="C61" s="86" t="s">
        <v>72</v>
      </c>
      <c r="D61" s="67" t="s">
        <v>74</v>
      </c>
      <c r="E61" s="298" t="s">
        <v>318</v>
      </c>
      <c r="F61" s="299"/>
      <c r="G61" s="72">
        <f>1356000/3.1358/1000</f>
        <v>432.42553734294279</v>
      </c>
      <c r="H61" s="84">
        <v>1</v>
      </c>
      <c r="I61" s="84">
        <v>0</v>
      </c>
      <c r="J61" s="109">
        <v>6</v>
      </c>
      <c r="K61" s="75" t="s">
        <v>36</v>
      </c>
      <c r="L61" s="68">
        <v>42186</v>
      </c>
      <c r="M61" s="68">
        <v>42901</v>
      </c>
      <c r="N61" s="75"/>
      <c r="O61" s="67" t="s">
        <v>45</v>
      </c>
      <c r="P61" s="93"/>
    </row>
    <row r="62" spans="1:16" ht="30" customHeight="1" x14ac:dyDescent="0.3">
      <c r="A62" s="75" t="s">
        <v>304</v>
      </c>
      <c r="B62" s="95" t="s">
        <v>247</v>
      </c>
      <c r="C62" s="86" t="s">
        <v>366</v>
      </c>
      <c r="D62" s="67" t="s">
        <v>74</v>
      </c>
      <c r="E62" s="277"/>
      <c r="F62" s="278"/>
      <c r="G62" s="72">
        <v>300</v>
      </c>
      <c r="H62" s="84">
        <v>1</v>
      </c>
      <c r="I62" s="84">
        <v>0</v>
      </c>
      <c r="J62" s="109">
        <v>6</v>
      </c>
      <c r="K62" s="75" t="s">
        <v>36</v>
      </c>
      <c r="L62" s="68">
        <v>42901</v>
      </c>
      <c r="M62" s="68">
        <f>L62+180</f>
        <v>43081</v>
      </c>
      <c r="N62" s="75"/>
      <c r="O62" s="67" t="s">
        <v>83</v>
      </c>
      <c r="P62" s="93"/>
    </row>
    <row r="63" spans="1:16" ht="30" customHeight="1" x14ac:dyDescent="0.3">
      <c r="A63" s="75" t="s">
        <v>304</v>
      </c>
      <c r="B63" s="95" t="s">
        <v>371</v>
      </c>
      <c r="C63" s="86" t="s">
        <v>373</v>
      </c>
      <c r="D63" s="67" t="s">
        <v>74</v>
      </c>
      <c r="E63" s="277"/>
      <c r="F63" s="278"/>
      <c r="G63" s="72">
        <v>115</v>
      </c>
      <c r="H63" s="84">
        <v>1</v>
      </c>
      <c r="I63" s="84">
        <v>0</v>
      </c>
      <c r="J63" s="109">
        <v>6</v>
      </c>
      <c r="K63" s="75" t="s">
        <v>36</v>
      </c>
      <c r="L63" s="68">
        <v>42901</v>
      </c>
      <c r="M63" s="68">
        <f>L63+180</f>
        <v>43081</v>
      </c>
      <c r="N63" s="75"/>
      <c r="O63" s="67" t="s">
        <v>83</v>
      </c>
      <c r="P63" s="93"/>
    </row>
    <row r="64" spans="1:16" x14ac:dyDescent="0.3">
      <c r="A64" s="36"/>
      <c r="B64" s="36"/>
      <c r="C64" s="36"/>
      <c r="D64" s="36"/>
      <c r="E64" s="76" t="s">
        <v>158</v>
      </c>
      <c r="F64" s="53"/>
      <c r="G64" s="73">
        <f>SUM(G42:G63)</f>
        <v>13098.71756968282</v>
      </c>
      <c r="H64" s="37"/>
      <c r="I64" s="38"/>
      <c r="J64" s="38"/>
      <c r="K64" s="36"/>
      <c r="L64" s="36"/>
      <c r="M64" s="36"/>
      <c r="N64" s="167"/>
      <c r="O64" s="36"/>
    </row>
    <row r="65" spans="1:16" x14ac:dyDescent="0.3">
      <c r="E65" s="76" t="s">
        <v>159</v>
      </c>
      <c r="G65" s="73">
        <f>G64-G46-G48-G49-G52-G57-G58-G60</f>
        <v>4952.8185373429442</v>
      </c>
    </row>
    <row r="66" spans="1:16" x14ac:dyDescent="0.3">
      <c r="E66" s="76"/>
      <c r="G66" s="73"/>
    </row>
    <row r="67" spans="1:16" ht="15.75" customHeight="1" x14ac:dyDescent="0.3">
      <c r="A67" s="279" t="s">
        <v>54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1"/>
    </row>
    <row r="68" spans="1:16" ht="15" customHeight="1" x14ac:dyDescent="0.3">
      <c r="A68" s="282" t="s">
        <v>38</v>
      </c>
      <c r="B68" s="282" t="s">
        <v>142</v>
      </c>
      <c r="C68" s="282" t="s">
        <v>121</v>
      </c>
      <c r="D68" s="282" t="s">
        <v>120</v>
      </c>
      <c r="E68" s="282" t="s">
        <v>325</v>
      </c>
      <c r="F68" s="284" t="s">
        <v>122</v>
      </c>
      <c r="G68" s="283" t="s">
        <v>48</v>
      </c>
      <c r="H68" s="283"/>
      <c r="I68" s="283"/>
      <c r="J68" s="282" t="s">
        <v>117</v>
      </c>
      <c r="K68" s="282" t="s">
        <v>118</v>
      </c>
      <c r="L68" s="282" t="s">
        <v>49</v>
      </c>
      <c r="M68" s="282"/>
      <c r="N68" s="282" t="s">
        <v>79</v>
      </c>
      <c r="O68" s="282" t="s">
        <v>80</v>
      </c>
    </row>
    <row r="69" spans="1:16" ht="41.4" x14ac:dyDescent="0.3">
      <c r="A69" s="282"/>
      <c r="B69" s="282"/>
      <c r="C69" s="282"/>
      <c r="D69" s="282"/>
      <c r="E69" s="282"/>
      <c r="F69" s="285"/>
      <c r="G69" s="39" t="s">
        <v>140</v>
      </c>
      <c r="H69" s="81" t="s">
        <v>128</v>
      </c>
      <c r="I69" s="81" t="s">
        <v>129</v>
      </c>
      <c r="J69" s="282"/>
      <c r="K69" s="282"/>
      <c r="L69" s="70" t="s">
        <v>53</v>
      </c>
      <c r="M69" s="70" t="s">
        <v>51</v>
      </c>
      <c r="N69" s="282"/>
      <c r="O69" s="282"/>
    </row>
    <row r="70" spans="1:16" ht="60" customHeight="1" x14ac:dyDescent="0.3">
      <c r="A70" s="75" t="s">
        <v>304</v>
      </c>
      <c r="B70" s="92" t="s">
        <v>352</v>
      </c>
      <c r="C70" s="86" t="s">
        <v>171</v>
      </c>
      <c r="D70" s="67" t="s">
        <v>58</v>
      </c>
      <c r="E70" s="112" t="s">
        <v>327</v>
      </c>
      <c r="F70" s="75">
        <v>1</v>
      </c>
      <c r="G70" s="143">
        <v>58.03</v>
      </c>
      <c r="H70" s="84">
        <v>1</v>
      </c>
      <c r="I70" s="84">
        <v>0</v>
      </c>
      <c r="J70" s="109">
        <v>1</v>
      </c>
      <c r="K70" s="75" t="s">
        <v>35</v>
      </c>
      <c r="L70" s="68">
        <v>42683</v>
      </c>
      <c r="M70" s="68">
        <v>42760</v>
      </c>
      <c r="N70" s="112" t="s">
        <v>300</v>
      </c>
      <c r="O70" s="67" t="s">
        <v>85</v>
      </c>
      <c r="P70" s="94"/>
    </row>
    <row r="71" spans="1:16" ht="60" customHeight="1" x14ac:dyDescent="0.3">
      <c r="A71" s="75" t="s">
        <v>304</v>
      </c>
      <c r="B71" s="92" t="s">
        <v>209</v>
      </c>
      <c r="C71" s="89" t="s">
        <v>210</v>
      </c>
      <c r="D71" s="67" t="s">
        <v>58</v>
      </c>
      <c r="E71" s="181"/>
      <c r="F71" s="179">
        <v>1</v>
      </c>
      <c r="G71" s="72">
        <v>50</v>
      </c>
      <c r="H71" s="183">
        <v>1</v>
      </c>
      <c r="I71" s="183">
        <v>0</v>
      </c>
      <c r="J71" s="184">
        <v>2</v>
      </c>
      <c r="K71" s="75" t="s">
        <v>35</v>
      </c>
      <c r="L71" s="68">
        <v>42936</v>
      </c>
      <c r="M71" s="68">
        <v>42998</v>
      </c>
      <c r="N71" s="112" t="s">
        <v>300</v>
      </c>
      <c r="O71" s="180" t="s">
        <v>83</v>
      </c>
      <c r="P71" s="94"/>
    </row>
    <row r="72" spans="1:16" ht="30" customHeight="1" x14ac:dyDescent="0.3">
      <c r="A72" s="75" t="s">
        <v>304</v>
      </c>
      <c r="B72" s="79" t="s">
        <v>149</v>
      </c>
      <c r="C72" s="86" t="s">
        <v>386</v>
      </c>
      <c r="D72" s="67" t="s">
        <v>58</v>
      </c>
      <c r="E72" s="112" t="s">
        <v>319</v>
      </c>
      <c r="F72" s="75">
        <v>1</v>
      </c>
      <c r="G72" s="143">
        <v>35.840000000000003</v>
      </c>
      <c r="H72" s="84">
        <v>1</v>
      </c>
      <c r="I72" s="84">
        <v>0</v>
      </c>
      <c r="J72" s="75">
        <v>3</v>
      </c>
      <c r="K72" s="75" t="s">
        <v>36</v>
      </c>
      <c r="L72" s="68">
        <v>41845</v>
      </c>
      <c r="M72" s="68">
        <v>42311</v>
      </c>
      <c r="N72" s="75" t="s">
        <v>130</v>
      </c>
      <c r="O72" s="67" t="s">
        <v>2</v>
      </c>
    </row>
    <row r="73" spans="1:16" ht="30" customHeight="1" x14ac:dyDescent="0.3">
      <c r="A73" s="75" t="s">
        <v>304</v>
      </c>
      <c r="B73" s="79" t="s">
        <v>224</v>
      </c>
      <c r="C73" s="86" t="s">
        <v>387</v>
      </c>
      <c r="D73" s="67" t="s">
        <v>58</v>
      </c>
      <c r="E73" s="112" t="s">
        <v>320</v>
      </c>
      <c r="F73" s="75">
        <v>1</v>
      </c>
      <c r="G73" s="143">
        <v>40.31</v>
      </c>
      <c r="H73" s="84">
        <v>1</v>
      </c>
      <c r="I73" s="84">
        <v>0</v>
      </c>
      <c r="J73" s="75">
        <v>5</v>
      </c>
      <c r="K73" s="75" t="s">
        <v>36</v>
      </c>
      <c r="L73" s="68">
        <v>41879</v>
      </c>
      <c r="M73" s="68">
        <v>42241</v>
      </c>
      <c r="N73" s="75" t="s">
        <v>131</v>
      </c>
      <c r="O73" s="67" t="s">
        <v>2</v>
      </c>
    </row>
    <row r="74" spans="1:16" ht="30" customHeight="1" x14ac:dyDescent="0.3">
      <c r="A74" s="75" t="s">
        <v>304</v>
      </c>
      <c r="B74" s="79" t="s">
        <v>246</v>
      </c>
      <c r="C74" s="86" t="s">
        <v>164</v>
      </c>
      <c r="D74" s="67" t="s">
        <v>58</v>
      </c>
      <c r="E74" s="112" t="s">
        <v>369</v>
      </c>
      <c r="F74" s="75">
        <v>1</v>
      </c>
      <c r="G74" s="143">
        <v>20</v>
      </c>
      <c r="H74" s="84">
        <v>1</v>
      </c>
      <c r="I74" s="84">
        <v>0</v>
      </c>
      <c r="J74" s="75">
        <v>6</v>
      </c>
      <c r="K74" s="75" t="s">
        <v>35</v>
      </c>
      <c r="L74" s="68">
        <v>42683</v>
      </c>
      <c r="M74" s="68">
        <v>42901</v>
      </c>
      <c r="N74" s="112" t="s">
        <v>300</v>
      </c>
      <c r="O74" s="67" t="s">
        <v>45</v>
      </c>
      <c r="P74" s="93"/>
    </row>
    <row r="75" spans="1:16" x14ac:dyDescent="0.3">
      <c r="A75" s="36"/>
      <c r="B75" s="36"/>
      <c r="C75" s="36"/>
      <c r="D75" s="36"/>
      <c r="E75" s="76" t="s">
        <v>160</v>
      </c>
      <c r="G75" s="54">
        <f>SUM(G70:G74)</f>
        <v>204.18</v>
      </c>
      <c r="H75" s="38"/>
      <c r="I75" s="38"/>
      <c r="J75" s="36"/>
      <c r="K75" s="36"/>
      <c r="L75" s="36"/>
      <c r="M75" s="36"/>
      <c r="N75" s="167"/>
      <c r="O75" s="36"/>
    </row>
    <row r="76" spans="1:16" x14ac:dyDescent="0.3">
      <c r="E76" s="76" t="s">
        <v>161</v>
      </c>
      <c r="G76" s="54">
        <f>G75-G70-G72-G73</f>
        <v>70</v>
      </c>
      <c r="I76" s="233">
        <f>G64+G75</f>
        <v>13302.89756968282</v>
      </c>
    </row>
    <row r="77" spans="1:16" x14ac:dyDescent="0.3">
      <c r="E77" s="76"/>
      <c r="G77" s="54"/>
    </row>
    <row r="78" spans="1:16" ht="15.75" customHeight="1" x14ac:dyDescent="0.3">
      <c r="A78" s="279" t="s">
        <v>55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  <c r="L78" s="280"/>
      <c r="M78" s="280"/>
      <c r="N78" s="280"/>
      <c r="O78" s="281"/>
    </row>
    <row r="79" spans="1:16" ht="15" customHeight="1" x14ac:dyDescent="0.3">
      <c r="A79" s="282" t="s">
        <v>38</v>
      </c>
      <c r="B79" s="282" t="s">
        <v>142</v>
      </c>
      <c r="C79" s="282" t="s">
        <v>121</v>
      </c>
      <c r="D79" s="282" t="s">
        <v>120</v>
      </c>
      <c r="E79" s="300"/>
      <c r="F79" s="300"/>
      <c r="G79" s="283" t="s">
        <v>48</v>
      </c>
      <c r="H79" s="283"/>
      <c r="I79" s="283"/>
      <c r="J79" s="282" t="s">
        <v>117</v>
      </c>
      <c r="K79" s="282" t="s">
        <v>118</v>
      </c>
      <c r="L79" s="282" t="s">
        <v>49</v>
      </c>
      <c r="M79" s="282"/>
      <c r="N79" s="282" t="s">
        <v>79</v>
      </c>
      <c r="O79" s="282" t="s">
        <v>80</v>
      </c>
    </row>
    <row r="80" spans="1:16" ht="36" customHeight="1" x14ac:dyDescent="0.3">
      <c r="A80" s="282"/>
      <c r="B80" s="282"/>
      <c r="C80" s="282"/>
      <c r="D80" s="282"/>
      <c r="E80" s="285" t="s">
        <v>325</v>
      </c>
      <c r="F80" s="285"/>
      <c r="G80" s="39" t="s">
        <v>140</v>
      </c>
      <c r="H80" s="81" t="s">
        <v>128</v>
      </c>
      <c r="I80" s="81" t="s">
        <v>129</v>
      </c>
      <c r="J80" s="282"/>
      <c r="K80" s="282"/>
      <c r="L80" s="70" t="s">
        <v>81</v>
      </c>
      <c r="M80" s="70" t="s">
        <v>51</v>
      </c>
      <c r="N80" s="282"/>
      <c r="O80" s="282"/>
    </row>
    <row r="81" spans="1:16" ht="65.099999999999994" customHeight="1" x14ac:dyDescent="0.3">
      <c r="A81" s="45" t="s">
        <v>304</v>
      </c>
      <c r="B81" s="92" t="s">
        <v>353</v>
      </c>
      <c r="C81" s="89" t="s">
        <v>257</v>
      </c>
      <c r="D81" s="67" t="s">
        <v>74</v>
      </c>
      <c r="E81" s="298" t="s">
        <v>321</v>
      </c>
      <c r="F81" s="299"/>
      <c r="G81" s="143">
        <v>543.4</v>
      </c>
      <c r="H81" s="84">
        <v>1</v>
      </c>
      <c r="I81" s="84">
        <v>0</v>
      </c>
      <c r="J81" s="109">
        <v>1</v>
      </c>
      <c r="K81" s="75" t="s">
        <v>36</v>
      </c>
      <c r="L81" s="68">
        <v>42186</v>
      </c>
      <c r="M81" s="68">
        <v>42647</v>
      </c>
      <c r="N81" s="75" t="s">
        <v>203</v>
      </c>
      <c r="O81" s="67" t="s">
        <v>85</v>
      </c>
    </row>
    <row r="82" spans="1:16" ht="65.099999999999994" customHeight="1" x14ac:dyDescent="0.3">
      <c r="A82" s="45" t="s">
        <v>304</v>
      </c>
      <c r="B82" s="92" t="s">
        <v>354</v>
      </c>
      <c r="C82" s="89" t="s">
        <v>71</v>
      </c>
      <c r="D82" s="67" t="s">
        <v>74</v>
      </c>
      <c r="E82" s="298" t="s">
        <v>322</v>
      </c>
      <c r="F82" s="299"/>
      <c r="G82" s="173">
        <v>189.46</v>
      </c>
      <c r="H82" s="84">
        <v>1</v>
      </c>
      <c r="I82" s="84">
        <v>0</v>
      </c>
      <c r="J82" s="109">
        <v>1</v>
      </c>
      <c r="K82" s="75" t="s">
        <v>36</v>
      </c>
      <c r="L82" s="68">
        <v>42186</v>
      </c>
      <c r="M82" s="68">
        <v>42647</v>
      </c>
      <c r="N82" s="75" t="s">
        <v>204</v>
      </c>
      <c r="O82" s="67" t="s">
        <v>85</v>
      </c>
    </row>
    <row r="83" spans="1:16" ht="65.099999999999994" customHeight="1" x14ac:dyDescent="0.3">
      <c r="A83" s="82" t="s">
        <v>304</v>
      </c>
      <c r="B83" s="92" t="s">
        <v>355</v>
      </c>
      <c r="C83" s="89" t="s">
        <v>258</v>
      </c>
      <c r="D83" s="67" t="s">
        <v>74</v>
      </c>
      <c r="E83" s="298" t="s">
        <v>323</v>
      </c>
      <c r="F83" s="299"/>
      <c r="G83" s="173">
        <v>260.52999999999997</v>
      </c>
      <c r="H83" s="84">
        <v>1</v>
      </c>
      <c r="I83" s="84">
        <v>0</v>
      </c>
      <c r="J83" s="109">
        <v>1</v>
      </c>
      <c r="K83" s="75" t="s">
        <v>36</v>
      </c>
      <c r="L83" s="68">
        <v>42186</v>
      </c>
      <c r="M83" s="68">
        <v>42719</v>
      </c>
      <c r="N83" s="75" t="s">
        <v>301</v>
      </c>
      <c r="O83" s="67" t="s">
        <v>85</v>
      </c>
    </row>
    <row r="84" spans="1:16" ht="45" customHeight="1" x14ac:dyDescent="0.3">
      <c r="A84" s="83" t="s">
        <v>304</v>
      </c>
      <c r="B84" s="92" t="s">
        <v>356</v>
      </c>
      <c r="C84" s="89" t="s">
        <v>152</v>
      </c>
      <c r="D84" s="67" t="s">
        <v>57</v>
      </c>
      <c r="E84" s="298" t="s">
        <v>324</v>
      </c>
      <c r="F84" s="299"/>
      <c r="G84" s="173">
        <v>125.65</v>
      </c>
      <c r="H84" s="84">
        <v>1</v>
      </c>
      <c r="I84" s="84">
        <v>0</v>
      </c>
      <c r="J84" s="109">
        <v>1</v>
      </c>
      <c r="K84" s="75" t="s">
        <v>36</v>
      </c>
      <c r="L84" s="68">
        <v>41894</v>
      </c>
      <c r="M84" s="68">
        <v>42199</v>
      </c>
      <c r="N84" s="75" t="s">
        <v>132</v>
      </c>
      <c r="O84" s="67" t="s">
        <v>2</v>
      </c>
    </row>
    <row r="85" spans="1:16" ht="30" customHeight="1" x14ac:dyDescent="0.3">
      <c r="A85" s="83" t="s">
        <v>304</v>
      </c>
      <c r="B85" s="79" t="s">
        <v>357</v>
      </c>
      <c r="C85" s="89" t="s">
        <v>305</v>
      </c>
      <c r="D85" s="67" t="s">
        <v>73</v>
      </c>
      <c r="E85" s="298"/>
      <c r="F85" s="299"/>
      <c r="G85" s="72">
        <v>70</v>
      </c>
      <c r="H85" s="84">
        <v>1</v>
      </c>
      <c r="I85" s="84">
        <v>0</v>
      </c>
      <c r="J85" s="75">
        <v>3</v>
      </c>
      <c r="K85" s="75" t="s">
        <v>35</v>
      </c>
      <c r="L85" s="68">
        <v>42901</v>
      </c>
      <c r="M85" s="68">
        <f>L85+90</f>
        <v>42991</v>
      </c>
      <c r="N85" s="112" t="s">
        <v>300</v>
      </c>
      <c r="O85" s="67" t="s">
        <v>83</v>
      </c>
      <c r="P85" s="94"/>
    </row>
    <row r="86" spans="1:16" x14ac:dyDescent="0.3">
      <c r="A86" s="36"/>
      <c r="B86" s="36"/>
      <c r="C86" s="36"/>
      <c r="D86" s="36"/>
      <c r="E86" s="77" t="s">
        <v>162</v>
      </c>
      <c r="F86" s="53"/>
      <c r="G86" s="54">
        <f>SUM(G81:G85)</f>
        <v>1189.04</v>
      </c>
      <c r="H86" s="37"/>
      <c r="I86" s="38"/>
      <c r="J86" s="38"/>
      <c r="K86" s="36"/>
      <c r="L86" s="36"/>
      <c r="M86" s="36"/>
      <c r="N86" s="167"/>
      <c r="O86" s="36"/>
    </row>
    <row r="87" spans="1:16" x14ac:dyDescent="0.3">
      <c r="E87" s="77" t="s">
        <v>163</v>
      </c>
      <c r="F87" s="36"/>
      <c r="G87" s="54">
        <f>G86-G81-G82-G83-G84</f>
        <v>69.999999999999972</v>
      </c>
      <c r="H87" s="37"/>
      <c r="I87" s="38"/>
      <c r="J87" s="38"/>
      <c r="K87" s="36"/>
      <c r="L87" s="36"/>
      <c r="M87" s="36"/>
      <c r="N87" s="167"/>
      <c r="O87" s="36"/>
    </row>
    <row r="89" spans="1:16" ht="20.100000000000001" customHeight="1" x14ac:dyDescent="0.3">
      <c r="E89" s="77" t="s">
        <v>24</v>
      </c>
      <c r="G89" s="54">
        <f>G26+G36+G64+G75+G86</f>
        <v>48598.098180691173</v>
      </c>
      <c r="H89" s="54"/>
    </row>
    <row r="90" spans="1:16" x14ac:dyDescent="0.3">
      <c r="E90" s="77" t="s">
        <v>134</v>
      </c>
      <c r="F90" s="91"/>
      <c r="G90" s="54">
        <f>G27+G37+G65+G76+G87</f>
        <v>27836.726148351296</v>
      </c>
    </row>
    <row r="91" spans="1:16" ht="23.25" customHeight="1" x14ac:dyDescent="0.3">
      <c r="A91" s="292" t="s">
        <v>82</v>
      </c>
      <c r="B91" s="55" t="s">
        <v>37</v>
      </c>
    </row>
    <row r="92" spans="1:16" x14ac:dyDescent="0.3">
      <c r="A92" s="293"/>
      <c r="B92" s="55" t="s">
        <v>35</v>
      </c>
    </row>
    <row r="93" spans="1:16" x14ac:dyDescent="0.3">
      <c r="A93" s="294"/>
      <c r="B93" s="56" t="s">
        <v>36</v>
      </c>
    </row>
    <row r="95" spans="1:16" x14ac:dyDescent="0.3">
      <c r="A95" s="295" t="s">
        <v>80</v>
      </c>
      <c r="B95" s="55" t="s">
        <v>83</v>
      </c>
    </row>
    <row r="96" spans="1:16" ht="27.6" x14ac:dyDescent="0.3">
      <c r="A96" s="296"/>
      <c r="B96" s="55" t="s">
        <v>45</v>
      </c>
      <c r="H96" s="66"/>
    </row>
    <row r="97" spans="1:3" x14ac:dyDescent="0.3">
      <c r="A97" s="296"/>
      <c r="B97" s="55" t="s">
        <v>43</v>
      </c>
    </row>
    <row r="98" spans="1:3" ht="27.6" x14ac:dyDescent="0.3">
      <c r="A98" s="296"/>
      <c r="B98" s="55" t="s">
        <v>42</v>
      </c>
    </row>
    <row r="99" spans="1:3" ht="55.2" x14ac:dyDescent="0.3">
      <c r="A99" s="296"/>
      <c r="B99" s="55" t="s">
        <v>84</v>
      </c>
    </row>
    <row r="100" spans="1:3" ht="27.6" x14ac:dyDescent="0.3">
      <c r="A100" s="296"/>
      <c r="B100" s="55" t="s">
        <v>1</v>
      </c>
    </row>
    <row r="101" spans="1:3" ht="41.4" x14ac:dyDescent="0.3">
      <c r="A101" s="296"/>
      <c r="B101" s="55" t="s">
        <v>85</v>
      </c>
    </row>
    <row r="102" spans="1:3" ht="27.6" x14ac:dyDescent="0.3">
      <c r="A102" s="297"/>
      <c r="B102" s="55" t="s">
        <v>2</v>
      </c>
    </row>
    <row r="104" spans="1:3" x14ac:dyDescent="0.3">
      <c r="A104" s="286" t="s">
        <v>86</v>
      </c>
      <c r="B104" s="287" t="s">
        <v>87</v>
      </c>
      <c r="C104" s="55" t="s">
        <v>74</v>
      </c>
    </row>
    <row r="105" spans="1:3" x14ac:dyDescent="0.3">
      <c r="A105" s="286"/>
      <c r="B105" s="287"/>
      <c r="C105" s="55" t="s">
        <v>88</v>
      </c>
    </row>
    <row r="106" spans="1:3" ht="27.6" x14ac:dyDescent="0.3">
      <c r="A106" s="286"/>
      <c r="B106" s="287"/>
      <c r="C106" s="55" t="s">
        <v>57</v>
      </c>
    </row>
    <row r="107" spans="1:3" x14ac:dyDescent="0.3">
      <c r="A107" s="286"/>
      <c r="B107" s="287"/>
      <c r="C107" s="55" t="s">
        <v>44</v>
      </c>
    </row>
    <row r="108" spans="1:3" x14ac:dyDescent="0.3">
      <c r="A108" s="286"/>
      <c r="B108" s="287"/>
      <c r="C108" s="55" t="s">
        <v>37</v>
      </c>
    </row>
    <row r="109" spans="1:3" x14ac:dyDescent="0.3">
      <c r="A109" s="286"/>
      <c r="B109" s="287"/>
      <c r="C109" s="55" t="s">
        <v>89</v>
      </c>
    </row>
    <row r="110" spans="1:3" x14ac:dyDescent="0.3">
      <c r="A110" s="286"/>
      <c r="B110" s="287"/>
      <c r="C110" s="55" t="s">
        <v>75</v>
      </c>
    </row>
    <row r="111" spans="1:3" x14ac:dyDescent="0.3">
      <c r="A111" s="286"/>
      <c r="B111" s="288" t="s">
        <v>90</v>
      </c>
      <c r="C111" s="55" t="s">
        <v>91</v>
      </c>
    </row>
    <row r="112" spans="1:3" x14ac:dyDescent="0.3">
      <c r="A112" s="286"/>
      <c r="B112" s="288"/>
      <c r="C112" s="55" t="s">
        <v>39</v>
      </c>
    </row>
    <row r="113" spans="1:3" x14ac:dyDescent="0.3">
      <c r="A113" s="286"/>
      <c r="B113" s="288"/>
      <c r="C113" s="55" t="s">
        <v>73</v>
      </c>
    </row>
    <row r="114" spans="1:3" x14ac:dyDescent="0.3">
      <c r="A114" s="286"/>
      <c r="B114" s="288"/>
      <c r="C114" s="55" t="s">
        <v>44</v>
      </c>
    </row>
    <row r="115" spans="1:3" x14ac:dyDescent="0.3">
      <c r="A115" s="286"/>
      <c r="B115" s="288"/>
      <c r="C115" s="55" t="s">
        <v>37</v>
      </c>
    </row>
    <row r="116" spans="1:3" x14ac:dyDescent="0.3">
      <c r="A116" s="286"/>
      <c r="B116" s="288"/>
      <c r="C116" s="55" t="s">
        <v>40</v>
      </c>
    </row>
    <row r="117" spans="1:3" ht="27.6" x14ac:dyDescent="0.3">
      <c r="A117" s="286"/>
      <c r="B117" s="288"/>
      <c r="C117" s="55" t="s">
        <v>47</v>
      </c>
    </row>
    <row r="118" spans="1:3" x14ac:dyDescent="0.3">
      <c r="A118" s="286"/>
      <c r="B118" s="288"/>
      <c r="C118" s="55" t="s">
        <v>46</v>
      </c>
    </row>
    <row r="119" spans="1:3" x14ac:dyDescent="0.3">
      <c r="A119" s="286"/>
      <c r="B119" s="288"/>
      <c r="C119" s="55" t="s">
        <v>41</v>
      </c>
    </row>
    <row r="120" spans="1:3" ht="27.6" x14ac:dyDescent="0.3">
      <c r="A120" s="286"/>
      <c r="B120" s="288"/>
      <c r="C120" s="55" t="s">
        <v>56</v>
      </c>
    </row>
    <row r="121" spans="1:3" ht="30" customHeight="1" x14ac:dyDescent="0.3">
      <c r="A121" s="286"/>
      <c r="B121" s="289" t="s">
        <v>92</v>
      </c>
      <c r="C121" s="55" t="s">
        <v>58</v>
      </c>
    </row>
    <row r="122" spans="1:3" x14ac:dyDescent="0.3">
      <c r="A122" s="286"/>
      <c r="B122" s="290"/>
      <c r="C122" s="55" t="s">
        <v>44</v>
      </c>
    </row>
    <row r="123" spans="1:3" x14ac:dyDescent="0.3">
      <c r="A123" s="286"/>
      <c r="B123" s="291"/>
      <c r="C123" s="55" t="s">
        <v>37</v>
      </c>
    </row>
    <row r="134" spans="5:7" ht="15.6" x14ac:dyDescent="0.3">
      <c r="E134" s="85" t="s">
        <v>134</v>
      </c>
      <c r="G134" s="80" t="e">
        <f>G27+G37+#REF!+G65+G76+G87+#REF!</f>
        <v>#REF!</v>
      </c>
    </row>
  </sheetData>
  <autoFilter ref="A11:O123">
    <filterColumn colId="6" showButton="0"/>
    <filterColumn colId="7" showButton="0"/>
    <filterColumn colId="11" showButton="0"/>
  </autoFilter>
  <sortState ref="A46:O79">
    <sortCondition ref="B46:B79"/>
  </sortState>
  <mergeCells count="98">
    <mergeCell ref="E42:F42"/>
    <mergeCell ref="E45:F45"/>
    <mergeCell ref="E46:F46"/>
    <mergeCell ref="E49:F49"/>
    <mergeCell ref="E57:F57"/>
    <mergeCell ref="E48:F48"/>
    <mergeCell ref="E56:F56"/>
    <mergeCell ref="E59:F59"/>
    <mergeCell ref="E62:F62"/>
    <mergeCell ref="E43:F43"/>
    <mergeCell ref="E47:F47"/>
    <mergeCell ref="E53:F53"/>
    <mergeCell ref="E54:F54"/>
    <mergeCell ref="E50:F50"/>
    <mergeCell ref="E51:F51"/>
    <mergeCell ref="E55:F55"/>
    <mergeCell ref="E52:F52"/>
    <mergeCell ref="E44:F44"/>
    <mergeCell ref="E58:F58"/>
    <mergeCell ref="E60:F60"/>
    <mergeCell ref="E61:F61"/>
    <mergeCell ref="A40:A41"/>
    <mergeCell ref="B40:B41"/>
    <mergeCell ref="C40:C41"/>
    <mergeCell ref="D40:D41"/>
    <mergeCell ref="E40:F40"/>
    <mergeCell ref="A29:O29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9:O39"/>
    <mergeCell ref="O30:O31"/>
    <mergeCell ref="G30:I30"/>
    <mergeCell ref="J30:J31"/>
    <mergeCell ref="K30:K31"/>
    <mergeCell ref="L30:M30"/>
    <mergeCell ref="N30:N31"/>
    <mergeCell ref="A30:A31"/>
    <mergeCell ref="B30:B31"/>
    <mergeCell ref="C30:C31"/>
    <mergeCell ref="D30:D31"/>
    <mergeCell ref="E30:E31"/>
    <mergeCell ref="F30:F31"/>
    <mergeCell ref="N40:N41"/>
    <mergeCell ref="O40:O41"/>
    <mergeCell ref="C79:C80"/>
    <mergeCell ref="D79:D80"/>
    <mergeCell ref="E79:F79"/>
    <mergeCell ref="O79:O80"/>
    <mergeCell ref="E80:F80"/>
    <mergeCell ref="N68:N69"/>
    <mergeCell ref="O68:O69"/>
    <mergeCell ref="G79:I79"/>
    <mergeCell ref="J79:J80"/>
    <mergeCell ref="K79:K80"/>
    <mergeCell ref="L79:M79"/>
    <mergeCell ref="N79:N80"/>
    <mergeCell ref="A78:O78"/>
    <mergeCell ref="B79:B80"/>
    <mergeCell ref="J40:J41"/>
    <mergeCell ref="G40:I40"/>
    <mergeCell ref="E41:F41"/>
    <mergeCell ref="K40:K41"/>
    <mergeCell ref="L40:M40"/>
    <mergeCell ref="A79:A80"/>
    <mergeCell ref="D68:D69"/>
    <mergeCell ref="E68:E69"/>
    <mergeCell ref="A104:A123"/>
    <mergeCell ref="B104:B110"/>
    <mergeCell ref="B111:B120"/>
    <mergeCell ref="B121:B123"/>
    <mergeCell ref="A91:A93"/>
    <mergeCell ref="A95:A102"/>
    <mergeCell ref="E81:F81"/>
    <mergeCell ref="E82:F82"/>
    <mergeCell ref="E83:F83"/>
    <mergeCell ref="E84:F84"/>
    <mergeCell ref="E85:F85"/>
    <mergeCell ref="E63:F63"/>
    <mergeCell ref="A67:O67"/>
    <mergeCell ref="A68:A69"/>
    <mergeCell ref="B68:B69"/>
    <mergeCell ref="C68:C69"/>
    <mergeCell ref="L68:M68"/>
    <mergeCell ref="G68:I68"/>
    <mergeCell ref="J68:J69"/>
    <mergeCell ref="K68:K69"/>
    <mergeCell ref="F68:F69"/>
  </mergeCells>
  <dataValidations count="8">
    <dataValidation type="list" allowBlank="1" showInputMessage="1" showErrorMessage="1" sqref="O72:O75 O70 O42:O64 O34:O36 O81:O85 O15:O26">
      <formula1>$B$95:$B$102</formula1>
    </dataValidation>
    <dataValidation type="list" allowBlank="1" showInputMessage="1" showErrorMessage="1" sqref="D25:D26 D36 D32:D34 D13:D15 D85 D18:D22">
      <formula1>$C$111:$C$120</formula1>
    </dataValidation>
    <dataValidation type="list" allowBlank="1" showInputMessage="1" showErrorMessage="1" sqref="D81:D84 D42:D64 D35">
      <formula1>$C$104:$C$110</formula1>
    </dataValidation>
    <dataValidation type="list" allowBlank="1" showInputMessage="1" showErrorMessage="1" sqref="K70:K75 K42:K64 K34:K36 K81:K85 K13:K26">
      <formula1>$B$91:$B$93</formula1>
    </dataValidation>
    <dataValidation type="list" allowBlank="1" showInputMessage="1" showErrorMessage="1" sqref="K86:K87 D86">
      <formula1>#REF!</formula1>
    </dataValidation>
    <dataValidation type="list" allowBlank="1" showInputMessage="1" showErrorMessage="1" sqref="D75">
      <formula1>$C$121:$C$123</formula1>
    </dataValidation>
    <dataValidation type="list" allowBlank="1" showInputMessage="1" showErrorMessage="1" sqref="D16:D17 D23:D24">
      <formula1>$C$92:$C$101</formula1>
    </dataValidation>
    <dataValidation type="list" allowBlank="1" showInputMessage="1" showErrorMessage="1" sqref="O71">
      <formula1>$B$112:$B$119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5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3" manualBreakCount="3">
    <brk id="27" max="14" man="1"/>
    <brk id="48" max="14" man="1"/>
    <brk id="65" max="14" man="1"/>
  </rowBreaks>
  <ignoredErrors>
    <ignoredError sqref="M22:M23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="75" zoomScaleNormal="75" workbookViewId="0"/>
  </sheetViews>
  <sheetFormatPr defaultColWidth="9.109375" defaultRowHeight="14.4" x14ac:dyDescent="0.3"/>
  <cols>
    <col min="1" max="1" width="3.6640625" style="58" customWidth="1"/>
    <col min="2" max="2" width="9.88671875" style="2" customWidth="1"/>
    <col min="3" max="3" width="36.5546875" style="2" customWidth="1"/>
    <col min="4" max="4" width="23.109375" style="2" customWidth="1"/>
    <col min="5" max="5" width="17.6640625" style="34" customWidth="1"/>
    <col min="6" max="7" width="17.6640625" style="35" customWidth="1"/>
    <col min="8" max="8" width="13.5546875" style="2" customWidth="1"/>
    <col min="9" max="9" width="12.6640625" style="2" customWidth="1"/>
    <col min="10" max="10" width="11.5546875" style="113" customWidth="1"/>
    <col min="11" max="11" width="9.109375" style="2"/>
    <col min="12" max="12" width="16.88671875" style="2" customWidth="1"/>
    <col min="13" max="16384" width="9.109375" style="2"/>
  </cols>
  <sheetData>
    <row r="1" spans="1:13" ht="33.75" customHeight="1" x14ac:dyDescent="0.3">
      <c r="B1" s="75" t="s">
        <v>156</v>
      </c>
      <c r="C1" s="75" t="s">
        <v>94</v>
      </c>
      <c r="D1" s="75" t="s">
        <v>141</v>
      </c>
      <c r="E1" s="75" t="s">
        <v>138</v>
      </c>
      <c r="F1" s="75" t="s">
        <v>139</v>
      </c>
      <c r="G1" s="75" t="s">
        <v>263</v>
      </c>
      <c r="H1" s="75" t="s">
        <v>50</v>
      </c>
      <c r="I1" s="75" t="s">
        <v>51</v>
      </c>
      <c r="J1" s="75" t="s">
        <v>277</v>
      </c>
    </row>
    <row r="2" spans="1:13" ht="41.4" x14ac:dyDescent="0.3">
      <c r="A2" s="65">
        <v>1</v>
      </c>
      <c r="B2" s="92" t="s">
        <v>211</v>
      </c>
      <c r="C2" s="89" t="s">
        <v>153</v>
      </c>
      <c r="D2" s="67" t="s">
        <v>74</v>
      </c>
      <c r="E2" s="72">
        <f>340.1+429.75</f>
        <v>769.85</v>
      </c>
      <c r="F2" s="72">
        <v>0</v>
      </c>
      <c r="G2" s="72">
        <f t="shared" ref="G2:G33" si="0">E2+F2</f>
        <v>769.85</v>
      </c>
      <c r="H2" s="68">
        <v>42663</v>
      </c>
      <c r="I2" s="68">
        <v>42919</v>
      </c>
      <c r="J2" s="153">
        <v>10</v>
      </c>
      <c r="K2" s="1"/>
      <c r="L2" s="146" t="s">
        <v>83</v>
      </c>
      <c r="M2" s="58">
        <v>42</v>
      </c>
    </row>
    <row r="3" spans="1:13" ht="55.2" x14ac:dyDescent="0.3">
      <c r="A3" s="65">
        <v>2</v>
      </c>
      <c r="B3" s="92" t="s">
        <v>172</v>
      </c>
      <c r="C3" s="89" t="s">
        <v>173</v>
      </c>
      <c r="D3" s="67" t="s">
        <v>57</v>
      </c>
      <c r="E3" s="72">
        <v>200</v>
      </c>
      <c r="F3" s="72">
        <v>0</v>
      </c>
      <c r="G3" s="72">
        <f t="shared" si="0"/>
        <v>200</v>
      </c>
      <c r="H3" s="68">
        <v>42709</v>
      </c>
      <c r="I3" s="68">
        <v>42919</v>
      </c>
      <c r="J3" s="153">
        <v>6</v>
      </c>
      <c r="K3" s="1"/>
      <c r="L3" s="147" t="s">
        <v>45</v>
      </c>
      <c r="M3" s="58">
        <v>6</v>
      </c>
    </row>
    <row r="4" spans="1:13" ht="28.8" x14ac:dyDescent="0.3">
      <c r="A4" s="65">
        <v>3</v>
      </c>
      <c r="B4" s="75" t="s">
        <v>174</v>
      </c>
      <c r="C4" s="89" t="s">
        <v>175</v>
      </c>
      <c r="D4" s="67" t="s">
        <v>39</v>
      </c>
      <c r="E4" s="72">
        <v>1000</v>
      </c>
      <c r="F4" s="72">
        <v>0</v>
      </c>
      <c r="G4" s="72">
        <f t="shared" si="0"/>
        <v>1000</v>
      </c>
      <c r="H4" s="68">
        <v>43171</v>
      </c>
      <c r="I4" s="96">
        <v>43339</v>
      </c>
      <c r="J4" s="153">
        <v>8</v>
      </c>
      <c r="K4" s="1"/>
      <c r="L4" s="148" t="s">
        <v>85</v>
      </c>
      <c r="M4" s="58">
        <v>9</v>
      </c>
    </row>
    <row r="5" spans="1:13" ht="41.4" x14ac:dyDescent="0.3">
      <c r="A5" s="65">
        <v>4</v>
      </c>
      <c r="B5" s="75" t="s">
        <v>176</v>
      </c>
      <c r="C5" s="89" t="s">
        <v>256</v>
      </c>
      <c r="D5" s="100" t="s">
        <v>73</v>
      </c>
      <c r="E5" s="72">
        <v>160</v>
      </c>
      <c r="F5" s="72">
        <v>0</v>
      </c>
      <c r="G5" s="72">
        <f t="shared" si="0"/>
        <v>160</v>
      </c>
      <c r="H5" s="68">
        <v>43137</v>
      </c>
      <c r="I5" s="96">
        <v>43305</v>
      </c>
      <c r="J5" s="153">
        <v>10</v>
      </c>
      <c r="K5" s="1"/>
      <c r="L5" s="149" t="s">
        <v>107</v>
      </c>
      <c r="M5" s="58">
        <v>5</v>
      </c>
    </row>
    <row r="6" spans="1:13" ht="41.4" x14ac:dyDescent="0.3">
      <c r="A6" s="65">
        <v>5</v>
      </c>
      <c r="B6" s="92" t="s">
        <v>177</v>
      </c>
      <c r="C6" s="89" t="s">
        <v>178</v>
      </c>
      <c r="D6" s="67" t="s">
        <v>57</v>
      </c>
      <c r="E6" s="72">
        <v>100</v>
      </c>
      <c r="F6" s="72">
        <v>0</v>
      </c>
      <c r="G6" s="72">
        <f t="shared" si="0"/>
        <v>100</v>
      </c>
      <c r="H6" s="96" t="s">
        <v>259</v>
      </c>
      <c r="I6" s="96" t="s">
        <v>259</v>
      </c>
      <c r="J6" s="153">
        <v>6</v>
      </c>
      <c r="K6" s="1"/>
      <c r="L6" s="150" t="s">
        <v>2</v>
      </c>
      <c r="M6" s="58">
        <v>3</v>
      </c>
    </row>
    <row r="7" spans="1:13" ht="27.6" x14ac:dyDescent="0.3">
      <c r="A7" s="65">
        <v>6</v>
      </c>
      <c r="B7" s="75" t="s">
        <v>179</v>
      </c>
      <c r="C7" s="89" t="s">
        <v>180</v>
      </c>
      <c r="D7" s="100" t="s">
        <v>73</v>
      </c>
      <c r="E7" s="72">
        <v>350</v>
      </c>
      <c r="F7" s="72">
        <v>0</v>
      </c>
      <c r="G7" s="72">
        <f t="shared" si="0"/>
        <v>350</v>
      </c>
      <c r="H7" s="68">
        <v>43137</v>
      </c>
      <c r="I7" s="96">
        <v>43305</v>
      </c>
      <c r="J7" s="153">
        <v>6</v>
      </c>
      <c r="K7" s="1"/>
      <c r="L7" s="58"/>
      <c r="M7" s="58">
        <f>SUM(M2:M6)</f>
        <v>65</v>
      </c>
    </row>
    <row r="8" spans="1:13" ht="41.4" x14ac:dyDescent="0.3">
      <c r="A8" s="65">
        <v>7</v>
      </c>
      <c r="B8" s="92" t="s">
        <v>181</v>
      </c>
      <c r="C8" s="89" t="s">
        <v>182</v>
      </c>
      <c r="D8" s="67" t="s">
        <v>57</v>
      </c>
      <c r="E8" s="72">
        <v>105</v>
      </c>
      <c r="F8" s="72">
        <v>0</v>
      </c>
      <c r="G8" s="72">
        <f t="shared" si="0"/>
        <v>105</v>
      </c>
      <c r="H8" s="68">
        <v>43137</v>
      </c>
      <c r="I8" s="96">
        <v>43305</v>
      </c>
      <c r="J8" s="153">
        <v>3</v>
      </c>
      <c r="K8" s="1"/>
    </row>
    <row r="9" spans="1:13" ht="41.4" x14ac:dyDescent="0.3">
      <c r="A9" s="65">
        <v>8</v>
      </c>
      <c r="B9" s="92" t="s">
        <v>252</v>
      </c>
      <c r="C9" s="89" t="s">
        <v>183</v>
      </c>
      <c r="D9" s="67" t="s">
        <v>74</v>
      </c>
      <c r="E9" s="72">
        <v>500</v>
      </c>
      <c r="F9" s="72">
        <v>0</v>
      </c>
      <c r="G9" s="72">
        <f t="shared" si="0"/>
        <v>500</v>
      </c>
      <c r="H9" s="68">
        <v>42663</v>
      </c>
      <c r="I9" s="68">
        <v>42885</v>
      </c>
      <c r="J9" s="153">
        <v>10</v>
      </c>
      <c r="K9" s="1"/>
    </row>
    <row r="10" spans="1:13" ht="27.6" x14ac:dyDescent="0.3">
      <c r="A10" s="65">
        <v>9</v>
      </c>
      <c r="B10" s="114" t="s">
        <v>184</v>
      </c>
      <c r="C10" s="115" t="s">
        <v>70</v>
      </c>
      <c r="D10" s="116" t="s">
        <v>73</v>
      </c>
      <c r="E10" s="117">
        <f>1121850.65/3.1358/1000</f>
        <v>357.75580394157782</v>
      </c>
      <c r="F10" s="117">
        <v>0</v>
      </c>
      <c r="G10" s="117">
        <f t="shared" si="0"/>
        <v>357.75580394157782</v>
      </c>
      <c r="H10" s="118">
        <v>42566</v>
      </c>
      <c r="I10" s="118">
        <v>42705</v>
      </c>
      <c r="J10" s="154">
        <v>9</v>
      </c>
      <c r="K10" s="1"/>
    </row>
    <row r="11" spans="1:13" ht="41.4" x14ac:dyDescent="0.3">
      <c r="A11" s="65">
        <v>10</v>
      </c>
      <c r="B11" s="92" t="s">
        <v>185</v>
      </c>
      <c r="C11" s="89" t="s">
        <v>112</v>
      </c>
      <c r="D11" s="67" t="s">
        <v>74</v>
      </c>
      <c r="E11" s="72">
        <f>1540237.23/3.1358/1000</f>
        <v>491.17840104598503</v>
      </c>
      <c r="F11" s="72">
        <v>0</v>
      </c>
      <c r="G11" s="72">
        <f t="shared" si="0"/>
        <v>491.17840104598503</v>
      </c>
      <c r="H11" s="68">
        <v>42695</v>
      </c>
      <c r="I11" s="68">
        <v>42919</v>
      </c>
      <c r="J11" s="153">
        <v>8</v>
      </c>
      <c r="K11" s="1"/>
    </row>
    <row r="12" spans="1:13" ht="27.6" x14ac:dyDescent="0.3">
      <c r="A12" s="65">
        <v>11</v>
      </c>
      <c r="B12" s="75" t="s">
        <v>186</v>
      </c>
      <c r="C12" s="89" t="s">
        <v>187</v>
      </c>
      <c r="D12" s="67" t="s">
        <v>39</v>
      </c>
      <c r="E12" s="72">
        <v>5708.8220000000001</v>
      </c>
      <c r="F12" s="72">
        <v>0</v>
      </c>
      <c r="G12" s="72">
        <f t="shared" si="0"/>
        <v>5708.8220000000001</v>
      </c>
      <c r="H12" s="96">
        <v>43255</v>
      </c>
      <c r="I12" s="96">
        <v>43423</v>
      </c>
      <c r="J12" s="153">
        <v>12</v>
      </c>
      <c r="K12" s="1"/>
    </row>
    <row r="13" spans="1:13" ht="41.4" x14ac:dyDescent="0.3">
      <c r="A13" s="65">
        <v>12</v>
      </c>
      <c r="B13" s="92" t="s">
        <v>188</v>
      </c>
      <c r="C13" s="86" t="s">
        <v>171</v>
      </c>
      <c r="D13" s="67" t="s">
        <v>58</v>
      </c>
      <c r="E13" s="72">
        <v>60.87</v>
      </c>
      <c r="F13" s="72">
        <v>0</v>
      </c>
      <c r="G13" s="72">
        <f t="shared" si="0"/>
        <v>60.87</v>
      </c>
      <c r="H13" s="68">
        <v>42683</v>
      </c>
      <c r="I13" s="68">
        <v>42758</v>
      </c>
      <c r="J13" s="153">
        <v>4</v>
      </c>
      <c r="K13" s="1"/>
    </row>
    <row r="14" spans="1:13" ht="41.4" x14ac:dyDescent="0.3">
      <c r="A14" s="65">
        <v>13</v>
      </c>
      <c r="B14" s="125" t="s">
        <v>189</v>
      </c>
      <c r="C14" s="105" t="s">
        <v>190</v>
      </c>
      <c r="D14" s="107" t="s">
        <v>44</v>
      </c>
      <c r="E14" s="108">
        <f>65453.19/3.3382/1000</f>
        <v>19.607330297765262</v>
      </c>
      <c r="F14" s="108">
        <v>0</v>
      </c>
      <c r="G14" s="108">
        <f t="shared" si="0"/>
        <v>19.607330297765262</v>
      </c>
      <c r="H14" s="97" t="s">
        <v>260</v>
      </c>
      <c r="I14" s="97">
        <v>42558</v>
      </c>
      <c r="J14" s="156">
        <v>6</v>
      </c>
      <c r="K14" s="1"/>
    </row>
    <row r="15" spans="1:13" ht="41.4" x14ac:dyDescent="0.3">
      <c r="A15" s="65">
        <v>14</v>
      </c>
      <c r="B15" s="92" t="s">
        <v>249</v>
      </c>
      <c r="C15" s="87" t="s">
        <v>250</v>
      </c>
      <c r="D15" s="67" t="s">
        <v>57</v>
      </c>
      <c r="E15" s="72">
        <f>100-E14</f>
        <v>80.392669702234741</v>
      </c>
      <c r="F15" s="72">
        <v>0</v>
      </c>
      <c r="G15" s="72">
        <f t="shared" si="0"/>
        <v>80.392669702234741</v>
      </c>
      <c r="H15" s="68"/>
      <c r="I15" s="68"/>
      <c r="J15" s="153" t="s">
        <v>278</v>
      </c>
      <c r="K15" s="1"/>
    </row>
    <row r="16" spans="1:13" ht="55.2" x14ac:dyDescent="0.3">
      <c r="A16" s="65">
        <v>15</v>
      </c>
      <c r="B16" s="104" t="s">
        <v>239</v>
      </c>
      <c r="C16" s="105" t="s">
        <v>66</v>
      </c>
      <c r="D16" s="107" t="s">
        <v>39</v>
      </c>
      <c r="E16" s="108">
        <f>(6633884.61+983021.21+591206.19)/3.964/1000</f>
        <v>2070.6639783047426</v>
      </c>
      <c r="F16" s="108">
        <v>0</v>
      </c>
      <c r="G16" s="108">
        <f t="shared" si="0"/>
        <v>2070.6639783047426</v>
      </c>
      <c r="H16" s="97">
        <v>42194</v>
      </c>
      <c r="I16" s="97">
        <v>42277</v>
      </c>
      <c r="J16" s="156" t="s">
        <v>279</v>
      </c>
      <c r="K16" s="1"/>
    </row>
    <row r="17" spans="1:11" ht="41.4" x14ac:dyDescent="0.3">
      <c r="A17" s="65">
        <v>16</v>
      </c>
      <c r="B17" s="114" t="s">
        <v>191</v>
      </c>
      <c r="C17" s="115" t="s">
        <v>110</v>
      </c>
      <c r="D17" s="116" t="s">
        <v>39</v>
      </c>
      <c r="E17" s="117">
        <f>2268495.07/3.1358/1000</f>
        <v>723.41828879392813</v>
      </c>
      <c r="F17" s="117">
        <v>0</v>
      </c>
      <c r="G17" s="117">
        <f t="shared" si="0"/>
        <v>723.41828879392813</v>
      </c>
      <c r="H17" s="118">
        <v>42736</v>
      </c>
      <c r="I17" s="118">
        <v>42908</v>
      </c>
      <c r="J17" s="154">
        <v>6</v>
      </c>
      <c r="K17" s="44"/>
    </row>
    <row r="18" spans="1:11" x14ac:dyDescent="0.3">
      <c r="A18" s="65">
        <v>17</v>
      </c>
      <c r="B18" s="75" t="s">
        <v>192</v>
      </c>
      <c r="C18" s="87" t="s">
        <v>111</v>
      </c>
      <c r="D18" s="74" t="s">
        <v>73</v>
      </c>
      <c r="E18" s="72">
        <f>1355174.61/3.1358/1000</f>
        <v>432.16232221442692</v>
      </c>
      <c r="F18" s="72">
        <v>0</v>
      </c>
      <c r="G18" s="72">
        <f t="shared" si="0"/>
        <v>432.16232221442692</v>
      </c>
      <c r="H18" s="103">
        <v>42736</v>
      </c>
      <c r="I18" s="103">
        <v>42908</v>
      </c>
      <c r="J18" s="153">
        <v>8</v>
      </c>
      <c r="K18" s="44"/>
    </row>
    <row r="19" spans="1:11" x14ac:dyDescent="0.3">
      <c r="A19" s="65">
        <v>18</v>
      </c>
      <c r="B19" s="75" t="s">
        <v>193</v>
      </c>
      <c r="C19" s="99" t="s">
        <v>194</v>
      </c>
      <c r="D19" s="67" t="s">
        <v>39</v>
      </c>
      <c r="E19" s="72">
        <f>3000-E20-E21</f>
        <v>2000</v>
      </c>
      <c r="F19" s="72">
        <v>0</v>
      </c>
      <c r="G19" s="72">
        <f t="shared" si="0"/>
        <v>2000</v>
      </c>
      <c r="H19" s="68"/>
      <c r="I19" s="68"/>
      <c r="J19" s="153" t="s">
        <v>278</v>
      </c>
      <c r="K19" s="44"/>
    </row>
    <row r="20" spans="1:11" ht="27.6" x14ac:dyDescent="0.3">
      <c r="A20" s="65">
        <v>19</v>
      </c>
      <c r="B20" s="75" t="s">
        <v>253</v>
      </c>
      <c r="C20" s="88" t="s">
        <v>108</v>
      </c>
      <c r="D20" s="3" t="s">
        <v>39</v>
      </c>
      <c r="E20" s="72">
        <v>500</v>
      </c>
      <c r="F20" s="72">
        <v>0</v>
      </c>
      <c r="G20" s="72">
        <f t="shared" si="0"/>
        <v>500</v>
      </c>
      <c r="H20" s="43">
        <v>42799</v>
      </c>
      <c r="I20" s="68">
        <v>42965</v>
      </c>
      <c r="J20" s="153">
        <v>8</v>
      </c>
      <c r="K20" s="94"/>
    </row>
    <row r="21" spans="1:11" ht="27.6" x14ac:dyDescent="0.3">
      <c r="A21" s="65">
        <v>20</v>
      </c>
      <c r="B21" s="75" t="s">
        <v>254</v>
      </c>
      <c r="C21" s="88" t="s">
        <v>109</v>
      </c>
      <c r="D21" s="3" t="s">
        <v>39</v>
      </c>
      <c r="E21" s="72">
        <v>500</v>
      </c>
      <c r="F21" s="72">
        <v>0</v>
      </c>
      <c r="G21" s="72">
        <f t="shared" si="0"/>
        <v>500</v>
      </c>
      <c r="H21" s="43">
        <v>42799</v>
      </c>
      <c r="I21" s="68">
        <v>42965</v>
      </c>
      <c r="J21" s="153">
        <v>8</v>
      </c>
      <c r="K21" s="94"/>
    </row>
    <row r="22" spans="1:11" ht="27.6" x14ac:dyDescent="0.3">
      <c r="A22" s="65">
        <v>21</v>
      </c>
      <c r="B22" s="126" t="s">
        <v>195</v>
      </c>
      <c r="C22" s="105" t="s">
        <v>135</v>
      </c>
      <c r="D22" s="107" t="s">
        <v>74</v>
      </c>
      <c r="E22" s="108">
        <f>1695591.45/3.1358/1000</f>
        <v>540.72053383506602</v>
      </c>
      <c r="F22" s="108">
        <v>0</v>
      </c>
      <c r="G22" s="108">
        <f t="shared" si="0"/>
        <v>540.72053383506602</v>
      </c>
      <c r="H22" s="97">
        <v>42248</v>
      </c>
      <c r="I22" s="97">
        <v>42614</v>
      </c>
      <c r="J22" s="156">
        <v>12</v>
      </c>
    </row>
    <row r="23" spans="1:11" ht="41.4" x14ac:dyDescent="0.3">
      <c r="A23" s="65">
        <v>22</v>
      </c>
      <c r="B23" s="92" t="s">
        <v>198</v>
      </c>
      <c r="C23" s="89" t="s">
        <v>197</v>
      </c>
      <c r="D23" s="67" t="s">
        <v>74</v>
      </c>
      <c r="E23" s="72">
        <v>1459.068</v>
      </c>
      <c r="F23" s="72">
        <v>0</v>
      </c>
      <c r="G23" s="72">
        <f t="shared" si="0"/>
        <v>1459.068</v>
      </c>
      <c r="H23" s="68">
        <v>42740</v>
      </c>
      <c r="I23" s="68">
        <v>42950</v>
      </c>
      <c r="J23" s="153">
        <v>10</v>
      </c>
    </row>
    <row r="24" spans="1:11" ht="55.2" x14ac:dyDescent="0.3">
      <c r="A24" s="65">
        <v>23</v>
      </c>
      <c r="B24" s="125" t="s">
        <v>199</v>
      </c>
      <c r="C24" s="105" t="s">
        <v>257</v>
      </c>
      <c r="D24" s="107" t="s">
        <v>74</v>
      </c>
      <c r="E24" s="108">
        <f>1749600/3.1358/1000</f>
        <v>557.94374641239881</v>
      </c>
      <c r="F24" s="108">
        <v>0</v>
      </c>
      <c r="G24" s="108">
        <f t="shared" si="0"/>
        <v>557.94374641239881</v>
      </c>
      <c r="H24" s="97">
        <v>42186</v>
      </c>
      <c r="I24" s="97">
        <v>42647</v>
      </c>
      <c r="J24" s="156">
        <v>26</v>
      </c>
    </row>
    <row r="25" spans="1:11" ht="55.2" x14ac:dyDescent="0.3">
      <c r="A25" s="65">
        <v>24</v>
      </c>
      <c r="B25" s="125" t="s">
        <v>200</v>
      </c>
      <c r="C25" s="105" t="s">
        <v>71</v>
      </c>
      <c r="D25" s="107" t="s">
        <v>74</v>
      </c>
      <c r="E25" s="129">
        <f>601000/3.1358/1000</f>
        <v>191.65763122648127</v>
      </c>
      <c r="F25" s="108">
        <v>0</v>
      </c>
      <c r="G25" s="108">
        <f t="shared" si="0"/>
        <v>191.65763122648127</v>
      </c>
      <c r="H25" s="97">
        <v>42186</v>
      </c>
      <c r="I25" s="97">
        <v>42647</v>
      </c>
      <c r="J25" s="156">
        <v>12</v>
      </c>
    </row>
    <row r="26" spans="1:11" s="111" customFormat="1" ht="55.2" x14ac:dyDescent="0.3">
      <c r="A26" s="65">
        <v>25</v>
      </c>
      <c r="B26" s="130" t="s">
        <v>201</v>
      </c>
      <c r="C26" s="115" t="s">
        <v>258</v>
      </c>
      <c r="D26" s="119" t="s">
        <v>74</v>
      </c>
      <c r="E26" s="131">
        <f>788927.25/3.1358/1000</f>
        <v>251.58723451750748</v>
      </c>
      <c r="F26" s="117">
        <v>0</v>
      </c>
      <c r="G26" s="117">
        <f t="shared" si="0"/>
        <v>251.58723451750748</v>
      </c>
      <c r="H26" s="118">
        <v>42186</v>
      </c>
      <c r="I26" s="118">
        <v>42719</v>
      </c>
      <c r="J26" s="154">
        <v>22</v>
      </c>
    </row>
    <row r="27" spans="1:11" ht="41.4" x14ac:dyDescent="0.3">
      <c r="A27" s="65">
        <v>26</v>
      </c>
      <c r="B27" s="132" t="s">
        <v>202</v>
      </c>
      <c r="C27" s="133" t="s">
        <v>152</v>
      </c>
      <c r="D27" s="134" t="s">
        <v>57</v>
      </c>
      <c r="E27" s="135">
        <f>(382699.68+30000)/1000/3.1224</f>
        <v>132.1738662567256</v>
      </c>
      <c r="F27" s="136">
        <v>0</v>
      </c>
      <c r="G27" s="136">
        <f t="shared" si="0"/>
        <v>132.1738662567256</v>
      </c>
      <c r="H27" s="137">
        <v>41894</v>
      </c>
      <c r="I27" s="137">
        <v>42199</v>
      </c>
      <c r="J27" s="157" t="s">
        <v>279</v>
      </c>
    </row>
    <row r="28" spans="1:11" ht="41.4" x14ac:dyDescent="0.3">
      <c r="A28" s="65">
        <v>27</v>
      </c>
      <c r="B28" s="127" t="s">
        <v>115</v>
      </c>
      <c r="C28" s="115" t="s">
        <v>114</v>
      </c>
      <c r="D28" s="119" t="s">
        <v>74</v>
      </c>
      <c r="E28" s="117">
        <v>300</v>
      </c>
      <c r="F28" s="117">
        <v>0</v>
      </c>
      <c r="G28" s="117">
        <f t="shared" si="0"/>
        <v>300</v>
      </c>
      <c r="H28" s="118">
        <v>42451</v>
      </c>
      <c r="I28" s="118">
        <v>42705</v>
      </c>
      <c r="J28" s="154">
        <v>4</v>
      </c>
    </row>
    <row r="29" spans="1:11" ht="27.6" x14ac:dyDescent="0.3">
      <c r="A29" s="65">
        <v>28</v>
      </c>
      <c r="B29" s="92" t="s">
        <v>205</v>
      </c>
      <c r="C29" s="90" t="s">
        <v>206</v>
      </c>
      <c r="D29" s="74" t="s">
        <v>39</v>
      </c>
      <c r="E29" s="72">
        <v>2000</v>
      </c>
      <c r="F29" s="72">
        <v>0</v>
      </c>
      <c r="G29" s="72">
        <f t="shared" si="0"/>
        <v>2000</v>
      </c>
      <c r="H29" s="68">
        <v>42906</v>
      </c>
      <c r="I29" s="68">
        <v>43074</v>
      </c>
      <c r="J29" s="153">
        <v>8</v>
      </c>
    </row>
    <row r="30" spans="1:11" ht="41.4" x14ac:dyDescent="0.3">
      <c r="A30" s="65">
        <v>29</v>
      </c>
      <c r="B30" s="92" t="s">
        <v>207</v>
      </c>
      <c r="C30" s="90" t="s">
        <v>208</v>
      </c>
      <c r="D30" s="74" t="s">
        <v>39</v>
      </c>
      <c r="E30" s="72">
        <v>2000</v>
      </c>
      <c r="F30" s="72">
        <v>0</v>
      </c>
      <c r="G30" s="72">
        <f t="shared" si="0"/>
        <v>2000</v>
      </c>
      <c r="H30" s="68">
        <v>42906</v>
      </c>
      <c r="I30" s="68">
        <v>43074</v>
      </c>
      <c r="J30" s="153">
        <v>4</v>
      </c>
      <c r="K30" s="93"/>
    </row>
    <row r="31" spans="1:11" ht="27.6" x14ac:dyDescent="0.3">
      <c r="A31" s="65">
        <v>30</v>
      </c>
      <c r="B31" s="92" t="s">
        <v>209</v>
      </c>
      <c r="C31" s="89" t="s">
        <v>210</v>
      </c>
      <c r="D31" s="67" t="s">
        <v>74</v>
      </c>
      <c r="E31" s="72">
        <v>300</v>
      </c>
      <c r="F31" s="72">
        <v>0</v>
      </c>
      <c r="G31" s="72">
        <f t="shared" si="0"/>
        <v>300</v>
      </c>
      <c r="H31" s="68">
        <v>42906</v>
      </c>
      <c r="I31" s="68">
        <v>43116</v>
      </c>
      <c r="J31" s="153">
        <v>8</v>
      </c>
    </row>
    <row r="32" spans="1:11" ht="27.6" x14ac:dyDescent="0.3">
      <c r="A32" s="65">
        <v>31</v>
      </c>
      <c r="B32" s="138" t="s">
        <v>149</v>
      </c>
      <c r="C32" s="139" t="s">
        <v>148</v>
      </c>
      <c r="D32" s="134" t="s">
        <v>58</v>
      </c>
      <c r="E32" s="136">
        <f>137985.55/1000/3.812</f>
        <v>36.197678384050363</v>
      </c>
      <c r="F32" s="136">
        <v>0</v>
      </c>
      <c r="G32" s="136">
        <f t="shared" si="0"/>
        <v>36.197678384050363</v>
      </c>
      <c r="H32" s="137">
        <v>41845</v>
      </c>
      <c r="I32" s="137">
        <v>42311</v>
      </c>
      <c r="J32" s="157" t="s">
        <v>279</v>
      </c>
    </row>
    <row r="33" spans="1:11" ht="27.6" x14ac:dyDescent="0.3">
      <c r="A33" s="65">
        <v>32</v>
      </c>
      <c r="B33" s="92" t="s">
        <v>143</v>
      </c>
      <c r="C33" s="90" t="s">
        <v>165</v>
      </c>
      <c r="D33" s="67" t="s">
        <v>73</v>
      </c>
      <c r="E33" s="72">
        <v>250</v>
      </c>
      <c r="F33" s="72">
        <v>0</v>
      </c>
      <c r="G33" s="72">
        <f t="shared" si="0"/>
        <v>250</v>
      </c>
      <c r="H33" s="68">
        <v>42740</v>
      </c>
      <c r="I33" s="68">
        <v>42950</v>
      </c>
      <c r="J33" s="153">
        <v>6</v>
      </c>
      <c r="K33" s="93"/>
    </row>
    <row r="34" spans="1:11" ht="27.6" x14ac:dyDescent="0.3">
      <c r="A34" s="65">
        <v>33</v>
      </c>
      <c r="B34" s="79" t="s">
        <v>154</v>
      </c>
      <c r="C34" s="90" t="s">
        <v>212</v>
      </c>
      <c r="D34" s="67" t="s">
        <v>74</v>
      </c>
      <c r="E34" s="72">
        <v>250</v>
      </c>
      <c r="F34" s="72">
        <v>0</v>
      </c>
      <c r="G34" s="72">
        <f t="shared" ref="G34:G65" si="1">E34+F34</f>
        <v>250</v>
      </c>
      <c r="H34" s="68">
        <v>42740</v>
      </c>
      <c r="I34" s="68">
        <v>42950</v>
      </c>
      <c r="J34" s="153">
        <v>10</v>
      </c>
      <c r="K34" s="93"/>
    </row>
    <row r="35" spans="1:11" ht="27.6" x14ac:dyDescent="0.3">
      <c r="A35" s="65">
        <v>34</v>
      </c>
      <c r="B35" s="92" t="s">
        <v>213</v>
      </c>
      <c r="C35" s="90" t="s">
        <v>214</v>
      </c>
      <c r="D35" s="67" t="s">
        <v>74</v>
      </c>
      <c r="E35" s="72">
        <v>350</v>
      </c>
      <c r="F35" s="72">
        <v>0</v>
      </c>
      <c r="G35" s="72">
        <f t="shared" si="1"/>
        <v>350</v>
      </c>
      <c r="H35" s="68">
        <v>42771</v>
      </c>
      <c r="I35" s="68">
        <v>42979</v>
      </c>
      <c r="J35" s="153">
        <v>8</v>
      </c>
      <c r="K35" s="93"/>
    </row>
    <row r="36" spans="1:11" ht="27.6" x14ac:dyDescent="0.3">
      <c r="A36" s="65">
        <v>35</v>
      </c>
      <c r="B36" s="92" t="s">
        <v>215</v>
      </c>
      <c r="C36" s="90" t="s">
        <v>216</v>
      </c>
      <c r="D36" s="67" t="s">
        <v>74</v>
      </c>
      <c r="E36" s="72">
        <v>310.88</v>
      </c>
      <c r="F36" s="72">
        <v>0</v>
      </c>
      <c r="G36" s="72">
        <f t="shared" si="1"/>
        <v>310.88</v>
      </c>
      <c r="H36" s="68">
        <v>42799</v>
      </c>
      <c r="I36" s="68">
        <v>43007</v>
      </c>
      <c r="J36" s="153">
        <v>4</v>
      </c>
      <c r="K36" s="93"/>
    </row>
    <row r="37" spans="1:11" ht="27.6" x14ac:dyDescent="0.3">
      <c r="A37" s="65">
        <v>36</v>
      </c>
      <c r="B37" s="92" t="s">
        <v>217</v>
      </c>
      <c r="C37" s="90" t="s">
        <v>155</v>
      </c>
      <c r="D37" s="67" t="s">
        <v>74</v>
      </c>
      <c r="E37" s="72">
        <v>221.66</v>
      </c>
      <c r="F37" s="72">
        <v>0</v>
      </c>
      <c r="G37" s="72">
        <f t="shared" si="1"/>
        <v>221.66</v>
      </c>
      <c r="H37" s="68">
        <v>42663</v>
      </c>
      <c r="I37" s="68">
        <v>42885</v>
      </c>
      <c r="J37" s="153">
        <v>6</v>
      </c>
      <c r="K37" s="93"/>
    </row>
    <row r="38" spans="1:11" ht="27.6" x14ac:dyDescent="0.3">
      <c r="A38" s="65">
        <v>37</v>
      </c>
      <c r="B38" s="79" t="s">
        <v>218</v>
      </c>
      <c r="C38" s="99" t="s">
        <v>219</v>
      </c>
      <c r="D38" s="67" t="s">
        <v>73</v>
      </c>
      <c r="E38" s="72">
        <v>650</v>
      </c>
      <c r="F38" s="72">
        <v>0</v>
      </c>
      <c r="G38" s="72">
        <f t="shared" si="1"/>
        <v>650</v>
      </c>
      <c r="H38" s="68">
        <v>43095</v>
      </c>
      <c r="I38" s="96">
        <v>43263</v>
      </c>
      <c r="J38" s="153">
        <v>3</v>
      </c>
      <c r="K38" s="93"/>
    </row>
    <row r="39" spans="1:11" ht="27.6" x14ac:dyDescent="0.3">
      <c r="A39" s="65">
        <v>38</v>
      </c>
      <c r="B39" s="79" t="s">
        <v>220</v>
      </c>
      <c r="C39" s="99" t="s">
        <v>221</v>
      </c>
      <c r="D39" s="67" t="s">
        <v>73</v>
      </c>
      <c r="E39" s="72">
        <v>700</v>
      </c>
      <c r="F39" s="72">
        <v>0</v>
      </c>
      <c r="G39" s="72">
        <f t="shared" si="1"/>
        <v>700</v>
      </c>
      <c r="H39" s="68">
        <v>43095</v>
      </c>
      <c r="I39" s="96">
        <v>43263</v>
      </c>
      <c r="J39" s="153">
        <v>3</v>
      </c>
      <c r="K39" s="93"/>
    </row>
    <row r="40" spans="1:11" x14ac:dyDescent="0.3">
      <c r="A40" s="65">
        <v>39</v>
      </c>
      <c r="B40" s="79" t="s">
        <v>222</v>
      </c>
      <c r="C40" s="89" t="s">
        <v>223</v>
      </c>
      <c r="D40" s="67" t="s">
        <v>73</v>
      </c>
      <c r="E40" s="72">
        <v>50</v>
      </c>
      <c r="F40" s="72">
        <v>0</v>
      </c>
      <c r="G40" s="72">
        <f t="shared" si="1"/>
        <v>50</v>
      </c>
      <c r="H40" s="68">
        <v>42709</v>
      </c>
      <c r="I40" s="68">
        <v>42835</v>
      </c>
      <c r="J40" s="153">
        <v>12</v>
      </c>
    </row>
    <row r="41" spans="1:11" ht="82.8" x14ac:dyDescent="0.3">
      <c r="A41" s="65">
        <v>40</v>
      </c>
      <c r="B41" s="120" t="s">
        <v>136</v>
      </c>
      <c r="C41" s="121" t="s">
        <v>270</v>
      </c>
      <c r="D41" s="122" t="s">
        <v>37</v>
      </c>
      <c r="E41" s="123">
        <v>0</v>
      </c>
      <c r="F41" s="123">
        <f>444.067+444.067</f>
        <v>888.13400000000001</v>
      </c>
      <c r="G41" s="123">
        <f t="shared" si="1"/>
        <v>888.13400000000001</v>
      </c>
      <c r="H41" s="124" t="s">
        <v>259</v>
      </c>
      <c r="I41" s="124" t="s">
        <v>259</v>
      </c>
      <c r="J41" s="155" t="s">
        <v>279</v>
      </c>
    </row>
    <row r="42" spans="1:11" ht="41.4" x14ac:dyDescent="0.3">
      <c r="A42" s="65">
        <v>41</v>
      </c>
      <c r="B42" s="120" t="s">
        <v>137</v>
      </c>
      <c r="C42" s="121" t="s">
        <v>268</v>
      </c>
      <c r="D42" s="122" t="s">
        <v>37</v>
      </c>
      <c r="E42" s="123">
        <v>0</v>
      </c>
      <c r="F42" s="123">
        <v>6340.7389999999996</v>
      </c>
      <c r="G42" s="123">
        <f t="shared" si="1"/>
        <v>6340.7389999999996</v>
      </c>
      <c r="H42" s="124" t="s">
        <v>259</v>
      </c>
      <c r="I42" s="124" t="s">
        <v>259</v>
      </c>
      <c r="J42" s="155" t="s">
        <v>279</v>
      </c>
    </row>
    <row r="43" spans="1:11" ht="55.2" x14ac:dyDescent="0.3">
      <c r="A43" s="65">
        <v>42</v>
      </c>
      <c r="B43" s="120" t="s">
        <v>264</v>
      </c>
      <c r="C43" s="121" t="s">
        <v>267</v>
      </c>
      <c r="D43" s="122" t="s">
        <v>37</v>
      </c>
      <c r="E43" s="123">
        <v>0</v>
      </c>
      <c r="F43" s="123">
        <f>19804733.43/1000/2.3414</f>
        <v>8458.5006534551976</v>
      </c>
      <c r="G43" s="123">
        <f t="shared" si="1"/>
        <v>8458.5006534551976</v>
      </c>
      <c r="H43" s="124" t="s">
        <v>259</v>
      </c>
      <c r="I43" s="124" t="s">
        <v>259</v>
      </c>
      <c r="J43" s="155" t="s">
        <v>280</v>
      </c>
    </row>
    <row r="44" spans="1:11" ht="69" x14ac:dyDescent="0.3">
      <c r="A44" s="65">
        <v>43</v>
      </c>
      <c r="B44" s="120" t="s">
        <v>265</v>
      </c>
      <c r="C44" s="121" t="s">
        <v>272</v>
      </c>
      <c r="D44" s="122" t="s">
        <v>37</v>
      </c>
      <c r="E44" s="123">
        <v>0</v>
      </c>
      <c r="F44" s="123">
        <f>10011903.44/1000/2.398</f>
        <v>4175.105688073394</v>
      </c>
      <c r="G44" s="123">
        <f t="shared" si="1"/>
        <v>4175.105688073394</v>
      </c>
      <c r="H44" s="124" t="s">
        <v>259</v>
      </c>
      <c r="I44" s="124" t="s">
        <v>259</v>
      </c>
      <c r="J44" s="155" t="s">
        <v>280</v>
      </c>
    </row>
    <row r="45" spans="1:11" ht="55.2" x14ac:dyDescent="0.3">
      <c r="A45" s="65">
        <v>44</v>
      </c>
      <c r="B45" s="120" t="s">
        <v>266</v>
      </c>
      <c r="C45" s="121" t="s">
        <v>273</v>
      </c>
      <c r="D45" s="122" t="s">
        <v>37</v>
      </c>
      <c r="E45" s="123">
        <v>0</v>
      </c>
      <c r="F45" s="123">
        <f>11232192.79/1000/2.3602</f>
        <v>4759.0004194559779</v>
      </c>
      <c r="G45" s="123">
        <f t="shared" si="1"/>
        <v>4759.0004194559779</v>
      </c>
      <c r="H45" s="124" t="s">
        <v>259</v>
      </c>
      <c r="I45" s="124" t="s">
        <v>259</v>
      </c>
      <c r="J45" s="155" t="s">
        <v>280</v>
      </c>
    </row>
    <row r="46" spans="1:11" ht="55.2" x14ac:dyDescent="0.3">
      <c r="A46" s="65">
        <v>45</v>
      </c>
      <c r="B46" s="92" t="s">
        <v>166</v>
      </c>
      <c r="C46" s="90" t="s">
        <v>262</v>
      </c>
      <c r="D46" s="67" t="s">
        <v>74</v>
      </c>
      <c r="E46" s="72">
        <v>410</v>
      </c>
      <c r="F46" s="72">
        <v>0</v>
      </c>
      <c r="G46" s="72">
        <f t="shared" si="1"/>
        <v>410</v>
      </c>
      <c r="H46" s="68">
        <v>42678</v>
      </c>
      <c r="I46" s="68">
        <v>42885</v>
      </c>
      <c r="J46" s="153">
        <v>12</v>
      </c>
    </row>
    <row r="47" spans="1:11" ht="27.6" x14ac:dyDescent="0.3">
      <c r="A47" s="65">
        <v>46</v>
      </c>
      <c r="B47" s="138" t="s">
        <v>224</v>
      </c>
      <c r="C47" s="139" t="s">
        <v>150</v>
      </c>
      <c r="D47" s="134" t="s">
        <v>58</v>
      </c>
      <c r="E47" s="136">
        <f>136240/1000/3.5339</f>
        <v>38.552307648773315</v>
      </c>
      <c r="F47" s="136">
        <v>0</v>
      </c>
      <c r="G47" s="136">
        <f t="shared" si="1"/>
        <v>38.552307648773315</v>
      </c>
      <c r="H47" s="137">
        <v>41879</v>
      </c>
      <c r="I47" s="137">
        <v>42241</v>
      </c>
      <c r="J47" s="157" t="s">
        <v>279</v>
      </c>
    </row>
    <row r="48" spans="1:11" ht="27.6" x14ac:dyDescent="0.3">
      <c r="A48" s="65">
        <v>47</v>
      </c>
      <c r="B48" s="92" t="s">
        <v>225</v>
      </c>
      <c r="C48" s="145" t="s">
        <v>226</v>
      </c>
      <c r="D48" s="67" t="s">
        <v>74</v>
      </c>
      <c r="E48" s="72">
        <v>350.048</v>
      </c>
      <c r="F48" s="72">
        <v>0</v>
      </c>
      <c r="G48" s="72">
        <f t="shared" si="1"/>
        <v>350.048</v>
      </c>
      <c r="H48" s="68">
        <v>42740</v>
      </c>
      <c r="I48" s="68">
        <v>42950</v>
      </c>
      <c r="J48" s="153">
        <v>10</v>
      </c>
    </row>
    <row r="49" spans="1:12" ht="55.2" x14ac:dyDescent="0.3">
      <c r="A49" s="65">
        <v>48</v>
      </c>
      <c r="B49" s="92" t="s">
        <v>67</v>
      </c>
      <c r="C49" s="86" t="s">
        <v>124</v>
      </c>
      <c r="D49" s="67" t="s">
        <v>74</v>
      </c>
      <c r="E49" s="72">
        <v>400.18</v>
      </c>
      <c r="F49" s="72">
        <v>0</v>
      </c>
      <c r="G49" s="72">
        <f t="shared" si="1"/>
        <v>400.18</v>
      </c>
      <c r="H49" s="68">
        <v>42740</v>
      </c>
      <c r="I49" s="68">
        <v>42950</v>
      </c>
      <c r="J49" s="153">
        <v>6</v>
      </c>
      <c r="L49" s="110"/>
    </row>
    <row r="50" spans="1:12" ht="41.4" x14ac:dyDescent="0.3">
      <c r="A50" s="65">
        <v>49</v>
      </c>
      <c r="B50" s="92" t="s">
        <v>227</v>
      </c>
      <c r="C50" s="86" t="s">
        <v>228</v>
      </c>
      <c r="D50" s="67" t="s">
        <v>57</v>
      </c>
      <c r="E50" s="72">
        <v>200</v>
      </c>
      <c r="F50" s="72">
        <v>0</v>
      </c>
      <c r="G50" s="72">
        <f t="shared" si="1"/>
        <v>200</v>
      </c>
      <c r="H50" s="96">
        <v>43202</v>
      </c>
      <c r="I50" s="96">
        <v>43412</v>
      </c>
      <c r="J50" s="153">
        <v>5</v>
      </c>
    </row>
    <row r="51" spans="1:12" ht="27.6" x14ac:dyDescent="0.3">
      <c r="A51" s="65">
        <v>50</v>
      </c>
      <c r="B51" s="92" t="s">
        <v>229</v>
      </c>
      <c r="C51" s="86" t="s">
        <v>230</v>
      </c>
      <c r="D51" s="67" t="s">
        <v>74</v>
      </c>
      <c r="E51" s="72">
        <v>300</v>
      </c>
      <c r="F51" s="72">
        <v>0</v>
      </c>
      <c r="G51" s="72">
        <f t="shared" si="1"/>
        <v>300</v>
      </c>
      <c r="H51" s="68">
        <v>42740</v>
      </c>
      <c r="I51" s="68">
        <v>42950</v>
      </c>
      <c r="J51" s="153">
        <v>6</v>
      </c>
    </row>
    <row r="52" spans="1:12" ht="27.6" x14ac:dyDescent="0.3">
      <c r="A52" s="65">
        <v>51</v>
      </c>
      <c r="B52" s="79" t="s">
        <v>151</v>
      </c>
      <c r="C52" s="86" t="s">
        <v>123</v>
      </c>
      <c r="D52" s="67" t="s">
        <v>74</v>
      </c>
      <c r="E52" s="72">
        <v>450</v>
      </c>
      <c r="F52" s="72">
        <v>0</v>
      </c>
      <c r="G52" s="72">
        <f t="shared" si="1"/>
        <v>450</v>
      </c>
      <c r="H52" s="68">
        <v>42678</v>
      </c>
      <c r="I52" s="68">
        <v>42885</v>
      </c>
      <c r="J52" s="153">
        <v>6</v>
      </c>
    </row>
    <row r="53" spans="1:12" ht="41.4" x14ac:dyDescent="0.3">
      <c r="A53" s="65">
        <v>52</v>
      </c>
      <c r="B53" s="92" t="s">
        <v>231</v>
      </c>
      <c r="C53" s="86" t="s">
        <v>233</v>
      </c>
      <c r="D53" s="67" t="s">
        <v>74</v>
      </c>
      <c r="E53" s="72">
        <v>347.81900000000002</v>
      </c>
      <c r="F53" s="72">
        <v>0</v>
      </c>
      <c r="G53" s="72">
        <f t="shared" si="1"/>
        <v>347.81900000000002</v>
      </c>
      <c r="H53" s="96">
        <v>43202</v>
      </c>
      <c r="I53" s="96">
        <v>43412</v>
      </c>
      <c r="J53" s="153">
        <v>4</v>
      </c>
    </row>
    <row r="54" spans="1:12" ht="27.6" x14ac:dyDescent="0.3">
      <c r="A54" s="65">
        <v>53</v>
      </c>
      <c r="B54" s="141" t="s">
        <v>232</v>
      </c>
      <c r="C54" s="142" t="s">
        <v>234</v>
      </c>
      <c r="D54" s="98" t="s">
        <v>74</v>
      </c>
      <c r="E54" s="143">
        <v>347.81900000000002</v>
      </c>
      <c r="F54" s="143">
        <v>0</v>
      </c>
      <c r="G54" s="143">
        <f t="shared" si="1"/>
        <v>347.81900000000002</v>
      </c>
      <c r="H54" s="103">
        <v>43136</v>
      </c>
      <c r="I54" s="144">
        <f>H54+180</f>
        <v>43316</v>
      </c>
      <c r="J54" s="153">
        <v>6</v>
      </c>
      <c r="K54" s="93"/>
    </row>
    <row r="55" spans="1:12" ht="41.4" x14ac:dyDescent="0.3">
      <c r="A55" s="65">
        <v>54</v>
      </c>
      <c r="B55" s="126" t="s">
        <v>145</v>
      </c>
      <c r="C55" s="128" t="s">
        <v>76</v>
      </c>
      <c r="D55" s="107" t="s">
        <v>74</v>
      </c>
      <c r="E55" s="108">
        <v>247</v>
      </c>
      <c r="F55" s="108">
        <v>0</v>
      </c>
      <c r="G55" s="108">
        <f t="shared" si="1"/>
        <v>247</v>
      </c>
      <c r="H55" s="97">
        <v>42186</v>
      </c>
      <c r="I55" s="97">
        <v>42662</v>
      </c>
      <c r="J55" s="156">
        <v>8</v>
      </c>
      <c r="K55" s="93"/>
    </row>
    <row r="56" spans="1:12" ht="69" x14ac:dyDescent="0.3">
      <c r="A56" s="65">
        <v>55</v>
      </c>
      <c r="B56" s="92" t="s">
        <v>235</v>
      </c>
      <c r="C56" s="86" t="s">
        <v>261</v>
      </c>
      <c r="D56" s="67" t="s">
        <v>74</v>
      </c>
      <c r="E56" s="72">
        <v>400</v>
      </c>
      <c r="F56" s="72">
        <v>0</v>
      </c>
      <c r="G56" s="72">
        <f t="shared" si="1"/>
        <v>400</v>
      </c>
      <c r="H56" s="68">
        <v>42740</v>
      </c>
      <c r="I56" s="68">
        <v>42950</v>
      </c>
      <c r="J56" s="153">
        <v>8</v>
      </c>
      <c r="K56" s="94"/>
    </row>
    <row r="57" spans="1:12" ht="27.6" x14ac:dyDescent="0.3">
      <c r="A57" s="65">
        <v>56</v>
      </c>
      <c r="B57" s="126" t="s">
        <v>236</v>
      </c>
      <c r="C57" s="128" t="s">
        <v>68</v>
      </c>
      <c r="D57" s="107" t="s">
        <v>74</v>
      </c>
      <c r="E57" s="108">
        <f>1441939.34 /3.1358/1000</f>
        <v>459.83141144205626</v>
      </c>
      <c r="F57" s="108">
        <v>0</v>
      </c>
      <c r="G57" s="108">
        <f t="shared" si="1"/>
        <v>459.83141144205626</v>
      </c>
      <c r="H57" s="97">
        <v>42186</v>
      </c>
      <c r="I57" s="97">
        <v>42662</v>
      </c>
      <c r="J57" s="156">
        <v>14</v>
      </c>
    </row>
    <row r="58" spans="1:12" ht="55.2" x14ac:dyDescent="0.3">
      <c r="A58" s="65">
        <v>57</v>
      </c>
      <c r="B58" s="79" t="s">
        <v>144</v>
      </c>
      <c r="C58" s="86" t="s">
        <v>255</v>
      </c>
      <c r="D58" s="67" t="s">
        <v>57</v>
      </c>
      <c r="E58" s="72">
        <v>102.333</v>
      </c>
      <c r="F58" s="72">
        <v>0</v>
      </c>
      <c r="G58" s="72">
        <f t="shared" si="1"/>
        <v>102.333</v>
      </c>
      <c r="H58" s="68">
        <v>42709</v>
      </c>
      <c r="I58" s="68">
        <v>42919</v>
      </c>
      <c r="J58" s="153">
        <v>6</v>
      </c>
    </row>
    <row r="59" spans="1:12" ht="41.4" x14ac:dyDescent="0.3">
      <c r="A59" s="65">
        <v>58</v>
      </c>
      <c r="B59" s="104" t="s">
        <v>237</v>
      </c>
      <c r="C59" s="105" t="s">
        <v>113</v>
      </c>
      <c r="D59" s="106" t="s">
        <v>39</v>
      </c>
      <c r="E59" s="108">
        <f>5984822.67/3.1358/1000</f>
        <v>1908.5473148797753</v>
      </c>
      <c r="F59" s="108">
        <v>0</v>
      </c>
      <c r="G59" s="108">
        <f t="shared" si="1"/>
        <v>1908.5473148797753</v>
      </c>
      <c r="H59" s="97">
        <v>42471</v>
      </c>
      <c r="I59" s="97">
        <v>42647</v>
      </c>
      <c r="J59" s="156">
        <v>10</v>
      </c>
      <c r="K59" s="93"/>
    </row>
    <row r="60" spans="1:12" ht="27.6" x14ac:dyDescent="0.3">
      <c r="A60" s="65">
        <v>59</v>
      </c>
      <c r="B60" s="127" t="s">
        <v>146</v>
      </c>
      <c r="C60" s="140" t="s">
        <v>69</v>
      </c>
      <c r="D60" s="119" t="s">
        <v>74</v>
      </c>
      <c r="E60" s="117">
        <f>((343011.03)+(111648.73 *3.5014))/3.1358/1000</f>
        <v>234.05124472925567</v>
      </c>
      <c r="F60" s="117">
        <v>0</v>
      </c>
      <c r="G60" s="117">
        <f t="shared" si="1"/>
        <v>234.05124472925567</v>
      </c>
      <c r="H60" s="118">
        <v>42186</v>
      </c>
      <c r="I60" s="118">
        <v>42705</v>
      </c>
      <c r="J60" s="154">
        <v>10</v>
      </c>
    </row>
    <row r="61" spans="1:12" ht="41.4" x14ac:dyDescent="0.3">
      <c r="A61" s="65">
        <v>60</v>
      </c>
      <c r="B61" s="79" t="s">
        <v>240</v>
      </c>
      <c r="C61" s="86" t="s">
        <v>241</v>
      </c>
      <c r="D61" s="67" t="s">
        <v>57</v>
      </c>
      <c r="E61" s="72">
        <v>150</v>
      </c>
      <c r="F61" s="72">
        <v>0</v>
      </c>
      <c r="G61" s="72">
        <f t="shared" si="1"/>
        <v>150</v>
      </c>
      <c r="H61" s="96">
        <v>43255</v>
      </c>
      <c r="I61" s="96">
        <v>43465</v>
      </c>
      <c r="J61" s="153">
        <v>5</v>
      </c>
    </row>
    <row r="62" spans="1:12" ht="41.4" x14ac:dyDescent="0.3">
      <c r="A62" s="65">
        <v>61</v>
      </c>
      <c r="B62" s="79" t="s">
        <v>242</v>
      </c>
      <c r="C62" s="86" t="s">
        <v>243</v>
      </c>
      <c r="D62" s="67" t="s">
        <v>57</v>
      </c>
      <c r="E62" s="72">
        <v>200</v>
      </c>
      <c r="F62" s="72">
        <v>0</v>
      </c>
      <c r="G62" s="72">
        <f t="shared" si="1"/>
        <v>200</v>
      </c>
      <c r="H62" s="68">
        <v>42799</v>
      </c>
      <c r="I62" s="68">
        <v>43007</v>
      </c>
      <c r="J62" s="153">
        <v>5</v>
      </c>
    </row>
    <row r="63" spans="1:12" ht="55.2" x14ac:dyDescent="0.3">
      <c r="A63" s="65">
        <v>62</v>
      </c>
      <c r="B63" s="126" t="s">
        <v>244</v>
      </c>
      <c r="C63" s="128" t="s">
        <v>147</v>
      </c>
      <c r="D63" s="107" t="s">
        <v>88</v>
      </c>
      <c r="E63" s="108">
        <f>14401167/1000/2.26</f>
        <v>6372.1977876106203</v>
      </c>
      <c r="F63" s="108">
        <v>0</v>
      </c>
      <c r="G63" s="108">
        <f t="shared" si="1"/>
        <v>6372.1977876106203</v>
      </c>
      <c r="H63" s="97">
        <v>41430</v>
      </c>
      <c r="I63" s="97">
        <v>41852</v>
      </c>
      <c r="J63" s="156">
        <v>53</v>
      </c>
    </row>
    <row r="64" spans="1:12" ht="27.6" x14ac:dyDescent="0.3">
      <c r="A64" s="65">
        <v>63</v>
      </c>
      <c r="B64" s="127" t="s">
        <v>245</v>
      </c>
      <c r="C64" s="140" t="s">
        <v>72</v>
      </c>
      <c r="D64" s="119" t="s">
        <v>74</v>
      </c>
      <c r="E64" s="117">
        <f>1356000/3.1358/1000</f>
        <v>432.42553734294279</v>
      </c>
      <c r="F64" s="117">
        <v>0</v>
      </c>
      <c r="G64" s="117">
        <f t="shared" si="1"/>
        <v>432.42553734294279</v>
      </c>
      <c r="H64" s="118">
        <v>42186</v>
      </c>
      <c r="I64" s="118">
        <v>42719</v>
      </c>
      <c r="J64" s="154">
        <v>10</v>
      </c>
    </row>
    <row r="65" spans="1:11" ht="27.6" x14ac:dyDescent="0.3">
      <c r="A65" s="65">
        <v>64</v>
      </c>
      <c r="B65" s="79" t="s">
        <v>246</v>
      </c>
      <c r="C65" s="86" t="s">
        <v>164</v>
      </c>
      <c r="D65" s="67" t="s">
        <v>58</v>
      </c>
      <c r="E65" s="72">
        <v>20</v>
      </c>
      <c r="F65" s="72">
        <v>0</v>
      </c>
      <c r="G65" s="72">
        <f t="shared" si="1"/>
        <v>20</v>
      </c>
      <c r="H65" s="68">
        <v>42683</v>
      </c>
      <c r="I65" s="68">
        <v>43158</v>
      </c>
      <c r="J65" s="153">
        <v>3</v>
      </c>
      <c r="K65" s="94"/>
    </row>
    <row r="66" spans="1:11" ht="41.4" x14ac:dyDescent="0.3">
      <c r="A66" s="65">
        <v>65</v>
      </c>
      <c r="B66" s="95" t="s">
        <v>247</v>
      </c>
      <c r="C66" s="86" t="s">
        <v>248</v>
      </c>
      <c r="D66" s="67" t="s">
        <v>57</v>
      </c>
      <c r="E66" s="72">
        <v>99.94</v>
      </c>
      <c r="F66" s="72">
        <v>0</v>
      </c>
      <c r="G66" s="72">
        <f t="shared" ref="G66" si="2">E66+F66</f>
        <v>99.94</v>
      </c>
      <c r="H66" s="96">
        <v>43578</v>
      </c>
      <c r="I66" s="96">
        <v>43788</v>
      </c>
      <c r="J66" s="153">
        <v>3</v>
      </c>
    </row>
    <row r="67" spans="1:11" x14ac:dyDescent="0.3">
      <c r="E67" s="152">
        <f>SUM(E2:E66)</f>
        <v>40152.354088586311</v>
      </c>
      <c r="F67" s="152">
        <f>SUM(F2:F66)</f>
        <v>24621.479760984566</v>
      </c>
      <c r="G67" s="152">
        <f>SUM(G2:G66)</f>
        <v>64773.833849570903</v>
      </c>
    </row>
  </sheetData>
  <autoFilter ref="B1:J1">
    <sortState ref="B2:J64">
      <sortCondition ref="B1"/>
    </sortState>
  </autoFilter>
  <dataValidations count="2">
    <dataValidation type="list" allowBlank="1" showInputMessage="1" showErrorMessage="1" sqref="D60:D66 D2:D44 D46:D55">
      <formula1>#REF!</formula1>
    </dataValidation>
    <dataValidation type="list" allowBlank="1" showInputMessage="1" showErrorMessage="1" sqref="D45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7" fitToHeight="5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73"/>
  <sheetViews>
    <sheetView view="pageBreakPreview" zoomScale="75" zoomScaleNormal="50" zoomScaleSheetLayoutView="75" zoomScalePageLayoutView="25" workbookViewId="0">
      <selection activeCell="B3" sqref="B3"/>
    </sheetView>
  </sheetViews>
  <sheetFormatPr defaultColWidth="15.6640625" defaultRowHeight="43.5" customHeight="1" x14ac:dyDescent="0.3"/>
  <cols>
    <col min="1" max="1" width="13.5546875" style="58" customWidth="1"/>
    <col min="2" max="2" width="91.33203125" style="58" customWidth="1"/>
    <col min="3" max="3" width="45.88671875" style="58" customWidth="1"/>
    <col min="4" max="4" width="18.88671875" style="59" customWidth="1"/>
    <col min="5" max="5" width="21.6640625" style="59" customWidth="1"/>
    <col min="6" max="6" width="17.6640625" style="58" customWidth="1"/>
    <col min="7" max="12" width="15.6640625" style="58" customWidth="1"/>
    <col min="13" max="41" width="15.6640625" style="58"/>
    <col min="42" max="42" width="18.88671875" style="162" customWidth="1"/>
    <col min="43" max="43" width="16.109375" style="163" customWidth="1"/>
    <col min="44" max="44" width="15.109375" style="162" customWidth="1"/>
    <col min="45" max="45" width="122.33203125" style="58" customWidth="1"/>
    <col min="46" max="16384" width="15.6640625" style="58"/>
  </cols>
  <sheetData>
    <row r="1" spans="1:45" ht="18.75" customHeight="1" x14ac:dyDescent="0.3">
      <c r="A1" s="303" t="s">
        <v>77</v>
      </c>
      <c r="B1" s="303"/>
    </row>
    <row r="2" spans="1:45" ht="18.75" customHeight="1" x14ac:dyDescent="0.3">
      <c r="A2" s="186" t="s">
        <v>78</v>
      </c>
      <c r="B2" s="64"/>
    </row>
    <row r="3" spans="1:45" ht="10.5" customHeight="1" x14ac:dyDescent="0.3">
      <c r="A3" s="185"/>
      <c r="B3" s="64"/>
    </row>
    <row r="4" spans="1:45" ht="18.75" customHeight="1" x14ac:dyDescent="0.3">
      <c r="A4" s="186" t="s">
        <v>395</v>
      </c>
      <c r="B4" s="64"/>
    </row>
    <row r="5" spans="1:45" ht="10.5" customHeight="1" x14ac:dyDescent="0.3">
      <c r="A5" s="52"/>
      <c r="B5" s="64"/>
    </row>
    <row r="6" spans="1:45" ht="15.75" customHeight="1" x14ac:dyDescent="0.3">
      <c r="A6" s="51" t="s">
        <v>403</v>
      </c>
      <c r="B6" s="64"/>
    </row>
    <row r="7" spans="1:45" ht="15.75" customHeight="1" x14ac:dyDescent="0.3">
      <c r="A7" s="51" t="s">
        <v>401</v>
      </c>
      <c r="B7" s="64"/>
    </row>
    <row r="8" spans="1:45" ht="15.75" customHeight="1" x14ac:dyDescent="0.3">
      <c r="A8" s="51" t="s">
        <v>378</v>
      </c>
      <c r="B8" s="64"/>
      <c r="C8" s="57"/>
      <c r="D8" s="57"/>
    </row>
    <row r="9" spans="1:45" ht="10.5" customHeight="1" thickBot="1" x14ac:dyDescent="0.35">
      <c r="A9" s="304"/>
      <c r="B9" s="304"/>
      <c r="C9" s="304"/>
      <c r="D9" s="304"/>
      <c r="E9" s="304"/>
      <c r="F9" s="304"/>
    </row>
    <row r="10" spans="1:45" s="60" customFormat="1" ht="30.75" customHeight="1" x14ac:dyDescent="0.3">
      <c r="A10" s="305" t="s">
        <v>335</v>
      </c>
      <c r="B10" s="312" t="s">
        <v>380</v>
      </c>
      <c r="C10" s="312" t="s">
        <v>381</v>
      </c>
      <c r="D10" s="310" t="s">
        <v>138</v>
      </c>
      <c r="E10" s="314" t="s">
        <v>139</v>
      </c>
      <c r="F10" s="310" t="s">
        <v>379</v>
      </c>
      <c r="G10" s="319" t="s">
        <v>93</v>
      </c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20" t="s">
        <v>93</v>
      </c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  <c r="AE10" s="321"/>
      <c r="AF10" s="322"/>
      <c r="AG10" s="320" t="s">
        <v>93</v>
      </c>
      <c r="AH10" s="321"/>
      <c r="AI10" s="321"/>
      <c r="AJ10" s="321"/>
      <c r="AK10" s="321"/>
      <c r="AL10" s="321"/>
      <c r="AM10" s="321"/>
      <c r="AN10" s="321"/>
      <c r="AO10" s="323"/>
      <c r="AP10" s="316" t="s">
        <v>287</v>
      </c>
      <c r="AQ10" s="317" t="s">
        <v>275</v>
      </c>
      <c r="AR10" s="317" t="s">
        <v>276</v>
      </c>
      <c r="AS10" s="318" t="s">
        <v>289</v>
      </c>
    </row>
    <row r="11" spans="1:45" s="60" customFormat="1" ht="30.75" customHeight="1" thickBot="1" x14ac:dyDescent="0.35">
      <c r="A11" s="306"/>
      <c r="B11" s="313"/>
      <c r="C11" s="313"/>
      <c r="D11" s="311"/>
      <c r="E11" s="315"/>
      <c r="F11" s="311"/>
      <c r="G11" s="215">
        <v>42736</v>
      </c>
      <c r="H11" s="215">
        <v>42767</v>
      </c>
      <c r="I11" s="215">
        <v>42795</v>
      </c>
      <c r="J11" s="215">
        <v>42826</v>
      </c>
      <c r="K11" s="215">
        <v>42856</v>
      </c>
      <c r="L11" s="215">
        <v>42887</v>
      </c>
      <c r="M11" s="215">
        <v>42917</v>
      </c>
      <c r="N11" s="215">
        <v>42948</v>
      </c>
      <c r="O11" s="215">
        <v>42979</v>
      </c>
      <c r="P11" s="215">
        <v>43009</v>
      </c>
      <c r="Q11" s="215">
        <v>43040</v>
      </c>
      <c r="R11" s="215">
        <v>43070</v>
      </c>
      <c r="S11" s="217" t="s">
        <v>274</v>
      </c>
      <c r="T11" s="215">
        <v>43101</v>
      </c>
      <c r="U11" s="215">
        <v>43132</v>
      </c>
      <c r="V11" s="215">
        <v>43160</v>
      </c>
      <c r="W11" s="215">
        <v>43191</v>
      </c>
      <c r="X11" s="215">
        <v>43221</v>
      </c>
      <c r="Y11" s="215">
        <v>43252</v>
      </c>
      <c r="Z11" s="215">
        <v>43282</v>
      </c>
      <c r="AA11" s="215">
        <v>43313</v>
      </c>
      <c r="AB11" s="215">
        <v>43344</v>
      </c>
      <c r="AC11" s="215">
        <v>43374</v>
      </c>
      <c r="AD11" s="215">
        <v>43405</v>
      </c>
      <c r="AE11" s="215">
        <v>43435</v>
      </c>
      <c r="AF11" s="217" t="s">
        <v>284</v>
      </c>
      <c r="AG11" s="215">
        <v>43466</v>
      </c>
      <c r="AH11" s="215">
        <v>43497</v>
      </c>
      <c r="AI11" s="215">
        <v>43525</v>
      </c>
      <c r="AJ11" s="215">
        <v>43556</v>
      </c>
      <c r="AK11" s="215">
        <v>43586</v>
      </c>
      <c r="AL11" s="215">
        <v>43617</v>
      </c>
      <c r="AM11" s="215">
        <v>43647</v>
      </c>
      <c r="AN11" s="217" t="s">
        <v>382</v>
      </c>
      <c r="AO11" s="216" t="s">
        <v>283</v>
      </c>
      <c r="AP11" s="316"/>
      <c r="AQ11" s="317"/>
      <c r="AR11" s="317"/>
      <c r="AS11" s="318"/>
    </row>
    <row r="12" spans="1:45" s="60" customFormat="1" ht="50.1" customHeight="1" x14ac:dyDescent="0.3">
      <c r="A12" s="188" t="s">
        <v>95</v>
      </c>
      <c r="B12" s="189" t="s">
        <v>61</v>
      </c>
      <c r="C12" s="189"/>
      <c r="D12" s="190">
        <f t="shared" ref="D12:AO12" si="0">SUM(D13:D33)</f>
        <v>15867.650611008354</v>
      </c>
      <c r="E12" s="191">
        <f t="shared" si="0"/>
        <v>0</v>
      </c>
      <c r="F12" s="191">
        <f t="shared" si="0"/>
        <v>15867.650611008354</v>
      </c>
      <c r="G12" s="191">
        <f t="shared" si="0"/>
        <v>99.403272727272736</v>
      </c>
      <c r="H12" s="191">
        <f t="shared" si="0"/>
        <v>153.19702272727275</v>
      </c>
      <c r="I12" s="191">
        <f t="shared" si="0"/>
        <v>159.00002272727272</v>
      </c>
      <c r="J12" s="191">
        <f t="shared" si="0"/>
        <v>152.2666893939394</v>
      </c>
      <c r="K12" s="191">
        <f t="shared" si="0"/>
        <v>152.2666893939394</v>
      </c>
      <c r="L12" s="191">
        <f t="shared" si="0"/>
        <v>152.2666893939394</v>
      </c>
      <c r="M12" s="191">
        <f t="shared" si="0"/>
        <v>152.2666893939394</v>
      </c>
      <c r="N12" s="191">
        <f t="shared" si="0"/>
        <v>312.17835606060606</v>
      </c>
      <c r="O12" s="191">
        <f t="shared" si="0"/>
        <v>328.84502272727275</v>
      </c>
      <c r="P12" s="191">
        <f t="shared" si="0"/>
        <v>329.07156300407604</v>
      </c>
      <c r="Q12" s="191">
        <f t="shared" si="0"/>
        <v>449.64127780306404</v>
      </c>
      <c r="R12" s="191">
        <f t="shared" si="0"/>
        <v>587.07127780306405</v>
      </c>
      <c r="S12" s="192">
        <f t="shared" si="0"/>
        <v>3027.4745731556586</v>
      </c>
      <c r="T12" s="191">
        <f t="shared" si="0"/>
        <v>636.72994446973075</v>
      </c>
      <c r="U12" s="191">
        <f t="shared" si="0"/>
        <v>554.86827780306419</v>
      </c>
      <c r="V12" s="191">
        <f t="shared" si="0"/>
        <v>554.86827780306419</v>
      </c>
      <c r="W12" s="191">
        <f t="shared" si="0"/>
        <v>554.86827780306419</v>
      </c>
      <c r="X12" s="191">
        <f t="shared" si="0"/>
        <v>363.04856300407602</v>
      </c>
      <c r="Y12" s="191">
        <f t="shared" si="0"/>
        <v>307.22827272727267</v>
      </c>
      <c r="Z12" s="191">
        <f t="shared" si="0"/>
        <v>307.22827272727267</v>
      </c>
      <c r="AA12" s="191">
        <f t="shared" si="0"/>
        <v>865.22993939393928</v>
      </c>
      <c r="AB12" s="191">
        <f t="shared" si="0"/>
        <v>865.22993939393928</v>
      </c>
      <c r="AC12" s="191">
        <f t="shared" si="0"/>
        <v>767.8299393939393</v>
      </c>
      <c r="AD12" s="191">
        <f t="shared" si="0"/>
        <v>755.98766666666654</v>
      </c>
      <c r="AE12" s="191">
        <f t="shared" si="0"/>
        <v>724.73766666666654</v>
      </c>
      <c r="AF12" s="192">
        <f t="shared" si="0"/>
        <v>7257.855037852697</v>
      </c>
      <c r="AG12" s="191">
        <f t="shared" ref="AG12:AM12" si="1">SUM(AG13:AG33)</f>
        <v>603.00166666666655</v>
      </c>
      <c r="AH12" s="191">
        <f t="shared" si="1"/>
        <v>520.7349999999999</v>
      </c>
      <c r="AI12" s="191">
        <f t="shared" si="1"/>
        <v>520.7349999999999</v>
      </c>
      <c r="AJ12" s="191">
        <f t="shared" si="1"/>
        <v>475.73499999999996</v>
      </c>
      <c r="AK12" s="191">
        <f t="shared" si="1"/>
        <v>475.73499999999996</v>
      </c>
      <c r="AL12" s="191">
        <f t="shared" si="1"/>
        <v>475.73499999999996</v>
      </c>
      <c r="AM12" s="191">
        <f t="shared" si="1"/>
        <v>475.73499999999996</v>
      </c>
      <c r="AN12" s="192">
        <f t="shared" ref="AN12" si="2">SUM(AN13:AN33)</f>
        <v>3547.4116666666669</v>
      </c>
      <c r="AO12" s="193">
        <f t="shared" si="0"/>
        <v>13832.741277675023</v>
      </c>
      <c r="AP12" s="218">
        <f>SUM(AP13:AP33)</f>
        <v>2034.9093333333335</v>
      </c>
    </row>
    <row r="13" spans="1:45" ht="30" customHeight="1" x14ac:dyDescent="0.3">
      <c r="A13" s="194" t="s">
        <v>342</v>
      </c>
      <c r="B13" s="195" t="s">
        <v>153</v>
      </c>
      <c r="C13" s="3" t="s">
        <v>74</v>
      </c>
      <c r="D13" s="78">
        <v>468</v>
      </c>
      <c r="E13" s="78">
        <v>0</v>
      </c>
      <c r="F13" s="78">
        <f t="shared" ref="F13:F33" si="3">D13+E13</f>
        <v>468</v>
      </c>
      <c r="G13" s="196"/>
      <c r="H13" s="196"/>
      <c r="I13" s="196"/>
      <c r="J13" s="196"/>
      <c r="K13" s="196"/>
      <c r="L13" s="196"/>
      <c r="M13" s="196"/>
      <c r="N13" s="197">
        <f t="shared" ref="N13:R14" si="4">$AR13</f>
        <v>46.8</v>
      </c>
      <c r="O13" s="197">
        <f t="shared" si="4"/>
        <v>46.8</v>
      </c>
      <c r="P13" s="197">
        <f t="shared" si="4"/>
        <v>46.8</v>
      </c>
      <c r="Q13" s="197">
        <f t="shared" si="4"/>
        <v>46.8</v>
      </c>
      <c r="R13" s="197">
        <f t="shared" si="4"/>
        <v>46.8</v>
      </c>
      <c r="S13" s="198">
        <f>SUM(G13:R13)</f>
        <v>234</v>
      </c>
      <c r="T13" s="197">
        <f t="shared" ref="T13:AI17" si="5">$AR13</f>
        <v>46.8</v>
      </c>
      <c r="U13" s="197">
        <f t="shared" si="5"/>
        <v>46.8</v>
      </c>
      <c r="V13" s="197">
        <f t="shared" si="5"/>
        <v>46.8</v>
      </c>
      <c r="W13" s="197">
        <f t="shared" si="5"/>
        <v>46.8</v>
      </c>
      <c r="X13" s="197">
        <f t="shared" si="5"/>
        <v>46.8</v>
      </c>
      <c r="Y13" s="78"/>
      <c r="Z13" s="78"/>
      <c r="AA13" s="78"/>
      <c r="AB13" s="78"/>
      <c r="AC13" s="78"/>
      <c r="AD13" s="78"/>
      <c r="AE13" s="78"/>
      <c r="AF13" s="198">
        <f t="shared" ref="AF13:AF33" si="6">SUM(T13:AE13)</f>
        <v>234</v>
      </c>
      <c r="AG13" s="78"/>
      <c r="AH13" s="78"/>
      <c r="AI13" s="78"/>
      <c r="AJ13" s="78"/>
      <c r="AK13" s="78"/>
      <c r="AL13" s="78"/>
      <c r="AM13" s="78"/>
      <c r="AN13" s="198">
        <f>SUM(AG13:AM13)</f>
        <v>0</v>
      </c>
      <c r="AO13" s="199">
        <f t="shared" ref="AO13:AO33" si="7">S13+AF13+AN13</f>
        <v>468</v>
      </c>
      <c r="AP13" s="218">
        <f t="shared" ref="AP13:AP33" si="8">D13-AO13</f>
        <v>0</v>
      </c>
      <c r="AQ13" s="219">
        <v>10</v>
      </c>
      <c r="AR13" s="220">
        <f t="shared" ref="AR13:AR22" si="9">F13/AQ13</f>
        <v>46.8</v>
      </c>
      <c r="AS13" s="60"/>
    </row>
    <row r="14" spans="1:45" ht="30" customHeight="1" x14ac:dyDescent="0.3">
      <c r="A14" s="194" t="s">
        <v>361</v>
      </c>
      <c r="B14" s="195" t="s">
        <v>406</v>
      </c>
      <c r="C14" s="67" t="s">
        <v>44</v>
      </c>
      <c r="D14" s="78">
        <v>50</v>
      </c>
      <c r="E14" s="78">
        <v>0</v>
      </c>
      <c r="F14" s="78">
        <f>D14+E14</f>
        <v>50</v>
      </c>
      <c r="G14" s="200"/>
      <c r="H14" s="200"/>
      <c r="I14" s="200"/>
      <c r="J14" s="200"/>
      <c r="K14" s="200"/>
      <c r="L14" s="200"/>
      <c r="M14" s="196"/>
      <c r="N14" s="196"/>
      <c r="O14" s="197">
        <f t="shared" si="4"/>
        <v>16.666666666666668</v>
      </c>
      <c r="P14" s="197">
        <f t="shared" si="4"/>
        <v>16.666666666666668</v>
      </c>
      <c r="Q14" s="197">
        <f t="shared" si="4"/>
        <v>16.666666666666668</v>
      </c>
      <c r="R14" s="200"/>
      <c r="S14" s="198">
        <f>SUM(G14:R14)</f>
        <v>50</v>
      </c>
      <c r="T14" s="200"/>
      <c r="U14" s="200"/>
      <c r="V14" s="200"/>
      <c r="W14" s="200"/>
      <c r="X14" s="200"/>
      <c r="Y14" s="78"/>
      <c r="Z14" s="78"/>
      <c r="AA14" s="78"/>
      <c r="AB14" s="78"/>
      <c r="AC14" s="78"/>
      <c r="AD14" s="78"/>
      <c r="AE14" s="78"/>
      <c r="AF14" s="198">
        <f t="shared" si="6"/>
        <v>0</v>
      </c>
      <c r="AG14" s="78"/>
      <c r="AH14" s="78"/>
      <c r="AI14" s="78"/>
      <c r="AJ14" s="78"/>
      <c r="AK14" s="78"/>
      <c r="AL14" s="78"/>
      <c r="AM14" s="78"/>
      <c r="AN14" s="198">
        <f>SUM(AG14:AM14)</f>
        <v>0</v>
      </c>
      <c r="AO14" s="199">
        <f t="shared" si="7"/>
        <v>50</v>
      </c>
      <c r="AP14" s="218">
        <f t="shared" si="8"/>
        <v>0</v>
      </c>
      <c r="AQ14" s="219">
        <v>3</v>
      </c>
      <c r="AR14" s="220">
        <f t="shared" si="9"/>
        <v>16.666666666666668</v>
      </c>
      <c r="AS14" s="60"/>
    </row>
    <row r="15" spans="1:45" ht="15" customHeight="1" x14ac:dyDescent="0.3">
      <c r="A15" s="194" t="s">
        <v>362</v>
      </c>
      <c r="B15" s="195" t="s">
        <v>407</v>
      </c>
      <c r="C15" s="3" t="s">
        <v>39</v>
      </c>
      <c r="D15" s="78">
        <v>450</v>
      </c>
      <c r="E15" s="78">
        <v>0</v>
      </c>
      <c r="F15" s="78">
        <f>D15+E15</f>
        <v>450</v>
      </c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198">
        <f t="shared" ref="S15:S16" si="10">SUM(G15:R15)</f>
        <v>0</v>
      </c>
      <c r="T15" s="196"/>
      <c r="U15" s="196"/>
      <c r="V15" s="196"/>
      <c r="W15" s="196"/>
      <c r="X15" s="196"/>
      <c r="Y15" s="197">
        <f t="shared" si="5"/>
        <v>45</v>
      </c>
      <c r="Z15" s="197">
        <f t="shared" si="5"/>
        <v>45</v>
      </c>
      <c r="AA15" s="197">
        <f t="shared" si="5"/>
        <v>45</v>
      </c>
      <c r="AB15" s="197">
        <f t="shared" si="5"/>
        <v>45</v>
      </c>
      <c r="AC15" s="197">
        <f t="shared" si="5"/>
        <v>45</v>
      </c>
      <c r="AD15" s="197">
        <f t="shared" si="5"/>
        <v>45</v>
      </c>
      <c r="AE15" s="197">
        <f t="shared" si="5"/>
        <v>45</v>
      </c>
      <c r="AF15" s="198">
        <f t="shared" si="6"/>
        <v>315</v>
      </c>
      <c r="AG15" s="197">
        <f t="shared" si="5"/>
        <v>45</v>
      </c>
      <c r="AH15" s="197">
        <f t="shared" si="5"/>
        <v>45</v>
      </c>
      <c r="AI15" s="197">
        <f t="shared" si="5"/>
        <v>45</v>
      </c>
      <c r="AJ15" s="78"/>
      <c r="AK15" s="78"/>
      <c r="AL15" s="78"/>
      <c r="AM15" s="78"/>
      <c r="AN15" s="198">
        <f>SUM(AG15:AM15)</f>
        <v>135</v>
      </c>
      <c r="AO15" s="199">
        <f t="shared" si="7"/>
        <v>450</v>
      </c>
      <c r="AP15" s="218">
        <f t="shared" si="8"/>
        <v>0</v>
      </c>
      <c r="AQ15" s="219">
        <v>10</v>
      </c>
      <c r="AR15" s="220">
        <f t="shared" si="9"/>
        <v>45</v>
      </c>
      <c r="AS15" s="60"/>
    </row>
    <row r="16" spans="1:45" ht="30" customHeight="1" x14ac:dyDescent="0.3">
      <c r="A16" s="194" t="s">
        <v>376</v>
      </c>
      <c r="B16" s="195" t="s">
        <v>364</v>
      </c>
      <c r="C16" s="3" t="s">
        <v>39</v>
      </c>
      <c r="D16" s="78">
        <v>300</v>
      </c>
      <c r="E16" s="78">
        <v>0</v>
      </c>
      <c r="F16" s="78">
        <f>D16+E16</f>
        <v>300</v>
      </c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198">
        <f t="shared" si="10"/>
        <v>0</v>
      </c>
      <c r="T16" s="200"/>
      <c r="U16" s="200"/>
      <c r="V16" s="200"/>
      <c r="W16" s="200"/>
      <c r="X16" s="196"/>
      <c r="Y16" s="165"/>
      <c r="Z16" s="165"/>
      <c r="AA16" s="165"/>
      <c r="AB16" s="165"/>
      <c r="AC16" s="197">
        <f t="shared" si="5"/>
        <v>100</v>
      </c>
      <c r="AD16" s="197">
        <f t="shared" si="5"/>
        <v>100</v>
      </c>
      <c r="AE16" s="197">
        <f t="shared" si="5"/>
        <v>100</v>
      </c>
      <c r="AF16" s="198">
        <f t="shared" si="6"/>
        <v>300</v>
      </c>
      <c r="AG16" s="78"/>
      <c r="AH16" s="78"/>
      <c r="AI16" s="78"/>
      <c r="AJ16" s="78"/>
      <c r="AK16" s="78"/>
      <c r="AL16" s="78"/>
      <c r="AM16" s="78"/>
      <c r="AN16" s="198">
        <f t="shared" ref="AN16:AN66" si="11">SUM(AG16:AM16)</f>
        <v>0</v>
      </c>
      <c r="AO16" s="199">
        <f t="shared" si="7"/>
        <v>300</v>
      </c>
      <c r="AP16" s="218">
        <f t="shared" si="8"/>
        <v>0</v>
      </c>
      <c r="AQ16" s="219">
        <v>3</v>
      </c>
      <c r="AR16" s="220">
        <f t="shared" si="9"/>
        <v>100</v>
      </c>
      <c r="AS16" s="60"/>
    </row>
    <row r="17" spans="1:45" ht="30" customHeight="1" x14ac:dyDescent="0.3">
      <c r="A17" s="194" t="s">
        <v>343</v>
      </c>
      <c r="B17" s="195" t="s">
        <v>183</v>
      </c>
      <c r="C17" s="3" t="s">
        <v>74</v>
      </c>
      <c r="D17" s="78">
        <v>500</v>
      </c>
      <c r="E17" s="78">
        <v>0</v>
      </c>
      <c r="F17" s="78">
        <f t="shared" si="3"/>
        <v>500</v>
      </c>
      <c r="G17" s="196"/>
      <c r="H17" s="196"/>
      <c r="I17" s="196"/>
      <c r="J17" s="196"/>
      <c r="K17" s="196"/>
      <c r="L17" s="196"/>
      <c r="M17" s="196"/>
      <c r="N17" s="197">
        <f t="shared" ref="N17:R17" si="12">$AR17</f>
        <v>31.25</v>
      </c>
      <c r="O17" s="197">
        <f t="shared" si="12"/>
        <v>31.25</v>
      </c>
      <c r="P17" s="197">
        <f t="shared" si="12"/>
        <v>31.25</v>
      </c>
      <c r="Q17" s="197">
        <f t="shared" si="12"/>
        <v>31.25</v>
      </c>
      <c r="R17" s="197">
        <f t="shared" si="12"/>
        <v>31.25</v>
      </c>
      <c r="S17" s="198">
        <f t="shared" ref="S17:S32" si="13">SUM(G17:R17)</f>
        <v>156.25</v>
      </c>
      <c r="T17" s="197">
        <f t="shared" si="5"/>
        <v>31.25</v>
      </c>
      <c r="U17" s="197">
        <f t="shared" si="5"/>
        <v>31.25</v>
      </c>
      <c r="V17" s="197">
        <f t="shared" si="5"/>
        <v>31.25</v>
      </c>
      <c r="W17" s="197">
        <f t="shared" si="5"/>
        <v>31.25</v>
      </c>
      <c r="X17" s="197">
        <f t="shared" si="5"/>
        <v>31.25</v>
      </c>
      <c r="Y17" s="197">
        <f t="shared" si="5"/>
        <v>31.25</v>
      </c>
      <c r="Z17" s="197">
        <f t="shared" si="5"/>
        <v>31.25</v>
      </c>
      <c r="AA17" s="197">
        <f t="shared" si="5"/>
        <v>31.25</v>
      </c>
      <c r="AB17" s="197">
        <f t="shared" si="5"/>
        <v>31.25</v>
      </c>
      <c r="AC17" s="197">
        <f t="shared" si="5"/>
        <v>31.25</v>
      </c>
      <c r="AD17" s="197">
        <f t="shared" si="5"/>
        <v>31.25</v>
      </c>
      <c r="AE17" s="78"/>
      <c r="AF17" s="198">
        <f t="shared" si="6"/>
        <v>343.75</v>
      </c>
      <c r="AG17" s="78"/>
      <c r="AH17" s="78"/>
      <c r="AI17" s="78"/>
      <c r="AJ17" s="78"/>
      <c r="AK17" s="78"/>
      <c r="AL17" s="78"/>
      <c r="AM17" s="78"/>
      <c r="AN17" s="198">
        <f t="shared" si="11"/>
        <v>0</v>
      </c>
      <c r="AO17" s="199">
        <f t="shared" si="7"/>
        <v>500</v>
      </c>
      <c r="AP17" s="218">
        <f t="shared" si="8"/>
        <v>0</v>
      </c>
      <c r="AQ17" s="219">
        <v>16</v>
      </c>
      <c r="AR17" s="220">
        <f t="shared" si="9"/>
        <v>31.25</v>
      </c>
      <c r="AS17" s="60"/>
    </row>
    <row r="18" spans="1:45" ht="15" customHeight="1" x14ac:dyDescent="0.3">
      <c r="A18" s="202" t="s">
        <v>336</v>
      </c>
      <c r="B18" s="203" t="s">
        <v>70</v>
      </c>
      <c r="C18" s="3" t="s">
        <v>73</v>
      </c>
      <c r="D18" s="78">
        <v>430.35</v>
      </c>
      <c r="E18" s="78">
        <v>0</v>
      </c>
      <c r="F18" s="78">
        <f t="shared" si="3"/>
        <v>430.35</v>
      </c>
      <c r="G18" s="196"/>
      <c r="H18" s="197">
        <f t="shared" ref="H18:T19" si="14">$AR18</f>
        <v>53.793750000000003</v>
      </c>
      <c r="I18" s="197">
        <f t="shared" si="14"/>
        <v>53.793750000000003</v>
      </c>
      <c r="J18" s="197">
        <f t="shared" si="14"/>
        <v>53.793750000000003</v>
      </c>
      <c r="K18" s="197">
        <f t="shared" si="14"/>
        <v>53.793750000000003</v>
      </c>
      <c r="L18" s="197">
        <f t="shared" si="14"/>
        <v>53.793750000000003</v>
      </c>
      <c r="M18" s="197">
        <f t="shared" si="14"/>
        <v>53.793750000000003</v>
      </c>
      <c r="N18" s="197">
        <f t="shared" si="14"/>
        <v>53.793750000000003</v>
      </c>
      <c r="O18" s="197">
        <f t="shared" si="14"/>
        <v>53.793750000000003</v>
      </c>
      <c r="P18" s="78"/>
      <c r="Q18" s="78"/>
      <c r="R18" s="78"/>
      <c r="S18" s="198">
        <f t="shared" si="13"/>
        <v>430.34999999999997</v>
      </c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198">
        <f t="shared" si="6"/>
        <v>0</v>
      </c>
      <c r="AG18" s="78"/>
      <c r="AH18" s="78"/>
      <c r="AI18" s="78"/>
      <c r="AJ18" s="78"/>
      <c r="AK18" s="78"/>
      <c r="AL18" s="78"/>
      <c r="AM18" s="78"/>
      <c r="AN18" s="198">
        <f t="shared" si="11"/>
        <v>0</v>
      </c>
      <c r="AO18" s="199">
        <f t="shared" si="7"/>
        <v>430.34999999999997</v>
      </c>
      <c r="AP18" s="218">
        <f t="shared" si="8"/>
        <v>0</v>
      </c>
      <c r="AQ18" s="219">
        <v>8</v>
      </c>
      <c r="AR18" s="220">
        <f t="shared" si="9"/>
        <v>53.793750000000003</v>
      </c>
      <c r="AS18" s="60"/>
    </row>
    <row r="19" spans="1:45" ht="15" customHeight="1" x14ac:dyDescent="0.3">
      <c r="A19" s="194" t="s">
        <v>344</v>
      </c>
      <c r="B19" s="195" t="s">
        <v>112</v>
      </c>
      <c r="C19" s="3" t="s">
        <v>74</v>
      </c>
      <c r="D19" s="78">
        <v>491.17</v>
      </c>
      <c r="E19" s="78">
        <v>0</v>
      </c>
      <c r="F19" s="78">
        <f t="shared" si="3"/>
        <v>491.17</v>
      </c>
      <c r="G19" s="196"/>
      <c r="H19" s="196"/>
      <c r="I19" s="196"/>
      <c r="J19" s="196"/>
      <c r="K19" s="196"/>
      <c r="L19" s="196"/>
      <c r="M19" s="196"/>
      <c r="N19" s="197">
        <f t="shared" si="14"/>
        <v>81.861666666666665</v>
      </c>
      <c r="O19" s="197">
        <f t="shared" si="14"/>
        <v>81.861666666666665</v>
      </c>
      <c r="P19" s="197">
        <f t="shared" si="14"/>
        <v>81.861666666666665</v>
      </c>
      <c r="Q19" s="197">
        <f t="shared" si="14"/>
        <v>81.861666666666665</v>
      </c>
      <c r="R19" s="197">
        <f t="shared" si="14"/>
        <v>81.861666666666665</v>
      </c>
      <c r="S19" s="198">
        <f t="shared" si="13"/>
        <v>409.30833333333334</v>
      </c>
      <c r="T19" s="197">
        <f t="shared" si="14"/>
        <v>81.861666666666665</v>
      </c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198">
        <f t="shared" si="6"/>
        <v>81.861666666666665</v>
      </c>
      <c r="AG19" s="78"/>
      <c r="AH19" s="78"/>
      <c r="AI19" s="78"/>
      <c r="AJ19" s="78"/>
      <c r="AK19" s="78"/>
      <c r="AL19" s="78"/>
      <c r="AM19" s="78"/>
      <c r="AN19" s="198">
        <f t="shared" si="11"/>
        <v>0</v>
      </c>
      <c r="AO19" s="199">
        <f t="shared" si="7"/>
        <v>491.17</v>
      </c>
      <c r="AP19" s="218">
        <f t="shared" si="8"/>
        <v>0</v>
      </c>
      <c r="AQ19" s="219">
        <v>6</v>
      </c>
      <c r="AR19" s="220">
        <f t="shared" si="9"/>
        <v>81.861666666666665</v>
      </c>
      <c r="AS19" s="60"/>
    </row>
    <row r="20" spans="1:45" ht="15" customHeight="1" x14ac:dyDescent="0.3">
      <c r="A20" s="194" t="s">
        <v>365</v>
      </c>
      <c r="B20" s="195" t="s">
        <v>187</v>
      </c>
      <c r="C20" s="3" t="s">
        <v>39</v>
      </c>
      <c r="D20" s="78">
        <v>5708.82</v>
      </c>
      <c r="E20" s="78">
        <v>0</v>
      </c>
      <c r="F20" s="78">
        <f t="shared" si="3"/>
        <v>5708.82</v>
      </c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198">
        <f t="shared" si="13"/>
        <v>0</v>
      </c>
      <c r="T20" s="200"/>
      <c r="U20" s="200"/>
      <c r="V20" s="165"/>
      <c r="W20" s="165"/>
      <c r="X20" s="165"/>
      <c r="Y20" s="165"/>
      <c r="Z20" s="165"/>
      <c r="AA20" s="197">
        <f t="shared" ref="AA20:AE20" si="15">$AR20</f>
        <v>475.73499999999996</v>
      </c>
      <c r="AB20" s="197">
        <f t="shared" si="15"/>
        <v>475.73499999999996</v>
      </c>
      <c r="AC20" s="197">
        <f t="shared" si="15"/>
        <v>475.73499999999996</v>
      </c>
      <c r="AD20" s="197">
        <f t="shared" si="15"/>
        <v>475.73499999999996</v>
      </c>
      <c r="AE20" s="197">
        <f t="shared" si="15"/>
        <v>475.73499999999996</v>
      </c>
      <c r="AF20" s="198">
        <f t="shared" si="6"/>
        <v>2378.6749999999997</v>
      </c>
      <c r="AG20" s="197">
        <f t="shared" ref="AG20:AM20" si="16">$AR20</f>
        <v>475.73499999999996</v>
      </c>
      <c r="AH20" s="197">
        <f t="shared" si="16"/>
        <v>475.73499999999996</v>
      </c>
      <c r="AI20" s="197">
        <f t="shared" si="16"/>
        <v>475.73499999999996</v>
      </c>
      <c r="AJ20" s="197">
        <f t="shared" si="16"/>
        <v>475.73499999999996</v>
      </c>
      <c r="AK20" s="197">
        <f t="shared" si="16"/>
        <v>475.73499999999996</v>
      </c>
      <c r="AL20" s="197">
        <f t="shared" si="16"/>
        <v>475.73499999999996</v>
      </c>
      <c r="AM20" s="197">
        <f t="shared" si="16"/>
        <v>475.73499999999996</v>
      </c>
      <c r="AN20" s="198">
        <f t="shared" si="11"/>
        <v>3330.145</v>
      </c>
      <c r="AO20" s="199">
        <f t="shared" si="7"/>
        <v>5708.82</v>
      </c>
      <c r="AP20" s="218">
        <f t="shared" si="8"/>
        <v>0</v>
      </c>
      <c r="AQ20" s="219">
        <v>12</v>
      </c>
      <c r="AR20" s="220">
        <f t="shared" si="9"/>
        <v>475.73499999999996</v>
      </c>
      <c r="AS20" s="60"/>
    </row>
    <row r="21" spans="1:45" ht="15" customHeight="1" x14ac:dyDescent="0.3">
      <c r="A21" s="202" t="s">
        <v>352</v>
      </c>
      <c r="B21" s="203" t="s">
        <v>171</v>
      </c>
      <c r="C21" s="3" t="s">
        <v>58</v>
      </c>
      <c r="D21" s="78">
        <v>58.03</v>
      </c>
      <c r="E21" s="78">
        <v>0</v>
      </c>
      <c r="F21" s="78">
        <f t="shared" si="3"/>
        <v>58.03</v>
      </c>
      <c r="G21" s="196"/>
      <c r="H21" s="196"/>
      <c r="I21" s="197">
        <f t="shared" ref="I21:R21" si="17">$AR21</f>
        <v>5.8029999999999999</v>
      </c>
      <c r="J21" s="197">
        <f t="shared" si="17"/>
        <v>5.8029999999999999</v>
      </c>
      <c r="K21" s="197">
        <f t="shared" si="17"/>
        <v>5.8029999999999999</v>
      </c>
      <c r="L21" s="197">
        <f t="shared" si="17"/>
        <v>5.8029999999999999</v>
      </c>
      <c r="M21" s="197">
        <f t="shared" si="17"/>
        <v>5.8029999999999999</v>
      </c>
      <c r="N21" s="197">
        <f t="shared" si="17"/>
        <v>5.8029999999999999</v>
      </c>
      <c r="O21" s="197">
        <f t="shared" si="17"/>
        <v>5.8029999999999999</v>
      </c>
      <c r="P21" s="197">
        <f t="shared" si="17"/>
        <v>5.8029999999999999</v>
      </c>
      <c r="Q21" s="197">
        <f t="shared" si="17"/>
        <v>5.8029999999999999</v>
      </c>
      <c r="R21" s="197">
        <f t="shared" si="17"/>
        <v>5.8029999999999999</v>
      </c>
      <c r="S21" s="198">
        <f t="shared" si="13"/>
        <v>58.029999999999987</v>
      </c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198">
        <f t="shared" si="6"/>
        <v>0</v>
      </c>
      <c r="AG21" s="78"/>
      <c r="AH21" s="78"/>
      <c r="AI21" s="78"/>
      <c r="AJ21" s="78"/>
      <c r="AK21" s="78"/>
      <c r="AL21" s="78"/>
      <c r="AM21" s="78"/>
      <c r="AN21" s="198">
        <f t="shared" si="11"/>
        <v>0</v>
      </c>
      <c r="AO21" s="199">
        <f t="shared" si="7"/>
        <v>58.029999999999987</v>
      </c>
      <c r="AP21" s="218">
        <f t="shared" si="8"/>
        <v>0</v>
      </c>
      <c r="AQ21" s="219">
        <v>10</v>
      </c>
      <c r="AR21" s="220">
        <f t="shared" si="9"/>
        <v>5.8029999999999999</v>
      </c>
      <c r="AS21" s="60"/>
    </row>
    <row r="22" spans="1:45" ht="15" customHeight="1" x14ac:dyDescent="0.3">
      <c r="A22" s="202" t="s">
        <v>345</v>
      </c>
      <c r="B22" s="203" t="s">
        <v>190</v>
      </c>
      <c r="C22" s="3" t="s">
        <v>44</v>
      </c>
      <c r="D22" s="78">
        <v>20.2</v>
      </c>
      <c r="E22" s="78">
        <v>0</v>
      </c>
      <c r="F22" s="78">
        <f t="shared" si="3"/>
        <v>20.2</v>
      </c>
      <c r="G22" s="197">
        <f>$AR22</f>
        <v>6.7333333333333334</v>
      </c>
      <c r="H22" s="197">
        <f>$AR22</f>
        <v>6.7333333333333334</v>
      </c>
      <c r="I22" s="197">
        <f>$AR22</f>
        <v>6.7333333333333334</v>
      </c>
      <c r="J22" s="78"/>
      <c r="K22" s="78"/>
      <c r="L22" s="78"/>
      <c r="M22" s="78"/>
      <c r="N22" s="78"/>
      <c r="O22" s="78"/>
      <c r="P22" s="78"/>
      <c r="Q22" s="78"/>
      <c r="R22" s="78"/>
      <c r="S22" s="198">
        <f t="shared" si="13"/>
        <v>20.2</v>
      </c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198">
        <f t="shared" si="6"/>
        <v>0</v>
      </c>
      <c r="AG22" s="78"/>
      <c r="AH22" s="78"/>
      <c r="AI22" s="78"/>
      <c r="AJ22" s="78"/>
      <c r="AK22" s="78"/>
      <c r="AL22" s="78"/>
      <c r="AM22" s="78"/>
      <c r="AN22" s="198">
        <f t="shared" si="11"/>
        <v>0</v>
      </c>
      <c r="AO22" s="199">
        <f t="shared" si="7"/>
        <v>20.2</v>
      </c>
      <c r="AP22" s="218">
        <f t="shared" si="8"/>
        <v>0</v>
      </c>
      <c r="AQ22" s="219">
        <v>3</v>
      </c>
      <c r="AR22" s="220">
        <f t="shared" si="9"/>
        <v>6.7333333333333334</v>
      </c>
      <c r="AS22" s="60"/>
    </row>
    <row r="23" spans="1:45" ht="39.9" customHeight="1" x14ac:dyDescent="0.3">
      <c r="A23" s="202" t="s">
        <v>337</v>
      </c>
      <c r="B23" s="203" t="s">
        <v>66</v>
      </c>
      <c r="C23" s="3" t="s">
        <v>39</v>
      </c>
      <c r="D23" s="78">
        <v>1844.22</v>
      </c>
      <c r="E23" s="78">
        <v>0</v>
      </c>
      <c r="F23" s="78">
        <f t="shared" si="3"/>
        <v>1844.22</v>
      </c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198">
        <f t="shared" si="13"/>
        <v>0</v>
      </c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198">
        <f t="shared" si="6"/>
        <v>0</v>
      </c>
      <c r="AG23" s="78"/>
      <c r="AH23" s="78"/>
      <c r="AI23" s="78"/>
      <c r="AJ23" s="78"/>
      <c r="AK23" s="78"/>
      <c r="AL23" s="78"/>
      <c r="AM23" s="78"/>
      <c r="AN23" s="198">
        <f t="shared" si="11"/>
        <v>0</v>
      </c>
      <c r="AO23" s="199">
        <f t="shared" si="7"/>
        <v>0</v>
      </c>
      <c r="AP23" s="218">
        <f t="shared" si="8"/>
        <v>1844.22</v>
      </c>
      <c r="AQ23" s="219">
        <v>12</v>
      </c>
      <c r="AS23" s="223" t="s">
        <v>383</v>
      </c>
    </row>
    <row r="24" spans="1:45" ht="14.4" x14ac:dyDescent="0.3">
      <c r="A24" s="194" t="s">
        <v>338</v>
      </c>
      <c r="B24" s="195" t="s">
        <v>110</v>
      </c>
      <c r="C24" s="3" t="s">
        <v>39</v>
      </c>
      <c r="D24" s="78">
        <f>2268495.07/3.1358/1000</f>
        <v>723.41828879392813</v>
      </c>
      <c r="E24" s="78">
        <v>0</v>
      </c>
      <c r="F24" s="78">
        <f t="shared" si="3"/>
        <v>723.41828879392813</v>
      </c>
      <c r="G24" s="78"/>
      <c r="H24" s="78"/>
      <c r="I24" s="78"/>
      <c r="J24" s="78"/>
      <c r="K24" s="78"/>
      <c r="L24" s="165"/>
      <c r="M24" s="165"/>
      <c r="N24" s="165"/>
      <c r="O24" s="165"/>
      <c r="P24" s="165"/>
      <c r="Q24" s="197">
        <f t="shared" ref="P24:AG28" si="18">$AR24</f>
        <v>120.56971479898802</v>
      </c>
      <c r="R24" s="197">
        <f t="shared" si="18"/>
        <v>120.56971479898802</v>
      </c>
      <c r="S24" s="198">
        <f t="shared" si="13"/>
        <v>241.13942959797603</v>
      </c>
      <c r="T24" s="197">
        <f t="shared" si="18"/>
        <v>120.56971479898802</v>
      </c>
      <c r="U24" s="197">
        <f t="shared" si="18"/>
        <v>120.56971479898802</v>
      </c>
      <c r="V24" s="197">
        <f t="shared" si="18"/>
        <v>120.56971479898802</v>
      </c>
      <c r="W24" s="197">
        <f t="shared" si="18"/>
        <v>120.56971479898802</v>
      </c>
      <c r="X24" s="78"/>
      <c r="Y24" s="78"/>
      <c r="Z24" s="78"/>
      <c r="AA24" s="78"/>
      <c r="AB24" s="78"/>
      <c r="AC24" s="78"/>
      <c r="AD24" s="78"/>
      <c r="AE24" s="78"/>
      <c r="AF24" s="198">
        <f t="shared" si="6"/>
        <v>482.27885919595207</v>
      </c>
      <c r="AG24" s="78"/>
      <c r="AH24" s="78"/>
      <c r="AI24" s="78"/>
      <c r="AJ24" s="78"/>
      <c r="AK24" s="78"/>
      <c r="AL24" s="78"/>
      <c r="AM24" s="78"/>
      <c r="AN24" s="198">
        <f t="shared" si="11"/>
        <v>0</v>
      </c>
      <c r="AO24" s="199">
        <f t="shared" si="7"/>
        <v>723.41828879392813</v>
      </c>
      <c r="AP24" s="218">
        <f t="shared" si="8"/>
        <v>0</v>
      </c>
      <c r="AQ24" s="219">
        <v>6</v>
      </c>
      <c r="AR24" s="220">
        <f t="shared" ref="AR24:AR33" si="19">F24/AQ24</f>
        <v>120.56971479898802</v>
      </c>
      <c r="AS24" s="60"/>
    </row>
    <row r="25" spans="1:45" ht="15" customHeight="1" x14ac:dyDescent="0.3">
      <c r="A25" s="194" t="s">
        <v>339</v>
      </c>
      <c r="B25" s="195" t="s">
        <v>111</v>
      </c>
      <c r="C25" s="3" t="s">
        <v>39</v>
      </c>
      <c r="D25" s="78">
        <f>1355174.61/3.1358/1000</f>
        <v>432.16232221442692</v>
      </c>
      <c r="E25" s="78">
        <v>0</v>
      </c>
      <c r="F25" s="78">
        <f t="shared" si="3"/>
        <v>432.16232221442692</v>
      </c>
      <c r="G25" s="78"/>
      <c r="H25" s="78"/>
      <c r="I25" s="78"/>
      <c r="J25" s="78"/>
      <c r="K25" s="78"/>
      <c r="L25" s="165"/>
      <c r="M25" s="165"/>
      <c r="N25" s="165"/>
      <c r="O25" s="165"/>
      <c r="P25" s="197">
        <f t="shared" si="18"/>
        <v>54.020290276803365</v>
      </c>
      <c r="Q25" s="197">
        <f t="shared" si="18"/>
        <v>54.020290276803365</v>
      </c>
      <c r="R25" s="197">
        <f t="shared" si="18"/>
        <v>54.020290276803365</v>
      </c>
      <c r="S25" s="198">
        <f t="shared" si="13"/>
        <v>162.0608708304101</v>
      </c>
      <c r="T25" s="197">
        <f t="shared" si="18"/>
        <v>54.020290276803365</v>
      </c>
      <c r="U25" s="197">
        <f t="shared" si="18"/>
        <v>54.020290276803365</v>
      </c>
      <c r="V25" s="197">
        <f t="shared" si="18"/>
        <v>54.020290276803365</v>
      </c>
      <c r="W25" s="197">
        <f t="shared" si="18"/>
        <v>54.020290276803365</v>
      </c>
      <c r="X25" s="197">
        <f t="shared" si="18"/>
        <v>54.020290276803365</v>
      </c>
      <c r="Y25" s="78"/>
      <c r="Z25" s="78"/>
      <c r="AA25" s="78"/>
      <c r="AB25" s="78"/>
      <c r="AC25" s="78"/>
      <c r="AD25" s="78"/>
      <c r="AE25" s="78"/>
      <c r="AF25" s="198">
        <f t="shared" si="6"/>
        <v>270.10145138401685</v>
      </c>
      <c r="AG25" s="78"/>
      <c r="AH25" s="78"/>
      <c r="AI25" s="78"/>
      <c r="AJ25" s="78"/>
      <c r="AK25" s="78"/>
      <c r="AL25" s="78"/>
      <c r="AM25" s="78"/>
      <c r="AN25" s="198">
        <f t="shared" si="11"/>
        <v>0</v>
      </c>
      <c r="AO25" s="199">
        <f t="shared" si="7"/>
        <v>432.16232221442692</v>
      </c>
      <c r="AP25" s="218">
        <f t="shared" si="8"/>
        <v>0</v>
      </c>
      <c r="AQ25" s="219">
        <v>8</v>
      </c>
      <c r="AR25" s="220">
        <f t="shared" si="19"/>
        <v>54.020290276803365</v>
      </c>
      <c r="AS25" s="60"/>
    </row>
    <row r="26" spans="1:45" ht="15" customHeight="1" x14ac:dyDescent="0.3">
      <c r="A26" s="194" t="s">
        <v>367</v>
      </c>
      <c r="B26" s="229" t="s">
        <v>384</v>
      </c>
      <c r="C26" s="3" t="s">
        <v>39</v>
      </c>
      <c r="D26" s="78">
        <v>1974</v>
      </c>
      <c r="E26" s="78">
        <v>0</v>
      </c>
      <c r="F26" s="78">
        <f t="shared" si="3"/>
        <v>1974</v>
      </c>
      <c r="G26" s="78"/>
      <c r="H26" s="78"/>
      <c r="I26" s="78"/>
      <c r="J26" s="78"/>
      <c r="K26" s="78"/>
      <c r="L26" s="78"/>
      <c r="M26" s="165"/>
      <c r="N26" s="165"/>
      <c r="O26" s="165"/>
      <c r="P26" s="165"/>
      <c r="Q26" s="196"/>
      <c r="R26" s="197">
        <f t="shared" ref="R26" si="20">$AR26</f>
        <v>197.4</v>
      </c>
      <c r="S26" s="198">
        <f t="shared" si="13"/>
        <v>197.4</v>
      </c>
      <c r="T26" s="197">
        <f t="shared" si="18"/>
        <v>197.4</v>
      </c>
      <c r="U26" s="197">
        <f t="shared" si="18"/>
        <v>197.4</v>
      </c>
      <c r="V26" s="197">
        <f t="shared" si="18"/>
        <v>197.4</v>
      </c>
      <c r="W26" s="197">
        <f t="shared" si="18"/>
        <v>197.4</v>
      </c>
      <c r="X26" s="197">
        <f t="shared" si="18"/>
        <v>197.4</v>
      </c>
      <c r="Y26" s="197">
        <f t="shared" si="18"/>
        <v>197.4</v>
      </c>
      <c r="Z26" s="197">
        <f t="shared" si="18"/>
        <v>197.4</v>
      </c>
      <c r="AA26" s="197">
        <f t="shared" si="18"/>
        <v>197.4</v>
      </c>
      <c r="AB26" s="197">
        <f t="shared" si="18"/>
        <v>197.4</v>
      </c>
      <c r="AC26" s="78"/>
      <c r="AD26" s="78"/>
      <c r="AE26" s="78"/>
      <c r="AF26" s="198">
        <f t="shared" si="6"/>
        <v>1776.6000000000004</v>
      </c>
      <c r="AG26" s="78"/>
      <c r="AH26" s="78"/>
      <c r="AI26" s="78"/>
      <c r="AJ26" s="78"/>
      <c r="AK26" s="78"/>
      <c r="AL26" s="78"/>
      <c r="AM26" s="78"/>
      <c r="AN26" s="198">
        <f t="shared" si="11"/>
        <v>0</v>
      </c>
      <c r="AO26" s="199">
        <f t="shared" si="7"/>
        <v>1974.0000000000005</v>
      </c>
      <c r="AP26" s="218">
        <f t="shared" si="8"/>
        <v>0</v>
      </c>
      <c r="AQ26" s="219">
        <v>10</v>
      </c>
      <c r="AR26" s="220">
        <f t="shared" si="19"/>
        <v>197.4</v>
      </c>
      <c r="AS26" s="60"/>
    </row>
    <row r="27" spans="1:45" ht="30" customHeight="1" x14ac:dyDescent="0.3">
      <c r="A27" s="194" t="s">
        <v>346</v>
      </c>
      <c r="B27" s="195" t="s">
        <v>332</v>
      </c>
      <c r="C27" s="3" t="s">
        <v>74</v>
      </c>
      <c r="D27" s="78">
        <v>285</v>
      </c>
      <c r="E27" s="78">
        <v>0</v>
      </c>
      <c r="F27" s="78">
        <f t="shared" si="3"/>
        <v>285</v>
      </c>
      <c r="G27" s="78"/>
      <c r="H27" s="78"/>
      <c r="I27" s="78"/>
      <c r="J27" s="78"/>
      <c r="K27" s="78"/>
      <c r="L27" s="165"/>
      <c r="M27" s="165"/>
      <c r="N27" s="165"/>
      <c r="O27" s="165"/>
      <c r="P27" s="165"/>
      <c r="Q27" s="196"/>
      <c r="R27" s="196"/>
      <c r="S27" s="198">
        <f t="shared" si="13"/>
        <v>0</v>
      </c>
      <c r="T27" s="197">
        <f t="shared" si="18"/>
        <v>71.25</v>
      </c>
      <c r="U27" s="197">
        <f t="shared" si="18"/>
        <v>71.25</v>
      </c>
      <c r="V27" s="197">
        <f t="shared" si="18"/>
        <v>71.25</v>
      </c>
      <c r="W27" s="197">
        <f t="shared" si="18"/>
        <v>71.25</v>
      </c>
      <c r="X27" s="78"/>
      <c r="Y27" s="78"/>
      <c r="Z27" s="78"/>
      <c r="AA27" s="78"/>
      <c r="AB27" s="78"/>
      <c r="AC27" s="78"/>
      <c r="AD27" s="78"/>
      <c r="AE27" s="78"/>
      <c r="AF27" s="198">
        <f t="shared" si="6"/>
        <v>285</v>
      </c>
      <c r="AG27" s="78"/>
      <c r="AH27" s="78"/>
      <c r="AI27" s="78"/>
      <c r="AJ27" s="78"/>
      <c r="AK27" s="78"/>
      <c r="AL27" s="78"/>
      <c r="AM27" s="78"/>
      <c r="AN27" s="198">
        <f t="shared" si="11"/>
        <v>0</v>
      </c>
      <c r="AO27" s="199">
        <f t="shared" si="7"/>
        <v>285</v>
      </c>
      <c r="AP27" s="218">
        <f t="shared" si="8"/>
        <v>0</v>
      </c>
      <c r="AQ27" s="219">
        <v>4</v>
      </c>
      <c r="AR27" s="220">
        <f t="shared" si="19"/>
        <v>71.25</v>
      </c>
      <c r="AS27" s="60"/>
    </row>
    <row r="28" spans="1:45" ht="15" customHeight="1" x14ac:dyDescent="0.3">
      <c r="A28" s="230" t="s">
        <v>368</v>
      </c>
      <c r="B28" s="229" t="s">
        <v>385</v>
      </c>
      <c r="C28" s="3" t="s">
        <v>73</v>
      </c>
      <c r="D28" s="78">
        <v>493.6</v>
      </c>
      <c r="E28" s="78">
        <v>0</v>
      </c>
      <c r="F28" s="78">
        <f t="shared" ref="F28" si="21">D28+E28</f>
        <v>493.6</v>
      </c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00"/>
      <c r="R28" s="200"/>
      <c r="S28" s="198">
        <f t="shared" ref="S28" si="22">SUM(G28:R28)</f>
        <v>0</v>
      </c>
      <c r="T28" s="200"/>
      <c r="U28" s="200"/>
      <c r="V28" s="196"/>
      <c r="W28" s="196"/>
      <c r="X28" s="165"/>
      <c r="Y28" s="165"/>
      <c r="Z28" s="165"/>
      <c r="AA28" s="197">
        <f t="shared" si="18"/>
        <v>82.266666666666666</v>
      </c>
      <c r="AB28" s="197">
        <f t="shared" si="18"/>
        <v>82.266666666666666</v>
      </c>
      <c r="AC28" s="197">
        <f t="shared" si="18"/>
        <v>82.266666666666666</v>
      </c>
      <c r="AD28" s="197">
        <f t="shared" si="18"/>
        <v>82.266666666666666</v>
      </c>
      <c r="AE28" s="197">
        <f t="shared" si="18"/>
        <v>82.266666666666666</v>
      </c>
      <c r="AF28" s="198">
        <f t="shared" si="6"/>
        <v>411.33333333333331</v>
      </c>
      <c r="AG28" s="197">
        <f t="shared" si="18"/>
        <v>82.266666666666666</v>
      </c>
      <c r="AH28" s="78"/>
      <c r="AI28" s="78"/>
      <c r="AJ28" s="78"/>
      <c r="AK28" s="78"/>
      <c r="AL28" s="78"/>
      <c r="AM28" s="78"/>
      <c r="AN28" s="198">
        <f t="shared" si="11"/>
        <v>82.266666666666666</v>
      </c>
      <c r="AO28" s="199">
        <f t="shared" si="7"/>
        <v>493.59999999999997</v>
      </c>
      <c r="AP28" s="218">
        <f t="shared" si="8"/>
        <v>0</v>
      </c>
      <c r="AQ28" s="219">
        <v>6</v>
      </c>
      <c r="AR28" s="220">
        <f t="shared" si="19"/>
        <v>82.266666666666666</v>
      </c>
      <c r="AS28" s="60"/>
    </row>
    <row r="29" spans="1:45" ht="14.4" x14ac:dyDescent="0.3">
      <c r="A29" s="202" t="s">
        <v>347</v>
      </c>
      <c r="B29" s="203" t="s">
        <v>135</v>
      </c>
      <c r="C29" s="3" t="s">
        <v>74</v>
      </c>
      <c r="D29" s="78">
        <v>519.64</v>
      </c>
      <c r="E29" s="78">
        <v>0</v>
      </c>
      <c r="F29" s="78">
        <f t="shared" si="3"/>
        <v>519.64</v>
      </c>
      <c r="G29" s="197">
        <f t="shared" ref="G29:V30" si="23">$AR29</f>
        <v>43.303333333333335</v>
      </c>
      <c r="H29" s="197">
        <f t="shared" si="23"/>
        <v>43.303333333333335</v>
      </c>
      <c r="I29" s="197">
        <f t="shared" si="23"/>
        <v>43.303333333333335</v>
      </c>
      <c r="J29" s="197">
        <f t="shared" si="23"/>
        <v>43.303333333333335</v>
      </c>
      <c r="K29" s="197">
        <f t="shared" si="23"/>
        <v>43.303333333333335</v>
      </c>
      <c r="L29" s="197">
        <f t="shared" si="23"/>
        <v>43.303333333333335</v>
      </c>
      <c r="M29" s="197">
        <f t="shared" si="23"/>
        <v>43.303333333333335</v>
      </c>
      <c r="N29" s="197">
        <f t="shared" si="23"/>
        <v>43.303333333333335</v>
      </c>
      <c r="O29" s="197">
        <f t="shared" si="23"/>
        <v>43.303333333333335</v>
      </c>
      <c r="P29" s="197">
        <f t="shared" si="23"/>
        <v>43.303333333333335</v>
      </c>
      <c r="Q29" s="197">
        <f t="shared" si="23"/>
        <v>43.303333333333335</v>
      </c>
      <c r="R29" s="78"/>
      <c r="S29" s="198">
        <f t="shared" si="13"/>
        <v>476.3366666666667</v>
      </c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198">
        <f t="shared" si="6"/>
        <v>0</v>
      </c>
      <c r="AG29" s="78"/>
      <c r="AH29" s="78"/>
      <c r="AI29" s="78"/>
      <c r="AJ29" s="78"/>
      <c r="AK29" s="78"/>
      <c r="AL29" s="78"/>
      <c r="AM29" s="78"/>
      <c r="AN29" s="198">
        <f t="shared" si="11"/>
        <v>0</v>
      </c>
      <c r="AO29" s="199">
        <f t="shared" si="7"/>
        <v>476.3366666666667</v>
      </c>
      <c r="AP29" s="218">
        <f t="shared" si="8"/>
        <v>43.303333333333285</v>
      </c>
      <c r="AQ29" s="219">
        <v>12</v>
      </c>
      <c r="AR29" s="220">
        <f t="shared" si="19"/>
        <v>43.303333333333335</v>
      </c>
      <c r="AS29" s="60"/>
    </row>
    <row r="30" spans="1:45" ht="27.6" x14ac:dyDescent="0.3">
      <c r="A30" s="202" t="s">
        <v>353</v>
      </c>
      <c r="B30" s="203" t="s">
        <v>257</v>
      </c>
      <c r="C30" s="3" t="s">
        <v>74</v>
      </c>
      <c r="D30" s="78">
        <v>543.4</v>
      </c>
      <c r="E30" s="78">
        <v>0</v>
      </c>
      <c r="F30" s="78">
        <f t="shared" si="3"/>
        <v>543.4</v>
      </c>
      <c r="G30" s="197">
        <f t="shared" ref="G30:R32" si="24">$AR30</f>
        <v>21.736000000000001</v>
      </c>
      <c r="H30" s="197">
        <f t="shared" si="24"/>
        <v>21.736000000000001</v>
      </c>
      <c r="I30" s="197">
        <f t="shared" si="24"/>
        <v>21.736000000000001</v>
      </c>
      <c r="J30" s="197">
        <f t="shared" si="24"/>
        <v>21.736000000000001</v>
      </c>
      <c r="K30" s="197">
        <f t="shared" si="24"/>
        <v>21.736000000000001</v>
      </c>
      <c r="L30" s="197">
        <f t="shared" si="24"/>
        <v>21.736000000000001</v>
      </c>
      <c r="M30" s="197">
        <f t="shared" si="24"/>
        <v>21.736000000000001</v>
      </c>
      <c r="N30" s="197">
        <f t="shared" si="24"/>
        <v>21.736000000000001</v>
      </c>
      <c r="O30" s="197">
        <f t="shared" si="24"/>
        <v>21.736000000000001</v>
      </c>
      <c r="P30" s="197">
        <f t="shared" si="24"/>
        <v>21.736000000000001</v>
      </c>
      <c r="Q30" s="197">
        <f t="shared" si="24"/>
        <v>21.736000000000001</v>
      </c>
      <c r="R30" s="197">
        <f t="shared" si="24"/>
        <v>21.736000000000001</v>
      </c>
      <c r="S30" s="198">
        <f t="shared" si="13"/>
        <v>260.83199999999994</v>
      </c>
      <c r="T30" s="197">
        <f>$AR30</f>
        <v>21.736000000000001</v>
      </c>
      <c r="U30" s="197">
        <f t="shared" si="23"/>
        <v>21.736000000000001</v>
      </c>
      <c r="V30" s="197">
        <f t="shared" si="23"/>
        <v>21.736000000000001</v>
      </c>
      <c r="W30" s="197">
        <f t="shared" ref="W30:AE30" si="25">$AR30</f>
        <v>21.736000000000001</v>
      </c>
      <c r="X30" s="197">
        <f t="shared" si="25"/>
        <v>21.736000000000001</v>
      </c>
      <c r="Y30" s="197">
        <f t="shared" si="25"/>
        <v>21.736000000000001</v>
      </c>
      <c r="Z30" s="197">
        <f t="shared" si="25"/>
        <v>21.736000000000001</v>
      </c>
      <c r="AA30" s="197">
        <f t="shared" si="25"/>
        <v>21.736000000000001</v>
      </c>
      <c r="AB30" s="197">
        <f t="shared" si="25"/>
        <v>21.736000000000001</v>
      </c>
      <c r="AC30" s="197">
        <f t="shared" si="25"/>
        <v>21.736000000000001</v>
      </c>
      <c r="AD30" s="197">
        <f t="shared" si="25"/>
        <v>21.736000000000001</v>
      </c>
      <c r="AE30" s="197">
        <f t="shared" si="25"/>
        <v>21.736000000000001</v>
      </c>
      <c r="AF30" s="198">
        <f t="shared" si="6"/>
        <v>260.83199999999994</v>
      </c>
      <c r="AG30" s="78"/>
      <c r="AH30" s="78"/>
      <c r="AI30" s="78"/>
      <c r="AJ30" s="78"/>
      <c r="AK30" s="78"/>
      <c r="AL30" s="78"/>
      <c r="AM30" s="78"/>
      <c r="AN30" s="198">
        <f t="shared" si="11"/>
        <v>0</v>
      </c>
      <c r="AO30" s="199">
        <f t="shared" si="7"/>
        <v>521.66399999999987</v>
      </c>
      <c r="AP30" s="218">
        <f t="shared" si="8"/>
        <v>21.736000000000104</v>
      </c>
      <c r="AQ30" s="219">
        <v>25</v>
      </c>
      <c r="AR30" s="220">
        <f t="shared" si="19"/>
        <v>21.736000000000001</v>
      </c>
      <c r="AS30" s="60"/>
    </row>
    <row r="31" spans="1:45" ht="27.6" x14ac:dyDescent="0.3">
      <c r="A31" s="202" t="s">
        <v>354</v>
      </c>
      <c r="B31" s="203" t="s">
        <v>71</v>
      </c>
      <c r="C31" s="3" t="s">
        <v>74</v>
      </c>
      <c r="D31" s="78">
        <v>189.46</v>
      </c>
      <c r="E31" s="78">
        <v>0</v>
      </c>
      <c r="F31" s="78">
        <f t="shared" si="3"/>
        <v>189.46</v>
      </c>
      <c r="G31" s="197">
        <f t="shared" si="24"/>
        <v>15.788333333333334</v>
      </c>
      <c r="H31" s="197">
        <f t="shared" si="24"/>
        <v>15.788333333333334</v>
      </c>
      <c r="I31" s="197">
        <f t="shared" si="24"/>
        <v>15.788333333333334</v>
      </c>
      <c r="J31" s="197">
        <f t="shared" si="24"/>
        <v>15.788333333333334</v>
      </c>
      <c r="K31" s="197">
        <f t="shared" si="24"/>
        <v>15.788333333333334</v>
      </c>
      <c r="L31" s="197">
        <f t="shared" si="24"/>
        <v>15.788333333333334</v>
      </c>
      <c r="M31" s="197">
        <f t="shared" si="24"/>
        <v>15.788333333333334</v>
      </c>
      <c r="N31" s="197">
        <f t="shared" si="24"/>
        <v>15.788333333333334</v>
      </c>
      <c r="O31" s="197">
        <f t="shared" si="24"/>
        <v>15.788333333333334</v>
      </c>
      <c r="P31" s="197">
        <f t="shared" si="24"/>
        <v>15.788333333333334</v>
      </c>
      <c r="Q31" s="197">
        <f t="shared" si="24"/>
        <v>15.788333333333334</v>
      </c>
      <c r="R31" s="197">
        <f t="shared" si="24"/>
        <v>15.788333333333334</v>
      </c>
      <c r="S31" s="198">
        <f t="shared" si="13"/>
        <v>189.45999999999995</v>
      </c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198">
        <f t="shared" si="6"/>
        <v>0</v>
      </c>
      <c r="AG31" s="78"/>
      <c r="AH31" s="78"/>
      <c r="AI31" s="78"/>
      <c r="AJ31" s="78"/>
      <c r="AK31" s="78"/>
      <c r="AL31" s="78"/>
      <c r="AM31" s="78"/>
      <c r="AN31" s="198">
        <f t="shared" si="11"/>
        <v>0</v>
      </c>
      <c r="AO31" s="199">
        <f t="shared" si="7"/>
        <v>189.45999999999995</v>
      </c>
      <c r="AP31" s="218">
        <f t="shared" si="8"/>
        <v>0</v>
      </c>
      <c r="AQ31" s="219">
        <v>12</v>
      </c>
      <c r="AR31" s="220">
        <f t="shared" si="19"/>
        <v>15.788333333333334</v>
      </c>
      <c r="AS31" s="60"/>
    </row>
    <row r="32" spans="1:45" ht="27.6" x14ac:dyDescent="0.3">
      <c r="A32" s="202" t="s">
        <v>355</v>
      </c>
      <c r="B32" s="203" t="s">
        <v>258</v>
      </c>
      <c r="C32" s="3" t="s">
        <v>74</v>
      </c>
      <c r="D32" s="78">
        <v>260.52999999999997</v>
      </c>
      <c r="E32" s="78">
        <v>0</v>
      </c>
      <c r="F32" s="78">
        <f t="shared" si="3"/>
        <v>260.52999999999997</v>
      </c>
      <c r="G32" s="197">
        <f t="shared" si="24"/>
        <v>11.842272727272727</v>
      </c>
      <c r="H32" s="197">
        <f t="shared" si="24"/>
        <v>11.842272727272727</v>
      </c>
      <c r="I32" s="197">
        <f t="shared" si="24"/>
        <v>11.842272727272727</v>
      </c>
      <c r="J32" s="197">
        <f t="shared" si="24"/>
        <v>11.842272727272727</v>
      </c>
      <c r="K32" s="197">
        <f t="shared" si="24"/>
        <v>11.842272727272727</v>
      </c>
      <c r="L32" s="197">
        <f t="shared" si="24"/>
        <v>11.842272727272727</v>
      </c>
      <c r="M32" s="197">
        <f t="shared" si="24"/>
        <v>11.842272727272727</v>
      </c>
      <c r="N32" s="197">
        <f t="shared" si="24"/>
        <v>11.842272727272727</v>
      </c>
      <c r="O32" s="197">
        <f t="shared" si="24"/>
        <v>11.842272727272727</v>
      </c>
      <c r="P32" s="197">
        <f t="shared" si="24"/>
        <v>11.842272727272727</v>
      </c>
      <c r="Q32" s="197">
        <f t="shared" si="24"/>
        <v>11.842272727272727</v>
      </c>
      <c r="R32" s="197">
        <f t="shared" si="24"/>
        <v>11.842272727272727</v>
      </c>
      <c r="S32" s="198">
        <f t="shared" si="13"/>
        <v>142.10727272727271</v>
      </c>
      <c r="T32" s="197">
        <f>$AR32</f>
        <v>11.842272727272727</v>
      </c>
      <c r="U32" s="197">
        <f t="shared" ref="U32:AC32" si="26">$AR32</f>
        <v>11.842272727272727</v>
      </c>
      <c r="V32" s="197">
        <f t="shared" si="26"/>
        <v>11.842272727272727</v>
      </c>
      <c r="W32" s="197">
        <f t="shared" si="26"/>
        <v>11.842272727272727</v>
      </c>
      <c r="X32" s="197">
        <f t="shared" si="26"/>
        <v>11.842272727272727</v>
      </c>
      <c r="Y32" s="197">
        <f t="shared" si="26"/>
        <v>11.842272727272727</v>
      </c>
      <c r="Z32" s="197">
        <f t="shared" si="26"/>
        <v>11.842272727272727</v>
      </c>
      <c r="AA32" s="197">
        <f t="shared" si="26"/>
        <v>11.842272727272727</v>
      </c>
      <c r="AB32" s="197">
        <f t="shared" si="26"/>
        <v>11.842272727272727</v>
      </c>
      <c r="AC32" s="197">
        <f t="shared" si="26"/>
        <v>11.842272727272727</v>
      </c>
      <c r="AD32" s="78"/>
      <c r="AE32" s="78"/>
      <c r="AF32" s="198">
        <f t="shared" si="6"/>
        <v>118.42272727272727</v>
      </c>
      <c r="AG32" s="78"/>
      <c r="AH32" s="78"/>
      <c r="AI32" s="78"/>
      <c r="AJ32" s="78"/>
      <c r="AK32" s="78"/>
      <c r="AL32" s="78"/>
      <c r="AM32" s="78"/>
      <c r="AN32" s="198">
        <f t="shared" si="11"/>
        <v>0</v>
      </c>
      <c r="AO32" s="199">
        <f t="shared" si="7"/>
        <v>260.52999999999997</v>
      </c>
      <c r="AP32" s="218">
        <f t="shared" si="8"/>
        <v>0</v>
      </c>
      <c r="AQ32" s="219">
        <v>22</v>
      </c>
      <c r="AR32" s="220">
        <f t="shared" si="19"/>
        <v>11.842272727272727</v>
      </c>
      <c r="AS32" s="60"/>
    </row>
    <row r="33" spans="1:45" ht="30" customHeight="1" x14ac:dyDescent="0.3">
      <c r="A33" s="202" t="s">
        <v>356</v>
      </c>
      <c r="B33" s="203" t="s">
        <v>358</v>
      </c>
      <c r="C33" s="3" t="s">
        <v>57</v>
      </c>
      <c r="D33" s="78">
        <v>125.65</v>
      </c>
      <c r="E33" s="78">
        <v>0</v>
      </c>
      <c r="F33" s="78">
        <f t="shared" si="3"/>
        <v>125.65</v>
      </c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98">
        <f>SUM(G33:R33)</f>
        <v>0</v>
      </c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198">
        <f t="shared" si="6"/>
        <v>0</v>
      </c>
      <c r="AG33" s="78"/>
      <c r="AH33" s="78"/>
      <c r="AI33" s="78"/>
      <c r="AJ33" s="78"/>
      <c r="AK33" s="78"/>
      <c r="AL33" s="78"/>
      <c r="AM33" s="78"/>
      <c r="AN33" s="198">
        <f t="shared" si="11"/>
        <v>0</v>
      </c>
      <c r="AO33" s="199">
        <f t="shared" si="7"/>
        <v>0</v>
      </c>
      <c r="AP33" s="218">
        <f t="shared" si="8"/>
        <v>125.65</v>
      </c>
      <c r="AQ33" s="219">
        <v>11</v>
      </c>
      <c r="AR33" s="220">
        <f t="shared" si="19"/>
        <v>11.422727272727274</v>
      </c>
      <c r="AS33" s="60" t="s">
        <v>290</v>
      </c>
    </row>
    <row r="34" spans="1:45" ht="50.1" customHeight="1" x14ac:dyDescent="0.3">
      <c r="A34" s="204" t="s">
        <v>97</v>
      </c>
      <c r="B34" s="205" t="s">
        <v>96</v>
      </c>
      <c r="C34" s="206"/>
      <c r="D34" s="207">
        <f>SUM(D35:D38)</f>
        <v>4348.74</v>
      </c>
      <c r="E34" s="207">
        <f t="shared" ref="E34:R34" si="27">SUM(E35:E38)</f>
        <v>0</v>
      </c>
      <c r="F34" s="207">
        <f t="shared" si="27"/>
        <v>4348.74</v>
      </c>
      <c r="G34" s="207">
        <f t="shared" si="27"/>
        <v>0</v>
      </c>
      <c r="H34" s="207">
        <f t="shared" si="27"/>
        <v>0</v>
      </c>
      <c r="I34" s="207">
        <f t="shared" si="27"/>
        <v>0</v>
      </c>
      <c r="J34" s="207">
        <f t="shared" si="27"/>
        <v>0</v>
      </c>
      <c r="K34" s="207">
        <f t="shared" si="27"/>
        <v>59.748000000000005</v>
      </c>
      <c r="L34" s="207">
        <f t="shared" si="27"/>
        <v>59.748000000000005</v>
      </c>
      <c r="M34" s="207">
        <f t="shared" si="27"/>
        <v>59.748000000000005</v>
      </c>
      <c r="N34" s="207">
        <f t="shared" si="27"/>
        <v>59.748000000000005</v>
      </c>
      <c r="O34" s="207">
        <f t="shared" si="27"/>
        <v>59.748000000000005</v>
      </c>
      <c r="P34" s="207">
        <f t="shared" si="27"/>
        <v>4.1669999999999998</v>
      </c>
      <c r="Q34" s="207">
        <f t="shared" si="27"/>
        <v>4.1669999999999998</v>
      </c>
      <c r="R34" s="207">
        <f t="shared" si="27"/>
        <v>337.5</v>
      </c>
      <c r="S34" s="198">
        <f>SUM(S35:S38)</f>
        <v>644.57399999999996</v>
      </c>
      <c r="T34" s="207">
        <f t="shared" ref="T34" si="28">SUM(T35:T38)</f>
        <v>337.5</v>
      </c>
      <c r="U34" s="207">
        <f t="shared" ref="U34" si="29">SUM(U35:U38)</f>
        <v>337.5</v>
      </c>
      <c r="V34" s="207">
        <f t="shared" ref="V34" si="30">SUM(V35:V38)</f>
        <v>337.5</v>
      </c>
      <c r="W34" s="207">
        <f t="shared" ref="W34" si="31">SUM(W35:W38)</f>
        <v>337.5</v>
      </c>
      <c r="X34" s="207">
        <f t="shared" ref="X34" si="32">SUM(X35:X38)</f>
        <v>337.5</v>
      </c>
      <c r="Y34" s="207">
        <f t="shared" ref="Y34" si="33">SUM(Y35:Y38)</f>
        <v>337.5</v>
      </c>
      <c r="Z34" s="207">
        <f t="shared" ref="Z34" si="34">SUM(Z35:Z38)</f>
        <v>337.5</v>
      </c>
      <c r="AA34" s="207">
        <f t="shared" ref="AA34" si="35">SUM(AA35:AA38)</f>
        <v>337.5</v>
      </c>
      <c r="AB34" s="207">
        <f t="shared" ref="AB34" si="36">SUM(AB35:AB38)</f>
        <v>337.5</v>
      </c>
      <c r="AC34" s="207">
        <f t="shared" ref="AC34" si="37">SUM(AC35:AC38)</f>
        <v>333.33333333333331</v>
      </c>
      <c r="AD34" s="207">
        <f t="shared" ref="AD34" si="38">SUM(AD35:AD38)</f>
        <v>333.33333333333331</v>
      </c>
      <c r="AE34" s="207">
        <f t="shared" ref="AE34" si="39">SUM(AE35:AE38)</f>
        <v>0</v>
      </c>
      <c r="AF34" s="198">
        <f>SUM(AF35:AF38)</f>
        <v>3704.166666666667</v>
      </c>
      <c r="AG34" s="207">
        <f t="shared" ref="AG34" si="40">SUM(AG35:AG38)</f>
        <v>0</v>
      </c>
      <c r="AH34" s="207">
        <f t="shared" ref="AH34" si="41">SUM(AH35:AH38)</f>
        <v>0</v>
      </c>
      <c r="AI34" s="207">
        <f t="shared" ref="AI34" si="42">SUM(AI35:AI38)</f>
        <v>0</v>
      </c>
      <c r="AJ34" s="207">
        <f t="shared" ref="AJ34" si="43">SUM(AJ35:AJ38)</f>
        <v>0</v>
      </c>
      <c r="AK34" s="207">
        <f t="shared" ref="AK34" si="44">SUM(AK35:AK38)</f>
        <v>0</v>
      </c>
      <c r="AL34" s="207">
        <f t="shared" ref="AL34" si="45">SUM(AL35:AL38)</f>
        <v>0</v>
      </c>
      <c r="AM34" s="207">
        <f t="shared" ref="AM34" si="46">SUM(AM35:AM38)</f>
        <v>0</v>
      </c>
      <c r="AN34" s="198">
        <f>SUM(AN35:AN38)</f>
        <v>0</v>
      </c>
      <c r="AO34" s="199">
        <f>SUM(AO35:AO38)</f>
        <v>4348.7406666666675</v>
      </c>
      <c r="AP34" s="218">
        <f>SUM(AP35:AP38)</f>
        <v>-6.6666666666748142E-4</v>
      </c>
      <c r="AQ34" s="219"/>
      <c r="AR34" s="220"/>
      <c r="AS34" s="60"/>
    </row>
    <row r="35" spans="1:45" ht="15" customHeight="1" x14ac:dyDescent="0.3">
      <c r="A35" s="202" t="s">
        <v>115</v>
      </c>
      <c r="B35" s="203" t="s">
        <v>114</v>
      </c>
      <c r="C35" s="3" t="s">
        <v>74</v>
      </c>
      <c r="D35" s="78">
        <v>298.74</v>
      </c>
      <c r="E35" s="78">
        <v>0</v>
      </c>
      <c r="F35" s="78">
        <f>D35+E35</f>
        <v>298.74</v>
      </c>
      <c r="G35" s="165"/>
      <c r="H35" s="165"/>
      <c r="I35" s="165"/>
      <c r="J35" s="165"/>
      <c r="K35" s="197">
        <f t="shared" ref="K35:O35" si="47">$AR35</f>
        <v>59.748000000000005</v>
      </c>
      <c r="L35" s="197">
        <f t="shared" si="47"/>
        <v>59.748000000000005</v>
      </c>
      <c r="M35" s="197">
        <f t="shared" si="47"/>
        <v>59.748000000000005</v>
      </c>
      <c r="N35" s="197">
        <f t="shared" si="47"/>
        <v>59.748000000000005</v>
      </c>
      <c r="O35" s="197">
        <f t="shared" si="47"/>
        <v>59.748000000000005</v>
      </c>
      <c r="P35" s="78"/>
      <c r="Q35" s="78"/>
      <c r="R35" s="78"/>
      <c r="S35" s="198">
        <f t="shared" ref="S35:S37" si="48">SUM(G35:R35)</f>
        <v>298.74</v>
      </c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198">
        <f>SUM(T35:AE35)</f>
        <v>0</v>
      </c>
      <c r="AG35" s="78"/>
      <c r="AH35" s="78"/>
      <c r="AI35" s="78"/>
      <c r="AJ35" s="78"/>
      <c r="AK35" s="78"/>
      <c r="AL35" s="78"/>
      <c r="AM35" s="78"/>
      <c r="AN35" s="198">
        <f t="shared" si="11"/>
        <v>0</v>
      </c>
      <c r="AO35" s="199">
        <f>S35+AF35+AN35</f>
        <v>298.74</v>
      </c>
      <c r="AP35" s="218">
        <f>D35-AO35</f>
        <v>0</v>
      </c>
      <c r="AQ35" s="219">
        <v>5</v>
      </c>
      <c r="AR35" s="220">
        <f>F35/AQ35</f>
        <v>59.748000000000005</v>
      </c>
      <c r="AS35" s="60"/>
    </row>
    <row r="36" spans="1:45" ht="15" customHeight="1" x14ac:dyDescent="0.3">
      <c r="A36" s="194" t="s">
        <v>205</v>
      </c>
      <c r="B36" s="195" t="s">
        <v>206</v>
      </c>
      <c r="C36" s="3" t="s">
        <v>39</v>
      </c>
      <c r="D36" s="78">
        <v>2000</v>
      </c>
      <c r="E36" s="78">
        <v>0</v>
      </c>
      <c r="F36" s="78">
        <f t="shared" ref="F36:F37" si="49">D36+E36</f>
        <v>2000</v>
      </c>
      <c r="G36" s="78"/>
      <c r="H36" s="78"/>
      <c r="I36" s="78"/>
      <c r="J36" s="78"/>
      <c r="K36" s="200"/>
      <c r="L36" s="200"/>
      <c r="M36" s="196"/>
      <c r="N36" s="196"/>
      <c r="O36" s="196"/>
      <c r="P36" s="165"/>
      <c r="Q36" s="165"/>
      <c r="R36" s="197">
        <f t="shared" ref="R36:R38" si="50">$AR36</f>
        <v>166.66666666666666</v>
      </c>
      <c r="S36" s="198">
        <f t="shared" si="48"/>
        <v>166.66666666666666</v>
      </c>
      <c r="T36" s="197">
        <f t="shared" ref="T36:AD38" si="51">$AR36</f>
        <v>166.66666666666666</v>
      </c>
      <c r="U36" s="197">
        <f t="shared" si="51"/>
        <v>166.66666666666666</v>
      </c>
      <c r="V36" s="197">
        <f t="shared" si="51"/>
        <v>166.66666666666666</v>
      </c>
      <c r="W36" s="197">
        <f t="shared" si="51"/>
        <v>166.66666666666666</v>
      </c>
      <c r="X36" s="197">
        <f t="shared" si="51"/>
        <v>166.66666666666666</v>
      </c>
      <c r="Y36" s="197">
        <f t="shared" si="51"/>
        <v>166.66666666666666</v>
      </c>
      <c r="Z36" s="197">
        <f t="shared" si="51"/>
        <v>166.66666666666666</v>
      </c>
      <c r="AA36" s="197">
        <f t="shared" si="51"/>
        <v>166.66666666666666</v>
      </c>
      <c r="AB36" s="197">
        <f t="shared" si="51"/>
        <v>166.66666666666666</v>
      </c>
      <c r="AC36" s="197">
        <f t="shared" si="51"/>
        <v>166.66666666666666</v>
      </c>
      <c r="AD36" s="197">
        <f t="shared" si="51"/>
        <v>166.66666666666666</v>
      </c>
      <c r="AE36" s="78"/>
      <c r="AF36" s="198">
        <f>SUM(T36:AE36)</f>
        <v>1833.3333333333335</v>
      </c>
      <c r="AG36" s="78"/>
      <c r="AH36" s="78"/>
      <c r="AI36" s="78"/>
      <c r="AJ36" s="78"/>
      <c r="AK36" s="78"/>
      <c r="AL36" s="78"/>
      <c r="AM36" s="78"/>
      <c r="AN36" s="198">
        <f t="shared" si="11"/>
        <v>0</v>
      </c>
      <c r="AO36" s="199">
        <f>S36+AF36+AN36</f>
        <v>2000.0000000000002</v>
      </c>
      <c r="AP36" s="218">
        <f>D36-AO36</f>
        <v>0</v>
      </c>
      <c r="AQ36" s="219">
        <v>12</v>
      </c>
      <c r="AR36" s="220">
        <f>F36/AQ36</f>
        <v>166.66666666666666</v>
      </c>
      <c r="AS36" s="60"/>
    </row>
    <row r="37" spans="1:45" ht="30" customHeight="1" x14ac:dyDescent="0.3">
      <c r="A37" s="194" t="s">
        <v>207</v>
      </c>
      <c r="B37" s="195" t="s">
        <v>208</v>
      </c>
      <c r="C37" s="3" t="s">
        <v>39</v>
      </c>
      <c r="D37" s="78">
        <v>2000</v>
      </c>
      <c r="E37" s="78">
        <v>0</v>
      </c>
      <c r="F37" s="78">
        <f t="shared" si="49"/>
        <v>2000</v>
      </c>
      <c r="G37" s="78"/>
      <c r="H37" s="78"/>
      <c r="I37" s="78"/>
      <c r="J37" s="78"/>
      <c r="K37" s="200"/>
      <c r="L37" s="200"/>
      <c r="M37" s="196"/>
      <c r="N37" s="196"/>
      <c r="O37" s="196"/>
      <c r="P37" s="165"/>
      <c r="Q37" s="165"/>
      <c r="R37" s="197">
        <f t="shared" si="50"/>
        <v>166.66666666666666</v>
      </c>
      <c r="S37" s="198">
        <f t="shared" si="48"/>
        <v>166.66666666666666</v>
      </c>
      <c r="T37" s="197">
        <f t="shared" si="51"/>
        <v>166.66666666666666</v>
      </c>
      <c r="U37" s="197">
        <f t="shared" si="51"/>
        <v>166.66666666666666</v>
      </c>
      <c r="V37" s="197">
        <f t="shared" si="51"/>
        <v>166.66666666666666</v>
      </c>
      <c r="W37" s="197">
        <f t="shared" si="51"/>
        <v>166.66666666666666</v>
      </c>
      <c r="X37" s="197">
        <f t="shared" si="51"/>
        <v>166.66666666666666</v>
      </c>
      <c r="Y37" s="197">
        <f t="shared" si="51"/>
        <v>166.66666666666666</v>
      </c>
      <c r="Z37" s="197">
        <f t="shared" si="51"/>
        <v>166.66666666666666</v>
      </c>
      <c r="AA37" s="197">
        <f t="shared" si="51"/>
        <v>166.66666666666666</v>
      </c>
      <c r="AB37" s="197">
        <f t="shared" si="51"/>
        <v>166.66666666666666</v>
      </c>
      <c r="AC37" s="197">
        <f t="shared" si="51"/>
        <v>166.66666666666666</v>
      </c>
      <c r="AD37" s="197">
        <f t="shared" si="51"/>
        <v>166.66666666666666</v>
      </c>
      <c r="AE37" s="78"/>
      <c r="AF37" s="198">
        <f>SUM(T37:AE37)</f>
        <v>1833.3333333333335</v>
      </c>
      <c r="AG37" s="78"/>
      <c r="AH37" s="78"/>
      <c r="AI37" s="78"/>
      <c r="AJ37" s="78"/>
      <c r="AK37" s="78"/>
      <c r="AL37" s="78"/>
      <c r="AM37" s="78"/>
      <c r="AN37" s="198">
        <f t="shared" si="11"/>
        <v>0</v>
      </c>
      <c r="AO37" s="199">
        <f>S37+AF37+AN37</f>
        <v>2000.0000000000002</v>
      </c>
      <c r="AP37" s="218">
        <f>D37-AO37</f>
        <v>0</v>
      </c>
      <c r="AQ37" s="219">
        <v>12</v>
      </c>
      <c r="AR37" s="220">
        <f>F37/AQ37</f>
        <v>166.66666666666666</v>
      </c>
      <c r="AS37" s="60"/>
    </row>
    <row r="38" spans="1:45" ht="15" customHeight="1" x14ac:dyDescent="0.3">
      <c r="A38" s="194" t="s">
        <v>209</v>
      </c>
      <c r="B38" s="195" t="s">
        <v>210</v>
      </c>
      <c r="C38" s="3" t="s">
        <v>58</v>
      </c>
      <c r="D38" s="78">
        <v>50</v>
      </c>
      <c r="E38" s="78">
        <v>0</v>
      </c>
      <c r="F38" s="78">
        <f t="shared" ref="F38" si="52">D38+E38</f>
        <v>50</v>
      </c>
      <c r="G38" s="78"/>
      <c r="H38" s="78"/>
      <c r="I38" s="78"/>
      <c r="J38" s="78"/>
      <c r="K38" s="200"/>
      <c r="L38" s="200"/>
      <c r="M38" s="196"/>
      <c r="N38" s="196"/>
      <c r="O38" s="196"/>
      <c r="P38" s="201">
        <v>4.1669999999999998</v>
      </c>
      <c r="Q38" s="201">
        <v>4.1669999999999998</v>
      </c>
      <c r="R38" s="197">
        <f t="shared" si="50"/>
        <v>4.166666666666667</v>
      </c>
      <c r="S38" s="198">
        <f t="shared" ref="S38" si="53">SUM(G38:R38)</f>
        <v>12.500666666666667</v>
      </c>
      <c r="T38" s="197">
        <f t="shared" si="51"/>
        <v>4.166666666666667</v>
      </c>
      <c r="U38" s="197">
        <f t="shared" si="51"/>
        <v>4.166666666666667</v>
      </c>
      <c r="V38" s="197">
        <f t="shared" si="51"/>
        <v>4.166666666666667</v>
      </c>
      <c r="W38" s="197">
        <f t="shared" si="51"/>
        <v>4.166666666666667</v>
      </c>
      <c r="X38" s="197">
        <f t="shared" si="51"/>
        <v>4.166666666666667</v>
      </c>
      <c r="Y38" s="197">
        <f t="shared" si="51"/>
        <v>4.166666666666667</v>
      </c>
      <c r="Z38" s="197">
        <f t="shared" si="51"/>
        <v>4.166666666666667</v>
      </c>
      <c r="AA38" s="197">
        <f t="shared" si="51"/>
        <v>4.166666666666667</v>
      </c>
      <c r="AB38" s="197">
        <f t="shared" si="51"/>
        <v>4.166666666666667</v>
      </c>
      <c r="AC38" s="197"/>
      <c r="AD38" s="197"/>
      <c r="AE38" s="78"/>
      <c r="AF38" s="198">
        <f>SUM(T38:AE38)</f>
        <v>37.5</v>
      </c>
      <c r="AG38" s="78"/>
      <c r="AH38" s="78"/>
      <c r="AI38" s="78"/>
      <c r="AJ38" s="78"/>
      <c r="AK38" s="78"/>
      <c r="AL38" s="78"/>
      <c r="AM38" s="78"/>
      <c r="AN38" s="198">
        <f t="shared" ref="AN38" si="54">SUM(AG38:AM38)</f>
        <v>0</v>
      </c>
      <c r="AO38" s="199">
        <f>S38+AF38+AN38</f>
        <v>50.000666666666667</v>
      </c>
      <c r="AP38" s="218">
        <f>D38-AO38</f>
        <v>-6.6666666666748142E-4</v>
      </c>
      <c r="AQ38" s="219">
        <v>12</v>
      </c>
      <c r="AR38" s="220">
        <f>F38/AQ38</f>
        <v>4.166666666666667</v>
      </c>
      <c r="AS38" s="60"/>
    </row>
    <row r="39" spans="1:45" ht="50.1" customHeight="1" x14ac:dyDescent="0.3">
      <c r="A39" s="204" t="s">
        <v>98</v>
      </c>
      <c r="B39" s="205" t="s">
        <v>62</v>
      </c>
      <c r="C39" s="208"/>
      <c r="D39" s="207">
        <f t="shared" ref="D39:AO39" si="55">SUM(D40:D44)</f>
        <v>1005.84</v>
      </c>
      <c r="E39" s="207">
        <f t="shared" si="55"/>
        <v>0</v>
      </c>
      <c r="F39" s="207">
        <f t="shared" si="55"/>
        <v>1005.84</v>
      </c>
      <c r="G39" s="207">
        <f t="shared" si="55"/>
        <v>0</v>
      </c>
      <c r="H39" s="207">
        <f t="shared" si="55"/>
        <v>0</v>
      </c>
      <c r="I39" s="207">
        <f t="shared" si="55"/>
        <v>0</v>
      </c>
      <c r="J39" s="207">
        <f t="shared" si="55"/>
        <v>0</v>
      </c>
      <c r="K39" s="207">
        <f t="shared" si="55"/>
        <v>0</v>
      </c>
      <c r="L39" s="207">
        <f t="shared" si="55"/>
        <v>0</v>
      </c>
      <c r="M39" s="207">
        <f t="shared" si="55"/>
        <v>0</v>
      </c>
      <c r="N39" s="207">
        <f t="shared" si="55"/>
        <v>0</v>
      </c>
      <c r="O39" s="207">
        <f t="shared" si="55"/>
        <v>4.375</v>
      </c>
      <c r="P39" s="207">
        <f t="shared" si="55"/>
        <v>87.708333333333329</v>
      </c>
      <c r="Q39" s="207">
        <f t="shared" si="55"/>
        <v>87.708333333333329</v>
      </c>
      <c r="R39" s="207">
        <f t="shared" si="55"/>
        <v>131.45833333333331</v>
      </c>
      <c r="S39" s="198">
        <f t="shared" si="55"/>
        <v>311.25</v>
      </c>
      <c r="T39" s="207">
        <f t="shared" si="55"/>
        <v>78.125</v>
      </c>
      <c r="U39" s="207">
        <f t="shared" si="55"/>
        <v>78.125</v>
      </c>
      <c r="V39" s="207">
        <f t="shared" si="55"/>
        <v>78.125</v>
      </c>
      <c r="W39" s="207">
        <f t="shared" si="55"/>
        <v>78.125</v>
      </c>
      <c r="X39" s="207">
        <f t="shared" si="55"/>
        <v>78.125</v>
      </c>
      <c r="Y39" s="207">
        <f t="shared" si="55"/>
        <v>78.125</v>
      </c>
      <c r="Z39" s="207">
        <f t="shared" si="55"/>
        <v>78.125</v>
      </c>
      <c r="AA39" s="207">
        <f t="shared" si="55"/>
        <v>34.375</v>
      </c>
      <c r="AB39" s="207">
        <f t="shared" si="55"/>
        <v>34.375</v>
      </c>
      <c r="AC39" s="207">
        <f t="shared" si="55"/>
        <v>34.375</v>
      </c>
      <c r="AD39" s="207">
        <f t="shared" si="55"/>
        <v>4.375</v>
      </c>
      <c r="AE39" s="207">
        <f t="shared" si="55"/>
        <v>4.375</v>
      </c>
      <c r="AF39" s="198">
        <f t="shared" si="55"/>
        <v>658.75</v>
      </c>
      <c r="AG39" s="207">
        <f t="shared" ref="AG39:AM39" si="56">SUM(AG40:AG44)</f>
        <v>0</v>
      </c>
      <c r="AH39" s="207">
        <f t="shared" si="56"/>
        <v>0</v>
      </c>
      <c r="AI39" s="207">
        <f t="shared" si="56"/>
        <v>0</v>
      </c>
      <c r="AJ39" s="207">
        <f t="shared" si="56"/>
        <v>0</v>
      </c>
      <c r="AK39" s="207">
        <f t="shared" si="56"/>
        <v>0</v>
      </c>
      <c r="AL39" s="207">
        <f t="shared" si="56"/>
        <v>0</v>
      </c>
      <c r="AM39" s="207">
        <f t="shared" si="56"/>
        <v>0</v>
      </c>
      <c r="AN39" s="198">
        <f t="shared" ref="AN39" si="57">SUM(AN40:AN44)</f>
        <v>0</v>
      </c>
      <c r="AO39" s="199">
        <f t="shared" si="55"/>
        <v>970</v>
      </c>
      <c r="AP39" s="218">
        <f>SUM(AP40:AP44)</f>
        <v>35.840000000000003</v>
      </c>
      <c r="AQ39" s="219"/>
      <c r="AR39" s="220"/>
      <c r="AS39" s="60"/>
    </row>
    <row r="40" spans="1:45" ht="14.4" x14ac:dyDescent="0.3">
      <c r="A40" s="202" t="s">
        <v>149</v>
      </c>
      <c r="B40" s="203" t="s">
        <v>386</v>
      </c>
      <c r="C40" s="3" t="s">
        <v>58</v>
      </c>
      <c r="D40" s="78">
        <v>35.840000000000003</v>
      </c>
      <c r="E40" s="78">
        <v>0</v>
      </c>
      <c r="F40" s="78">
        <f t="shared" ref="F40:F44" si="58">D40+E40</f>
        <v>35.840000000000003</v>
      </c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198">
        <f t="shared" ref="S40:S44" si="59">SUM(G40:R40)</f>
        <v>0</v>
      </c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198">
        <f>SUM(T40:AE40)</f>
        <v>0</v>
      </c>
      <c r="AG40" s="78"/>
      <c r="AH40" s="78"/>
      <c r="AI40" s="78"/>
      <c r="AJ40" s="78"/>
      <c r="AK40" s="78"/>
      <c r="AL40" s="78"/>
      <c r="AM40" s="78"/>
      <c r="AN40" s="198">
        <f t="shared" si="11"/>
        <v>0</v>
      </c>
      <c r="AO40" s="199">
        <f>S40+AF40+AN40</f>
        <v>0</v>
      </c>
      <c r="AP40" s="218">
        <f>D40-AO40</f>
        <v>35.840000000000003</v>
      </c>
      <c r="AQ40" s="219">
        <v>8</v>
      </c>
      <c r="AR40" s="220">
        <f>F40/AQ40</f>
        <v>4.4800000000000004</v>
      </c>
      <c r="AS40" s="60" t="s">
        <v>290</v>
      </c>
    </row>
    <row r="41" spans="1:45" ht="15" customHeight="1" x14ac:dyDescent="0.3">
      <c r="A41" s="194" t="s">
        <v>213</v>
      </c>
      <c r="B41" s="195" t="s">
        <v>299</v>
      </c>
      <c r="C41" s="3" t="s">
        <v>74</v>
      </c>
      <c r="D41" s="78">
        <v>350</v>
      </c>
      <c r="E41" s="78">
        <v>0</v>
      </c>
      <c r="F41" s="78">
        <f t="shared" si="58"/>
        <v>350</v>
      </c>
      <c r="G41" s="78"/>
      <c r="H41" s="78"/>
      <c r="I41" s="78"/>
      <c r="J41" s="78"/>
      <c r="K41" s="165"/>
      <c r="L41" s="165"/>
      <c r="M41" s="165"/>
      <c r="N41" s="165"/>
      <c r="O41" s="165"/>
      <c r="P41" s="165"/>
      <c r="Q41" s="196"/>
      <c r="R41" s="197">
        <f t="shared" ref="R41:AC43" si="60">$AR41</f>
        <v>43.75</v>
      </c>
      <c r="S41" s="198">
        <f t="shared" si="59"/>
        <v>43.75</v>
      </c>
      <c r="T41" s="197">
        <f t="shared" ref="T41:U43" si="61">$AR41</f>
        <v>43.75</v>
      </c>
      <c r="U41" s="197">
        <f t="shared" si="61"/>
        <v>43.75</v>
      </c>
      <c r="V41" s="197">
        <f t="shared" si="60"/>
        <v>43.75</v>
      </c>
      <c r="W41" s="197">
        <f t="shared" si="60"/>
        <v>43.75</v>
      </c>
      <c r="X41" s="197">
        <f t="shared" si="60"/>
        <v>43.75</v>
      </c>
      <c r="Y41" s="197">
        <f t="shared" si="60"/>
        <v>43.75</v>
      </c>
      <c r="Z41" s="201">
        <v>43.75</v>
      </c>
      <c r="AA41" s="78"/>
      <c r="AB41" s="78"/>
      <c r="AC41" s="78"/>
      <c r="AD41" s="78"/>
      <c r="AE41" s="78"/>
      <c r="AF41" s="198">
        <f>SUM(T41:AE41)</f>
        <v>306.25</v>
      </c>
      <c r="AG41" s="78"/>
      <c r="AH41" s="78"/>
      <c r="AI41" s="78"/>
      <c r="AJ41" s="78"/>
      <c r="AK41" s="78"/>
      <c r="AL41" s="78"/>
      <c r="AM41" s="78"/>
      <c r="AN41" s="198">
        <f t="shared" si="11"/>
        <v>0</v>
      </c>
      <c r="AO41" s="199">
        <f>S41+AF41+AN41</f>
        <v>350</v>
      </c>
      <c r="AP41" s="218">
        <f>D41-AO41</f>
        <v>0</v>
      </c>
      <c r="AQ41" s="219">
        <v>8</v>
      </c>
      <c r="AR41" s="220">
        <f>F41/AQ41</f>
        <v>43.75</v>
      </c>
      <c r="AS41" s="60"/>
    </row>
    <row r="42" spans="1:45" ht="30" customHeight="1" x14ac:dyDescent="0.3">
      <c r="A42" s="194" t="s">
        <v>341</v>
      </c>
      <c r="B42" s="195" t="s">
        <v>307</v>
      </c>
      <c r="C42" s="3" t="s">
        <v>73</v>
      </c>
      <c r="D42" s="78">
        <v>250</v>
      </c>
      <c r="E42" s="78">
        <v>0</v>
      </c>
      <c r="F42" s="78">
        <f>D42+E42</f>
        <v>250</v>
      </c>
      <c r="G42" s="78"/>
      <c r="H42" s="78"/>
      <c r="I42" s="78"/>
      <c r="J42" s="78"/>
      <c r="K42" s="78"/>
      <c r="L42" s="165"/>
      <c r="M42" s="165"/>
      <c r="N42" s="165"/>
      <c r="O42" s="165"/>
      <c r="P42" s="197">
        <f>$AR42</f>
        <v>83.333333333333329</v>
      </c>
      <c r="Q42" s="197">
        <f>$AR42</f>
        <v>83.333333333333329</v>
      </c>
      <c r="R42" s="197">
        <f>$AR42</f>
        <v>83.333333333333329</v>
      </c>
      <c r="S42" s="198">
        <f t="shared" ref="S42" si="62">SUM(G42:R42)</f>
        <v>250</v>
      </c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198">
        <f>SUM(T42:AE42)</f>
        <v>0</v>
      </c>
      <c r="AG42" s="78"/>
      <c r="AH42" s="78"/>
      <c r="AI42" s="78"/>
      <c r="AJ42" s="78"/>
      <c r="AK42" s="78"/>
      <c r="AL42" s="78"/>
      <c r="AM42" s="78"/>
      <c r="AN42" s="198">
        <f t="shared" si="11"/>
        <v>0</v>
      </c>
      <c r="AO42" s="199">
        <f>S42+AF42+AN42</f>
        <v>250</v>
      </c>
      <c r="AP42" s="218">
        <f>D42-AO42</f>
        <v>0</v>
      </c>
      <c r="AQ42" s="219">
        <v>3</v>
      </c>
      <c r="AR42" s="220">
        <f>F42/AQ42</f>
        <v>83.333333333333329</v>
      </c>
      <c r="AS42" s="60"/>
    </row>
    <row r="43" spans="1:45" ht="15" customHeight="1" x14ac:dyDescent="0.3">
      <c r="A43" s="194" t="s">
        <v>348</v>
      </c>
      <c r="B43" s="195" t="s">
        <v>334</v>
      </c>
      <c r="C43" s="3" t="s">
        <v>74</v>
      </c>
      <c r="D43" s="78">
        <v>300</v>
      </c>
      <c r="E43" s="78">
        <v>0</v>
      </c>
      <c r="F43" s="78">
        <f t="shared" ref="F43" si="63">D43+E43</f>
        <v>300</v>
      </c>
      <c r="G43" s="78"/>
      <c r="H43" s="78"/>
      <c r="I43" s="78"/>
      <c r="J43" s="78"/>
      <c r="K43" s="78"/>
      <c r="L43" s="165"/>
      <c r="M43" s="165"/>
      <c r="N43" s="165"/>
      <c r="O43" s="165"/>
      <c r="P43" s="165"/>
      <c r="Q43" s="196"/>
      <c r="R43" s="196"/>
      <c r="S43" s="198">
        <f t="shared" ref="S43" si="64">SUM(G43:R43)</f>
        <v>0</v>
      </c>
      <c r="T43" s="197">
        <f t="shared" si="61"/>
        <v>30</v>
      </c>
      <c r="U43" s="197">
        <f t="shared" si="61"/>
        <v>30</v>
      </c>
      <c r="V43" s="197">
        <f t="shared" si="60"/>
        <v>30</v>
      </c>
      <c r="W43" s="197">
        <f t="shared" si="60"/>
        <v>30</v>
      </c>
      <c r="X43" s="197">
        <f t="shared" si="60"/>
        <v>30</v>
      </c>
      <c r="Y43" s="197">
        <f t="shared" si="60"/>
        <v>30</v>
      </c>
      <c r="Z43" s="197">
        <f t="shared" si="60"/>
        <v>30</v>
      </c>
      <c r="AA43" s="197">
        <f t="shared" si="60"/>
        <v>30</v>
      </c>
      <c r="AB43" s="197">
        <f t="shared" si="60"/>
        <v>30</v>
      </c>
      <c r="AC43" s="197">
        <f t="shared" si="60"/>
        <v>30</v>
      </c>
      <c r="AD43" s="78"/>
      <c r="AE43" s="78"/>
      <c r="AF43" s="198">
        <f>SUM(T43:AE43)</f>
        <v>300</v>
      </c>
      <c r="AG43" s="78"/>
      <c r="AH43" s="78"/>
      <c r="AI43" s="78"/>
      <c r="AJ43" s="78"/>
      <c r="AK43" s="78"/>
      <c r="AL43" s="78"/>
      <c r="AM43" s="78"/>
      <c r="AN43" s="198">
        <f t="shared" si="11"/>
        <v>0</v>
      </c>
      <c r="AO43" s="199">
        <f>S43+AF43+AN43</f>
        <v>300</v>
      </c>
      <c r="AP43" s="218">
        <f>D43-AO43</f>
        <v>0</v>
      </c>
      <c r="AQ43" s="219">
        <v>10</v>
      </c>
      <c r="AR43" s="220">
        <f>F43/AQ43</f>
        <v>30</v>
      </c>
      <c r="AS43" s="60"/>
    </row>
    <row r="44" spans="1:45" ht="15" customHeight="1" x14ac:dyDescent="0.3">
      <c r="A44" s="194" t="s">
        <v>357</v>
      </c>
      <c r="B44" s="195" t="s">
        <v>223</v>
      </c>
      <c r="C44" s="3" t="s">
        <v>73</v>
      </c>
      <c r="D44" s="78">
        <v>70</v>
      </c>
      <c r="E44" s="78">
        <v>0</v>
      </c>
      <c r="F44" s="78">
        <f t="shared" si="58"/>
        <v>70</v>
      </c>
      <c r="G44" s="78"/>
      <c r="H44" s="78"/>
      <c r="I44" s="78"/>
      <c r="J44" s="78"/>
      <c r="K44" s="78"/>
      <c r="L44" s="165"/>
      <c r="M44" s="165"/>
      <c r="N44" s="165"/>
      <c r="O44" s="197">
        <f t="shared" ref="O44:AE44" si="65">$AR44</f>
        <v>4.375</v>
      </c>
      <c r="P44" s="197">
        <f t="shared" si="65"/>
        <v>4.375</v>
      </c>
      <c r="Q44" s="197">
        <f t="shared" si="65"/>
        <v>4.375</v>
      </c>
      <c r="R44" s="197">
        <f t="shared" si="65"/>
        <v>4.375</v>
      </c>
      <c r="S44" s="198">
        <f t="shared" si="59"/>
        <v>17.5</v>
      </c>
      <c r="T44" s="197">
        <f t="shared" si="65"/>
        <v>4.375</v>
      </c>
      <c r="U44" s="197">
        <f t="shared" si="65"/>
        <v>4.375</v>
      </c>
      <c r="V44" s="197">
        <f t="shared" si="65"/>
        <v>4.375</v>
      </c>
      <c r="W44" s="197">
        <f t="shared" si="65"/>
        <v>4.375</v>
      </c>
      <c r="X44" s="197">
        <f t="shared" si="65"/>
        <v>4.375</v>
      </c>
      <c r="Y44" s="197">
        <f t="shared" si="65"/>
        <v>4.375</v>
      </c>
      <c r="Z44" s="197">
        <f t="shared" si="65"/>
        <v>4.375</v>
      </c>
      <c r="AA44" s="197">
        <f t="shared" si="65"/>
        <v>4.375</v>
      </c>
      <c r="AB44" s="197">
        <f t="shared" si="65"/>
        <v>4.375</v>
      </c>
      <c r="AC44" s="197">
        <f t="shared" si="65"/>
        <v>4.375</v>
      </c>
      <c r="AD44" s="197">
        <f t="shared" si="65"/>
        <v>4.375</v>
      </c>
      <c r="AE44" s="197">
        <f t="shared" si="65"/>
        <v>4.375</v>
      </c>
      <c r="AF44" s="198">
        <f>SUM(T44:AE44)</f>
        <v>52.5</v>
      </c>
      <c r="AG44" s="78"/>
      <c r="AH44" s="78"/>
      <c r="AI44" s="78"/>
      <c r="AJ44" s="78"/>
      <c r="AK44" s="78"/>
      <c r="AL44" s="78"/>
      <c r="AM44" s="78"/>
      <c r="AN44" s="198">
        <f t="shared" si="11"/>
        <v>0</v>
      </c>
      <c r="AO44" s="199">
        <f>S44+AF44+AN44</f>
        <v>70</v>
      </c>
      <c r="AP44" s="218">
        <f>D44-AO44</f>
        <v>0</v>
      </c>
      <c r="AQ44" s="219">
        <v>16</v>
      </c>
      <c r="AR44" s="220">
        <f>F44/AQ44</f>
        <v>4.375</v>
      </c>
      <c r="AS44" s="60"/>
    </row>
    <row r="45" spans="1:45" ht="50.1" customHeight="1" x14ac:dyDescent="0.3">
      <c r="A45" s="204" t="s">
        <v>103</v>
      </c>
      <c r="B45" s="205" t="s">
        <v>63</v>
      </c>
      <c r="C45" s="205"/>
      <c r="D45" s="207">
        <f>SUM(D46:D48)</f>
        <v>0</v>
      </c>
      <c r="E45" s="207">
        <f t="shared" ref="E45:R45" si="66">SUM(E46:E48)</f>
        <v>15625.38</v>
      </c>
      <c r="F45" s="207">
        <f t="shared" si="66"/>
        <v>15625.38</v>
      </c>
      <c r="G45" s="207">
        <f t="shared" si="66"/>
        <v>0</v>
      </c>
      <c r="H45" s="207">
        <f t="shared" si="66"/>
        <v>0</v>
      </c>
      <c r="I45" s="207">
        <f t="shared" si="66"/>
        <v>0</v>
      </c>
      <c r="J45" s="207">
        <f t="shared" si="66"/>
        <v>0</v>
      </c>
      <c r="K45" s="207">
        <f t="shared" si="66"/>
        <v>0</v>
      </c>
      <c r="L45" s="207">
        <f t="shared" si="66"/>
        <v>0</v>
      </c>
      <c r="M45" s="207">
        <f t="shared" si="66"/>
        <v>0</v>
      </c>
      <c r="N45" s="207">
        <f t="shared" si="66"/>
        <v>0</v>
      </c>
      <c r="O45" s="207">
        <f t="shared" si="66"/>
        <v>0</v>
      </c>
      <c r="P45" s="207">
        <f t="shared" si="66"/>
        <v>559.76713333333328</v>
      </c>
      <c r="Q45" s="207">
        <f t="shared" si="66"/>
        <v>559.76713333333328</v>
      </c>
      <c r="R45" s="207">
        <f t="shared" si="66"/>
        <v>559.76713333333328</v>
      </c>
      <c r="S45" s="198">
        <f>SUM(S46:S48)</f>
        <v>1679.3013999999998</v>
      </c>
      <c r="T45" s="207">
        <f t="shared" ref="T45" si="67">SUM(T46:T48)</f>
        <v>559.76713333333328</v>
      </c>
      <c r="U45" s="207">
        <f t="shared" ref="U45" si="68">SUM(U46:U48)</f>
        <v>559.76713333333328</v>
      </c>
      <c r="V45" s="207">
        <f t="shared" ref="V45" si="69">SUM(V46:V48)</f>
        <v>559.76713333333328</v>
      </c>
      <c r="W45" s="207">
        <f t="shared" ref="W45" si="70">SUM(W46:W48)</f>
        <v>559.76713333333328</v>
      </c>
      <c r="X45" s="207">
        <f t="shared" ref="X45" si="71">SUM(X46:X48)</f>
        <v>559.76713333333328</v>
      </c>
      <c r="Y45" s="207">
        <f t="shared" ref="Y45" si="72">SUM(Y46:Y48)</f>
        <v>559.76713333333328</v>
      </c>
      <c r="Z45" s="207">
        <f t="shared" ref="Z45" si="73">SUM(Z46:Z48)</f>
        <v>559.76713333333328</v>
      </c>
      <c r="AA45" s="207">
        <f t="shared" ref="AA45" si="74">SUM(AA46:AA48)</f>
        <v>559.76713333333328</v>
      </c>
      <c r="AB45" s="207">
        <f t="shared" ref="AB45" si="75">SUM(AB46:AB48)</f>
        <v>559.76713333333328</v>
      </c>
      <c r="AC45" s="207">
        <f t="shared" ref="AC45" si="76">SUM(AC46:AC48)</f>
        <v>559.76713333333328</v>
      </c>
      <c r="AD45" s="207">
        <f t="shared" ref="AD45" si="77">SUM(AD46:AD48)</f>
        <v>559.76713333333328</v>
      </c>
      <c r="AE45" s="207">
        <f t="shared" ref="AE45" si="78">SUM(AE46:AE48)</f>
        <v>559.76713333333328</v>
      </c>
      <c r="AF45" s="198">
        <f>SUM(AF46:AF48)</f>
        <v>6717.2055999999975</v>
      </c>
      <c r="AG45" s="207">
        <f t="shared" ref="AG45" si="79">SUM(AG46:AG48)</f>
        <v>0</v>
      </c>
      <c r="AH45" s="207">
        <f t="shared" ref="AH45" si="80">SUM(AH46:AH48)</f>
        <v>0</v>
      </c>
      <c r="AI45" s="207">
        <f t="shared" ref="AI45" si="81">SUM(AI46:AI48)</f>
        <v>0</v>
      </c>
      <c r="AJ45" s="207">
        <f t="shared" ref="AJ45" si="82">SUM(AJ46:AJ48)</f>
        <v>0</v>
      </c>
      <c r="AK45" s="207">
        <f t="shared" ref="AK45" si="83">SUM(AK46:AK48)</f>
        <v>0</v>
      </c>
      <c r="AL45" s="207">
        <f t="shared" ref="AL45" si="84">SUM(AL46:AL48)</f>
        <v>0</v>
      </c>
      <c r="AM45" s="207">
        <f t="shared" ref="AM45" si="85">SUM(AM46:AM48)</f>
        <v>0</v>
      </c>
      <c r="AN45" s="198">
        <f>SUM(AN46:AN48)</f>
        <v>0</v>
      </c>
      <c r="AO45" s="199">
        <f>SUM(AO46:AO48)</f>
        <v>8396.5069999999978</v>
      </c>
      <c r="AP45" s="218">
        <f>SUM(AP46:AP48)</f>
        <v>-7228.8729999999996</v>
      </c>
      <c r="AQ45" s="219"/>
      <c r="AR45" s="220"/>
      <c r="AS45" s="60"/>
    </row>
    <row r="46" spans="1:45" ht="45" customHeight="1" x14ac:dyDescent="0.3">
      <c r="A46" s="202" t="s">
        <v>136</v>
      </c>
      <c r="B46" s="203" t="s">
        <v>270</v>
      </c>
      <c r="C46" s="3" t="s">
        <v>37</v>
      </c>
      <c r="D46" s="78">
        <v>0</v>
      </c>
      <c r="E46" s="78">
        <f>444.067+444.067</f>
        <v>888.13400000000001</v>
      </c>
      <c r="F46" s="78">
        <f>D46+E46</f>
        <v>888.13400000000001</v>
      </c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198">
        <f t="shared" ref="S46:S47" si="86">SUM(G46:R46)</f>
        <v>0</v>
      </c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198">
        <f>SUM(T46:AE46)</f>
        <v>0</v>
      </c>
      <c r="AG46" s="78"/>
      <c r="AH46" s="78"/>
      <c r="AI46" s="78"/>
      <c r="AJ46" s="78"/>
      <c r="AK46" s="78"/>
      <c r="AL46" s="78"/>
      <c r="AM46" s="78"/>
      <c r="AN46" s="198">
        <f t="shared" si="11"/>
        <v>0</v>
      </c>
      <c r="AO46" s="199">
        <f>S46+AF46+AN46</f>
        <v>0</v>
      </c>
      <c r="AP46" s="218">
        <f>AO46-F46</f>
        <v>-888.13400000000001</v>
      </c>
      <c r="AQ46" s="219">
        <v>1</v>
      </c>
      <c r="AR46" s="220">
        <f>F46/AQ46</f>
        <v>888.13400000000001</v>
      </c>
      <c r="AS46" s="60" t="s">
        <v>291</v>
      </c>
    </row>
    <row r="47" spans="1:45" ht="30" customHeight="1" x14ac:dyDescent="0.3">
      <c r="A47" s="202" t="s">
        <v>137</v>
      </c>
      <c r="B47" s="203" t="s">
        <v>268</v>
      </c>
      <c r="C47" s="3" t="s">
        <v>37</v>
      </c>
      <c r="D47" s="78">
        <v>0</v>
      </c>
      <c r="E47" s="78">
        <v>6340.7389999999996</v>
      </c>
      <c r="F47" s="78">
        <f>D47+E47</f>
        <v>6340.7389999999996</v>
      </c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198">
        <f t="shared" si="86"/>
        <v>0</v>
      </c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198">
        <f>SUM(T47:AE47)</f>
        <v>0</v>
      </c>
      <c r="AG47" s="78"/>
      <c r="AH47" s="78"/>
      <c r="AI47" s="78"/>
      <c r="AJ47" s="78"/>
      <c r="AK47" s="78"/>
      <c r="AL47" s="78"/>
      <c r="AM47" s="78"/>
      <c r="AN47" s="198">
        <f t="shared" si="11"/>
        <v>0</v>
      </c>
      <c r="AO47" s="199">
        <f>S47+AF47+AN47</f>
        <v>0</v>
      </c>
      <c r="AP47" s="218">
        <f>AO47-F47</f>
        <v>-6340.7389999999996</v>
      </c>
      <c r="AQ47" s="219">
        <v>1</v>
      </c>
      <c r="AR47" s="220">
        <f>F47/AQ47</f>
        <v>6340.7389999999996</v>
      </c>
      <c r="AS47" s="60" t="s">
        <v>291</v>
      </c>
    </row>
    <row r="48" spans="1:45" ht="30" customHeight="1" x14ac:dyDescent="0.3">
      <c r="A48" s="194" t="s">
        <v>377</v>
      </c>
      <c r="B48" s="195" t="s">
        <v>388</v>
      </c>
      <c r="C48" s="3" t="s">
        <v>37</v>
      </c>
      <c r="D48" s="78">
        <v>0</v>
      </c>
      <c r="E48" s="78">
        <v>8396.5069999999996</v>
      </c>
      <c r="F48" s="78">
        <f t="shared" ref="F48" si="87">D48+E48</f>
        <v>8396.5069999999996</v>
      </c>
      <c r="G48" s="78"/>
      <c r="H48" s="78"/>
      <c r="I48" s="78"/>
      <c r="J48" s="78"/>
      <c r="K48" s="200"/>
      <c r="L48" s="200"/>
      <c r="M48" s="78"/>
      <c r="N48" s="78"/>
      <c r="O48" s="78"/>
      <c r="P48" s="197">
        <f t="shared" ref="P48:R48" si="88">$AR48</f>
        <v>559.76713333333328</v>
      </c>
      <c r="Q48" s="197">
        <f t="shared" si="88"/>
        <v>559.76713333333328</v>
      </c>
      <c r="R48" s="197">
        <f t="shared" si="88"/>
        <v>559.76713333333328</v>
      </c>
      <c r="S48" s="198">
        <f t="shared" ref="S48" si="89">SUM(G48:R48)</f>
        <v>1679.3013999999998</v>
      </c>
      <c r="T48" s="197">
        <f t="shared" ref="T48:AE48" si="90">$AR48</f>
        <v>559.76713333333328</v>
      </c>
      <c r="U48" s="197">
        <f t="shared" si="90"/>
        <v>559.76713333333328</v>
      </c>
      <c r="V48" s="197">
        <f t="shared" si="90"/>
        <v>559.76713333333328</v>
      </c>
      <c r="W48" s="197">
        <f t="shared" si="90"/>
        <v>559.76713333333328</v>
      </c>
      <c r="X48" s="197">
        <f t="shared" si="90"/>
        <v>559.76713333333328</v>
      </c>
      <c r="Y48" s="197">
        <f t="shared" si="90"/>
        <v>559.76713333333328</v>
      </c>
      <c r="Z48" s="197">
        <f t="shared" si="90"/>
        <v>559.76713333333328</v>
      </c>
      <c r="AA48" s="197">
        <f t="shared" si="90"/>
        <v>559.76713333333328</v>
      </c>
      <c r="AB48" s="197">
        <f t="shared" si="90"/>
        <v>559.76713333333328</v>
      </c>
      <c r="AC48" s="197">
        <f t="shared" si="90"/>
        <v>559.76713333333328</v>
      </c>
      <c r="AD48" s="197">
        <f t="shared" si="90"/>
        <v>559.76713333333328</v>
      </c>
      <c r="AE48" s="197">
        <f t="shared" si="90"/>
        <v>559.76713333333328</v>
      </c>
      <c r="AF48" s="198">
        <f>SUM(T48:AE48)</f>
        <v>6717.2055999999975</v>
      </c>
      <c r="AG48" s="78"/>
      <c r="AH48" s="78"/>
      <c r="AI48" s="78"/>
      <c r="AJ48" s="78"/>
      <c r="AK48" s="78"/>
      <c r="AL48" s="78"/>
      <c r="AM48" s="78"/>
      <c r="AN48" s="198">
        <f t="shared" si="11"/>
        <v>0</v>
      </c>
      <c r="AO48" s="199">
        <f>S48+AF48+AN48</f>
        <v>8396.5069999999978</v>
      </c>
      <c r="AP48" s="218">
        <f>AO48-F48</f>
        <v>0</v>
      </c>
      <c r="AQ48" s="219">
        <v>15</v>
      </c>
      <c r="AR48" s="220">
        <f>F48/AQ48</f>
        <v>559.76713333333328</v>
      </c>
      <c r="AS48" s="60" t="s">
        <v>389</v>
      </c>
    </row>
    <row r="49" spans="1:45" ht="50.1" customHeight="1" x14ac:dyDescent="0.3">
      <c r="A49" s="204" t="s">
        <v>99</v>
      </c>
      <c r="B49" s="205" t="s">
        <v>101</v>
      </c>
      <c r="C49" s="205"/>
      <c r="D49" s="207">
        <f t="shared" ref="D49:AO49" si="91">SUM(D50:D59)</f>
        <v>4495.4642447292563</v>
      </c>
      <c r="E49" s="207">
        <f t="shared" si="91"/>
        <v>0</v>
      </c>
      <c r="F49" s="207">
        <f t="shared" si="91"/>
        <v>4495.4642447292563</v>
      </c>
      <c r="G49" s="207">
        <f t="shared" si="91"/>
        <v>249.21850000000001</v>
      </c>
      <c r="H49" s="207">
        <f t="shared" si="91"/>
        <v>249.21850000000001</v>
      </c>
      <c r="I49" s="207">
        <f t="shared" si="91"/>
        <v>249.21850000000001</v>
      </c>
      <c r="J49" s="207">
        <f t="shared" si="91"/>
        <v>249.21850000000001</v>
      </c>
      <c r="K49" s="207">
        <f t="shared" si="91"/>
        <v>272.6236244729256</v>
      </c>
      <c r="L49" s="207">
        <f t="shared" si="91"/>
        <v>272.6236244729256</v>
      </c>
      <c r="M49" s="207">
        <f t="shared" si="91"/>
        <v>272.6236244729256</v>
      </c>
      <c r="N49" s="207">
        <f t="shared" si="91"/>
        <v>275.74029113959222</v>
      </c>
      <c r="O49" s="207">
        <f t="shared" si="91"/>
        <v>275.74029113959222</v>
      </c>
      <c r="P49" s="207">
        <f t="shared" si="91"/>
        <v>275.74029113959222</v>
      </c>
      <c r="Q49" s="207">
        <f t="shared" si="91"/>
        <v>163.15929113959223</v>
      </c>
      <c r="R49" s="207">
        <f t="shared" si="91"/>
        <v>256.03893399673512</v>
      </c>
      <c r="S49" s="198">
        <f t="shared" si="91"/>
        <v>3061.163971973881</v>
      </c>
      <c r="T49" s="207">
        <f t="shared" si="91"/>
        <v>256.03893399673512</v>
      </c>
      <c r="U49" s="207">
        <f t="shared" si="91"/>
        <v>223.64393399673509</v>
      </c>
      <c r="V49" s="207">
        <f t="shared" si="91"/>
        <v>200.23880952380952</v>
      </c>
      <c r="W49" s="207">
        <f t="shared" si="91"/>
        <v>200.23880952380952</v>
      </c>
      <c r="X49" s="207">
        <f t="shared" si="91"/>
        <v>183.18880952380951</v>
      </c>
      <c r="Y49" s="207">
        <f t="shared" si="91"/>
        <v>183.18880952380951</v>
      </c>
      <c r="Z49" s="207">
        <f t="shared" si="91"/>
        <v>84.081666666666663</v>
      </c>
      <c r="AA49" s="207">
        <f t="shared" si="91"/>
        <v>0</v>
      </c>
      <c r="AB49" s="207">
        <f t="shared" si="91"/>
        <v>0</v>
      </c>
      <c r="AC49" s="207">
        <f t="shared" si="91"/>
        <v>0</v>
      </c>
      <c r="AD49" s="207">
        <f t="shared" si="91"/>
        <v>0</v>
      </c>
      <c r="AE49" s="207">
        <f t="shared" si="91"/>
        <v>0</v>
      </c>
      <c r="AF49" s="198">
        <f t="shared" si="91"/>
        <v>1330.6197727553747</v>
      </c>
      <c r="AG49" s="207">
        <f t="shared" ref="AG49:AM49" si="92">SUM(AG50:AG59)</f>
        <v>0</v>
      </c>
      <c r="AH49" s="207">
        <f t="shared" si="92"/>
        <v>0</v>
      </c>
      <c r="AI49" s="207">
        <f t="shared" si="92"/>
        <v>0</v>
      </c>
      <c r="AJ49" s="207">
        <f t="shared" si="92"/>
        <v>0</v>
      </c>
      <c r="AK49" s="207">
        <f t="shared" si="92"/>
        <v>0</v>
      </c>
      <c r="AL49" s="207">
        <f t="shared" si="92"/>
        <v>0</v>
      </c>
      <c r="AM49" s="207">
        <f t="shared" si="92"/>
        <v>0</v>
      </c>
      <c r="AN49" s="198">
        <f t="shared" ref="AN49" si="93">SUM(AN50:AN59)</f>
        <v>0</v>
      </c>
      <c r="AO49" s="199">
        <f t="shared" si="91"/>
        <v>4391.7837447292559</v>
      </c>
      <c r="AP49" s="218">
        <f>SUM(AP50:AP59)</f>
        <v>103.68050000000014</v>
      </c>
      <c r="AQ49" s="219"/>
      <c r="AR49" s="220"/>
      <c r="AS49" s="60"/>
    </row>
    <row r="50" spans="1:45" ht="65.099999999999994" customHeight="1" x14ac:dyDescent="0.3">
      <c r="A50" s="194" t="s">
        <v>166</v>
      </c>
      <c r="B50" s="195" t="s">
        <v>262</v>
      </c>
      <c r="C50" s="3" t="s">
        <v>74</v>
      </c>
      <c r="D50" s="78">
        <v>408.71</v>
      </c>
      <c r="E50" s="78">
        <v>0</v>
      </c>
      <c r="F50" s="78">
        <f t="shared" ref="F50:F59" si="94">D50+E50</f>
        <v>408.71</v>
      </c>
      <c r="G50" s="165"/>
      <c r="H50" s="165"/>
      <c r="I50" s="165"/>
      <c r="J50" s="165"/>
      <c r="K50" s="165"/>
      <c r="L50" s="165"/>
      <c r="M50" s="165"/>
      <c r="N50" s="197">
        <f t="shared" ref="N50:Z54" si="95">$AR50</f>
        <v>34.059166666666663</v>
      </c>
      <c r="O50" s="197">
        <f t="shared" si="95"/>
        <v>34.059166666666663</v>
      </c>
      <c r="P50" s="197">
        <f t="shared" si="95"/>
        <v>34.059166666666663</v>
      </c>
      <c r="Q50" s="197">
        <f t="shared" si="95"/>
        <v>34.059166666666663</v>
      </c>
      <c r="R50" s="197">
        <f t="shared" si="95"/>
        <v>34.059166666666663</v>
      </c>
      <c r="S50" s="198">
        <f t="shared" ref="S50:S59" si="96">SUM(G50:R50)</f>
        <v>170.29583333333332</v>
      </c>
      <c r="T50" s="197">
        <f t="shared" si="95"/>
        <v>34.059166666666663</v>
      </c>
      <c r="U50" s="197">
        <f t="shared" si="95"/>
        <v>34.059166666666663</v>
      </c>
      <c r="V50" s="197">
        <f t="shared" si="95"/>
        <v>34.059166666666663</v>
      </c>
      <c r="W50" s="197">
        <f t="shared" si="95"/>
        <v>34.059166666666663</v>
      </c>
      <c r="X50" s="197">
        <f t="shared" ref="X50:Z50" si="97">$AR50</f>
        <v>34.059166666666663</v>
      </c>
      <c r="Y50" s="197">
        <f t="shared" si="97"/>
        <v>34.059166666666663</v>
      </c>
      <c r="Z50" s="197">
        <f t="shared" si="97"/>
        <v>34.059166666666663</v>
      </c>
      <c r="AA50" s="78"/>
      <c r="AB50" s="78"/>
      <c r="AC50" s="78"/>
      <c r="AD50" s="78"/>
      <c r="AE50" s="78"/>
      <c r="AF50" s="198">
        <f t="shared" ref="AF50:AF59" si="98">SUM(T50:AE50)</f>
        <v>238.41416666666666</v>
      </c>
      <c r="AG50" s="78"/>
      <c r="AH50" s="78"/>
      <c r="AI50" s="78"/>
      <c r="AJ50" s="78"/>
      <c r="AK50" s="78"/>
      <c r="AL50" s="78"/>
      <c r="AM50" s="78"/>
      <c r="AN50" s="198">
        <f t="shared" si="11"/>
        <v>0</v>
      </c>
      <c r="AO50" s="199">
        <f t="shared" ref="AO50:AO59" si="99">S50+AF50+AN50</f>
        <v>408.71</v>
      </c>
      <c r="AP50" s="218">
        <f t="shared" ref="AP50:AP59" si="100">D50-AO50</f>
        <v>0</v>
      </c>
      <c r="AQ50" s="219">
        <v>12</v>
      </c>
      <c r="AR50" s="220">
        <f t="shared" ref="AR50:AR59" si="101">F50/AQ50</f>
        <v>34.059166666666663</v>
      </c>
      <c r="AS50" s="60"/>
    </row>
    <row r="51" spans="1:45" ht="65.099999999999994" customHeight="1" x14ac:dyDescent="0.3">
      <c r="A51" s="202" t="s">
        <v>224</v>
      </c>
      <c r="B51" s="203" t="s">
        <v>387</v>
      </c>
      <c r="C51" s="3" t="s">
        <v>58</v>
      </c>
      <c r="D51" s="78">
        <v>40.31</v>
      </c>
      <c r="E51" s="78">
        <v>0</v>
      </c>
      <c r="F51" s="78">
        <f t="shared" si="94"/>
        <v>40.31</v>
      </c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198">
        <f t="shared" si="96"/>
        <v>0</v>
      </c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198">
        <f t="shared" si="98"/>
        <v>0</v>
      </c>
      <c r="AG51" s="78"/>
      <c r="AH51" s="78"/>
      <c r="AI51" s="78"/>
      <c r="AJ51" s="78"/>
      <c r="AK51" s="78"/>
      <c r="AL51" s="78"/>
      <c r="AM51" s="78"/>
      <c r="AN51" s="198">
        <f t="shared" si="11"/>
        <v>0</v>
      </c>
      <c r="AO51" s="199">
        <f t="shared" si="99"/>
        <v>0</v>
      </c>
      <c r="AP51" s="218">
        <f t="shared" si="100"/>
        <v>40.31</v>
      </c>
      <c r="AQ51" s="219">
        <v>13</v>
      </c>
      <c r="AR51" s="220">
        <f t="shared" si="101"/>
        <v>3.1007692307692309</v>
      </c>
      <c r="AS51" s="60" t="s">
        <v>290</v>
      </c>
    </row>
    <row r="52" spans="1:45" ht="30" customHeight="1" x14ac:dyDescent="0.3">
      <c r="A52" s="194" t="s">
        <v>67</v>
      </c>
      <c r="B52" s="195" t="s">
        <v>124</v>
      </c>
      <c r="C52" s="3" t="s">
        <v>74</v>
      </c>
      <c r="D52" s="78">
        <v>400.18</v>
      </c>
      <c r="E52" s="78">
        <v>0</v>
      </c>
      <c r="F52" s="78">
        <f t="shared" si="94"/>
        <v>400.18</v>
      </c>
      <c r="G52" s="78"/>
      <c r="H52" s="78"/>
      <c r="I52" s="78"/>
      <c r="J52" s="78"/>
      <c r="K52" s="165"/>
      <c r="L52" s="165"/>
      <c r="M52" s="165"/>
      <c r="N52" s="165"/>
      <c r="O52" s="165"/>
      <c r="P52" s="165"/>
      <c r="Q52" s="196"/>
      <c r="R52" s="197">
        <f t="shared" si="95"/>
        <v>50.022500000000001</v>
      </c>
      <c r="S52" s="198">
        <f t="shared" si="96"/>
        <v>50.022500000000001</v>
      </c>
      <c r="T52" s="197">
        <f t="shared" si="95"/>
        <v>50.022500000000001</v>
      </c>
      <c r="U52" s="197">
        <f t="shared" si="95"/>
        <v>50.022500000000001</v>
      </c>
      <c r="V52" s="197">
        <f t="shared" si="95"/>
        <v>50.022500000000001</v>
      </c>
      <c r="W52" s="197">
        <f t="shared" si="95"/>
        <v>50.022500000000001</v>
      </c>
      <c r="X52" s="197">
        <f t="shared" si="95"/>
        <v>50.022500000000001</v>
      </c>
      <c r="Y52" s="197">
        <f t="shared" si="95"/>
        <v>50.022500000000001</v>
      </c>
      <c r="Z52" s="197">
        <f t="shared" si="95"/>
        <v>50.022500000000001</v>
      </c>
      <c r="AA52" s="78"/>
      <c r="AB52" s="78"/>
      <c r="AC52" s="78"/>
      <c r="AD52" s="78"/>
      <c r="AE52" s="78"/>
      <c r="AF52" s="198">
        <f t="shared" si="98"/>
        <v>350.15749999999997</v>
      </c>
      <c r="AG52" s="78"/>
      <c r="AH52" s="78"/>
      <c r="AI52" s="78"/>
      <c r="AJ52" s="78"/>
      <c r="AK52" s="78"/>
      <c r="AL52" s="78"/>
      <c r="AM52" s="78"/>
      <c r="AN52" s="198">
        <f t="shared" si="11"/>
        <v>0</v>
      </c>
      <c r="AO52" s="199">
        <f t="shared" si="99"/>
        <v>400.17999999999995</v>
      </c>
      <c r="AP52" s="218">
        <f t="shared" si="100"/>
        <v>0</v>
      </c>
      <c r="AQ52" s="219">
        <v>8</v>
      </c>
      <c r="AR52" s="220">
        <f t="shared" si="101"/>
        <v>50.022500000000001</v>
      </c>
      <c r="AS52" s="60"/>
    </row>
    <row r="53" spans="1:45" ht="14.4" x14ac:dyDescent="0.3">
      <c r="A53" s="194" t="s">
        <v>229</v>
      </c>
      <c r="B53" s="195" t="s">
        <v>359</v>
      </c>
      <c r="C53" s="3" t="s">
        <v>74</v>
      </c>
      <c r="D53" s="78">
        <v>300</v>
      </c>
      <c r="E53" s="78">
        <v>0</v>
      </c>
      <c r="F53" s="78">
        <f t="shared" si="94"/>
        <v>300</v>
      </c>
      <c r="G53" s="78"/>
      <c r="H53" s="78"/>
      <c r="I53" s="78"/>
      <c r="J53" s="78"/>
      <c r="K53" s="165"/>
      <c r="L53" s="165"/>
      <c r="M53" s="165"/>
      <c r="N53" s="165"/>
      <c r="O53" s="165"/>
      <c r="P53" s="165"/>
      <c r="Q53" s="196"/>
      <c r="R53" s="197">
        <f t="shared" si="95"/>
        <v>42.857142857142854</v>
      </c>
      <c r="S53" s="198">
        <f t="shared" si="96"/>
        <v>42.857142857142854</v>
      </c>
      <c r="T53" s="197">
        <f t="shared" si="95"/>
        <v>42.857142857142854</v>
      </c>
      <c r="U53" s="197">
        <f t="shared" si="95"/>
        <v>42.857142857142854</v>
      </c>
      <c r="V53" s="197">
        <f t="shared" si="95"/>
        <v>42.857142857142854</v>
      </c>
      <c r="W53" s="197">
        <f t="shared" si="95"/>
        <v>42.857142857142854</v>
      </c>
      <c r="X53" s="197">
        <f t="shared" si="95"/>
        <v>42.857142857142854</v>
      </c>
      <c r="Y53" s="197">
        <f t="shared" si="95"/>
        <v>42.857142857142854</v>
      </c>
      <c r="Z53" s="78"/>
      <c r="AA53" s="78"/>
      <c r="AB53" s="78"/>
      <c r="AC53" s="78"/>
      <c r="AD53" s="78"/>
      <c r="AE53" s="78"/>
      <c r="AF53" s="198">
        <f t="shared" si="98"/>
        <v>257.14285714285711</v>
      </c>
      <c r="AG53" s="78"/>
      <c r="AH53" s="78"/>
      <c r="AI53" s="78"/>
      <c r="AJ53" s="78"/>
      <c r="AK53" s="78"/>
      <c r="AL53" s="78"/>
      <c r="AM53" s="78"/>
      <c r="AN53" s="198">
        <f t="shared" si="11"/>
        <v>0</v>
      </c>
      <c r="AO53" s="199">
        <f t="shared" si="99"/>
        <v>299.99999999999994</v>
      </c>
      <c r="AP53" s="218">
        <f t="shared" si="100"/>
        <v>0</v>
      </c>
      <c r="AQ53" s="219">
        <v>7</v>
      </c>
      <c r="AR53" s="220">
        <f t="shared" si="101"/>
        <v>42.857142857142854</v>
      </c>
      <c r="AS53" s="60"/>
    </row>
    <row r="54" spans="1:45" ht="14.4" x14ac:dyDescent="0.3">
      <c r="A54" s="194" t="s">
        <v>151</v>
      </c>
      <c r="B54" s="195" t="s">
        <v>123</v>
      </c>
      <c r="C54" s="3" t="s">
        <v>74</v>
      </c>
      <c r="D54" s="78">
        <v>450</v>
      </c>
      <c r="E54" s="78">
        <v>0</v>
      </c>
      <c r="F54" s="78">
        <f t="shared" si="94"/>
        <v>450</v>
      </c>
      <c r="G54" s="165"/>
      <c r="H54" s="165"/>
      <c r="I54" s="165"/>
      <c r="J54" s="165"/>
      <c r="K54" s="165"/>
      <c r="L54" s="165"/>
      <c r="M54" s="165"/>
      <c r="N54" s="165"/>
      <c r="O54" s="165"/>
      <c r="P54" s="196"/>
      <c r="Q54" s="197">
        <f t="shared" si="95"/>
        <v>56.25</v>
      </c>
      <c r="R54" s="197">
        <f t="shared" si="95"/>
        <v>56.25</v>
      </c>
      <c r="S54" s="198">
        <f t="shared" si="96"/>
        <v>112.5</v>
      </c>
      <c r="T54" s="197">
        <f t="shared" si="95"/>
        <v>56.25</v>
      </c>
      <c r="U54" s="197">
        <f t="shared" si="95"/>
        <v>56.25</v>
      </c>
      <c r="V54" s="197">
        <f t="shared" si="95"/>
        <v>56.25</v>
      </c>
      <c r="W54" s="197">
        <f t="shared" si="95"/>
        <v>56.25</v>
      </c>
      <c r="X54" s="197">
        <f t="shared" si="95"/>
        <v>56.25</v>
      </c>
      <c r="Y54" s="197">
        <f t="shared" si="95"/>
        <v>56.25</v>
      </c>
      <c r="Z54" s="78"/>
      <c r="AA54" s="78"/>
      <c r="AB54" s="78"/>
      <c r="AC54" s="78"/>
      <c r="AD54" s="78"/>
      <c r="AE54" s="78"/>
      <c r="AF54" s="198">
        <f t="shared" si="98"/>
        <v>337.5</v>
      </c>
      <c r="AG54" s="78"/>
      <c r="AH54" s="78"/>
      <c r="AI54" s="78"/>
      <c r="AJ54" s="78"/>
      <c r="AK54" s="78"/>
      <c r="AL54" s="78"/>
      <c r="AM54" s="78"/>
      <c r="AN54" s="198">
        <f t="shared" si="11"/>
        <v>0</v>
      </c>
      <c r="AO54" s="199">
        <f t="shared" si="99"/>
        <v>450</v>
      </c>
      <c r="AP54" s="218">
        <f t="shared" si="100"/>
        <v>0</v>
      </c>
      <c r="AQ54" s="219">
        <v>8</v>
      </c>
      <c r="AR54" s="220">
        <f t="shared" si="101"/>
        <v>56.25</v>
      </c>
      <c r="AS54" s="60"/>
    </row>
    <row r="55" spans="1:45" ht="30" customHeight="1" x14ac:dyDescent="0.3">
      <c r="A55" s="202" t="s">
        <v>145</v>
      </c>
      <c r="B55" s="203" t="s">
        <v>76</v>
      </c>
      <c r="C55" s="3" t="s">
        <v>74</v>
      </c>
      <c r="D55" s="78">
        <v>247.54</v>
      </c>
      <c r="E55" s="78">
        <v>0</v>
      </c>
      <c r="F55" s="78">
        <f t="shared" si="94"/>
        <v>247.54</v>
      </c>
      <c r="G55" s="197">
        <f t="shared" ref="G55:M55" si="102">$AR55</f>
        <v>30.942499999999999</v>
      </c>
      <c r="H55" s="197">
        <f t="shared" si="102"/>
        <v>30.942499999999999</v>
      </c>
      <c r="I55" s="197">
        <f t="shared" si="102"/>
        <v>30.942499999999999</v>
      </c>
      <c r="J55" s="197">
        <f t="shared" si="102"/>
        <v>30.942499999999999</v>
      </c>
      <c r="K55" s="197">
        <f t="shared" si="102"/>
        <v>30.942499999999999</v>
      </c>
      <c r="L55" s="197">
        <f t="shared" si="102"/>
        <v>30.942499999999999</v>
      </c>
      <c r="M55" s="197">
        <f t="shared" si="102"/>
        <v>30.942499999999999</v>
      </c>
      <c r="N55" s="78"/>
      <c r="O55" s="78"/>
      <c r="P55" s="78"/>
      <c r="Q55" s="78"/>
      <c r="R55" s="78"/>
      <c r="S55" s="198">
        <f t="shared" si="96"/>
        <v>216.5975</v>
      </c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198">
        <f t="shared" si="98"/>
        <v>0</v>
      </c>
      <c r="AG55" s="78"/>
      <c r="AH55" s="78"/>
      <c r="AI55" s="78"/>
      <c r="AJ55" s="78"/>
      <c r="AK55" s="78"/>
      <c r="AL55" s="78"/>
      <c r="AM55" s="78"/>
      <c r="AN55" s="198">
        <f t="shared" si="11"/>
        <v>0</v>
      </c>
      <c r="AO55" s="199">
        <f t="shared" si="99"/>
        <v>216.5975</v>
      </c>
      <c r="AP55" s="218">
        <f t="shared" si="100"/>
        <v>30.942499999999995</v>
      </c>
      <c r="AQ55" s="219">
        <v>8</v>
      </c>
      <c r="AR55" s="220">
        <f t="shared" si="101"/>
        <v>30.942499999999999</v>
      </c>
      <c r="AS55" s="60"/>
    </row>
    <row r="56" spans="1:45" ht="14.4" x14ac:dyDescent="0.3">
      <c r="A56" s="202" t="s">
        <v>350</v>
      </c>
      <c r="B56" s="203" t="s">
        <v>68</v>
      </c>
      <c r="C56" s="3" t="s">
        <v>74</v>
      </c>
      <c r="D56" s="78">
        <v>453.53</v>
      </c>
      <c r="E56" s="78">
        <v>0</v>
      </c>
      <c r="F56" s="78">
        <f t="shared" si="94"/>
        <v>453.53</v>
      </c>
      <c r="G56" s="197">
        <f t="shared" ref="G56:T56" si="103">$AR56</f>
        <v>32.394999999999996</v>
      </c>
      <c r="H56" s="197">
        <f t="shared" si="103"/>
        <v>32.394999999999996</v>
      </c>
      <c r="I56" s="197">
        <f t="shared" si="103"/>
        <v>32.394999999999996</v>
      </c>
      <c r="J56" s="197">
        <f t="shared" si="103"/>
        <v>32.394999999999996</v>
      </c>
      <c r="K56" s="197">
        <f t="shared" si="103"/>
        <v>32.394999999999996</v>
      </c>
      <c r="L56" s="197">
        <f t="shared" si="103"/>
        <v>32.394999999999996</v>
      </c>
      <c r="M56" s="197">
        <f t="shared" si="103"/>
        <v>32.394999999999996</v>
      </c>
      <c r="N56" s="197">
        <f t="shared" si="103"/>
        <v>32.394999999999996</v>
      </c>
      <c r="O56" s="197">
        <f t="shared" si="103"/>
        <v>32.394999999999996</v>
      </c>
      <c r="P56" s="197">
        <f t="shared" si="103"/>
        <v>32.394999999999996</v>
      </c>
      <c r="Q56" s="197">
        <f t="shared" si="103"/>
        <v>32.394999999999996</v>
      </c>
      <c r="R56" s="197">
        <f t="shared" si="103"/>
        <v>32.394999999999996</v>
      </c>
      <c r="S56" s="198">
        <f t="shared" si="96"/>
        <v>388.73999999999984</v>
      </c>
      <c r="T56" s="197">
        <f t="shared" si="103"/>
        <v>32.394999999999996</v>
      </c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198">
        <f t="shared" si="98"/>
        <v>32.394999999999996</v>
      </c>
      <c r="AG56" s="78"/>
      <c r="AH56" s="78"/>
      <c r="AI56" s="78"/>
      <c r="AJ56" s="78"/>
      <c r="AK56" s="78"/>
      <c r="AL56" s="78"/>
      <c r="AM56" s="78"/>
      <c r="AN56" s="198">
        <f t="shared" si="11"/>
        <v>0</v>
      </c>
      <c r="AO56" s="199">
        <f t="shared" si="99"/>
        <v>421.13499999999982</v>
      </c>
      <c r="AP56" s="218">
        <f t="shared" si="100"/>
        <v>32.395000000000152</v>
      </c>
      <c r="AQ56" s="219">
        <v>14</v>
      </c>
      <c r="AR56" s="220">
        <f t="shared" si="101"/>
        <v>32.394999999999996</v>
      </c>
      <c r="AS56" s="60"/>
    </row>
    <row r="57" spans="1:45" ht="30" customHeight="1" x14ac:dyDescent="0.3">
      <c r="A57" s="194" t="s">
        <v>351</v>
      </c>
      <c r="B57" s="195" t="s">
        <v>333</v>
      </c>
      <c r="C57" s="3" t="s">
        <v>57</v>
      </c>
      <c r="D57" s="78">
        <v>102.333</v>
      </c>
      <c r="E57" s="78">
        <v>0</v>
      </c>
      <c r="F57" s="78">
        <f t="shared" si="94"/>
        <v>102.333</v>
      </c>
      <c r="G57" s="78"/>
      <c r="H57" s="78"/>
      <c r="I57" s="78"/>
      <c r="J57" s="78"/>
      <c r="K57" s="78"/>
      <c r="L57" s="165"/>
      <c r="M57" s="165"/>
      <c r="N57" s="165"/>
      <c r="O57" s="196"/>
      <c r="P57" s="196"/>
      <c r="Q57" s="197">
        <v>17.05</v>
      </c>
      <c r="R57" s="197">
        <v>17.05</v>
      </c>
      <c r="S57" s="198">
        <f t="shared" si="96"/>
        <v>34.1</v>
      </c>
      <c r="T57" s="197">
        <v>17.05</v>
      </c>
      <c r="U57" s="197">
        <v>17.05</v>
      </c>
      <c r="V57" s="201">
        <v>17.05</v>
      </c>
      <c r="W57" s="201">
        <v>17.05</v>
      </c>
      <c r="X57" s="78"/>
      <c r="Y57" s="78"/>
      <c r="Z57" s="78"/>
      <c r="AA57" s="78"/>
      <c r="AB57" s="78"/>
      <c r="AC57" s="78"/>
      <c r="AD57" s="78"/>
      <c r="AE57" s="78"/>
      <c r="AF57" s="198">
        <f t="shared" si="98"/>
        <v>68.2</v>
      </c>
      <c r="AG57" s="78"/>
      <c r="AH57" s="78"/>
      <c r="AI57" s="78"/>
      <c r="AJ57" s="78"/>
      <c r="AK57" s="78"/>
      <c r="AL57" s="78"/>
      <c r="AM57" s="78"/>
      <c r="AN57" s="198">
        <f t="shared" si="11"/>
        <v>0</v>
      </c>
      <c r="AO57" s="199">
        <f t="shared" si="99"/>
        <v>102.30000000000001</v>
      </c>
      <c r="AP57" s="218">
        <f t="shared" si="100"/>
        <v>3.299999999998704E-2</v>
      </c>
      <c r="AQ57" s="219">
        <v>6</v>
      </c>
      <c r="AR57" s="220">
        <f t="shared" si="101"/>
        <v>17.055499999999999</v>
      </c>
      <c r="AS57" s="60"/>
    </row>
    <row r="58" spans="1:45" ht="14.4" x14ac:dyDescent="0.3">
      <c r="A58" s="202" t="s">
        <v>340</v>
      </c>
      <c r="B58" s="203" t="s">
        <v>113</v>
      </c>
      <c r="C58" s="3" t="s">
        <v>39</v>
      </c>
      <c r="D58" s="78">
        <v>1858.81</v>
      </c>
      <c r="E58" s="78">
        <v>0</v>
      </c>
      <c r="F58" s="78">
        <f t="shared" si="94"/>
        <v>1858.81</v>
      </c>
      <c r="G58" s="197">
        <f t="shared" ref="G58:U59" si="104">$AR58</f>
        <v>185.881</v>
      </c>
      <c r="H58" s="197">
        <f t="shared" si="104"/>
        <v>185.881</v>
      </c>
      <c r="I58" s="197">
        <f t="shared" si="104"/>
        <v>185.881</v>
      </c>
      <c r="J58" s="197">
        <f t="shared" si="104"/>
        <v>185.881</v>
      </c>
      <c r="K58" s="197">
        <f t="shared" si="104"/>
        <v>185.881</v>
      </c>
      <c r="L58" s="197">
        <f t="shared" si="104"/>
        <v>185.881</v>
      </c>
      <c r="M58" s="197">
        <f t="shared" si="104"/>
        <v>185.881</v>
      </c>
      <c r="N58" s="197">
        <f t="shared" si="104"/>
        <v>185.881</v>
      </c>
      <c r="O58" s="197">
        <f t="shared" si="104"/>
        <v>185.881</v>
      </c>
      <c r="P58" s="197">
        <f t="shared" si="104"/>
        <v>185.881</v>
      </c>
      <c r="Q58" s="78"/>
      <c r="R58" s="78"/>
      <c r="S58" s="198">
        <f t="shared" si="96"/>
        <v>1858.8100000000004</v>
      </c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198">
        <f t="shared" si="98"/>
        <v>0</v>
      </c>
      <c r="AG58" s="78"/>
      <c r="AH58" s="78"/>
      <c r="AI58" s="78"/>
      <c r="AJ58" s="78"/>
      <c r="AK58" s="78"/>
      <c r="AL58" s="78"/>
      <c r="AM58" s="78"/>
      <c r="AN58" s="198">
        <f t="shared" si="11"/>
        <v>0</v>
      </c>
      <c r="AO58" s="199">
        <f t="shared" si="99"/>
        <v>1858.8100000000004</v>
      </c>
      <c r="AP58" s="218">
        <f t="shared" si="100"/>
        <v>0</v>
      </c>
      <c r="AQ58" s="219">
        <v>10</v>
      </c>
      <c r="AR58" s="220">
        <f t="shared" si="101"/>
        <v>185.881</v>
      </c>
      <c r="AS58" s="60"/>
    </row>
    <row r="59" spans="1:45" ht="14.4" x14ac:dyDescent="0.3">
      <c r="A59" s="202" t="s">
        <v>146</v>
      </c>
      <c r="B59" s="203" t="s">
        <v>69</v>
      </c>
      <c r="C59" s="3" t="s">
        <v>74</v>
      </c>
      <c r="D59" s="78">
        <f>((343011.03)+(111648.73 *3.5014))/3.1358/1000</f>
        <v>234.05124472925567</v>
      </c>
      <c r="E59" s="78">
        <v>0</v>
      </c>
      <c r="F59" s="78">
        <f t="shared" si="94"/>
        <v>234.05124472925567</v>
      </c>
      <c r="G59" s="165"/>
      <c r="H59" s="165"/>
      <c r="I59" s="165"/>
      <c r="J59" s="165"/>
      <c r="K59" s="197">
        <f t="shared" si="104"/>
        <v>23.405124472925568</v>
      </c>
      <c r="L59" s="197">
        <f t="shared" si="104"/>
        <v>23.405124472925568</v>
      </c>
      <c r="M59" s="197">
        <f t="shared" si="104"/>
        <v>23.405124472925568</v>
      </c>
      <c r="N59" s="197">
        <f t="shared" si="104"/>
        <v>23.405124472925568</v>
      </c>
      <c r="O59" s="197">
        <f t="shared" si="104"/>
        <v>23.405124472925568</v>
      </c>
      <c r="P59" s="197">
        <f t="shared" si="104"/>
        <v>23.405124472925568</v>
      </c>
      <c r="Q59" s="197">
        <f t="shared" si="104"/>
        <v>23.405124472925568</v>
      </c>
      <c r="R59" s="197">
        <f t="shared" si="104"/>
        <v>23.405124472925568</v>
      </c>
      <c r="S59" s="198">
        <f t="shared" si="96"/>
        <v>187.24099578340454</v>
      </c>
      <c r="T59" s="197">
        <f t="shared" si="104"/>
        <v>23.405124472925568</v>
      </c>
      <c r="U59" s="197">
        <f t="shared" si="104"/>
        <v>23.405124472925568</v>
      </c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198">
        <f t="shared" si="98"/>
        <v>46.810248945851136</v>
      </c>
      <c r="AG59" s="78"/>
      <c r="AH59" s="78"/>
      <c r="AI59" s="78"/>
      <c r="AJ59" s="78"/>
      <c r="AK59" s="78"/>
      <c r="AL59" s="78"/>
      <c r="AM59" s="78"/>
      <c r="AN59" s="198">
        <f t="shared" si="11"/>
        <v>0</v>
      </c>
      <c r="AO59" s="199">
        <f t="shared" si="99"/>
        <v>234.05124472925567</v>
      </c>
      <c r="AP59" s="218">
        <f t="shared" si="100"/>
        <v>0</v>
      </c>
      <c r="AQ59" s="219">
        <v>10</v>
      </c>
      <c r="AR59" s="220">
        <f t="shared" si="101"/>
        <v>23.405124472925568</v>
      </c>
      <c r="AS59" s="60"/>
    </row>
    <row r="60" spans="1:45" ht="50.1" customHeight="1" x14ac:dyDescent="0.3">
      <c r="A60" s="204" t="s">
        <v>100</v>
      </c>
      <c r="B60" s="205" t="s">
        <v>102</v>
      </c>
      <c r="C60" s="205"/>
      <c r="D60" s="207">
        <f>SUM(D61:D66)</f>
        <v>7255.6233249535635</v>
      </c>
      <c r="E60" s="207">
        <f t="shared" ref="E60:R60" si="105">SUM(E61:E66)</f>
        <v>0</v>
      </c>
      <c r="F60" s="207">
        <f t="shared" si="105"/>
        <v>7255.6233249535635</v>
      </c>
      <c r="G60" s="207">
        <f t="shared" si="105"/>
        <v>120.23014693604944</v>
      </c>
      <c r="H60" s="207">
        <f t="shared" si="105"/>
        <v>120.23014693604944</v>
      </c>
      <c r="I60" s="207">
        <f t="shared" si="105"/>
        <v>120.23014693604944</v>
      </c>
      <c r="J60" s="207">
        <f t="shared" si="105"/>
        <v>120.23014693604944</v>
      </c>
      <c r="K60" s="207">
        <f t="shared" si="105"/>
        <v>120.23014693604944</v>
      </c>
      <c r="L60" s="207">
        <f t="shared" si="105"/>
        <v>120.23014693604944</v>
      </c>
      <c r="M60" s="207">
        <f t="shared" si="105"/>
        <v>170.47270067034373</v>
      </c>
      <c r="N60" s="207">
        <f t="shared" si="105"/>
        <v>170.47270067034373</v>
      </c>
      <c r="O60" s="207">
        <f t="shared" si="105"/>
        <v>170.47270067034373</v>
      </c>
      <c r="P60" s="207">
        <f t="shared" si="105"/>
        <v>165.97270067034373</v>
      </c>
      <c r="Q60" s="207">
        <f t="shared" si="105"/>
        <v>188.97270067034373</v>
      </c>
      <c r="R60" s="207">
        <f t="shared" si="105"/>
        <v>188.97270067034373</v>
      </c>
      <c r="S60" s="198">
        <f>SUM(S61:S66)</f>
        <v>1776.7170856383593</v>
      </c>
      <c r="T60" s="207">
        <f t="shared" ref="T60" si="106">SUM(T61:T66)</f>
        <v>188.97270067034373</v>
      </c>
      <c r="U60" s="207">
        <f t="shared" ref="U60" si="107">SUM(U61:U66)</f>
        <v>188.97270067034373</v>
      </c>
      <c r="V60" s="207">
        <f t="shared" ref="V60" si="108">SUM(V61:V66)</f>
        <v>188.97270067034373</v>
      </c>
      <c r="W60" s="207">
        <f t="shared" ref="W60" si="109">SUM(W61:W66)</f>
        <v>163.47270067034373</v>
      </c>
      <c r="X60" s="207">
        <f t="shared" ref="X60" si="110">SUM(X61:X66)</f>
        <v>120.23014693604944</v>
      </c>
      <c r="Y60" s="207">
        <f t="shared" ref="Y60" si="111">SUM(Y61:Y66)</f>
        <v>120.23014693604944</v>
      </c>
      <c r="Z60" s="207">
        <f t="shared" ref="Z60" si="112">SUM(Z61:Z66)</f>
        <v>220.23014693604944</v>
      </c>
      <c r="AA60" s="207">
        <f t="shared" ref="AA60" si="113">SUM(AA61:AA66)</f>
        <v>220.23014693604944</v>
      </c>
      <c r="AB60" s="207">
        <f t="shared" ref="AB60" si="114">SUM(AB61:AB66)</f>
        <v>220.23014693604944</v>
      </c>
      <c r="AC60" s="207">
        <f t="shared" ref="AC60" si="115">SUM(AC61:AC66)</f>
        <v>120.23014693604944</v>
      </c>
      <c r="AD60" s="207">
        <f t="shared" ref="AD60" si="116">SUM(AD61:AD66)</f>
        <v>120.23014693604944</v>
      </c>
      <c r="AE60" s="207">
        <f t="shared" ref="AE60" si="117">SUM(AE61:AE66)</f>
        <v>120.23014693604944</v>
      </c>
      <c r="AF60" s="198">
        <f>SUM(AF61:AF66)</f>
        <v>1992.2319781697709</v>
      </c>
      <c r="AG60" s="207">
        <f t="shared" ref="AG60" si="118">SUM(AG61:AG66)</f>
        <v>0</v>
      </c>
      <c r="AH60" s="207">
        <f t="shared" ref="AH60" si="119">SUM(AH61:AH66)</f>
        <v>0</v>
      </c>
      <c r="AI60" s="207">
        <f t="shared" ref="AI60" si="120">SUM(AI61:AI66)</f>
        <v>0</v>
      </c>
      <c r="AJ60" s="207">
        <f t="shared" ref="AJ60" si="121">SUM(AJ61:AJ66)</f>
        <v>0</v>
      </c>
      <c r="AK60" s="207">
        <f t="shared" ref="AK60" si="122">SUM(AK61:AK66)</f>
        <v>0</v>
      </c>
      <c r="AL60" s="207">
        <f t="shared" ref="AL60" si="123">SUM(AL61:AL66)</f>
        <v>0</v>
      </c>
      <c r="AM60" s="207">
        <f t="shared" ref="AM60" si="124">SUM(AM61:AM66)</f>
        <v>0</v>
      </c>
      <c r="AN60" s="198">
        <f>SUM(AN61:AN66)</f>
        <v>0</v>
      </c>
      <c r="AO60" s="209">
        <f>SUM(AO61:AO66)</f>
        <v>3768.9490638081302</v>
      </c>
      <c r="AP60" s="218">
        <f>SUM(AP61:AP66)</f>
        <v>3486.6742611454329</v>
      </c>
      <c r="AQ60" s="219"/>
      <c r="AR60" s="220"/>
      <c r="AS60" s="60"/>
    </row>
    <row r="61" spans="1:45" ht="30" customHeight="1" x14ac:dyDescent="0.3">
      <c r="A61" s="202" t="s">
        <v>349</v>
      </c>
      <c r="B61" s="203" t="s">
        <v>147</v>
      </c>
      <c r="C61" s="3" t="s">
        <v>88</v>
      </c>
      <c r="D61" s="78">
        <f>14401167/1000/2.26</f>
        <v>6372.1977876106203</v>
      </c>
      <c r="E61" s="78">
        <v>0</v>
      </c>
      <c r="F61" s="78">
        <f>D61+E61</f>
        <v>6372.1977876106203</v>
      </c>
      <c r="G61" s="197">
        <f t="shared" ref="G61:V66" si="125">$AR61</f>
        <v>120.23014693604944</v>
      </c>
      <c r="H61" s="197">
        <f t="shared" si="125"/>
        <v>120.23014693604944</v>
      </c>
      <c r="I61" s="197">
        <f t="shared" si="125"/>
        <v>120.23014693604944</v>
      </c>
      <c r="J61" s="197">
        <f t="shared" si="125"/>
        <v>120.23014693604944</v>
      </c>
      <c r="K61" s="197">
        <f t="shared" si="125"/>
        <v>120.23014693604944</v>
      </c>
      <c r="L61" s="197">
        <f t="shared" si="125"/>
        <v>120.23014693604944</v>
      </c>
      <c r="M61" s="197">
        <f t="shared" si="125"/>
        <v>120.23014693604944</v>
      </c>
      <c r="N61" s="197">
        <f t="shared" si="125"/>
        <v>120.23014693604944</v>
      </c>
      <c r="O61" s="197">
        <f t="shared" si="125"/>
        <v>120.23014693604944</v>
      </c>
      <c r="P61" s="197">
        <f t="shared" si="125"/>
        <v>120.23014693604944</v>
      </c>
      <c r="Q61" s="197">
        <f t="shared" si="125"/>
        <v>120.23014693604944</v>
      </c>
      <c r="R61" s="197">
        <f t="shared" si="125"/>
        <v>120.23014693604944</v>
      </c>
      <c r="S61" s="198">
        <f t="shared" ref="S61:S66" si="126">SUM(G61:R61)</f>
        <v>1442.7617632325937</v>
      </c>
      <c r="T61" s="197">
        <f t="shared" ref="T61:AE62" si="127">$AR61</f>
        <v>120.23014693604944</v>
      </c>
      <c r="U61" s="197">
        <f t="shared" si="127"/>
        <v>120.23014693604944</v>
      </c>
      <c r="V61" s="197">
        <f t="shared" si="127"/>
        <v>120.23014693604944</v>
      </c>
      <c r="W61" s="197">
        <f t="shared" si="127"/>
        <v>120.23014693604944</v>
      </c>
      <c r="X61" s="197">
        <f t="shared" si="127"/>
        <v>120.23014693604944</v>
      </c>
      <c r="Y61" s="197">
        <f t="shared" si="127"/>
        <v>120.23014693604944</v>
      </c>
      <c r="Z61" s="197">
        <f t="shared" si="127"/>
        <v>120.23014693604944</v>
      </c>
      <c r="AA61" s="197">
        <f t="shared" si="127"/>
        <v>120.23014693604944</v>
      </c>
      <c r="AB61" s="197">
        <f t="shared" si="127"/>
        <v>120.23014693604944</v>
      </c>
      <c r="AC61" s="197">
        <f t="shared" si="127"/>
        <v>120.23014693604944</v>
      </c>
      <c r="AD61" s="197">
        <f t="shared" si="127"/>
        <v>120.23014693604944</v>
      </c>
      <c r="AE61" s="197">
        <f t="shared" si="127"/>
        <v>120.23014693604944</v>
      </c>
      <c r="AF61" s="198">
        <f t="shared" ref="AF61:AF66" si="128">SUM(T61:AE61)</f>
        <v>1442.7617632325937</v>
      </c>
      <c r="AG61" s="78"/>
      <c r="AH61" s="78"/>
      <c r="AI61" s="78"/>
      <c r="AJ61" s="78"/>
      <c r="AK61" s="78"/>
      <c r="AL61" s="78"/>
      <c r="AM61" s="78"/>
      <c r="AN61" s="198">
        <f t="shared" si="11"/>
        <v>0</v>
      </c>
      <c r="AO61" s="199">
        <f t="shared" ref="AO61:AO69" si="129">S61+AF61+AN61</f>
        <v>2885.5235264651874</v>
      </c>
      <c r="AP61" s="218">
        <f t="shared" ref="AP61:AP66" si="130">D61-AO61</f>
        <v>3486.6742611454329</v>
      </c>
      <c r="AQ61" s="219">
        <v>53</v>
      </c>
      <c r="AR61" s="220">
        <f t="shared" ref="AR61:AR66" si="131">F61/AQ61</f>
        <v>120.23014693604944</v>
      </c>
      <c r="AS61" s="60" t="s">
        <v>292</v>
      </c>
    </row>
    <row r="62" spans="1:45" ht="15" customHeight="1" x14ac:dyDescent="0.3">
      <c r="A62" s="194" t="s">
        <v>245</v>
      </c>
      <c r="B62" s="195" t="s">
        <v>72</v>
      </c>
      <c r="C62" s="3" t="s">
        <v>74</v>
      </c>
      <c r="D62" s="78">
        <f>1356000/3.1358/1000</f>
        <v>432.42553734294279</v>
      </c>
      <c r="E62" s="78">
        <v>0</v>
      </c>
      <c r="F62" s="78">
        <f>D62+E62</f>
        <v>432.42553734294279</v>
      </c>
      <c r="G62" s="165"/>
      <c r="H62" s="165"/>
      <c r="I62" s="165"/>
      <c r="J62" s="165"/>
      <c r="K62" s="165"/>
      <c r="L62" s="165"/>
      <c r="M62" s="197">
        <f t="shared" si="125"/>
        <v>43.242553734294276</v>
      </c>
      <c r="N62" s="197">
        <f t="shared" si="125"/>
        <v>43.242553734294276</v>
      </c>
      <c r="O62" s="197">
        <f t="shared" si="125"/>
        <v>43.242553734294276</v>
      </c>
      <c r="P62" s="197">
        <f t="shared" si="125"/>
        <v>43.242553734294276</v>
      </c>
      <c r="Q62" s="197">
        <f t="shared" si="125"/>
        <v>43.242553734294276</v>
      </c>
      <c r="R62" s="197">
        <f t="shared" si="125"/>
        <v>43.242553734294276</v>
      </c>
      <c r="S62" s="198">
        <f t="shared" si="126"/>
        <v>259.45532240576568</v>
      </c>
      <c r="T62" s="197">
        <f t="shared" si="125"/>
        <v>43.242553734294276</v>
      </c>
      <c r="U62" s="197">
        <f t="shared" si="125"/>
        <v>43.242553734294276</v>
      </c>
      <c r="V62" s="197">
        <f t="shared" si="125"/>
        <v>43.242553734294276</v>
      </c>
      <c r="W62" s="197">
        <f t="shared" si="127"/>
        <v>43.242553734294276</v>
      </c>
      <c r="X62" s="78"/>
      <c r="Y62" s="78"/>
      <c r="Z62" s="78"/>
      <c r="AA62" s="78"/>
      <c r="AB62" s="78"/>
      <c r="AC62" s="78"/>
      <c r="AD62" s="78"/>
      <c r="AE62" s="78"/>
      <c r="AF62" s="198">
        <f t="shared" si="128"/>
        <v>172.9702149371771</v>
      </c>
      <c r="AG62" s="78"/>
      <c r="AH62" s="78"/>
      <c r="AI62" s="78"/>
      <c r="AJ62" s="78"/>
      <c r="AK62" s="78"/>
      <c r="AL62" s="78"/>
      <c r="AM62" s="78"/>
      <c r="AN62" s="198">
        <f t="shared" si="11"/>
        <v>0</v>
      </c>
      <c r="AO62" s="199">
        <f t="shared" si="129"/>
        <v>432.42553734294279</v>
      </c>
      <c r="AP62" s="218">
        <f t="shared" si="130"/>
        <v>0</v>
      </c>
      <c r="AQ62" s="219">
        <v>10</v>
      </c>
      <c r="AR62" s="220">
        <f t="shared" si="131"/>
        <v>43.242553734294276</v>
      </c>
      <c r="AS62" s="60"/>
    </row>
    <row r="63" spans="1:45" ht="15" customHeight="1" x14ac:dyDescent="0.3">
      <c r="A63" s="194" t="s">
        <v>246</v>
      </c>
      <c r="B63" s="195" t="s">
        <v>164</v>
      </c>
      <c r="C63" s="3" t="s">
        <v>58</v>
      </c>
      <c r="D63" s="78">
        <v>21</v>
      </c>
      <c r="E63" s="78">
        <v>0</v>
      </c>
      <c r="F63" s="78">
        <f>D63+E63</f>
        <v>21</v>
      </c>
      <c r="G63" s="165"/>
      <c r="H63" s="165"/>
      <c r="I63" s="165"/>
      <c r="J63" s="165"/>
      <c r="K63" s="165"/>
      <c r="L63" s="165"/>
      <c r="M63" s="197">
        <f t="shared" si="125"/>
        <v>7</v>
      </c>
      <c r="N63" s="197">
        <f t="shared" si="125"/>
        <v>7</v>
      </c>
      <c r="O63" s="197">
        <f t="shared" si="125"/>
        <v>7</v>
      </c>
      <c r="P63" s="78"/>
      <c r="Q63" s="78"/>
      <c r="R63" s="78"/>
      <c r="S63" s="198">
        <f t="shared" si="126"/>
        <v>21</v>
      </c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198">
        <f t="shared" si="128"/>
        <v>0</v>
      </c>
      <c r="AG63" s="78"/>
      <c r="AH63" s="78"/>
      <c r="AI63" s="78"/>
      <c r="AJ63" s="78"/>
      <c r="AK63" s="78"/>
      <c r="AL63" s="78"/>
      <c r="AM63" s="78"/>
      <c r="AN63" s="198">
        <f t="shared" si="11"/>
        <v>0</v>
      </c>
      <c r="AO63" s="199">
        <f t="shared" si="129"/>
        <v>21</v>
      </c>
      <c r="AP63" s="218">
        <f t="shared" si="130"/>
        <v>0</v>
      </c>
      <c r="AQ63" s="219">
        <v>3</v>
      </c>
      <c r="AR63" s="220">
        <f t="shared" si="131"/>
        <v>7</v>
      </c>
      <c r="AS63" s="60"/>
    </row>
    <row r="64" spans="1:45" ht="15" customHeight="1" x14ac:dyDescent="0.3">
      <c r="A64" s="194" t="s">
        <v>247</v>
      </c>
      <c r="B64" s="195" t="s">
        <v>248</v>
      </c>
      <c r="C64" s="3" t="s">
        <v>74</v>
      </c>
      <c r="D64" s="78">
        <v>300</v>
      </c>
      <c r="E64" s="78">
        <v>0</v>
      </c>
      <c r="F64" s="78">
        <f t="shared" ref="F64:F66" si="132">D64+E64</f>
        <v>300</v>
      </c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198">
        <f t="shared" si="126"/>
        <v>0</v>
      </c>
      <c r="T64" s="165"/>
      <c r="U64" s="165"/>
      <c r="V64" s="165"/>
      <c r="W64" s="165"/>
      <c r="X64" s="165"/>
      <c r="Y64" s="165"/>
      <c r="Z64" s="197">
        <f t="shared" ref="Z64:AB64" si="133">$AR64</f>
        <v>100</v>
      </c>
      <c r="AA64" s="197">
        <f t="shared" si="133"/>
        <v>100</v>
      </c>
      <c r="AB64" s="197">
        <f t="shared" si="133"/>
        <v>100</v>
      </c>
      <c r="AC64" s="78"/>
      <c r="AD64" s="78"/>
      <c r="AE64" s="78"/>
      <c r="AF64" s="198">
        <f t="shared" si="128"/>
        <v>300</v>
      </c>
      <c r="AG64" s="78"/>
      <c r="AH64" s="78"/>
      <c r="AI64" s="78"/>
      <c r="AJ64" s="78"/>
      <c r="AK64" s="78"/>
      <c r="AL64" s="78"/>
      <c r="AM64" s="78"/>
      <c r="AN64" s="198">
        <f t="shared" si="11"/>
        <v>0</v>
      </c>
      <c r="AO64" s="199">
        <f t="shared" si="129"/>
        <v>300</v>
      </c>
      <c r="AP64" s="218">
        <f t="shared" si="130"/>
        <v>0</v>
      </c>
      <c r="AQ64" s="219">
        <v>3</v>
      </c>
      <c r="AR64" s="220">
        <f t="shared" si="131"/>
        <v>100</v>
      </c>
      <c r="AS64" s="60"/>
    </row>
    <row r="65" spans="1:45" ht="15" customHeight="1" x14ac:dyDescent="0.3">
      <c r="A65" s="194" t="s">
        <v>370</v>
      </c>
      <c r="B65" s="195" t="s">
        <v>375</v>
      </c>
      <c r="C65" s="3" t="s">
        <v>44</v>
      </c>
      <c r="D65" s="78">
        <v>15</v>
      </c>
      <c r="E65" s="78">
        <v>0</v>
      </c>
      <c r="F65" s="78">
        <f t="shared" si="132"/>
        <v>15</v>
      </c>
      <c r="G65" s="78"/>
      <c r="H65" s="78"/>
      <c r="I65" s="78"/>
      <c r="J65" s="78"/>
      <c r="K65" s="78"/>
      <c r="L65" s="196"/>
      <c r="M65" s="196"/>
      <c r="N65" s="196"/>
      <c r="O65" s="165"/>
      <c r="P65" s="197">
        <f t="shared" si="125"/>
        <v>2.5</v>
      </c>
      <c r="Q65" s="197">
        <f t="shared" si="125"/>
        <v>2.5</v>
      </c>
      <c r="R65" s="197">
        <f t="shared" si="125"/>
        <v>2.5</v>
      </c>
      <c r="S65" s="198">
        <f t="shared" si="126"/>
        <v>7.5</v>
      </c>
      <c r="T65" s="197">
        <f t="shared" si="125"/>
        <v>2.5</v>
      </c>
      <c r="U65" s="197">
        <f t="shared" si="125"/>
        <v>2.5</v>
      </c>
      <c r="V65" s="197">
        <f t="shared" si="125"/>
        <v>2.5</v>
      </c>
      <c r="W65" s="78"/>
      <c r="X65" s="78"/>
      <c r="Y65" s="78"/>
      <c r="Z65" s="78"/>
      <c r="AA65" s="78"/>
      <c r="AB65" s="78"/>
      <c r="AC65" s="78"/>
      <c r="AD65" s="78"/>
      <c r="AE65" s="78"/>
      <c r="AF65" s="198">
        <f t="shared" si="128"/>
        <v>7.5</v>
      </c>
      <c r="AG65" s="78"/>
      <c r="AH65" s="78"/>
      <c r="AI65" s="78"/>
      <c r="AJ65" s="78"/>
      <c r="AK65" s="78"/>
      <c r="AL65" s="78"/>
      <c r="AM65" s="78"/>
      <c r="AN65" s="198">
        <f t="shared" si="11"/>
        <v>0</v>
      </c>
      <c r="AO65" s="199">
        <f t="shared" si="129"/>
        <v>15</v>
      </c>
      <c r="AP65" s="218">
        <f t="shared" si="130"/>
        <v>0</v>
      </c>
      <c r="AQ65" s="219">
        <v>6</v>
      </c>
      <c r="AR65" s="220">
        <f t="shared" si="131"/>
        <v>2.5</v>
      </c>
      <c r="AS65" s="60"/>
    </row>
    <row r="66" spans="1:45" ht="15" customHeight="1" x14ac:dyDescent="0.3">
      <c r="A66" s="194">
        <v>6.5</v>
      </c>
      <c r="B66" s="195" t="s">
        <v>373</v>
      </c>
      <c r="C66" s="3" t="s">
        <v>74</v>
      </c>
      <c r="D66" s="78">
        <v>115</v>
      </c>
      <c r="E66" s="78">
        <v>0</v>
      </c>
      <c r="F66" s="78">
        <f t="shared" si="132"/>
        <v>115</v>
      </c>
      <c r="G66" s="78"/>
      <c r="H66" s="78"/>
      <c r="I66" s="78"/>
      <c r="J66" s="78"/>
      <c r="K66" s="78"/>
      <c r="L66" s="196"/>
      <c r="M66" s="196"/>
      <c r="N66" s="196"/>
      <c r="O66" s="165"/>
      <c r="P66" s="165"/>
      <c r="Q66" s="197">
        <f t="shared" si="125"/>
        <v>23</v>
      </c>
      <c r="R66" s="197">
        <f t="shared" si="125"/>
        <v>23</v>
      </c>
      <c r="S66" s="198">
        <f t="shared" si="126"/>
        <v>46</v>
      </c>
      <c r="T66" s="197">
        <f t="shared" si="125"/>
        <v>23</v>
      </c>
      <c r="U66" s="197">
        <f t="shared" si="125"/>
        <v>23</v>
      </c>
      <c r="V66" s="197">
        <f t="shared" si="125"/>
        <v>23</v>
      </c>
      <c r="W66" s="78"/>
      <c r="X66" s="78"/>
      <c r="Y66" s="78"/>
      <c r="Z66" s="78"/>
      <c r="AA66" s="78"/>
      <c r="AB66" s="78"/>
      <c r="AC66" s="78"/>
      <c r="AD66" s="78"/>
      <c r="AE66" s="78"/>
      <c r="AF66" s="198">
        <f t="shared" si="128"/>
        <v>69</v>
      </c>
      <c r="AG66" s="78"/>
      <c r="AH66" s="78"/>
      <c r="AI66" s="78"/>
      <c r="AJ66" s="78"/>
      <c r="AK66" s="78"/>
      <c r="AL66" s="78"/>
      <c r="AM66" s="78"/>
      <c r="AN66" s="198">
        <f t="shared" si="11"/>
        <v>0</v>
      </c>
      <c r="AO66" s="199">
        <f t="shared" si="129"/>
        <v>115</v>
      </c>
      <c r="AP66" s="218">
        <f t="shared" si="130"/>
        <v>0</v>
      </c>
      <c r="AQ66" s="219">
        <v>5</v>
      </c>
      <c r="AR66" s="220">
        <f t="shared" si="131"/>
        <v>23</v>
      </c>
      <c r="AS66" s="60"/>
    </row>
    <row r="67" spans="1:45" s="61" customFormat="1" ht="27.75" customHeight="1" x14ac:dyDescent="0.3">
      <c r="A67" s="210"/>
      <c r="B67" s="307" t="s">
        <v>106</v>
      </c>
      <c r="C67" s="307"/>
      <c r="D67" s="307"/>
      <c r="E67" s="307"/>
      <c r="F67" s="211">
        <f t="shared" ref="F67:AF67" si="134">F45</f>
        <v>15625.38</v>
      </c>
      <c r="G67" s="211">
        <f t="shared" si="134"/>
        <v>0</v>
      </c>
      <c r="H67" s="211">
        <f t="shared" si="134"/>
        <v>0</v>
      </c>
      <c r="I67" s="211">
        <f t="shared" si="134"/>
        <v>0</v>
      </c>
      <c r="J67" s="211">
        <f t="shared" si="134"/>
        <v>0</v>
      </c>
      <c r="K67" s="211">
        <f t="shared" si="134"/>
        <v>0</v>
      </c>
      <c r="L67" s="211">
        <f t="shared" si="134"/>
        <v>0</v>
      </c>
      <c r="M67" s="211">
        <f t="shared" si="134"/>
        <v>0</v>
      </c>
      <c r="N67" s="211">
        <f t="shared" si="134"/>
        <v>0</v>
      </c>
      <c r="O67" s="211">
        <f t="shared" si="134"/>
        <v>0</v>
      </c>
      <c r="P67" s="211">
        <f t="shared" si="134"/>
        <v>559.76713333333328</v>
      </c>
      <c r="Q67" s="211">
        <f t="shared" si="134"/>
        <v>559.76713333333328</v>
      </c>
      <c r="R67" s="211">
        <f t="shared" si="134"/>
        <v>559.76713333333328</v>
      </c>
      <c r="S67" s="198">
        <f t="shared" si="134"/>
        <v>1679.3013999999998</v>
      </c>
      <c r="T67" s="211">
        <f t="shared" si="134"/>
        <v>559.76713333333328</v>
      </c>
      <c r="U67" s="211">
        <f t="shared" si="134"/>
        <v>559.76713333333328</v>
      </c>
      <c r="V67" s="211">
        <f t="shared" si="134"/>
        <v>559.76713333333328</v>
      </c>
      <c r="W67" s="211">
        <f t="shared" si="134"/>
        <v>559.76713333333328</v>
      </c>
      <c r="X67" s="211">
        <f t="shared" si="134"/>
        <v>559.76713333333328</v>
      </c>
      <c r="Y67" s="211">
        <f t="shared" si="134"/>
        <v>559.76713333333328</v>
      </c>
      <c r="Z67" s="211">
        <f t="shared" si="134"/>
        <v>559.76713333333328</v>
      </c>
      <c r="AA67" s="211">
        <f t="shared" si="134"/>
        <v>559.76713333333328</v>
      </c>
      <c r="AB67" s="211">
        <f t="shared" si="134"/>
        <v>559.76713333333328</v>
      </c>
      <c r="AC67" s="211">
        <f t="shared" si="134"/>
        <v>559.76713333333328</v>
      </c>
      <c r="AD67" s="211">
        <f t="shared" si="134"/>
        <v>559.76713333333328</v>
      </c>
      <c r="AE67" s="211">
        <f t="shared" si="134"/>
        <v>559.76713333333328</v>
      </c>
      <c r="AF67" s="198">
        <f t="shared" si="134"/>
        <v>6717.2055999999975</v>
      </c>
      <c r="AG67" s="211">
        <f t="shared" ref="AG67:AM67" si="135">AG45</f>
        <v>0</v>
      </c>
      <c r="AH67" s="211">
        <f t="shared" si="135"/>
        <v>0</v>
      </c>
      <c r="AI67" s="211">
        <f t="shared" si="135"/>
        <v>0</v>
      </c>
      <c r="AJ67" s="211">
        <f t="shared" si="135"/>
        <v>0</v>
      </c>
      <c r="AK67" s="211">
        <f t="shared" si="135"/>
        <v>0</v>
      </c>
      <c r="AL67" s="211">
        <f t="shared" si="135"/>
        <v>0</v>
      </c>
      <c r="AM67" s="211">
        <f t="shared" si="135"/>
        <v>0</v>
      </c>
      <c r="AN67" s="198">
        <f t="shared" ref="AN67" si="136">AN45</f>
        <v>0</v>
      </c>
      <c r="AO67" s="199">
        <f t="shared" si="129"/>
        <v>8396.5069999999978</v>
      </c>
      <c r="AP67" s="218"/>
      <c r="AQ67" s="219"/>
      <c r="AR67" s="221"/>
      <c r="AS67" s="60"/>
    </row>
    <row r="68" spans="1:45" ht="27.75" customHeight="1" x14ac:dyDescent="0.3">
      <c r="A68" s="210"/>
      <c r="B68" s="307" t="s">
        <v>105</v>
      </c>
      <c r="C68" s="307"/>
      <c r="D68" s="307"/>
      <c r="E68" s="307"/>
      <c r="F68" s="211">
        <f>F12+F34+F39+F49+F60</f>
        <v>32973.318180691174</v>
      </c>
      <c r="G68" s="211">
        <f t="shared" ref="G68:AF68" si="137">G12+G34+G39+G49+G60</f>
        <v>468.85191966332218</v>
      </c>
      <c r="H68" s="211">
        <f t="shared" si="137"/>
        <v>522.64566966332222</v>
      </c>
      <c r="I68" s="211">
        <f t="shared" si="137"/>
        <v>528.44866966332211</v>
      </c>
      <c r="J68" s="211">
        <f t="shared" si="137"/>
        <v>521.71533632998887</v>
      </c>
      <c r="K68" s="211">
        <f t="shared" si="137"/>
        <v>604.86846080291446</v>
      </c>
      <c r="L68" s="211">
        <f t="shared" si="137"/>
        <v>604.86846080291446</v>
      </c>
      <c r="M68" s="211">
        <f t="shared" si="137"/>
        <v>655.1110145372088</v>
      </c>
      <c r="N68" s="211">
        <f t="shared" si="137"/>
        <v>818.139347870542</v>
      </c>
      <c r="O68" s="211">
        <f t="shared" si="137"/>
        <v>839.18101453720874</v>
      </c>
      <c r="P68" s="211">
        <f t="shared" si="137"/>
        <v>862.65988814734533</v>
      </c>
      <c r="Q68" s="211">
        <f t="shared" si="137"/>
        <v>893.64860294633331</v>
      </c>
      <c r="R68" s="211">
        <f t="shared" si="137"/>
        <v>1501.0412458034762</v>
      </c>
      <c r="S68" s="198">
        <f t="shared" si="137"/>
        <v>8821.1796307678997</v>
      </c>
      <c r="T68" s="211">
        <f t="shared" si="137"/>
        <v>1497.3665791368096</v>
      </c>
      <c r="U68" s="211">
        <f t="shared" si="137"/>
        <v>1383.1099124701432</v>
      </c>
      <c r="V68" s="211">
        <f t="shared" si="137"/>
        <v>1359.7047879972174</v>
      </c>
      <c r="W68" s="211">
        <f t="shared" si="137"/>
        <v>1334.2047879972174</v>
      </c>
      <c r="X68" s="211">
        <f t="shared" si="137"/>
        <v>1082.0925194639349</v>
      </c>
      <c r="Y68" s="211">
        <f t="shared" si="137"/>
        <v>1026.2722291871316</v>
      </c>
      <c r="Z68" s="211">
        <f t="shared" si="137"/>
        <v>1027.1650863299888</v>
      </c>
      <c r="AA68" s="211">
        <f t="shared" si="137"/>
        <v>1457.3350863299888</v>
      </c>
      <c r="AB68" s="211">
        <f t="shared" si="137"/>
        <v>1457.3350863299888</v>
      </c>
      <c r="AC68" s="211">
        <f t="shared" si="137"/>
        <v>1255.7684196633222</v>
      </c>
      <c r="AD68" s="211">
        <f t="shared" si="137"/>
        <v>1213.9261469360495</v>
      </c>
      <c r="AE68" s="211">
        <f t="shared" si="137"/>
        <v>849.34281360271598</v>
      </c>
      <c r="AF68" s="198">
        <f t="shared" si="137"/>
        <v>14943.623455444511</v>
      </c>
      <c r="AG68" s="211">
        <f t="shared" ref="AG68:AM68" si="138">AG12+AG34+AG39+AG49+AG60</f>
        <v>603.00166666666655</v>
      </c>
      <c r="AH68" s="211">
        <f t="shared" si="138"/>
        <v>520.7349999999999</v>
      </c>
      <c r="AI68" s="211">
        <f t="shared" si="138"/>
        <v>520.7349999999999</v>
      </c>
      <c r="AJ68" s="211">
        <f t="shared" si="138"/>
        <v>475.73499999999996</v>
      </c>
      <c r="AK68" s="211">
        <f t="shared" si="138"/>
        <v>475.73499999999996</v>
      </c>
      <c r="AL68" s="211">
        <f t="shared" si="138"/>
        <v>475.73499999999996</v>
      </c>
      <c r="AM68" s="211">
        <f t="shared" si="138"/>
        <v>475.73499999999996</v>
      </c>
      <c r="AN68" s="198">
        <f t="shared" ref="AN68" si="139">AN12+AN34+AN39+AN49+AN60</f>
        <v>3547.4116666666669</v>
      </c>
      <c r="AO68" s="199">
        <f t="shared" si="129"/>
        <v>27312.214752879077</v>
      </c>
      <c r="AP68" s="218"/>
      <c r="AQ68" s="219"/>
      <c r="AR68" s="220"/>
      <c r="AS68" s="60"/>
    </row>
    <row r="69" spans="1:45" ht="27.75" customHeight="1" thickBot="1" x14ac:dyDescent="0.35">
      <c r="A69" s="212"/>
      <c r="B69" s="308" t="s">
        <v>104</v>
      </c>
      <c r="C69" s="308"/>
      <c r="D69" s="308"/>
      <c r="E69" s="308"/>
      <c r="F69" s="213">
        <f>F67+F68</f>
        <v>48598.698180691172</v>
      </c>
      <c r="G69" s="213">
        <f t="shared" ref="G69:AF69" si="140">G67+G68</f>
        <v>468.85191966332218</v>
      </c>
      <c r="H69" s="213">
        <f t="shared" si="140"/>
        <v>522.64566966332222</v>
      </c>
      <c r="I69" s="213">
        <f t="shared" si="140"/>
        <v>528.44866966332211</v>
      </c>
      <c r="J69" s="213">
        <f t="shared" si="140"/>
        <v>521.71533632998887</v>
      </c>
      <c r="K69" s="213">
        <f t="shared" si="140"/>
        <v>604.86846080291446</v>
      </c>
      <c r="L69" s="213">
        <f t="shared" si="140"/>
        <v>604.86846080291446</v>
      </c>
      <c r="M69" s="213">
        <f t="shared" si="140"/>
        <v>655.1110145372088</v>
      </c>
      <c r="N69" s="213">
        <f t="shared" si="140"/>
        <v>818.139347870542</v>
      </c>
      <c r="O69" s="213">
        <f t="shared" si="140"/>
        <v>839.18101453720874</v>
      </c>
      <c r="P69" s="213">
        <f t="shared" si="140"/>
        <v>1422.4270214806786</v>
      </c>
      <c r="Q69" s="213">
        <f t="shared" si="140"/>
        <v>1453.4157362796666</v>
      </c>
      <c r="R69" s="213">
        <f t="shared" si="140"/>
        <v>2060.8083791368094</v>
      </c>
      <c r="S69" s="214">
        <f t="shared" si="140"/>
        <v>10500.4810307679</v>
      </c>
      <c r="T69" s="213">
        <f t="shared" si="140"/>
        <v>2057.1337124701431</v>
      </c>
      <c r="U69" s="213">
        <f t="shared" si="140"/>
        <v>1942.8770458034764</v>
      </c>
      <c r="V69" s="213">
        <f t="shared" si="140"/>
        <v>1919.4719213305507</v>
      </c>
      <c r="W69" s="213">
        <f t="shared" si="140"/>
        <v>1893.9719213305507</v>
      </c>
      <c r="X69" s="213">
        <f t="shared" si="140"/>
        <v>1641.8596527972682</v>
      </c>
      <c r="Y69" s="213">
        <f t="shared" si="140"/>
        <v>1586.0393625204649</v>
      </c>
      <c r="Z69" s="213">
        <f t="shared" si="140"/>
        <v>1586.932219663322</v>
      </c>
      <c r="AA69" s="213">
        <f t="shared" si="140"/>
        <v>2017.1022196633221</v>
      </c>
      <c r="AB69" s="213">
        <f t="shared" si="140"/>
        <v>2017.1022196633221</v>
      </c>
      <c r="AC69" s="213">
        <f t="shared" si="140"/>
        <v>1815.5355529966555</v>
      </c>
      <c r="AD69" s="213">
        <f t="shared" si="140"/>
        <v>1773.6932802693827</v>
      </c>
      <c r="AE69" s="213">
        <f t="shared" si="140"/>
        <v>1409.1099469360493</v>
      </c>
      <c r="AF69" s="214">
        <f t="shared" si="140"/>
        <v>21660.829055444508</v>
      </c>
      <c r="AG69" s="213">
        <f t="shared" ref="AG69:AM69" si="141">AG67+AG68</f>
        <v>603.00166666666655</v>
      </c>
      <c r="AH69" s="213">
        <f t="shared" si="141"/>
        <v>520.7349999999999</v>
      </c>
      <c r="AI69" s="213">
        <f t="shared" si="141"/>
        <v>520.7349999999999</v>
      </c>
      <c r="AJ69" s="213">
        <f t="shared" si="141"/>
        <v>475.73499999999996</v>
      </c>
      <c r="AK69" s="213">
        <f t="shared" si="141"/>
        <v>475.73499999999996</v>
      </c>
      <c r="AL69" s="213">
        <f t="shared" si="141"/>
        <v>475.73499999999996</v>
      </c>
      <c r="AM69" s="213">
        <f t="shared" si="141"/>
        <v>475.73499999999996</v>
      </c>
      <c r="AN69" s="214">
        <f t="shared" ref="AN69" si="142">AN67+AN68</f>
        <v>3547.4116666666669</v>
      </c>
      <c r="AO69" s="222">
        <f t="shared" si="129"/>
        <v>35708.721752879079</v>
      </c>
      <c r="AP69" s="218"/>
      <c r="AQ69" s="219"/>
      <c r="AR69" s="220"/>
      <c r="AS69" s="60"/>
    </row>
    <row r="70" spans="1:45" ht="27.75" customHeight="1" x14ac:dyDescent="0.3">
      <c r="A70" s="62"/>
      <c r="B70" s="166"/>
      <c r="C70" s="166"/>
      <c r="D70" s="231">
        <f>SUM(D13:D33,D35:D38,D40:D44,D46:D48,D50:D59,D61:D66)</f>
        <v>32973.318180691174</v>
      </c>
      <c r="E70" s="231">
        <f>SUM(E13:E33,E35:E38,E40:E44,E46:E48,E50:E59,E61:E66)</f>
        <v>15625.38</v>
      </c>
      <c r="F70" s="231">
        <f>SUM(F13:F33,F35:F38,F40:F44,F46:F48,F50:F59,F61:F66)</f>
        <v>48598.698180691164</v>
      </c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S70" s="162"/>
    </row>
    <row r="71" spans="1:45" ht="27.75" customHeight="1" x14ac:dyDescent="0.3">
      <c r="A71" s="65"/>
      <c r="B71" s="309"/>
      <c r="C71" s="309"/>
      <c r="D71" s="63"/>
      <c r="E71" s="63"/>
      <c r="F71" s="63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64"/>
    </row>
    <row r="72" spans="1:45" ht="27.75" customHeight="1" x14ac:dyDescent="0.3">
      <c r="A72" s="62"/>
      <c r="C72" s="161"/>
      <c r="D72" s="158" t="s">
        <v>281</v>
      </c>
      <c r="E72" s="63"/>
      <c r="F72" s="62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64"/>
    </row>
    <row r="73" spans="1:45" ht="27.75" customHeight="1" x14ac:dyDescent="0.3">
      <c r="C73" s="159"/>
      <c r="D73" s="158" t="s">
        <v>282</v>
      </c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64"/>
    </row>
    <row r="74" spans="1:45" ht="27.75" customHeight="1" x14ac:dyDescent="0.3">
      <c r="C74" s="160"/>
      <c r="D74" s="158" t="s">
        <v>288</v>
      </c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64"/>
    </row>
    <row r="75" spans="1:45" ht="27.75" customHeight="1" x14ac:dyDescent="0.3"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64"/>
    </row>
    <row r="76" spans="1:45" ht="27.75" customHeight="1" x14ac:dyDescent="0.3"/>
    <row r="77" spans="1:45" ht="27.75" customHeight="1" x14ac:dyDescent="0.3"/>
    <row r="78" spans="1:45" ht="27.75" customHeight="1" x14ac:dyDescent="0.3"/>
    <row r="79" spans="1:45" ht="27.75" customHeight="1" x14ac:dyDescent="0.3"/>
    <row r="80" spans="1:45" ht="27.75" customHeight="1" x14ac:dyDescent="0.3"/>
    <row r="81" ht="27.75" customHeight="1" x14ac:dyDescent="0.3"/>
    <row r="82" ht="27.75" customHeight="1" x14ac:dyDescent="0.3"/>
    <row r="83" ht="27.75" customHeight="1" x14ac:dyDescent="0.3"/>
    <row r="84" ht="27.75" customHeight="1" x14ac:dyDescent="0.3"/>
    <row r="85" ht="27.75" customHeight="1" x14ac:dyDescent="0.3"/>
    <row r="86" ht="27.75" customHeight="1" x14ac:dyDescent="0.3"/>
    <row r="87" ht="27.75" customHeight="1" x14ac:dyDescent="0.3"/>
    <row r="88" ht="27.75" customHeight="1" x14ac:dyDescent="0.3"/>
    <row r="89" ht="27.75" customHeight="1" x14ac:dyDescent="0.3"/>
    <row r="90" ht="27.75" customHeight="1" x14ac:dyDescent="0.3"/>
    <row r="91" ht="27.75" customHeight="1" x14ac:dyDescent="0.3"/>
    <row r="92" ht="27.75" customHeight="1" x14ac:dyDescent="0.3"/>
    <row r="93" ht="27.75" customHeight="1" x14ac:dyDescent="0.3"/>
    <row r="94" ht="27.75" customHeight="1" x14ac:dyDescent="0.3"/>
    <row r="95" ht="27.75" customHeight="1" x14ac:dyDescent="0.3"/>
    <row r="96" ht="27.75" customHeight="1" x14ac:dyDescent="0.3"/>
    <row r="97" ht="27.75" customHeight="1" x14ac:dyDescent="0.3"/>
    <row r="98" ht="27.75" customHeight="1" x14ac:dyDescent="0.3"/>
    <row r="99" ht="27.75" customHeight="1" x14ac:dyDescent="0.3"/>
    <row r="100" ht="27.75" customHeight="1" x14ac:dyDescent="0.3"/>
    <row r="101" ht="27.75" customHeight="1" x14ac:dyDescent="0.3"/>
    <row r="102" ht="27.75" customHeight="1" x14ac:dyDescent="0.3"/>
    <row r="103" ht="27.75" customHeight="1" x14ac:dyDescent="0.3"/>
    <row r="104" ht="27.75" customHeight="1" x14ac:dyDescent="0.3"/>
    <row r="105" ht="27.75" customHeight="1" x14ac:dyDescent="0.3"/>
    <row r="106" ht="27.75" customHeight="1" x14ac:dyDescent="0.3"/>
    <row r="107" ht="27.75" customHeight="1" x14ac:dyDescent="0.3"/>
    <row r="108" ht="27.75" customHeight="1" x14ac:dyDescent="0.3"/>
    <row r="109" ht="27.75" customHeight="1" x14ac:dyDescent="0.3"/>
    <row r="110" ht="27.75" customHeight="1" x14ac:dyDescent="0.3"/>
    <row r="111" ht="27.75" customHeight="1" x14ac:dyDescent="0.3"/>
    <row r="112" ht="27.75" customHeight="1" x14ac:dyDescent="0.3"/>
    <row r="113" ht="27.75" customHeight="1" x14ac:dyDescent="0.3"/>
    <row r="114" ht="27.75" customHeight="1" x14ac:dyDescent="0.3"/>
    <row r="115" ht="27.75" customHeight="1" x14ac:dyDescent="0.3"/>
    <row r="116" ht="27.75" customHeight="1" x14ac:dyDescent="0.3"/>
    <row r="117" ht="27.75" customHeight="1" x14ac:dyDescent="0.3"/>
    <row r="118" ht="27.75" customHeight="1" x14ac:dyDescent="0.3"/>
    <row r="119" ht="27.75" customHeight="1" x14ac:dyDescent="0.3"/>
    <row r="120" ht="27.75" customHeight="1" x14ac:dyDescent="0.3"/>
    <row r="121" ht="27.75" customHeight="1" x14ac:dyDescent="0.3"/>
    <row r="122" ht="27.75" customHeight="1" x14ac:dyDescent="0.3"/>
    <row r="123" ht="27.75" customHeight="1" x14ac:dyDescent="0.3"/>
    <row r="124" ht="27.75" customHeight="1" x14ac:dyDescent="0.3"/>
    <row r="125" ht="27.75" customHeight="1" x14ac:dyDescent="0.3"/>
    <row r="126" ht="27.75" customHeight="1" x14ac:dyDescent="0.3"/>
    <row r="127" ht="27.75" customHeight="1" x14ac:dyDescent="0.3"/>
    <row r="128" ht="27.75" customHeight="1" x14ac:dyDescent="0.3"/>
    <row r="129" ht="27.75" customHeight="1" x14ac:dyDescent="0.3"/>
    <row r="130" ht="27.75" customHeight="1" x14ac:dyDescent="0.3"/>
    <row r="131" ht="27.75" customHeight="1" x14ac:dyDescent="0.3"/>
    <row r="132" ht="27.75" customHeight="1" x14ac:dyDescent="0.3"/>
    <row r="133" ht="27.75" customHeight="1" x14ac:dyDescent="0.3"/>
    <row r="134" ht="27.75" customHeight="1" x14ac:dyDescent="0.3"/>
    <row r="135" ht="27.75" customHeight="1" x14ac:dyDescent="0.3"/>
    <row r="136" ht="27.75" customHeight="1" x14ac:dyDescent="0.3"/>
    <row r="137" ht="27.75" customHeight="1" x14ac:dyDescent="0.3"/>
    <row r="138" ht="27.75" customHeight="1" x14ac:dyDescent="0.3"/>
    <row r="139" ht="27.75" customHeight="1" x14ac:dyDescent="0.3"/>
    <row r="140" ht="27.75" customHeight="1" x14ac:dyDescent="0.3"/>
    <row r="141" ht="27.75" customHeight="1" x14ac:dyDescent="0.3"/>
    <row r="142" ht="27.75" customHeight="1" x14ac:dyDescent="0.3"/>
    <row r="143" ht="27.75" customHeight="1" x14ac:dyDescent="0.3"/>
    <row r="144" ht="27.75" customHeight="1" x14ac:dyDescent="0.3"/>
    <row r="145" ht="27.75" customHeight="1" x14ac:dyDescent="0.3"/>
    <row r="146" ht="27.75" customHeight="1" x14ac:dyDescent="0.3"/>
    <row r="147" ht="27.75" customHeight="1" x14ac:dyDescent="0.3"/>
    <row r="148" ht="27.75" customHeight="1" x14ac:dyDescent="0.3"/>
    <row r="149" ht="27.75" customHeight="1" x14ac:dyDescent="0.3"/>
    <row r="150" ht="27.75" customHeight="1" x14ac:dyDescent="0.3"/>
    <row r="151" ht="27.75" customHeight="1" x14ac:dyDescent="0.3"/>
    <row r="152" ht="27.75" customHeight="1" x14ac:dyDescent="0.3"/>
    <row r="153" ht="27.75" customHeight="1" x14ac:dyDescent="0.3"/>
    <row r="154" ht="27.75" customHeight="1" x14ac:dyDescent="0.3"/>
    <row r="155" ht="27.75" customHeight="1" x14ac:dyDescent="0.3"/>
    <row r="156" ht="27.75" customHeight="1" x14ac:dyDescent="0.3"/>
    <row r="157" ht="27.75" customHeight="1" x14ac:dyDescent="0.3"/>
    <row r="158" ht="27.75" customHeight="1" x14ac:dyDescent="0.3"/>
    <row r="159" ht="27.75" customHeight="1" x14ac:dyDescent="0.3"/>
    <row r="160" ht="27.75" customHeight="1" x14ac:dyDescent="0.3"/>
    <row r="161" ht="27.75" customHeight="1" x14ac:dyDescent="0.3"/>
    <row r="162" ht="27.75" customHeight="1" x14ac:dyDescent="0.3"/>
    <row r="163" ht="27.75" customHeight="1" x14ac:dyDescent="0.3"/>
    <row r="164" ht="27.75" customHeight="1" x14ac:dyDescent="0.3"/>
    <row r="165" ht="27.75" customHeight="1" x14ac:dyDescent="0.3"/>
    <row r="166" ht="27.75" customHeight="1" x14ac:dyDescent="0.3"/>
    <row r="167" ht="27.75" customHeight="1" x14ac:dyDescent="0.3"/>
    <row r="168" ht="27.75" customHeight="1" x14ac:dyDescent="0.3"/>
    <row r="169" ht="27.75" customHeight="1" x14ac:dyDescent="0.3"/>
    <row r="170" ht="27.75" customHeight="1" x14ac:dyDescent="0.3"/>
    <row r="171" ht="27.75" customHeight="1" x14ac:dyDescent="0.3"/>
    <row r="172" ht="27.75" customHeight="1" x14ac:dyDescent="0.3"/>
    <row r="173" ht="27.75" customHeight="1" x14ac:dyDescent="0.3"/>
    <row r="174" ht="27.75" customHeight="1" x14ac:dyDescent="0.3"/>
    <row r="175" ht="27.75" customHeight="1" x14ac:dyDescent="0.3"/>
    <row r="176" ht="27.75" customHeight="1" x14ac:dyDescent="0.3"/>
    <row r="177" ht="27.75" customHeight="1" x14ac:dyDescent="0.3"/>
    <row r="178" ht="27.75" customHeight="1" x14ac:dyDescent="0.3"/>
    <row r="179" ht="27.75" customHeight="1" x14ac:dyDescent="0.3"/>
    <row r="180" ht="27.75" customHeight="1" x14ac:dyDescent="0.3"/>
    <row r="181" ht="27.75" customHeight="1" x14ac:dyDescent="0.3"/>
    <row r="182" ht="27.75" customHeight="1" x14ac:dyDescent="0.3"/>
    <row r="183" ht="27.75" customHeight="1" x14ac:dyDescent="0.3"/>
    <row r="184" ht="27.75" customHeight="1" x14ac:dyDescent="0.3"/>
    <row r="185" ht="27.75" customHeight="1" x14ac:dyDescent="0.3"/>
    <row r="186" ht="27.75" customHeight="1" x14ac:dyDescent="0.3"/>
    <row r="187" ht="27.75" customHeight="1" x14ac:dyDescent="0.3"/>
    <row r="188" ht="27.75" customHeight="1" x14ac:dyDescent="0.3"/>
    <row r="189" ht="27.75" customHeight="1" x14ac:dyDescent="0.3"/>
    <row r="190" ht="27.75" customHeight="1" x14ac:dyDescent="0.3"/>
    <row r="191" ht="27.75" customHeight="1" x14ac:dyDescent="0.3"/>
    <row r="192" ht="27.75" customHeight="1" x14ac:dyDescent="0.3"/>
    <row r="193" ht="27.75" customHeight="1" x14ac:dyDescent="0.3"/>
    <row r="194" ht="27.75" customHeight="1" x14ac:dyDescent="0.3"/>
    <row r="195" ht="27.75" customHeight="1" x14ac:dyDescent="0.3"/>
    <row r="196" ht="27.75" customHeight="1" x14ac:dyDescent="0.3"/>
    <row r="197" ht="27.75" customHeight="1" x14ac:dyDescent="0.3"/>
    <row r="198" ht="27.75" customHeight="1" x14ac:dyDescent="0.3"/>
    <row r="199" ht="27.75" customHeight="1" x14ac:dyDescent="0.3"/>
    <row r="200" ht="27.75" customHeight="1" x14ac:dyDescent="0.3"/>
    <row r="201" ht="27.75" customHeight="1" x14ac:dyDescent="0.3"/>
    <row r="202" ht="27.75" customHeight="1" x14ac:dyDescent="0.3"/>
    <row r="203" ht="27.75" customHeight="1" x14ac:dyDescent="0.3"/>
    <row r="204" ht="27.75" customHeight="1" x14ac:dyDescent="0.3"/>
    <row r="205" ht="27.75" customHeight="1" x14ac:dyDescent="0.3"/>
    <row r="206" ht="27.75" customHeight="1" x14ac:dyDescent="0.3"/>
    <row r="207" ht="27.75" customHeight="1" x14ac:dyDescent="0.3"/>
    <row r="208" ht="27.75" customHeight="1" x14ac:dyDescent="0.3"/>
    <row r="209" ht="27.75" customHeight="1" x14ac:dyDescent="0.3"/>
    <row r="210" ht="27.75" customHeight="1" x14ac:dyDescent="0.3"/>
    <row r="211" ht="27.75" customHeight="1" x14ac:dyDescent="0.3"/>
    <row r="212" ht="27.75" customHeight="1" x14ac:dyDescent="0.3"/>
    <row r="213" ht="27.75" customHeight="1" x14ac:dyDescent="0.3"/>
    <row r="214" ht="27.75" customHeight="1" x14ac:dyDescent="0.3"/>
    <row r="215" ht="27.75" customHeight="1" x14ac:dyDescent="0.3"/>
    <row r="216" ht="27.75" customHeight="1" x14ac:dyDescent="0.3"/>
    <row r="217" ht="27.75" customHeight="1" x14ac:dyDescent="0.3"/>
    <row r="218" ht="27.75" customHeight="1" x14ac:dyDescent="0.3"/>
    <row r="219" ht="27.75" customHeight="1" x14ac:dyDescent="0.3"/>
    <row r="220" ht="27.75" customHeight="1" x14ac:dyDescent="0.3"/>
    <row r="221" ht="27.75" customHeight="1" x14ac:dyDescent="0.3"/>
    <row r="222" ht="27.75" customHeight="1" x14ac:dyDescent="0.3"/>
    <row r="223" ht="27.75" customHeight="1" x14ac:dyDescent="0.3"/>
    <row r="224" ht="27.75" customHeight="1" x14ac:dyDescent="0.3"/>
    <row r="225" ht="27.75" customHeight="1" x14ac:dyDescent="0.3"/>
    <row r="226" ht="27.75" customHeight="1" x14ac:dyDescent="0.3"/>
    <row r="227" ht="27.75" customHeight="1" x14ac:dyDescent="0.3"/>
    <row r="228" ht="27.75" customHeight="1" x14ac:dyDescent="0.3"/>
    <row r="229" ht="27.75" customHeight="1" x14ac:dyDescent="0.3"/>
    <row r="230" ht="27.75" customHeight="1" x14ac:dyDescent="0.3"/>
    <row r="231" ht="27.75" customHeight="1" x14ac:dyDescent="0.3"/>
    <row r="232" ht="27.75" customHeight="1" x14ac:dyDescent="0.3"/>
    <row r="233" ht="27.75" customHeight="1" x14ac:dyDescent="0.3"/>
    <row r="234" ht="27.75" customHeight="1" x14ac:dyDescent="0.3"/>
    <row r="235" ht="27.75" customHeight="1" x14ac:dyDescent="0.3"/>
    <row r="236" ht="27.75" customHeight="1" x14ac:dyDescent="0.3"/>
    <row r="237" ht="27.75" customHeight="1" x14ac:dyDescent="0.3"/>
    <row r="238" ht="27.75" customHeight="1" x14ac:dyDescent="0.3"/>
    <row r="239" ht="27.75" customHeight="1" x14ac:dyDescent="0.3"/>
    <row r="240" ht="27.75" customHeight="1" x14ac:dyDescent="0.3"/>
    <row r="241" ht="27.75" customHeight="1" x14ac:dyDescent="0.3"/>
    <row r="242" ht="27.75" customHeight="1" x14ac:dyDescent="0.3"/>
    <row r="243" ht="27.75" customHeight="1" x14ac:dyDescent="0.3"/>
    <row r="244" ht="27.75" customHeight="1" x14ac:dyDescent="0.3"/>
    <row r="245" ht="27.75" customHeight="1" x14ac:dyDescent="0.3"/>
    <row r="246" ht="27.75" customHeight="1" x14ac:dyDescent="0.3"/>
    <row r="247" ht="27.75" customHeight="1" x14ac:dyDescent="0.3"/>
    <row r="248" ht="27.75" customHeight="1" x14ac:dyDescent="0.3"/>
    <row r="249" ht="27.75" customHeight="1" x14ac:dyDescent="0.3"/>
    <row r="250" ht="27.75" customHeight="1" x14ac:dyDescent="0.3"/>
    <row r="251" ht="27.75" customHeight="1" x14ac:dyDescent="0.3"/>
    <row r="252" ht="27.75" customHeight="1" x14ac:dyDescent="0.3"/>
    <row r="253" ht="27.75" customHeight="1" x14ac:dyDescent="0.3"/>
    <row r="254" ht="27.75" customHeight="1" x14ac:dyDescent="0.3"/>
    <row r="255" ht="27.75" customHeight="1" x14ac:dyDescent="0.3"/>
    <row r="256" ht="27.75" customHeight="1" x14ac:dyDescent="0.3"/>
    <row r="257" ht="27.75" customHeight="1" x14ac:dyDescent="0.3"/>
    <row r="258" ht="27.75" customHeight="1" x14ac:dyDescent="0.3"/>
    <row r="259" ht="27.75" customHeight="1" x14ac:dyDescent="0.3"/>
    <row r="260" ht="27.75" customHeight="1" x14ac:dyDescent="0.3"/>
    <row r="261" ht="27.75" customHeight="1" x14ac:dyDescent="0.3"/>
    <row r="262" ht="27.75" customHeight="1" x14ac:dyDescent="0.3"/>
    <row r="263" ht="27.75" customHeight="1" x14ac:dyDescent="0.3"/>
    <row r="264" ht="27.75" customHeight="1" x14ac:dyDescent="0.3"/>
    <row r="265" ht="27.75" customHeight="1" x14ac:dyDescent="0.3"/>
    <row r="266" ht="27.75" customHeight="1" x14ac:dyDescent="0.3"/>
    <row r="267" ht="27.75" customHeight="1" x14ac:dyDescent="0.3"/>
    <row r="268" ht="27.75" customHeight="1" x14ac:dyDescent="0.3"/>
    <row r="269" ht="27.75" customHeight="1" x14ac:dyDescent="0.3"/>
    <row r="270" ht="27.75" customHeight="1" x14ac:dyDescent="0.3"/>
    <row r="271" ht="27.75" customHeight="1" x14ac:dyDescent="0.3"/>
    <row r="272" ht="27.75" customHeight="1" x14ac:dyDescent="0.3"/>
    <row r="273" ht="27.75" customHeight="1" x14ac:dyDescent="0.3"/>
  </sheetData>
  <sortState ref="A45:Y53">
    <sortCondition ref="A45:A53"/>
  </sortState>
  <mergeCells count="19">
    <mergeCell ref="AP10:AP11"/>
    <mergeCell ref="AQ10:AQ11"/>
    <mergeCell ref="AR10:AR11"/>
    <mergeCell ref="AS10:AS11"/>
    <mergeCell ref="B67:E67"/>
    <mergeCell ref="G10:S10"/>
    <mergeCell ref="T10:AF10"/>
    <mergeCell ref="AG10:AO10"/>
    <mergeCell ref="B71:C71"/>
    <mergeCell ref="F10:F11"/>
    <mergeCell ref="B10:B11"/>
    <mergeCell ref="C10:C11"/>
    <mergeCell ref="D10:D11"/>
    <mergeCell ref="E10:E11"/>
    <mergeCell ref="A1:B1"/>
    <mergeCell ref="A9:F9"/>
    <mergeCell ref="A10:A11"/>
    <mergeCell ref="B68:E68"/>
    <mergeCell ref="B69:E69"/>
  </mergeCells>
  <dataValidations count="5">
    <dataValidation type="list" allowBlank="1" showInputMessage="1" showErrorMessage="1" sqref="C34">
      <formula1>$B$83:$B$92</formula1>
    </dataValidation>
    <dataValidation type="list" allowBlank="1" showInputMessage="1" showErrorMessage="1" sqref="C45 C49 C39">
      <formula1>$B$87:$B$93</formula1>
    </dataValidation>
    <dataValidation type="list" allowBlank="1" showInputMessage="1" showErrorMessage="1" sqref="C60">
      <formula1>$B$91:$B$97</formula1>
    </dataValidation>
    <dataValidation type="list" allowBlank="1" showInputMessage="1" showErrorMessage="1" sqref="C46:C48 C61:C66 C59 C35:C38 C40:C44 C50:C55 C13 C15:C33">
      <formula1>#REF!</formula1>
    </dataValidation>
    <dataValidation type="list" allowBlank="1" showInputMessage="1" showErrorMessage="1" sqref="C14">
      <formula1>$C$104:$C$110</formula1>
    </dataValidation>
  </dataValidations>
  <pageMargins left="0.11811023622047245" right="0.11811023622047245" top="0.94488188976377963" bottom="0.55118110236220474" header="0.31496062992125984" footer="0.31496062992125984"/>
  <pageSetup paperSize="9" scale="34" fitToWidth="3" fitToHeight="6" orientation="landscape" horizontalDpi="4294967293" verticalDpi="4294967293" r:id="rId1"/>
  <headerFooter>
    <oddHeader>&amp;L&amp;G&amp;C&amp;20
PRODETUR - SERGIPE
CONTRATO DE EMPRÉSTIMO nº 2984/OC-BR (BR-L1256)&amp;R&amp;G</oddHeader>
    <oddFooter>&amp;CPágina &amp;P de &amp;N</oddFooter>
  </headerFooter>
  <colBreaks count="2" manualBreakCount="2">
    <brk id="19" max="91" man="1"/>
    <brk id="32" max="75" man="1"/>
  </colBreaks>
  <ignoredErrors>
    <ignoredError sqref="F39 F49 S13 S19 S30:S33 S39:S40 S44 K49:S49 S50:S51 S53 S41 S52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view="pageBreakPreview" topLeftCell="A46" zoomScale="75" zoomScaleNormal="75" zoomScaleSheetLayoutView="75" workbookViewId="0">
      <selection activeCell="F50" sqref="F50"/>
    </sheetView>
  </sheetViews>
  <sheetFormatPr defaultColWidth="9.109375" defaultRowHeight="14.4" x14ac:dyDescent="0.3"/>
  <cols>
    <col min="1" max="1" width="13.44140625" style="2" customWidth="1"/>
    <col min="2" max="2" width="9.88671875" style="2" customWidth="1"/>
    <col min="3" max="3" width="36.5546875" style="2" customWidth="1"/>
    <col min="4" max="4" width="23.109375" style="2" customWidth="1"/>
    <col min="5" max="5" width="18.109375" style="2" customWidth="1"/>
    <col min="6" max="6" width="17.88671875" style="2" customWidth="1"/>
    <col min="7" max="7" width="17.6640625" style="34" customWidth="1"/>
    <col min="8" max="9" width="17.6640625" style="35" customWidth="1"/>
    <col min="10" max="10" width="12.88671875" style="2" customWidth="1"/>
    <col min="11" max="11" width="21.109375" style="2" customWidth="1"/>
    <col min="12" max="12" width="13.5546875" style="2" customWidth="1"/>
    <col min="13" max="13" width="12.6640625" style="2" customWidth="1"/>
    <col min="14" max="14" width="11.88671875" style="113" customWidth="1"/>
    <col min="15" max="15" width="16.6640625" style="2" customWidth="1"/>
    <col min="16" max="16" width="9.109375" style="2"/>
    <col min="17" max="18" width="12" style="2" bestFit="1" customWidth="1"/>
    <col min="19" max="16384" width="9.109375" style="2"/>
  </cols>
  <sheetData>
    <row r="1" spans="1:16" ht="18" x14ac:dyDescent="0.3">
      <c r="A1" s="48" t="s">
        <v>77</v>
      </c>
    </row>
    <row r="2" spans="1:16" ht="18" x14ac:dyDescent="0.35">
      <c r="A2" s="49" t="s">
        <v>78</v>
      </c>
    </row>
    <row r="3" spans="1:16" ht="10.5" customHeight="1" x14ac:dyDescent="0.3">
      <c r="A3" s="50"/>
    </row>
    <row r="4" spans="1:16" ht="18" x14ac:dyDescent="0.3">
      <c r="A4" s="187" t="s">
        <v>400</v>
      </c>
    </row>
    <row r="5" spans="1:16" ht="10.5" customHeight="1" x14ac:dyDescent="0.3">
      <c r="A5" s="52"/>
    </row>
    <row r="6" spans="1:16" ht="15.6" x14ac:dyDescent="0.3">
      <c r="A6" s="51" t="s">
        <v>399</v>
      </c>
    </row>
    <row r="7" spans="1:16" ht="15.6" x14ac:dyDescent="0.3">
      <c r="A7" s="51" t="s">
        <v>374</v>
      </c>
      <c r="B7" s="44"/>
    </row>
    <row r="8" spans="1:16" ht="15.6" x14ac:dyDescent="0.3">
      <c r="A8" s="51" t="s">
        <v>378</v>
      </c>
      <c r="B8" s="44"/>
    </row>
    <row r="9" spans="1:16" ht="10.65" customHeight="1" x14ac:dyDescent="0.3"/>
    <row r="10" spans="1:16" ht="15.6" x14ac:dyDescent="0.3">
      <c r="A10" s="279" t="s">
        <v>0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1"/>
      <c r="P10" s="1"/>
    </row>
    <row r="11" spans="1:16" ht="15" customHeight="1" x14ac:dyDescent="0.3">
      <c r="A11" s="282" t="s">
        <v>38</v>
      </c>
      <c r="B11" s="282" t="s">
        <v>335</v>
      </c>
      <c r="C11" s="282" t="s">
        <v>121</v>
      </c>
      <c r="D11" s="282" t="s">
        <v>119</v>
      </c>
      <c r="E11" s="282" t="s">
        <v>116</v>
      </c>
      <c r="F11" s="282" t="s">
        <v>325</v>
      </c>
      <c r="G11" s="283" t="s">
        <v>48</v>
      </c>
      <c r="H11" s="283"/>
      <c r="I11" s="283"/>
      <c r="J11" s="282" t="s">
        <v>117</v>
      </c>
      <c r="K11" s="282" t="s">
        <v>118</v>
      </c>
      <c r="L11" s="282" t="s">
        <v>49</v>
      </c>
      <c r="M11" s="282"/>
      <c r="N11" s="282" t="s">
        <v>79</v>
      </c>
      <c r="O11" s="282" t="s">
        <v>80</v>
      </c>
      <c r="P11" s="1"/>
    </row>
    <row r="12" spans="1:16" ht="54.75" customHeight="1" x14ac:dyDescent="0.3">
      <c r="A12" s="282"/>
      <c r="B12" s="282"/>
      <c r="C12" s="282"/>
      <c r="D12" s="282"/>
      <c r="E12" s="282"/>
      <c r="F12" s="282"/>
      <c r="G12" s="39" t="s">
        <v>140</v>
      </c>
      <c r="H12" s="81" t="s">
        <v>128</v>
      </c>
      <c r="I12" s="81" t="s">
        <v>129</v>
      </c>
      <c r="J12" s="282"/>
      <c r="K12" s="282"/>
      <c r="L12" s="234" t="s">
        <v>50</v>
      </c>
      <c r="M12" s="234" t="s">
        <v>51</v>
      </c>
      <c r="N12" s="282"/>
      <c r="O12" s="282"/>
      <c r="P12" s="1"/>
    </row>
    <row r="13" spans="1:16" ht="54.75" customHeight="1" x14ac:dyDescent="0.3">
      <c r="A13" s="75" t="s">
        <v>304</v>
      </c>
      <c r="B13" s="83" t="s">
        <v>362</v>
      </c>
      <c r="C13" s="175" t="s">
        <v>363</v>
      </c>
      <c r="D13" s="100" t="s">
        <v>73</v>
      </c>
      <c r="E13" s="83">
        <v>1</v>
      </c>
      <c r="F13" s="83"/>
      <c r="G13" s="177">
        <v>300</v>
      </c>
      <c r="H13" s="176">
        <v>1</v>
      </c>
      <c r="I13" s="176">
        <v>0</v>
      </c>
      <c r="J13" s="83">
        <v>1</v>
      </c>
      <c r="K13" s="75" t="s">
        <v>36</v>
      </c>
      <c r="L13" s="178">
        <v>43130</v>
      </c>
      <c r="M13" s="178">
        <v>43250</v>
      </c>
      <c r="N13" s="83"/>
      <c r="O13" s="175" t="s">
        <v>83</v>
      </c>
      <c r="P13" s="1"/>
    </row>
    <row r="14" spans="1:16" ht="54.75" customHeight="1" x14ac:dyDescent="0.3">
      <c r="A14" s="75" t="s">
        <v>304</v>
      </c>
      <c r="B14" s="83" t="s">
        <v>376</v>
      </c>
      <c r="C14" s="175" t="s">
        <v>364</v>
      </c>
      <c r="D14" s="100" t="s">
        <v>73</v>
      </c>
      <c r="E14" s="83">
        <v>1</v>
      </c>
      <c r="F14" s="83"/>
      <c r="G14" s="177">
        <v>300</v>
      </c>
      <c r="H14" s="176">
        <v>1</v>
      </c>
      <c r="I14" s="176">
        <v>0</v>
      </c>
      <c r="J14" s="83">
        <v>1</v>
      </c>
      <c r="K14" s="75" t="s">
        <v>36</v>
      </c>
      <c r="L14" s="178">
        <v>43241</v>
      </c>
      <c r="M14" s="178">
        <v>43361</v>
      </c>
      <c r="N14" s="83"/>
      <c r="O14" s="175" t="s">
        <v>83</v>
      </c>
      <c r="P14" s="1"/>
    </row>
    <row r="15" spans="1:16" ht="45" customHeight="1" x14ac:dyDescent="0.3">
      <c r="A15" s="104" t="s">
        <v>304</v>
      </c>
      <c r="B15" s="104" t="s">
        <v>336</v>
      </c>
      <c r="C15" s="105" t="s">
        <v>70</v>
      </c>
      <c r="D15" s="106" t="s">
        <v>73</v>
      </c>
      <c r="E15" s="104">
        <v>1</v>
      </c>
      <c r="F15" s="236" t="s">
        <v>309</v>
      </c>
      <c r="G15" s="108">
        <v>430.35</v>
      </c>
      <c r="H15" s="237">
        <v>1</v>
      </c>
      <c r="I15" s="237">
        <v>0</v>
      </c>
      <c r="J15" s="104">
        <v>1</v>
      </c>
      <c r="K15" s="104" t="s">
        <v>36</v>
      </c>
      <c r="L15" s="97">
        <v>42576</v>
      </c>
      <c r="M15" s="97">
        <v>42766</v>
      </c>
      <c r="N15" s="104" t="s">
        <v>306</v>
      </c>
      <c r="O15" s="107" t="s">
        <v>85</v>
      </c>
      <c r="P15" s="1"/>
    </row>
    <row r="16" spans="1:16" ht="45" customHeight="1" x14ac:dyDescent="0.3">
      <c r="A16" s="75" t="s">
        <v>304</v>
      </c>
      <c r="B16" s="75" t="s">
        <v>365</v>
      </c>
      <c r="C16" s="89" t="s">
        <v>187</v>
      </c>
      <c r="D16" s="67" t="s">
        <v>39</v>
      </c>
      <c r="E16" s="75">
        <v>1</v>
      </c>
      <c r="F16" s="171"/>
      <c r="G16" s="143">
        <v>5708.82</v>
      </c>
      <c r="H16" s="84">
        <v>1</v>
      </c>
      <c r="I16" s="84">
        <v>0</v>
      </c>
      <c r="J16" s="75">
        <v>1</v>
      </c>
      <c r="K16" s="75" t="s">
        <v>36</v>
      </c>
      <c r="L16" s="68">
        <v>43160</v>
      </c>
      <c r="M16" s="68">
        <v>43282</v>
      </c>
      <c r="N16" s="75"/>
      <c r="O16" s="100" t="s">
        <v>83</v>
      </c>
      <c r="P16" s="1"/>
    </row>
    <row r="17" spans="1:16" ht="60" customHeight="1" x14ac:dyDescent="0.3">
      <c r="A17" s="104" t="s">
        <v>304</v>
      </c>
      <c r="B17" s="104" t="s">
        <v>337</v>
      </c>
      <c r="C17" s="105" t="s">
        <v>66</v>
      </c>
      <c r="D17" s="107" t="s">
        <v>39</v>
      </c>
      <c r="E17" s="104">
        <v>1</v>
      </c>
      <c r="F17" s="236" t="s">
        <v>310</v>
      </c>
      <c r="G17" s="108">
        <v>1844.22</v>
      </c>
      <c r="H17" s="237">
        <v>1</v>
      </c>
      <c r="I17" s="237">
        <v>0</v>
      </c>
      <c r="J17" s="104" t="s">
        <v>125</v>
      </c>
      <c r="K17" s="104" t="s">
        <v>36</v>
      </c>
      <c r="L17" s="97">
        <v>42194</v>
      </c>
      <c r="M17" s="97">
        <v>42277</v>
      </c>
      <c r="N17" s="104" t="s">
        <v>126</v>
      </c>
      <c r="O17" s="107" t="s">
        <v>85</v>
      </c>
      <c r="P17" s="1"/>
    </row>
    <row r="18" spans="1:16" ht="45" customHeight="1" x14ac:dyDescent="0.3">
      <c r="A18" s="238" t="s">
        <v>304</v>
      </c>
      <c r="B18" s="238" t="s">
        <v>338</v>
      </c>
      <c r="C18" s="239" t="s">
        <v>110</v>
      </c>
      <c r="D18" s="240" t="s">
        <v>39</v>
      </c>
      <c r="E18" s="238">
        <v>1</v>
      </c>
      <c r="F18" s="241" t="s">
        <v>360</v>
      </c>
      <c r="G18" s="242">
        <f>2268495.07/3.1358/1000</f>
        <v>723.41828879392813</v>
      </c>
      <c r="H18" s="243">
        <v>1</v>
      </c>
      <c r="I18" s="243">
        <v>0</v>
      </c>
      <c r="J18" s="238">
        <v>1</v>
      </c>
      <c r="K18" s="238" t="s">
        <v>36</v>
      </c>
      <c r="L18" s="244">
        <v>42901</v>
      </c>
      <c r="M18" s="244">
        <f>L18+120</f>
        <v>43021</v>
      </c>
      <c r="N18" s="238"/>
      <c r="O18" s="245" t="s">
        <v>45</v>
      </c>
      <c r="P18" s="1"/>
    </row>
    <row r="19" spans="1:16" ht="30" customHeight="1" x14ac:dyDescent="0.3">
      <c r="A19" s="238" t="s">
        <v>304</v>
      </c>
      <c r="B19" s="238" t="s">
        <v>339</v>
      </c>
      <c r="C19" s="239" t="s">
        <v>111</v>
      </c>
      <c r="D19" s="240" t="s">
        <v>73</v>
      </c>
      <c r="E19" s="238">
        <v>1</v>
      </c>
      <c r="F19" s="241"/>
      <c r="G19" s="242">
        <f>1355174.61/3.1358/1000</f>
        <v>432.16232221442692</v>
      </c>
      <c r="H19" s="243">
        <v>1</v>
      </c>
      <c r="I19" s="243">
        <v>0</v>
      </c>
      <c r="J19" s="238">
        <v>1</v>
      </c>
      <c r="K19" s="238" t="s">
        <v>36</v>
      </c>
      <c r="L19" s="244">
        <v>42901</v>
      </c>
      <c r="M19" s="244">
        <f>L19+90</f>
        <v>42991</v>
      </c>
      <c r="N19" s="238"/>
      <c r="O19" s="245" t="s">
        <v>45</v>
      </c>
      <c r="P19" s="1"/>
    </row>
    <row r="20" spans="1:16" ht="30" customHeight="1" x14ac:dyDescent="0.3">
      <c r="A20" s="224" t="s">
        <v>304</v>
      </c>
      <c r="B20" s="101" t="s">
        <v>367</v>
      </c>
      <c r="C20" s="235" t="s">
        <v>391</v>
      </c>
      <c r="D20" s="225" t="s">
        <v>39</v>
      </c>
      <c r="E20" s="224">
        <v>1</v>
      </c>
      <c r="F20" s="226"/>
      <c r="G20" s="143">
        <v>1974.4</v>
      </c>
      <c r="H20" s="227">
        <v>1</v>
      </c>
      <c r="I20" s="227">
        <v>0</v>
      </c>
      <c r="J20" s="224">
        <v>1</v>
      </c>
      <c r="K20" s="224" t="s">
        <v>36</v>
      </c>
      <c r="L20" s="228">
        <v>42901</v>
      </c>
      <c r="M20" s="103">
        <f>L20+150</f>
        <v>43051</v>
      </c>
      <c r="N20" s="101"/>
      <c r="O20" s="225" t="s">
        <v>83</v>
      </c>
      <c r="P20" s="1"/>
    </row>
    <row r="21" spans="1:16" ht="30" customHeight="1" x14ac:dyDescent="0.3">
      <c r="A21" s="224" t="s">
        <v>304</v>
      </c>
      <c r="B21" s="101" t="s">
        <v>368</v>
      </c>
      <c r="C21" s="235" t="s">
        <v>392</v>
      </c>
      <c r="D21" s="225" t="s">
        <v>39</v>
      </c>
      <c r="E21" s="224">
        <v>1</v>
      </c>
      <c r="F21" s="226"/>
      <c r="G21" s="143">
        <v>493.6</v>
      </c>
      <c r="H21" s="227">
        <v>1</v>
      </c>
      <c r="I21" s="227">
        <v>0</v>
      </c>
      <c r="J21" s="224">
        <v>1</v>
      </c>
      <c r="K21" s="224" t="s">
        <v>36</v>
      </c>
      <c r="L21" s="228">
        <v>43177</v>
      </c>
      <c r="M21" s="103">
        <v>43297</v>
      </c>
      <c r="N21" s="101"/>
      <c r="O21" s="225" t="s">
        <v>83</v>
      </c>
      <c r="P21" s="1"/>
    </row>
    <row r="22" spans="1:16" ht="90" customHeight="1" x14ac:dyDescent="0.3">
      <c r="A22" s="104" t="s">
        <v>271</v>
      </c>
      <c r="B22" s="104" t="s">
        <v>136</v>
      </c>
      <c r="C22" s="105" t="s">
        <v>270</v>
      </c>
      <c r="D22" s="106" t="s">
        <v>37</v>
      </c>
      <c r="E22" s="104">
        <v>1</v>
      </c>
      <c r="F22" s="236" t="s">
        <v>294</v>
      </c>
      <c r="G22" s="108">
        <f>444.067+444.067</f>
        <v>888.13400000000001</v>
      </c>
      <c r="H22" s="237">
        <v>0</v>
      </c>
      <c r="I22" s="237">
        <v>1</v>
      </c>
      <c r="J22" s="104">
        <v>4</v>
      </c>
      <c r="K22" s="104" t="s">
        <v>37</v>
      </c>
      <c r="L22" s="104">
        <v>2010</v>
      </c>
      <c r="M22" s="256" t="s">
        <v>297</v>
      </c>
      <c r="N22" s="104" t="s">
        <v>296</v>
      </c>
      <c r="O22" s="107" t="s">
        <v>2</v>
      </c>
      <c r="P22" s="1"/>
    </row>
    <row r="23" spans="1:16" ht="45" customHeight="1" x14ac:dyDescent="0.3">
      <c r="A23" s="104" t="s">
        <v>269</v>
      </c>
      <c r="B23" s="104" t="s">
        <v>137</v>
      </c>
      <c r="C23" s="105" t="s">
        <v>268</v>
      </c>
      <c r="D23" s="106" t="s">
        <v>37</v>
      </c>
      <c r="E23" s="104">
        <v>1</v>
      </c>
      <c r="F23" s="236" t="s">
        <v>308</v>
      </c>
      <c r="G23" s="108">
        <v>6340.7389999999996</v>
      </c>
      <c r="H23" s="237">
        <v>0</v>
      </c>
      <c r="I23" s="237">
        <v>1</v>
      </c>
      <c r="J23" s="104">
        <v>4</v>
      </c>
      <c r="K23" s="104" t="s">
        <v>37</v>
      </c>
      <c r="L23" s="256">
        <v>2012</v>
      </c>
      <c r="M23" s="256" t="s">
        <v>295</v>
      </c>
      <c r="N23" s="104" t="s">
        <v>293</v>
      </c>
      <c r="O23" s="107" t="s">
        <v>2</v>
      </c>
      <c r="P23" s="1"/>
    </row>
    <row r="24" spans="1:16" ht="60" customHeight="1" x14ac:dyDescent="0.3">
      <c r="A24" s="75" t="s">
        <v>390</v>
      </c>
      <c r="B24" s="75" t="s">
        <v>377</v>
      </c>
      <c r="C24" s="87" t="s">
        <v>393</v>
      </c>
      <c r="D24" s="100" t="s">
        <v>37</v>
      </c>
      <c r="E24" s="75">
        <v>1</v>
      </c>
      <c r="F24" s="171" t="s">
        <v>294</v>
      </c>
      <c r="G24" s="143">
        <v>8396.5069999999996</v>
      </c>
      <c r="H24" s="84">
        <v>0</v>
      </c>
      <c r="I24" s="84">
        <v>1</v>
      </c>
      <c r="J24" s="75">
        <v>4</v>
      </c>
      <c r="K24" s="75" t="s">
        <v>37</v>
      </c>
      <c r="L24" s="75">
        <v>2017</v>
      </c>
      <c r="M24" s="75">
        <v>2018</v>
      </c>
      <c r="N24" s="75" t="s">
        <v>294</v>
      </c>
      <c r="O24" s="100" t="s">
        <v>83</v>
      </c>
      <c r="P24" s="1"/>
    </row>
    <row r="25" spans="1:16" ht="45" customHeight="1" x14ac:dyDescent="0.3">
      <c r="A25" s="104" t="s">
        <v>304</v>
      </c>
      <c r="B25" s="104" t="s">
        <v>340</v>
      </c>
      <c r="C25" s="105" t="s">
        <v>113</v>
      </c>
      <c r="D25" s="106" t="s">
        <v>39</v>
      </c>
      <c r="E25" s="104">
        <v>1</v>
      </c>
      <c r="F25" s="236" t="s">
        <v>326</v>
      </c>
      <c r="G25" s="108">
        <v>1858.81</v>
      </c>
      <c r="H25" s="237">
        <v>1</v>
      </c>
      <c r="I25" s="237">
        <v>0</v>
      </c>
      <c r="J25" s="104">
        <v>5</v>
      </c>
      <c r="K25" s="104" t="s">
        <v>36</v>
      </c>
      <c r="L25" s="97">
        <v>42471</v>
      </c>
      <c r="M25" s="97">
        <v>42647</v>
      </c>
      <c r="N25" s="104" t="s">
        <v>238</v>
      </c>
      <c r="O25" s="107" t="s">
        <v>85</v>
      </c>
      <c r="P25" s="1"/>
    </row>
    <row r="26" spans="1:16" x14ac:dyDescent="0.3">
      <c r="A26" s="36"/>
      <c r="B26" s="36"/>
      <c r="C26" s="36"/>
      <c r="D26" s="36"/>
      <c r="E26" s="77" t="s">
        <v>157</v>
      </c>
      <c r="F26" s="53"/>
      <c r="G26" s="71">
        <f>SUM(G13:G25)</f>
        <v>29691.160611008356</v>
      </c>
      <c r="H26" s="69"/>
      <c r="I26" s="69"/>
      <c r="J26" s="69"/>
      <c r="K26" s="36"/>
      <c r="L26" s="36"/>
      <c r="M26" s="36"/>
      <c r="N26" s="167"/>
      <c r="O26" s="36"/>
      <c r="P26" s="1"/>
    </row>
    <row r="27" spans="1:16" ht="15" customHeight="1" x14ac:dyDescent="0.3">
      <c r="E27" s="77" t="s">
        <v>170</v>
      </c>
      <c r="F27" s="77"/>
      <c r="G27" s="71">
        <f>G26-G15-G17-G22-G23-G25</f>
        <v>18328.907611008352</v>
      </c>
    </row>
    <row r="28" spans="1:16" ht="15" customHeight="1" x14ac:dyDescent="0.3">
      <c r="E28" s="77"/>
      <c r="F28" s="77"/>
      <c r="G28" s="71"/>
    </row>
    <row r="29" spans="1:16" ht="15.6" x14ac:dyDescent="0.3">
      <c r="A29" s="279" t="s">
        <v>167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1"/>
      <c r="P29" s="1"/>
    </row>
    <row r="30" spans="1:16" ht="15" customHeight="1" x14ac:dyDescent="0.3">
      <c r="A30" s="282" t="s">
        <v>38</v>
      </c>
      <c r="B30" s="282" t="s">
        <v>142</v>
      </c>
      <c r="C30" s="282" t="s">
        <v>121</v>
      </c>
      <c r="D30" s="282" t="s">
        <v>119</v>
      </c>
      <c r="E30" s="282" t="s">
        <v>116</v>
      </c>
      <c r="F30" s="282" t="s">
        <v>325</v>
      </c>
      <c r="G30" s="283" t="s">
        <v>48</v>
      </c>
      <c r="H30" s="283"/>
      <c r="I30" s="283"/>
      <c r="J30" s="282" t="s">
        <v>117</v>
      </c>
      <c r="K30" s="282" t="s">
        <v>118</v>
      </c>
      <c r="L30" s="282" t="s">
        <v>49</v>
      </c>
      <c r="M30" s="282"/>
      <c r="N30" s="282" t="s">
        <v>79</v>
      </c>
      <c r="O30" s="282" t="s">
        <v>80</v>
      </c>
      <c r="P30" s="1"/>
    </row>
    <row r="31" spans="1:16" ht="51.75" customHeight="1" x14ac:dyDescent="0.3">
      <c r="A31" s="282"/>
      <c r="B31" s="282"/>
      <c r="C31" s="282"/>
      <c r="D31" s="282"/>
      <c r="E31" s="282"/>
      <c r="F31" s="282"/>
      <c r="G31" s="39" t="s">
        <v>140</v>
      </c>
      <c r="H31" s="81" t="s">
        <v>128</v>
      </c>
      <c r="I31" s="81" t="s">
        <v>129</v>
      </c>
      <c r="J31" s="282"/>
      <c r="K31" s="282"/>
      <c r="L31" s="234" t="s">
        <v>50</v>
      </c>
      <c r="M31" s="234" t="s">
        <v>51</v>
      </c>
      <c r="N31" s="282"/>
      <c r="O31" s="282"/>
      <c r="P31" s="1"/>
    </row>
    <row r="32" spans="1:16" ht="51.75" customHeight="1" x14ac:dyDescent="0.3">
      <c r="A32" s="75" t="s">
        <v>304</v>
      </c>
      <c r="B32" s="83" t="s">
        <v>205</v>
      </c>
      <c r="C32" s="175" t="s">
        <v>206</v>
      </c>
      <c r="D32" s="3" t="s">
        <v>39</v>
      </c>
      <c r="E32" s="83">
        <v>1</v>
      </c>
      <c r="F32" s="83"/>
      <c r="G32" s="177">
        <v>2000</v>
      </c>
      <c r="H32" s="176">
        <v>1</v>
      </c>
      <c r="I32" s="176">
        <v>0</v>
      </c>
      <c r="J32" s="83">
        <v>2</v>
      </c>
      <c r="K32" s="83" t="s">
        <v>36</v>
      </c>
      <c r="L32" s="178">
        <v>42934</v>
      </c>
      <c r="M32" s="178">
        <v>43054</v>
      </c>
      <c r="N32" s="83"/>
      <c r="O32" s="175" t="s">
        <v>83</v>
      </c>
      <c r="P32" s="1"/>
    </row>
    <row r="33" spans="1:16" ht="51.75" customHeight="1" x14ac:dyDescent="0.3">
      <c r="A33" s="75" t="s">
        <v>304</v>
      </c>
      <c r="B33" s="83" t="s">
        <v>207</v>
      </c>
      <c r="C33" s="175" t="s">
        <v>208</v>
      </c>
      <c r="D33" s="3" t="s">
        <v>39</v>
      </c>
      <c r="E33" s="83">
        <v>1</v>
      </c>
      <c r="F33" s="83"/>
      <c r="G33" s="177">
        <v>2000</v>
      </c>
      <c r="H33" s="176">
        <v>1</v>
      </c>
      <c r="I33" s="176">
        <v>0</v>
      </c>
      <c r="J33" s="83">
        <v>2</v>
      </c>
      <c r="K33" s="83" t="s">
        <v>36</v>
      </c>
      <c r="L33" s="178">
        <v>42934</v>
      </c>
      <c r="M33" s="178">
        <v>43054</v>
      </c>
      <c r="N33" s="83"/>
      <c r="O33" s="175" t="s">
        <v>83</v>
      </c>
      <c r="P33" s="1"/>
    </row>
    <row r="34" spans="1:16" ht="60" customHeight="1" x14ac:dyDescent="0.3">
      <c r="A34" s="75" t="s">
        <v>304</v>
      </c>
      <c r="B34" s="79" t="s">
        <v>341</v>
      </c>
      <c r="C34" s="89" t="s">
        <v>307</v>
      </c>
      <c r="D34" s="67" t="s">
        <v>73</v>
      </c>
      <c r="E34" s="75">
        <v>1</v>
      </c>
      <c r="F34" s="75"/>
      <c r="G34" s="72">
        <v>250</v>
      </c>
      <c r="H34" s="84">
        <v>1</v>
      </c>
      <c r="I34" s="84">
        <v>0</v>
      </c>
      <c r="J34" s="75">
        <v>3</v>
      </c>
      <c r="K34" s="75" t="s">
        <v>35</v>
      </c>
      <c r="L34" s="68">
        <v>42901</v>
      </c>
      <c r="M34" s="68">
        <f t="shared" ref="M34" si="0">L34+90</f>
        <v>42991</v>
      </c>
      <c r="N34" s="75"/>
      <c r="O34" s="67" t="s">
        <v>83</v>
      </c>
      <c r="P34" s="94"/>
    </row>
    <row r="35" spans="1:16" ht="30" customHeight="1" x14ac:dyDescent="0.3">
      <c r="A35" s="75" t="s">
        <v>304</v>
      </c>
      <c r="B35" s="95" t="s">
        <v>370</v>
      </c>
      <c r="C35" s="86" t="s">
        <v>372</v>
      </c>
      <c r="D35" s="67" t="s">
        <v>44</v>
      </c>
      <c r="E35" s="75">
        <v>1</v>
      </c>
      <c r="F35" s="169"/>
      <c r="G35" s="72">
        <v>15</v>
      </c>
      <c r="H35" s="84">
        <v>1</v>
      </c>
      <c r="I35" s="84">
        <v>0</v>
      </c>
      <c r="J35" s="109">
        <v>6</v>
      </c>
      <c r="K35" s="75" t="s">
        <v>35</v>
      </c>
      <c r="L35" s="68">
        <v>42901</v>
      </c>
      <c r="M35" s="68">
        <f>L35+90</f>
        <v>42991</v>
      </c>
      <c r="N35" s="75"/>
      <c r="O35" s="67" t="s">
        <v>83</v>
      </c>
      <c r="P35" s="93"/>
    </row>
    <row r="36" spans="1:16" x14ac:dyDescent="0.3">
      <c r="A36" s="36"/>
      <c r="B36" s="36"/>
      <c r="C36" s="36"/>
      <c r="D36" s="36"/>
      <c r="E36" s="76" t="s">
        <v>168</v>
      </c>
      <c r="F36" s="53"/>
      <c r="G36" s="54">
        <f>SUM(G32:G35)</f>
        <v>4265</v>
      </c>
      <c r="H36" s="38"/>
      <c r="I36" s="38"/>
      <c r="J36" s="36"/>
      <c r="K36" s="36"/>
      <c r="L36" s="36"/>
      <c r="M36" s="36"/>
      <c r="N36" s="167"/>
      <c r="O36" s="36"/>
      <c r="P36" s="1"/>
    </row>
    <row r="37" spans="1:16" x14ac:dyDescent="0.3">
      <c r="E37" s="76" t="s">
        <v>169</v>
      </c>
      <c r="F37" s="77"/>
      <c r="G37" s="54">
        <f>G36</f>
        <v>4265</v>
      </c>
    </row>
    <row r="38" spans="1:16" x14ac:dyDescent="0.3">
      <c r="E38" s="76"/>
      <c r="F38" s="77"/>
      <c r="G38" s="54"/>
    </row>
    <row r="39" spans="1:16" ht="15.75" customHeight="1" x14ac:dyDescent="0.3">
      <c r="A39" s="279" t="s">
        <v>52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1"/>
    </row>
    <row r="40" spans="1:16" ht="15" customHeight="1" x14ac:dyDescent="0.3">
      <c r="A40" s="282" t="s">
        <v>38</v>
      </c>
      <c r="B40" s="282" t="s">
        <v>142</v>
      </c>
      <c r="C40" s="282" t="s">
        <v>121</v>
      </c>
      <c r="D40" s="282" t="s">
        <v>120</v>
      </c>
      <c r="E40" s="300"/>
      <c r="F40" s="300"/>
      <c r="G40" s="283" t="s">
        <v>48</v>
      </c>
      <c r="H40" s="283"/>
      <c r="I40" s="283"/>
      <c r="J40" s="282" t="s">
        <v>117</v>
      </c>
      <c r="K40" s="282" t="s">
        <v>118</v>
      </c>
      <c r="L40" s="282" t="s">
        <v>49</v>
      </c>
      <c r="M40" s="282"/>
      <c r="N40" s="282" t="s">
        <v>79</v>
      </c>
      <c r="O40" s="282" t="s">
        <v>80</v>
      </c>
    </row>
    <row r="41" spans="1:16" ht="45" customHeight="1" x14ac:dyDescent="0.3">
      <c r="A41" s="282"/>
      <c r="B41" s="282"/>
      <c r="C41" s="282"/>
      <c r="D41" s="282"/>
      <c r="E41" s="285" t="s">
        <v>325</v>
      </c>
      <c r="F41" s="285"/>
      <c r="G41" s="39" t="s">
        <v>140</v>
      </c>
      <c r="H41" s="81" t="s">
        <v>128</v>
      </c>
      <c r="I41" s="81" t="s">
        <v>129</v>
      </c>
      <c r="J41" s="282"/>
      <c r="K41" s="282"/>
      <c r="L41" s="234" t="s">
        <v>81</v>
      </c>
      <c r="M41" s="234" t="s">
        <v>51</v>
      </c>
      <c r="N41" s="282"/>
      <c r="O41" s="282"/>
    </row>
    <row r="42" spans="1:16" ht="45" customHeight="1" x14ac:dyDescent="0.3">
      <c r="A42" s="238" t="s">
        <v>304</v>
      </c>
      <c r="B42" s="246" t="s">
        <v>342</v>
      </c>
      <c r="C42" s="239" t="s">
        <v>153</v>
      </c>
      <c r="D42" s="245" t="s">
        <v>74</v>
      </c>
      <c r="E42" s="247" t="s">
        <v>330</v>
      </c>
      <c r="F42" s="248"/>
      <c r="G42" s="242">
        <v>468</v>
      </c>
      <c r="H42" s="243">
        <v>1</v>
      </c>
      <c r="I42" s="243">
        <v>0</v>
      </c>
      <c r="J42" s="249">
        <v>1</v>
      </c>
      <c r="K42" s="238" t="s">
        <v>36</v>
      </c>
      <c r="L42" s="244">
        <v>42663</v>
      </c>
      <c r="M42" s="244">
        <v>42937</v>
      </c>
      <c r="N42" s="238"/>
      <c r="O42" s="245" t="s">
        <v>45</v>
      </c>
    </row>
    <row r="43" spans="1:16" ht="51.75" customHeight="1" x14ac:dyDescent="0.3">
      <c r="A43" s="75" t="s">
        <v>304</v>
      </c>
      <c r="B43" s="92" t="s">
        <v>361</v>
      </c>
      <c r="C43" s="89" t="s">
        <v>173</v>
      </c>
      <c r="D43" s="67" t="s">
        <v>74</v>
      </c>
      <c r="E43" s="277"/>
      <c r="F43" s="278"/>
      <c r="G43" s="143">
        <v>200</v>
      </c>
      <c r="H43" s="84">
        <v>1</v>
      </c>
      <c r="I43" s="84">
        <v>0</v>
      </c>
      <c r="J43" s="109">
        <v>1</v>
      </c>
      <c r="K43" s="75" t="s">
        <v>36</v>
      </c>
      <c r="L43" s="68">
        <v>42901</v>
      </c>
      <c r="M43" s="68">
        <f>L43+180</f>
        <v>43081</v>
      </c>
      <c r="N43" s="75"/>
      <c r="O43" s="67" t="s">
        <v>83</v>
      </c>
    </row>
    <row r="44" spans="1:16" s="111" customFormat="1" ht="60" customHeight="1" x14ac:dyDescent="0.3">
      <c r="A44" s="238" t="s">
        <v>304</v>
      </c>
      <c r="B44" s="246" t="s">
        <v>343</v>
      </c>
      <c r="C44" s="239" t="s">
        <v>183</v>
      </c>
      <c r="D44" s="245" t="s">
        <v>74</v>
      </c>
      <c r="E44" s="247" t="s">
        <v>329</v>
      </c>
      <c r="F44" s="248"/>
      <c r="G44" s="242">
        <v>500</v>
      </c>
      <c r="H44" s="243">
        <v>1</v>
      </c>
      <c r="I44" s="243">
        <v>0</v>
      </c>
      <c r="J44" s="249">
        <v>1</v>
      </c>
      <c r="K44" s="238" t="s">
        <v>36</v>
      </c>
      <c r="L44" s="244">
        <v>42663</v>
      </c>
      <c r="M44" s="244">
        <v>42937</v>
      </c>
      <c r="N44" s="238"/>
      <c r="O44" s="245" t="s">
        <v>45</v>
      </c>
    </row>
    <row r="45" spans="1:16" ht="45" customHeight="1" x14ac:dyDescent="0.3">
      <c r="A45" s="238" t="s">
        <v>304</v>
      </c>
      <c r="B45" s="246" t="s">
        <v>344</v>
      </c>
      <c r="C45" s="239" t="s">
        <v>112</v>
      </c>
      <c r="D45" s="245" t="s">
        <v>74</v>
      </c>
      <c r="E45" s="247" t="s">
        <v>331</v>
      </c>
      <c r="F45" s="248"/>
      <c r="G45" s="242">
        <v>491.17</v>
      </c>
      <c r="H45" s="243">
        <v>1</v>
      </c>
      <c r="I45" s="243">
        <v>0</v>
      </c>
      <c r="J45" s="249">
        <v>1</v>
      </c>
      <c r="K45" s="238" t="s">
        <v>36</v>
      </c>
      <c r="L45" s="244">
        <v>42695</v>
      </c>
      <c r="M45" s="244">
        <v>42937</v>
      </c>
      <c r="N45" s="238"/>
      <c r="O45" s="245" t="s">
        <v>45</v>
      </c>
    </row>
    <row r="46" spans="1:16" ht="54.9" customHeight="1" x14ac:dyDescent="0.3">
      <c r="A46" s="104" t="s">
        <v>304</v>
      </c>
      <c r="B46" s="125" t="s">
        <v>345</v>
      </c>
      <c r="C46" s="105" t="s">
        <v>190</v>
      </c>
      <c r="D46" s="107" t="s">
        <v>44</v>
      </c>
      <c r="E46" s="257" t="s">
        <v>311</v>
      </c>
      <c r="F46" s="258"/>
      <c r="G46" s="108">
        <v>20.2</v>
      </c>
      <c r="H46" s="237">
        <v>1</v>
      </c>
      <c r="I46" s="237">
        <v>0</v>
      </c>
      <c r="J46" s="259">
        <v>1</v>
      </c>
      <c r="K46" s="104" t="s">
        <v>35</v>
      </c>
      <c r="L46" s="97" t="s">
        <v>260</v>
      </c>
      <c r="M46" s="97">
        <v>42558</v>
      </c>
      <c r="N46" s="260" t="s">
        <v>133</v>
      </c>
      <c r="O46" s="107" t="s">
        <v>2</v>
      </c>
    </row>
    <row r="47" spans="1:16" ht="54.9" customHeight="1" x14ac:dyDescent="0.3">
      <c r="A47" s="238" t="s">
        <v>304</v>
      </c>
      <c r="B47" s="246" t="s">
        <v>346</v>
      </c>
      <c r="C47" s="239" t="s">
        <v>332</v>
      </c>
      <c r="D47" s="245" t="s">
        <v>74</v>
      </c>
      <c r="E47" s="324"/>
      <c r="F47" s="325"/>
      <c r="G47" s="242">
        <v>285</v>
      </c>
      <c r="H47" s="243">
        <v>1</v>
      </c>
      <c r="I47" s="243">
        <v>0</v>
      </c>
      <c r="J47" s="249">
        <v>1</v>
      </c>
      <c r="K47" s="238" t="s">
        <v>36</v>
      </c>
      <c r="L47" s="244">
        <v>42901</v>
      </c>
      <c r="M47" s="244">
        <f>L47+180</f>
        <v>43081</v>
      </c>
      <c r="N47" s="238"/>
      <c r="O47" s="245" t="s">
        <v>83</v>
      </c>
    </row>
    <row r="48" spans="1:16" ht="45" customHeight="1" x14ac:dyDescent="0.3">
      <c r="A48" s="104" t="s">
        <v>304</v>
      </c>
      <c r="B48" s="126" t="s">
        <v>347</v>
      </c>
      <c r="C48" s="105" t="s">
        <v>135</v>
      </c>
      <c r="D48" s="107" t="s">
        <v>74</v>
      </c>
      <c r="E48" s="257" t="s">
        <v>312</v>
      </c>
      <c r="F48" s="258"/>
      <c r="G48" s="108">
        <v>519.64</v>
      </c>
      <c r="H48" s="237">
        <v>1</v>
      </c>
      <c r="I48" s="237">
        <v>0</v>
      </c>
      <c r="J48" s="259">
        <v>1</v>
      </c>
      <c r="K48" s="104" t="s">
        <v>36</v>
      </c>
      <c r="L48" s="97">
        <v>42248</v>
      </c>
      <c r="M48" s="97">
        <v>42614</v>
      </c>
      <c r="N48" s="104" t="s">
        <v>196</v>
      </c>
      <c r="O48" s="107" t="s">
        <v>85</v>
      </c>
      <c r="P48" s="93"/>
    </row>
    <row r="49" spans="1:16" ht="54.9" customHeight="1" x14ac:dyDescent="0.3">
      <c r="A49" s="104" t="s">
        <v>304</v>
      </c>
      <c r="B49" s="126" t="s">
        <v>115</v>
      </c>
      <c r="C49" s="105" t="s">
        <v>114</v>
      </c>
      <c r="D49" s="107" t="s">
        <v>74</v>
      </c>
      <c r="E49" s="257" t="s">
        <v>313</v>
      </c>
      <c r="F49" s="258"/>
      <c r="G49" s="108">
        <v>298.74</v>
      </c>
      <c r="H49" s="237">
        <v>1</v>
      </c>
      <c r="I49" s="237">
        <v>0</v>
      </c>
      <c r="J49" s="259">
        <v>2</v>
      </c>
      <c r="K49" s="104" t="s">
        <v>36</v>
      </c>
      <c r="L49" s="97">
        <v>42451</v>
      </c>
      <c r="M49" s="97">
        <v>42788</v>
      </c>
      <c r="N49" s="104" t="s">
        <v>298</v>
      </c>
      <c r="O49" s="107" t="s">
        <v>85</v>
      </c>
    </row>
    <row r="50" spans="1:16" ht="60" customHeight="1" x14ac:dyDescent="0.3">
      <c r="A50" s="75" t="s">
        <v>304</v>
      </c>
      <c r="B50" s="92" t="s">
        <v>209</v>
      </c>
      <c r="C50" s="87" t="s">
        <v>210</v>
      </c>
      <c r="D50" s="180" t="s">
        <v>74</v>
      </c>
      <c r="E50" s="181"/>
      <c r="F50" s="182"/>
      <c r="G50" s="72">
        <v>300</v>
      </c>
      <c r="H50" s="183">
        <v>1</v>
      </c>
      <c r="I50" s="183">
        <v>0</v>
      </c>
      <c r="J50" s="184">
        <v>2</v>
      </c>
      <c r="K50" s="179" t="s">
        <v>36</v>
      </c>
      <c r="L50" s="68">
        <v>42936</v>
      </c>
      <c r="M50" s="68">
        <v>43046</v>
      </c>
      <c r="N50" s="179"/>
      <c r="O50" s="180" t="s">
        <v>83</v>
      </c>
      <c r="P50" s="93"/>
    </row>
    <row r="51" spans="1:16" ht="30" customHeight="1" x14ac:dyDescent="0.3">
      <c r="A51" s="238" t="s">
        <v>304</v>
      </c>
      <c r="B51" s="246" t="s">
        <v>213</v>
      </c>
      <c r="C51" s="250" t="s">
        <v>299</v>
      </c>
      <c r="D51" s="245" t="s">
        <v>74</v>
      </c>
      <c r="E51" s="326" t="s">
        <v>396</v>
      </c>
      <c r="F51" s="327"/>
      <c r="G51" s="242">
        <v>350</v>
      </c>
      <c r="H51" s="243">
        <v>1</v>
      </c>
      <c r="I51" s="243">
        <v>0</v>
      </c>
      <c r="J51" s="249">
        <v>3</v>
      </c>
      <c r="K51" s="238" t="s">
        <v>36</v>
      </c>
      <c r="L51" s="244">
        <v>42870</v>
      </c>
      <c r="M51" s="244">
        <f>L51+180</f>
        <v>43050</v>
      </c>
      <c r="N51" s="238"/>
      <c r="O51" s="245" t="s">
        <v>45</v>
      </c>
      <c r="P51" s="93"/>
    </row>
    <row r="52" spans="1:16" ht="30" customHeight="1" x14ac:dyDescent="0.3">
      <c r="A52" s="238" t="s">
        <v>304</v>
      </c>
      <c r="B52" s="246" t="s">
        <v>348</v>
      </c>
      <c r="C52" s="250" t="s">
        <v>334</v>
      </c>
      <c r="D52" s="245" t="s">
        <v>74</v>
      </c>
      <c r="E52" s="324"/>
      <c r="F52" s="325"/>
      <c r="G52" s="242">
        <v>300</v>
      </c>
      <c r="H52" s="243">
        <v>1</v>
      </c>
      <c r="I52" s="243">
        <v>0</v>
      </c>
      <c r="J52" s="249">
        <v>3</v>
      </c>
      <c r="K52" s="238" t="s">
        <v>36</v>
      </c>
      <c r="L52" s="244">
        <v>42901</v>
      </c>
      <c r="M52" s="244">
        <f>L52+180</f>
        <v>43081</v>
      </c>
      <c r="N52" s="238"/>
      <c r="O52" s="245" t="s">
        <v>83</v>
      </c>
      <c r="P52" s="93"/>
    </row>
    <row r="53" spans="1:16" ht="60" customHeight="1" x14ac:dyDescent="0.3">
      <c r="A53" s="104" t="s">
        <v>304</v>
      </c>
      <c r="B53" s="126" t="s">
        <v>349</v>
      </c>
      <c r="C53" s="128" t="s">
        <v>147</v>
      </c>
      <c r="D53" s="107" t="s">
        <v>88</v>
      </c>
      <c r="E53" s="257" t="s">
        <v>314</v>
      </c>
      <c r="F53" s="258"/>
      <c r="G53" s="108">
        <f>14401167/1000/2.26</f>
        <v>6372.1977876106203</v>
      </c>
      <c r="H53" s="237">
        <v>1</v>
      </c>
      <c r="I53" s="237">
        <v>0</v>
      </c>
      <c r="J53" s="259" t="s">
        <v>251</v>
      </c>
      <c r="K53" s="104" t="s">
        <v>36</v>
      </c>
      <c r="L53" s="97">
        <v>41430</v>
      </c>
      <c r="M53" s="97">
        <v>41852</v>
      </c>
      <c r="N53" s="104" t="s">
        <v>127</v>
      </c>
      <c r="O53" s="107" t="s">
        <v>85</v>
      </c>
      <c r="P53" s="93"/>
    </row>
    <row r="54" spans="1:16" ht="69.900000000000006" customHeight="1" x14ac:dyDescent="0.3">
      <c r="A54" s="238" t="s">
        <v>304</v>
      </c>
      <c r="B54" s="246" t="s">
        <v>166</v>
      </c>
      <c r="C54" s="250" t="s">
        <v>262</v>
      </c>
      <c r="D54" s="245" t="s">
        <v>74</v>
      </c>
      <c r="E54" s="328" t="s">
        <v>328</v>
      </c>
      <c r="F54" s="329"/>
      <c r="G54" s="242">
        <v>408.71</v>
      </c>
      <c r="H54" s="243">
        <v>1</v>
      </c>
      <c r="I54" s="243">
        <v>0</v>
      </c>
      <c r="J54" s="249">
        <v>5</v>
      </c>
      <c r="K54" s="238" t="s">
        <v>36</v>
      </c>
      <c r="L54" s="244">
        <v>42678</v>
      </c>
      <c r="M54" s="244">
        <v>42937</v>
      </c>
      <c r="N54" s="238"/>
      <c r="O54" s="245" t="s">
        <v>45</v>
      </c>
      <c r="P54" s="93"/>
    </row>
    <row r="55" spans="1:16" ht="75" customHeight="1" x14ac:dyDescent="0.3">
      <c r="A55" s="238" t="s">
        <v>304</v>
      </c>
      <c r="B55" s="246" t="s">
        <v>67</v>
      </c>
      <c r="C55" s="251" t="s">
        <v>124</v>
      </c>
      <c r="D55" s="245" t="s">
        <v>74</v>
      </c>
      <c r="E55" s="326" t="s">
        <v>397</v>
      </c>
      <c r="F55" s="327"/>
      <c r="G55" s="242">
        <v>400.18</v>
      </c>
      <c r="H55" s="243">
        <v>1</v>
      </c>
      <c r="I55" s="243">
        <v>0</v>
      </c>
      <c r="J55" s="249">
        <v>5</v>
      </c>
      <c r="K55" s="238" t="s">
        <v>36</v>
      </c>
      <c r="L55" s="244">
        <v>42870</v>
      </c>
      <c r="M55" s="244">
        <v>43041</v>
      </c>
      <c r="N55" s="238"/>
      <c r="O55" s="245" t="s">
        <v>45</v>
      </c>
    </row>
    <row r="56" spans="1:16" ht="45" customHeight="1" x14ac:dyDescent="0.3">
      <c r="A56" s="238" t="s">
        <v>304</v>
      </c>
      <c r="B56" s="246" t="s">
        <v>229</v>
      </c>
      <c r="C56" s="251" t="s">
        <v>359</v>
      </c>
      <c r="D56" s="245" t="s">
        <v>74</v>
      </c>
      <c r="E56" s="324"/>
      <c r="F56" s="325"/>
      <c r="G56" s="242">
        <v>300</v>
      </c>
      <c r="H56" s="243">
        <v>1</v>
      </c>
      <c r="I56" s="243">
        <v>0</v>
      </c>
      <c r="J56" s="249">
        <v>5</v>
      </c>
      <c r="K56" s="238" t="s">
        <v>36</v>
      </c>
      <c r="L56" s="244">
        <v>42870</v>
      </c>
      <c r="M56" s="244">
        <v>43041</v>
      </c>
      <c r="N56" s="238"/>
      <c r="O56" s="245" t="s">
        <v>45</v>
      </c>
    </row>
    <row r="57" spans="1:16" ht="45" customHeight="1" x14ac:dyDescent="0.3">
      <c r="A57" s="238" t="s">
        <v>304</v>
      </c>
      <c r="B57" s="252" t="s">
        <v>151</v>
      </c>
      <c r="C57" s="251" t="s">
        <v>123</v>
      </c>
      <c r="D57" s="245" t="s">
        <v>74</v>
      </c>
      <c r="E57" s="326" t="s">
        <v>398</v>
      </c>
      <c r="F57" s="327"/>
      <c r="G57" s="242">
        <v>450</v>
      </c>
      <c r="H57" s="243">
        <v>1</v>
      </c>
      <c r="I57" s="243">
        <v>0</v>
      </c>
      <c r="J57" s="249">
        <v>5</v>
      </c>
      <c r="K57" s="238" t="s">
        <v>36</v>
      </c>
      <c r="L57" s="244">
        <v>42678</v>
      </c>
      <c r="M57" s="244">
        <v>43015</v>
      </c>
      <c r="N57" s="238"/>
      <c r="O57" s="245" t="s">
        <v>45</v>
      </c>
    </row>
    <row r="58" spans="1:16" ht="60" customHeight="1" x14ac:dyDescent="0.3">
      <c r="A58" s="104" t="s">
        <v>304</v>
      </c>
      <c r="B58" s="126" t="s">
        <v>145</v>
      </c>
      <c r="C58" s="128" t="s">
        <v>76</v>
      </c>
      <c r="D58" s="107" t="s">
        <v>74</v>
      </c>
      <c r="E58" s="257" t="s">
        <v>315</v>
      </c>
      <c r="F58" s="258"/>
      <c r="G58" s="108">
        <v>247.54</v>
      </c>
      <c r="H58" s="237">
        <v>1</v>
      </c>
      <c r="I58" s="237">
        <v>0</v>
      </c>
      <c r="J58" s="259">
        <v>5</v>
      </c>
      <c r="K58" s="104" t="s">
        <v>36</v>
      </c>
      <c r="L58" s="97">
        <v>42186</v>
      </c>
      <c r="M58" s="97">
        <v>42662</v>
      </c>
      <c r="N58" s="104" t="s">
        <v>285</v>
      </c>
      <c r="O58" s="107" t="s">
        <v>85</v>
      </c>
    </row>
    <row r="59" spans="1:16" ht="30" customHeight="1" x14ac:dyDescent="0.3">
      <c r="A59" s="104" t="s">
        <v>304</v>
      </c>
      <c r="B59" s="126" t="s">
        <v>350</v>
      </c>
      <c r="C59" s="128" t="s">
        <v>68</v>
      </c>
      <c r="D59" s="107" t="s">
        <v>74</v>
      </c>
      <c r="E59" s="257" t="s">
        <v>316</v>
      </c>
      <c r="F59" s="258"/>
      <c r="G59" s="108">
        <v>453.53</v>
      </c>
      <c r="H59" s="237">
        <v>1</v>
      </c>
      <c r="I59" s="237">
        <v>0</v>
      </c>
      <c r="J59" s="259">
        <v>5</v>
      </c>
      <c r="K59" s="104" t="s">
        <v>36</v>
      </c>
      <c r="L59" s="97">
        <v>42186</v>
      </c>
      <c r="M59" s="97">
        <v>42662</v>
      </c>
      <c r="N59" s="104" t="s">
        <v>286</v>
      </c>
      <c r="O59" s="107" t="s">
        <v>85</v>
      </c>
    </row>
    <row r="60" spans="1:16" ht="69.900000000000006" customHeight="1" x14ac:dyDescent="0.3">
      <c r="A60" s="75" t="s">
        <v>304</v>
      </c>
      <c r="B60" s="79" t="s">
        <v>351</v>
      </c>
      <c r="C60" s="86" t="s">
        <v>333</v>
      </c>
      <c r="D60" s="174" t="s">
        <v>57</v>
      </c>
      <c r="E60" s="277"/>
      <c r="F60" s="278"/>
      <c r="G60" s="172">
        <v>102.333</v>
      </c>
      <c r="H60" s="84">
        <v>1</v>
      </c>
      <c r="I60" s="84">
        <v>0</v>
      </c>
      <c r="J60" s="109">
        <v>5</v>
      </c>
      <c r="K60" s="75" t="s">
        <v>36</v>
      </c>
      <c r="L60" s="68">
        <v>42901</v>
      </c>
      <c r="M60" s="68">
        <f>L60+120</f>
        <v>43021</v>
      </c>
      <c r="N60" s="75"/>
      <c r="O60" s="67" t="s">
        <v>83</v>
      </c>
    </row>
    <row r="61" spans="1:16" ht="45" customHeight="1" x14ac:dyDescent="0.3">
      <c r="A61" s="104" t="s">
        <v>304</v>
      </c>
      <c r="B61" s="126" t="s">
        <v>146</v>
      </c>
      <c r="C61" s="128" t="s">
        <v>69</v>
      </c>
      <c r="D61" s="107" t="s">
        <v>74</v>
      </c>
      <c r="E61" s="257" t="s">
        <v>317</v>
      </c>
      <c r="F61" s="258"/>
      <c r="G61" s="108">
        <f>((343011.03)+(111648.73 *3.5014))/3.1358/1000</f>
        <v>234.05124472925567</v>
      </c>
      <c r="H61" s="237">
        <v>1</v>
      </c>
      <c r="I61" s="237">
        <v>0</v>
      </c>
      <c r="J61" s="259">
        <v>5</v>
      </c>
      <c r="K61" s="104" t="s">
        <v>35</v>
      </c>
      <c r="L61" s="97">
        <v>42186</v>
      </c>
      <c r="M61" s="97">
        <v>42789</v>
      </c>
      <c r="N61" s="260" t="s">
        <v>300</v>
      </c>
      <c r="O61" s="107" t="s">
        <v>85</v>
      </c>
    </row>
    <row r="62" spans="1:16" ht="30" customHeight="1" x14ac:dyDescent="0.3">
      <c r="A62" s="238" t="s">
        <v>304</v>
      </c>
      <c r="B62" s="252" t="s">
        <v>245</v>
      </c>
      <c r="C62" s="251" t="s">
        <v>72</v>
      </c>
      <c r="D62" s="245" t="s">
        <v>74</v>
      </c>
      <c r="E62" s="247" t="s">
        <v>318</v>
      </c>
      <c r="F62" s="248"/>
      <c r="G62" s="242">
        <f>1356000/3.1358/1000</f>
        <v>432.42553734294279</v>
      </c>
      <c r="H62" s="243">
        <v>1</v>
      </c>
      <c r="I62" s="243">
        <v>0</v>
      </c>
      <c r="J62" s="249">
        <v>6</v>
      </c>
      <c r="K62" s="238" t="s">
        <v>36</v>
      </c>
      <c r="L62" s="244">
        <v>42186</v>
      </c>
      <c r="M62" s="244">
        <v>42901</v>
      </c>
      <c r="N62" s="238"/>
      <c r="O62" s="245" t="s">
        <v>45</v>
      </c>
      <c r="P62" s="93"/>
    </row>
    <row r="63" spans="1:16" ht="30" customHeight="1" x14ac:dyDescent="0.3">
      <c r="A63" s="75" t="s">
        <v>304</v>
      </c>
      <c r="B63" s="95" t="s">
        <v>247</v>
      </c>
      <c r="C63" s="86" t="s">
        <v>366</v>
      </c>
      <c r="D63" s="67" t="s">
        <v>74</v>
      </c>
      <c r="E63" s="277"/>
      <c r="F63" s="278"/>
      <c r="G63" s="72">
        <v>300</v>
      </c>
      <c r="H63" s="84">
        <v>1</v>
      </c>
      <c r="I63" s="84">
        <v>0</v>
      </c>
      <c r="J63" s="109">
        <v>6</v>
      </c>
      <c r="K63" s="75" t="s">
        <v>36</v>
      </c>
      <c r="L63" s="68">
        <v>42901</v>
      </c>
      <c r="M63" s="68">
        <f>L63+180</f>
        <v>43081</v>
      </c>
      <c r="N63" s="75"/>
      <c r="O63" s="67" t="s">
        <v>83</v>
      </c>
      <c r="P63" s="93"/>
    </row>
    <row r="64" spans="1:16" ht="30" customHeight="1" x14ac:dyDescent="0.3">
      <c r="A64" s="75" t="s">
        <v>304</v>
      </c>
      <c r="B64" s="95" t="s">
        <v>371</v>
      </c>
      <c r="C64" s="86" t="s">
        <v>373</v>
      </c>
      <c r="D64" s="67" t="s">
        <v>74</v>
      </c>
      <c r="E64" s="277"/>
      <c r="F64" s="278"/>
      <c r="G64" s="72">
        <v>115</v>
      </c>
      <c r="H64" s="84">
        <v>1</v>
      </c>
      <c r="I64" s="84">
        <v>0</v>
      </c>
      <c r="J64" s="109">
        <v>6</v>
      </c>
      <c r="K64" s="75" t="s">
        <v>36</v>
      </c>
      <c r="L64" s="68">
        <v>42901</v>
      </c>
      <c r="M64" s="68">
        <f>L64+180</f>
        <v>43081</v>
      </c>
      <c r="N64" s="75"/>
      <c r="O64" s="67" t="s">
        <v>83</v>
      </c>
      <c r="P64" s="93"/>
    </row>
    <row r="65" spans="1:16" x14ac:dyDescent="0.3">
      <c r="A65" s="36"/>
      <c r="B65" s="36"/>
      <c r="C65" s="36"/>
      <c r="D65" s="36"/>
      <c r="E65" s="76" t="s">
        <v>158</v>
      </c>
      <c r="F65" s="53"/>
      <c r="G65" s="73">
        <f>SUM(G42:G64)</f>
        <v>13548.71756968282</v>
      </c>
      <c r="H65" s="37"/>
      <c r="I65" s="38"/>
      <c r="J65" s="38"/>
      <c r="K65" s="36"/>
      <c r="L65" s="36"/>
      <c r="M65" s="36"/>
      <c r="N65" s="167"/>
      <c r="O65" s="36"/>
    </row>
    <row r="66" spans="1:16" x14ac:dyDescent="0.3">
      <c r="E66" s="76" t="s">
        <v>159</v>
      </c>
      <c r="G66" s="73">
        <f>G65-G46-G48-G49-G53-G58-G59-G61</f>
        <v>5402.8185373429442</v>
      </c>
    </row>
    <row r="67" spans="1:16" x14ac:dyDescent="0.3">
      <c r="E67" s="76"/>
      <c r="G67" s="73"/>
    </row>
    <row r="68" spans="1:16" ht="15.75" customHeight="1" x14ac:dyDescent="0.3">
      <c r="A68" s="279" t="s">
        <v>54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1"/>
    </row>
    <row r="69" spans="1:16" ht="15" customHeight="1" x14ac:dyDescent="0.3">
      <c r="A69" s="282" t="s">
        <v>38</v>
      </c>
      <c r="B69" s="282" t="s">
        <v>142</v>
      </c>
      <c r="C69" s="282" t="s">
        <v>121</v>
      </c>
      <c r="D69" s="282" t="s">
        <v>120</v>
      </c>
      <c r="E69" s="282" t="s">
        <v>325</v>
      </c>
      <c r="F69" s="284" t="s">
        <v>122</v>
      </c>
      <c r="G69" s="283" t="s">
        <v>48</v>
      </c>
      <c r="H69" s="283"/>
      <c r="I69" s="283"/>
      <c r="J69" s="282" t="s">
        <v>117</v>
      </c>
      <c r="K69" s="282" t="s">
        <v>118</v>
      </c>
      <c r="L69" s="282" t="s">
        <v>49</v>
      </c>
      <c r="M69" s="282"/>
      <c r="N69" s="282" t="s">
        <v>79</v>
      </c>
      <c r="O69" s="282" t="s">
        <v>80</v>
      </c>
    </row>
    <row r="70" spans="1:16" ht="41.4" x14ac:dyDescent="0.3">
      <c r="A70" s="282"/>
      <c r="B70" s="282"/>
      <c r="C70" s="282"/>
      <c r="D70" s="282"/>
      <c r="E70" s="282"/>
      <c r="F70" s="285"/>
      <c r="G70" s="39" t="s">
        <v>140</v>
      </c>
      <c r="H70" s="81" t="s">
        <v>128</v>
      </c>
      <c r="I70" s="81" t="s">
        <v>129</v>
      </c>
      <c r="J70" s="282"/>
      <c r="K70" s="282"/>
      <c r="L70" s="234" t="s">
        <v>53</v>
      </c>
      <c r="M70" s="234" t="s">
        <v>51</v>
      </c>
      <c r="N70" s="282"/>
      <c r="O70" s="282"/>
    </row>
    <row r="71" spans="1:16" ht="60" customHeight="1" x14ac:dyDescent="0.3">
      <c r="A71" s="104" t="s">
        <v>304</v>
      </c>
      <c r="B71" s="125" t="s">
        <v>352</v>
      </c>
      <c r="C71" s="128" t="s">
        <v>171</v>
      </c>
      <c r="D71" s="107" t="s">
        <v>58</v>
      </c>
      <c r="E71" s="260" t="s">
        <v>327</v>
      </c>
      <c r="F71" s="104">
        <v>1</v>
      </c>
      <c r="G71" s="108">
        <v>58.03</v>
      </c>
      <c r="H71" s="237">
        <v>1</v>
      </c>
      <c r="I71" s="237">
        <v>0</v>
      </c>
      <c r="J71" s="259">
        <v>1</v>
      </c>
      <c r="K71" s="104" t="s">
        <v>35</v>
      </c>
      <c r="L71" s="97">
        <v>42683</v>
      </c>
      <c r="M71" s="97">
        <v>42760</v>
      </c>
      <c r="N71" s="260" t="s">
        <v>300</v>
      </c>
      <c r="O71" s="107" t="s">
        <v>85</v>
      </c>
      <c r="P71" s="94"/>
    </row>
    <row r="72" spans="1:16" ht="30" customHeight="1" x14ac:dyDescent="0.3">
      <c r="A72" s="104" t="s">
        <v>304</v>
      </c>
      <c r="B72" s="126" t="s">
        <v>149</v>
      </c>
      <c r="C72" s="128" t="s">
        <v>386</v>
      </c>
      <c r="D72" s="107" t="s">
        <v>58</v>
      </c>
      <c r="E72" s="260" t="s">
        <v>319</v>
      </c>
      <c r="F72" s="104">
        <v>1</v>
      </c>
      <c r="G72" s="108">
        <v>35.840000000000003</v>
      </c>
      <c r="H72" s="237">
        <v>1</v>
      </c>
      <c r="I72" s="237">
        <v>0</v>
      </c>
      <c r="J72" s="104">
        <v>3</v>
      </c>
      <c r="K72" s="104" t="s">
        <v>36</v>
      </c>
      <c r="L72" s="97">
        <v>41845</v>
      </c>
      <c r="M72" s="97">
        <v>42311</v>
      </c>
      <c r="N72" s="104" t="s">
        <v>130</v>
      </c>
      <c r="O72" s="107" t="s">
        <v>2</v>
      </c>
    </row>
    <row r="73" spans="1:16" ht="30" customHeight="1" x14ac:dyDescent="0.3">
      <c r="A73" s="104" t="s">
        <v>304</v>
      </c>
      <c r="B73" s="126" t="s">
        <v>224</v>
      </c>
      <c r="C73" s="128" t="s">
        <v>387</v>
      </c>
      <c r="D73" s="107" t="s">
        <v>58</v>
      </c>
      <c r="E73" s="260" t="s">
        <v>320</v>
      </c>
      <c r="F73" s="104">
        <v>1</v>
      </c>
      <c r="G73" s="108">
        <v>40.31</v>
      </c>
      <c r="H73" s="237">
        <v>1</v>
      </c>
      <c r="I73" s="237">
        <v>0</v>
      </c>
      <c r="J73" s="104">
        <v>5</v>
      </c>
      <c r="K73" s="104" t="s">
        <v>36</v>
      </c>
      <c r="L73" s="97">
        <v>41879</v>
      </c>
      <c r="M73" s="97">
        <v>42241</v>
      </c>
      <c r="N73" s="104" t="s">
        <v>131</v>
      </c>
      <c r="O73" s="107" t="s">
        <v>2</v>
      </c>
    </row>
    <row r="74" spans="1:16" ht="30" customHeight="1" x14ac:dyDescent="0.3">
      <c r="A74" s="238" t="s">
        <v>304</v>
      </c>
      <c r="B74" s="252" t="s">
        <v>246</v>
      </c>
      <c r="C74" s="251" t="s">
        <v>164</v>
      </c>
      <c r="D74" s="245" t="s">
        <v>58</v>
      </c>
      <c r="E74" s="253" t="s">
        <v>369</v>
      </c>
      <c r="F74" s="238">
        <v>1</v>
      </c>
      <c r="G74" s="242">
        <v>20</v>
      </c>
      <c r="H74" s="243">
        <v>1</v>
      </c>
      <c r="I74" s="243">
        <v>0</v>
      </c>
      <c r="J74" s="238">
        <v>6</v>
      </c>
      <c r="K74" s="238" t="s">
        <v>35</v>
      </c>
      <c r="L74" s="244">
        <v>42683</v>
      </c>
      <c r="M74" s="244">
        <v>42901</v>
      </c>
      <c r="N74" s="238"/>
      <c r="O74" s="245" t="s">
        <v>45</v>
      </c>
      <c r="P74" s="93"/>
    </row>
    <row r="75" spans="1:16" x14ac:dyDescent="0.3">
      <c r="A75" s="36"/>
      <c r="B75" s="36"/>
      <c r="C75" s="36"/>
      <c r="D75" s="36"/>
      <c r="E75" s="76" t="s">
        <v>160</v>
      </c>
      <c r="G75" s="54">
        <f>SUM(G71:G74)</f>
        <v>154.18</v>
      </c>
      <c r="H75" s="38"/>
      <c r="I75" s="38"/>
      <c r="J75" s="36"/>
      <c r="K75" s="36"/>
      <c r="L75" s="36"/>
      <c r="M75" s="36"/>
      <c r="N75" s="167"/>
      <c r="O75" s="36"/>
    </row>
    <row r="76" spans="1:16" x14ac:dyDescent="0.3">
      <c r="E76" s="76" t="s">
        <v>161</v>
      </c>
      <c r="G76" s="54">
        <f>G75-G71-G72-G73</f>
        <v>20</v>
      </c>
      <c r="I76" s="233">
        <f>G65+G75</f>
        <v>13702.89756968282</v>
      </c>
    </row>
    <row r="77" spans="1:16" x14ac:dyDescent="0.3">
      <c r="E77" s="76"/>
      <c r="G77" s="54"/>
    </row>
    <row r="78" spans="1:16" ht="15.75" customHeight="1" x14ac:dyDescent="0.3">
      <c r="A78" s="279" t="s">
        <v>55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  <c r="L78" s="280"/>
      <c r="M78" s="280"/>
      <c r="N78" s="280"/>
      <c r="O78" s="281"/>
    </row>
    <row r="79" spans="1:16" ht="15" customHeight="1" x14ac:dyDescent="0.3">
      <c r="A79" s="282" t="s">
        <v>38</v>
      </c>
      <c r="B79" s="282" t="s">
        <v>142</v>
      </c>
      <c r="C79" s="282" t="s">
        <v>121</v>
      </c>
      <c r="D79" s="282" t="s">
        <v>120</v>
      </c>
      <c r="E79" s="300"/>
      <c r="F79" s="300"/>
      <c r="G79" s="283" t="s">
        <v>48</v>
      </c>
      <c r="H79" s="283"/>
      <c r="I79" s="283"/>
      <c r="J79" s="282" t="s">
        <v>117</v>
      </c>
      <c r="K79" s="282" t="s">
        <v>118</v>
      </c>
      <c r="L79" s="282" t="s">
        <v>49</v>
      </c>
      <c r="M79" s="282"/>
      <c r="N79" s="282" t="s">
        <v>79</v>
      </c>
      <c r="O79" s="282" t="s">
        <v>80</v>
      </c>
    </row>
    <row r="80" spans="1:16" ht="36" customHeight="1" x14ac:dyDescent="0.3">
      <c r="A80" s="282"/>
      <c r="B80" s="282"/>
      <c r="C80" s="282"/>
      <c r="D80" s="282"/>
      <c r="E80" s="285" t="s">
        <v>325</v>
      </c>
      <c r="F80" s="285"/>
      <c r="G80" s="39" t="s">
        <v>140</v>
      </c>
      <c r="H80" s="81" t="s">
        <v>128</v>
      </c>
      <c r="I80" s="81" t="s">
        <v>129</v>
      </c>
      <c r="J80" s="282"/>
      <c r="K80" s="282"/>
      <c r="L80" s="234" t="s">
        <v>81</v>
      </c>
      <c r="M80" s="234" t="s">
        <v>51</v>
      </c>
      <c r="N80" s="282"/>
      <c r="O80" s="282"/>
    </row>
    <row r="81" spans="1:16" ht="65.099999999999994" customHeight="1" x14ac:dyDescent="0.3">
      <c r="A81" s="261" t="s">
        <v>304</v>
      </c>
      <c r="B81" s="125" t="s">
        <v>353</v>
      </c>
      <c r="C81" s="105" t="s">
        <v>257</v>
      </c>
      <c r="D81" s="107" t="s">
        <v>74</v>
      </c>
      <c r="E81" s="257" t="s">
        <v>321</v>
      </c>
      <c r="F81" s="262"/>
      <c r="G81" s="108">
        <v>543.4</v>
      </c>
      <c r="H81" s="237">
        <v>1</v>
      </c>
      <c r="I81" s="237">
        <v>0</v>
      </c>
      <c r="J81" s="259">
        <v>1</v>
      </c>
      <c r="K81" s="104" t="s">
        <v>36</v>
      </c>
      <c r="L81" s="97">
        <v>42186</v>
      </c>
      <c r="M81" s="97">
        <v>42647</v>
      </c>
      <c r="N81" s="104" t="s">
        <v>203</v>
      </c>
      <c r="O81" s="107" t="s">
        <v>85</v>
      </c>
    </row>
    <row r="82" spans="1:16" ht="65.099999999999994" customHeight="1" x14ac:dyDescent="0.3">
      <c r="A82" s="261" t="s">
        <v>304</v>
      </c>
      <c r="B82" s="125" t="s">
        <v>354</v>
      </c>
      <c r="C82" s="105" t="s">
        <v>71</v>
      </c>
      <c r="D82" s="107" t="s">
        <v>74</v>
      </c>
      <c r="E82" s="257" t="s">
        <v>322</v>
      </c>
      <c r="F82" s="262"/>
      <c r="G82" s="129">
        <v>189.46</v>
      </c>
      <c r="H82" s="237">
        <v>1</v>
      </c>
      <c r="I82" s="237">
        <v>0</v>
      </c>
      <c r="J82" s="259">
        <v>1</v>
      </c>
      <c r="K82" s="104" t="s">
        <v>36</v>
      </c>
      <c r="L82" s="97">
        <v>42186</v>
      </c>
      <c r="M82" s="97">
        <v>42647</v>
      </c>
      <c r="N82" s="104" t="s">
        <v>204</v>
      </c>
      <c r="O82" s="107" t="s">
        <v>85</v>
      </c>
    </row>
    <row r="83" spans="1:16" ht="65.099999999999994" customHeight="1" x14ac:dyDescent="0.3">
      <c r="A83" s="261" t="s">
        <v>304</v>
      </c>
      <c r="B83" s="125" t="s">
        <v>355</v>
      </c>
      <c r="C83" s="105" t="s">
        <v>258</v>
      </c>
      <c r="D83" s="107" t="s">
        <v>74</v>
      </c>
      <c r="E83" s="257" t="s">
        <v>323</v>
      </c>
      <c r="F83" s="262"/>
      <c r="G83" s="129">
        <v>260.52999999999997</v>
      </c>
      <c r="H83" s="237">
        <v>1</v>
      </c>
      <c r="I83" s="237">
        <v>0</v>
      </c>
      <c r="J83" s="259">
        <v>1</v>
      </c>
      <c r="K83" s="104" t="s">
        <v>36</v>
      </c>
      <c r="L83" s="97">
        <v>42186</v>
      </c>
      <c r="M83" s="97">
        <v>42719</v>
      </c>
      <c r="N83" s="104" t="s">
        <v>301</v>
      </c>
      <c r="O83" s="107" t="s">
        <v>85</v>
      </c>
    </row>
    <row r="84" spans="1:16" ht="45" customHeight="1" x14ac:dyDescent="0.3">
      <c r="A84" s="261" t="s">
        <v>304</v>
      </c>
      <c r="B84" s="125" t="s">
        <v>356</v>
      </c>
      <c r="C84" s="105" t="s">
        <v>152</v>
      </c>
      <c r="D84" s="107" t="s">
        <v>57</v>
      </c>
      <c r="E84" s="257" t="s">
        <v>324</v>
      </c>
      <c r="F84" s="262"/>
      <c r="G84" s="129">
        <v>125.65</v>
      </c>
      <c r="H84" s="237">
        <v>1</v>
      </c>
      <c r="I84" s="237">
        <v>0</v>
      </c>
      <c r="J84" s="259">
        <v>1</v>
      </c>
      <c r="K84" s="104" t="s">
        <v>36</v>
      </c>
      <c r="L84" s="97">
        <v>41894</v>
      </c>
      <c r="M84" s="97">
        <v>42199</v>
      </c>
      <c r="N84" s="104" t="s">
        <v>132</v>
      </c>
      <c r="O84" s="107" t="s">
        <v>2</v>
      </c>
    </row>
    <row r="85" spans="1:16" ht="30" customHeight="1" x14ac:dyDescent="0.3">
      <c r="A85" s="254" t="s">
        <v>304</v>
      </c>
      <c r="B85" s="252" t="s">
        <v>357</v>
      </c>
      <c r="C85" s="239" t="s">
        <v>305</v>
      </c>
      <c r="D85" s="245" t="s">
        <v>73</v>
      </c>
      <c r="E85" s="247"/>
      <c r="F85" s="255"/>
      <c r="G85" s="242">
        <v>70</v>
      </c>
      <c r="H85" s="243">
        <v>1</v>
      </c>
      <c r="I85" s="243">
        <v>0</v>
      </c>
      <c r="J85" s="238">
        <v>3</v>
      </c>
      <c r="K85" s="238" t="s">
        <v>35</v>
      </c>
      <c r="L85" s="244">
        <v>42901</v>
      </c>
      <c r="M85" s="244">
        <f>L85+90</f>
        <v>42991</v>
      </c>
      <c r="N85" s="238"/>
      <c r="O85" s="245" t="s">
        <v>83</v>
      </c>
      <c r="P85" s="94"/>
    </row>
    <row r="86" spans="1:16" x14ac:dyDescent="0.3">
      <c r="A86" s="36"/>
      <c r="B86" s="36"/>
      <c r="C86" s="36"/>
      <c r="D86" s="36"/>
      <c r="E86" s="77" t="s">
        <v>162</v>
      </c>
      <c r="F86" s="53"/>
      <c r="G86" s="54">
        <f>SUM(G81:G85)</f>
        <v>1189.04</v>
      </c>
      <c r="H86" s="37"/>
      <c r="I86" s="38"/>
      <c r="J86" s="38"/>
      <c r="K86" s="36"/>
      <c r="L86" s="36"/>
      <c r="M86" s="36"/>
      <c r="N86" s="167"/>
      <c r="O86" s="36"/>
    </row>
    <row r="87" spans="1:16" x14ac:dyDescent="0.3">
      <c r="E87" s="77" t="s">
        <v>163</v>
      </c>
      <c r="F87" s="36"/>
      <c r="G87" s="54">
        <f>G86-G81-G82-G83-G84</f>
        <v>69.999999999999972</v>
      </c>
      <c r="H87" s="37"/>
      <c r="I87" s="38"/>
      <c r="J87" s="38"/>
      <c r="K87" s="36"/>
      <c r="L87" s="36"/>
      <c r="M87" s="36"/>
      <c r="N87" s="167"/>
      <c r="O87" s="36"/>
    </row>
    <row r="89" spans="1:16" ht="20.100000000000001" customHeight="1" x14ac:dyDescent="0.3">
      <c r="E89" s="77" t="s">
        <v>24</v>
      </c>
      <c r="G89" s="54">
        <f>G26+G36+G65+G75+G86</f>
        <v>48848.098180691173</v>
      </c>
      <c r="H89" s="54"/>
    </row>
    <row r="90" spans="1:16" x14ac:dyDescent="0.3">
      <c r="E90" s="77" t="s">
        <v>134</v>
      </c>
      <c r="F90" s="91"/>
      <c r="G90" s="54">
        <f>G27+G37+G66+G76+G87</f>
        <v>28086.726148351296</v>
      </c>
    </row>
    <row r="91" spans="1:16" ht="23.25" customHeight="1" x14ac:dyDescent="0.3">
      <c r="A91" s="292" t="s">
        <v>82</v>
      </c>
      <c r="B91" s="55" t="s">
        <v>37</v>
      </c>
    </row>
    <row r="92" spans="1:16" x14ac:dyDescent="0.3">
      <c r="A92" s="293"/>
      <c r="B92" s="55" t="s">
        <v>35</v>
      </c>
    </row>
    <row r="93" spans="1:16" x14ac:dyDescent="0.3">
      <c r="A93" s="294"/>
      <c r="B93" s="56" t="s">
        <v>36</v>
      </c>
    </row>
    <row r="95" spans="1:16" x14ac:dyDescent="0.3">
      <c r="A95" s="295" t="s">
        <v>80</v>
      </c>
      <c r="B95" s="55" t="s">
        <v>83</v>
      </c>
    </row>
    <row r="96" spans="1:16" ht="27.6" x14ac:dyDescent="0.3">
      <c r="A96" s="296"/>
      <c r="B96" s="55" t="s">
        <v>45</v>
      </c>
      <c r="H96" s="66"/>
    </row>
    <row r="97" spans="1:3" x14ac:dyDescent="0.3">
      <c r="A97" s="296"/>
      <c r="B97" s="55" t="s">
        <v>43</v>
      </c>
    </row>
    <row r="98" spans="1:3" ht="27.6" x14ac:dyDescent="0.3">
      <c r="A98" s="296"/>
      <c r="B98" s="55" t="s">
        <v>42</v>
      </c>
    </row>
    <row r="99" spans="1:3" ht="55.2" x14ac:dyDescent="0.3">
      <c r="A99" s="296"/>
      <c r="B99" s="55" t="s">
        <v>84</v>
      </c>
    </row>
    <row r="100" spans="1:3" ht="27.6" x14ac:dyDescent="0.3">
      <c r="A100" s="296"/>
      <c r="B100" s="55" t="s">
        <v>1</v>
      </c>
    </row>
    <row r="101" spans="1:3" ht="41.4" x14ac:dyDescent="0.3">
      <c r="A101" s="296"/>
      <c r="B101" s="55" t="s">
        <v>85</v>
      </c>
    </row>
    <row r="102" spans="1:3" ht="27.6" x14ac:dyDescent="0.3">
      <c r="A102" s="297"/>
      <c r="B102" s="55" t="s">
        <v>2</v>
      </c>
    </row>
    <row r="104" spans="1:3" x14ac:dyDescent="0.3">
      <c r="A104" s="286" t="s">
        <v>86</v>
      </c>
      <c r="B104" s="287" t="s">
        <v>87</v>
      </c>
      <c r="C104" s="55" t="s">
        <v>74</v>
      </c>
    </row>
    <row r="105" spans="1:3" x14ac:dyDescent="0.3">
      <c r="A105" s="286"/>
      <c r="B105" s="287"/>
      <c r="C105" s="55" t="s">
        <v>88</v>
      </c>
    </row>
    <row r="106" spans="1:3" ht="27.6" x14ac:dyDescent="0.3">
      <c r="A106" s="286"/>
      <c r="B106" s="287"/>
      <c r="C106" s="55" t="s">
        <v>57</v>
      </c>
    </row>
    <row r="107" spans="1:3" x14ac:dyDescent="0.3">
      <c r="A107" s="286"/>
      <c r="B107" s="287"/>
      <c r="C107" s="55" t="s">
        <v>44</v>
      </c>
    </row>
    <row r="108" spans="1:3" x14ac:dyDescent="0.3">
      <c r="A108" s="286"/>
      <c r="B108" s="287"/>
      <c r="C108" s="55" t="s">
        <v>37</v>
      </c>
    </row>
    <row r="109" spans="1:3" x14ac:dyDescent="0.3">
      <c r="A109" s="286"/>
      <c r="B109" s="287"/>
      <c r="C109" s="55" t="s">
        <v>89</v>
      </c>
    </row>
    <row r="110" spans="1:3" x14ac:dyDescent="0.3">
      <c r="A110" s="286"/>
      <c r="B110" s="287"/>
      <c r="C110" s="55" t="s">
        <v>75</v>
      </c>
    </row>
    <row r="111" spans="1:3" x14ac:dyDescent="0.3">
      <c r="A111" s="286"/>
      <c r="B111" s="288" t="s">
        <v>90</v>
      </c>
      <c r="C111" s="55" t="s">
        <v>91</v>
      </c>
    </row>
    <row r="112" spans="1:3" x14ac:dyDescent="0.3">
      <c r="A112" s="286"/>
      <c r="B112" s="288"/>
      <c r="C112" s="55" t="s">
        <v>39</v>
      </c>
    </row>
    <row r="113" spans="1:3" x14ac:dyDescent="0.3">
      <c r="A113" s="286"/>
      <c r="B113" s="288"/>
      <c r="C113" s="55" t="s">
        <v>73</v>
      </c>
    </row>
    <row r="114" spans="1:3" x14ac:dyDescent="0.3">
      <c r="A114" s="286"/>
      <c r="B114" s="288"/>
      <c r="C114" s="55" t="s">
        <v>44</v>
      </c>
    </row>
    <row r="115" spans="1:3" x14ac:dyDescent="0.3">
      <c r="A115" s="286"/>
      <c r="B115" s="288"/>
      <c r="C115" s="55" t="s">
        <v>37</v>
      </c>
    </row>
    <row r="116" spans="1:3" x14ac:dyDescent="0.3">
      <c r="A116" s="286"/>
      <c r="B116" s="288"/>
      <c r="C116" s="55" t="s">
        <v>40</v>
      </c>
    </row>
    <row r="117" spans="1:3" ht="27.6" x14ac:dyDescent="0.3">
      <c r="A117" s="286"/>
      <c r="B117" s="288"/>
      <c r="C117" s="55" t="s">
        <v>47</v>
      </c>
    </row>
    <row r="118" spans="1:3" x14ac:dyDescent="0.3">
      <c r="A118" s="286"/>
      <c r="B118" s="288"/>
      <c r="C118" s="55" t="s">
        <v>46</v>
      </c>
    </row>
    <row r="119" spans="1:3" x14ac:dyDescent="0.3">
      <c r="A119" s="286"/>
      <c r="B119" s="288"/>
      <c r="C119" s="55" t="s">
        <v>41</v>
      </c>
    </row>
    <row r="120" spans="1:3" ht="27.6" x14ac:dyDescent="0.3">
      <c r="A120" s="286"/>
      <c r="B120" s="288"/>
      <c r="C120" s="55" t="s">
        <v>56</v>
      </c>
    </row>
    <row r="121" spans="1:3" ht="30" customHeight="1" x14ac:dyDescent="0.3">
      <c r="A121" s="286"/>
      <c r="B121" s="289" t="s">
        <v>92</v>
      </c>
      <c r="C121" s="55" t="s">
        <v>58</v>
      </c>
    </row>
    <row r="122" spans="1:3" x14ac:dyDescent="0.3">
      <c r="A122" s="286"/>
      <c r="B122" s="290"/>
      <c r="C122" s="55" t="s">
        <v>44</v>
      </c>
    </row>
    <row r="123" spans="1:3" x14ac:dyDescent="0.3">
      <c r="A123" s="286"/>
      <c r="B123" s="291"/>
      <c r="C123" s="55" t="s">
        <v>37</v>
      </c>
    </row>
    <row r="134" spans="5:7" ht="15.6" x14ac:dyDescent="0.3">
      <c r="E134" s="85" t="s">
        <v>134</v>
      </c>
      <c r="G134" s="80" t="e">
        <f>G27+G37+#REF!+G66+G76+G87+#REF!</f>
        <v>#REF!</v>
      </c>
    </row>
  </sheetData>
  <mergeCells count="82">
    <mergeCell ref="G79:I79"/>
    <mergeCell ref="E80:F80"/>
    <mergeCell ref="A79:A80"/>
    <mergeCell ref="B79:B80"/>
    <mergeCell ref="C79:C80"/>
    <mergeCell ref="D79:D80"/>
    <mergeCell ref="E79:F79"/>
    <mergeCell ref="A91:A93"/>
    <mergeCell ref="A95:A102"/>
    <mergeCell ref="A104:A123"/>
    <mergeCell ref="B104:B110"/>
    <mergeCell ref="B111:B120"/>
    <mergeCell ref="B121:B123"/>
    <mergeCell ref="J79:J80"/>
    <mergeCell ref="K79:K80"/>
    <mergeCell ref="L79:M79"/>
    <mergeCell ref="N79:N80"/>
    <mergeCell ref="O79:O80"/>
    <mergeCell ref="O69:O70"/>
    <mergeCell ref="A78:O78"/>
    <mergeCell ref="E63:F63"/>
    <mergeCell ref="E64:F64"/>
    <mergeCell ref="A68:O68"/>
    <mergeCell ref="A69:A70"/>
    <mergeCell ref="B69:B70"/>
    <mergeCell ref="C69:C70"/>
    <mergeCell ref="D69:D70"/>
    <mergeCell ref="E69:E70"/>
    <mergeCell ref="F69:F70"/>
    <mergeCell ref="G69:I69"/>
    <mergeCell ref="J69:J70"/>
    <mergeCell ref="K69:K70"/>
    <mergeCell ref="L69:M69"/>
    <mergeCell ref="N69:N70"/>
    <mergeCell ref="E60:F60"/>
    <mergeCell ref="N40:N41"/>
    <mergeCell ref="O40:O41"/>
    <mergeCell ref="E41:F41"/>
    <mergeCell ref="E43:F43"/>
    <mergeCell ref="E47:F47"/>
    <mergeCell ref="E51:F51"/>
    <mergeCell ref="E52:F52"/>
    <mergeCell ref="E54:F54"/>
    <mergeCell ref="E55:F55"/>
    <mergeCell ref="E56:F56"/>
    <mergeCell ref="E57:F57"/>
    <mergeCell ref="A39:O39"/>
    <mergeCell ref="A40:A41"/>
    <mergeCell ref="B40:B41"/>
    <mergeCell ref="C40:C41"/>
    <mergeCell ref="D40:D41"/>
    <mergeCell ref="E40:F40"/>
    <mergeCell ref="G40:I40"/>
    <mergeCell ref="J40:J41"/>
    <mergeCell ref="K40:K41"/>
    <mergeCell ref="L40:M40"/>
    <mergeCell ref="O30:O31"/>
    <mergeCell ref="L11:M11"/>
    <mergeCell ref="N11:N12"/>
    <mergeCell ref="O11:O12"/>
    <mergeCell ref="A29:O29"/>
    <mergeCell ref="A30:A31"/>
    <mergeCell ref="B30:B31"/>
    <mergeCell ref="C30:C31"/>
    <mergeCell ref="D30:D31"/>
    <mergeCell ref="E30:E31"/>
    <mergeCell ref="F30:F31"/>
    <mergeCell ref="G30:I30"/>
    <mergeCell ref="J30:J31"/>
    <mergeCell ref="K30:K31"/>
    <mergeCell ref="L30:M30"/>
    <mergeCell ref="N30:N31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</mergeCells>
  <dataValidations count="10">
    <dataValidation type="list" allowBlank="1" showInputMessage="1" showErrorMessage="1" sqref="O50">
      <formula1>$B$112:$B$119</formula1>
    </dataValidation>
    <dataValidation type="list" allowBlank="1" showInputMessage="1" showErrorMessage="1" sqref="D50">
      <formula1>$C$121:$C$127</formula1>
    </dataValidation>
    <dataValidation type="list" allowBlank="1" showInputMessage="1" showErrorMessage="1" sqref="K50">
      <formula1>$B$108:$B$110</formula1>
    </dataValidation>
    <dataValidation type="list" allowBlank="1" showInputMessage="1" showErrorMessage="1" sqref="D16:D17 D23:D24">
      <formula1>$C$92:$C$101</formula1>
    </dataValidation>
    <dataValidation type="list" allowBlank="1" showInputMessage="1" showErrorMessage="1" sqref="D75">
      <formula1>$C$121:$C$123</formula1>
    </dataValidation>
    <dataValidation type="list" allowBlank="1" showInputMessage="1" showErrorMessage="1" sqref="K86:K87 D86">
      <formula1>#REF!</formula1>
    </dataValidation>
    <dataValidation type="list" allowBlank="1" showInputMessage="1" showErrorMessage="1" sqref="K71:K75 K51:K65 K42:K49 K34:K36 K81:K85 K13:K26">
      <formula1>$B$91:$B$93</formula1>
    </dataValidation>
    <dataValidation type="list" allowBlank="1" showInputMessage="1" showErrorMessage="1" sqref="D81:D84 D51:D65 D42:D49 D35">
      <formula1>$C$104:$C$110</formula1>
    </dataValidation>
    <dataValidation type="list" allowBlank="1" showInputMessage="1" showErrorMessage="1" sqref="D25:D26 D36 D32:D34 D13:D15 D85 D18:D22">
      <formula1>$C$111:$C$120</formula1>
    </dataValidation>
    <dataValidation type="list" allowBlank="1" showInputMessage="1" showErrorMessage="1" sqref="O71:O75 O51:O65 O42:O49 O34:O36 O81:O85 O15:O26">
      <formula1>$B$95:$B$102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5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3" manualBreakCount="3">
    <brk id="27" min="5" max="14" man="1"/>
    <brk id="48" min="5" max="14" man="1"/>
    <brk id="66" min="5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Estrutura do Projeto</vt:lpstr>
      <vt:lpstr>Informação Inicial</vt:lpstr>
      <vt:lpstr>Plano Aquisicoes</vt:lpstr>
      <vt:lpstr>Limpo</vt:lpstr>
      <vt:lpstr>Plano Operativo</vt:lpstr>
      <vt:lpstr>Pintado</vt:lpstr>
      <vt:lpstr>Limpo!Area_de_impressao</vt:lpstr>
      <vt:lpstr>Pintado!Area_de_impressao</vt:lpstr>
      <vt:lpstr>'Plano Aquisicoes'!Area_de_impressao</vt:lpstr>
      <vt:lpstr>'Plano Operativo'!Area_de_impressao</vt:lpstr>
      <vt:lpstr>Limpo!Titulos_de_impressao</vt:lpstr>
      <vt:lpstr>Pintado!Titulos_de_impressao</vt:lpstr>
      <vt:lpstr>'Plano Aquisicoes'!Titulos_de_impressao</vt:lpstr>
      <vt:lpstr>'Plano Operativo'!Titulos_de_impressao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Gomes,Higor Seiberlich</cp:lastModifiedBy>
  <cp:lastPrinted>2017-06-20T11:48:22Z</cp:lastPrinted>
  <dcterms:created xsi:type="dcterms:W3CDTF">2011-03-30T14:45:37Z</dcterms:created>
  <dcterms:modified xsi:type="dcterms:W3CDTF">2017-07-28T21:15:20Z</dcterms:modified>
</cp:coreProperties>
</file>