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idbg-my.sharepoint.com/personal/claudiahe_iadb_org/Documents/Documents/CH/Climate Finance/EC-L1253 Mejora Admon Tributaria y Aduanera/"/>
    </mc:Choice>
  </mc:AlternateContent>
  <xr:revisionPtr revIDLastSave="44" documentId="8_{09E0543D-951F-43BB-8F33-168F94B154E6}" xr6:coauthVersionLast="47" xr6:coauthVersionMax="47" xr10:uidLastSave="{C40240D5-9E1D-4EFA-A404-532D9BF90CC3}"/>
  <bookViews>
    <workbookView xWindow="-11895" yWindow="-16320" windowWidth="29040" windowHeight="15840" tabRatio="950" activeTab="5" xr2:uid="{00000000-000D-0000-FFFF-FFFF00000000}"/>
  </bookViews>
  <sheets>
    <sheet name="1. Detailed Budget" sheetId="22" r:id="rId1"/>
    <sheet name="2. Pluriannual Plan PEP" sheetId="29" r:id="rId2"/>
    <sheet name="3. Procurement Plan" sheetId="33" r:id="rId3"/>
    <sheet name="4. Resumen Presupuesto" sheetId="34" r:id="rId4"/>
    <sheet name="5. Cronograma de Desembolsos" sheetId="35" r:id="rId5"/>
    <sheet name="Financiamiento climatico" sheetId="39" r:id="rId6"/>
    <sheet name="Prices" sheetId="10" state="hidden" r:id="rId7"/>
    <sheet name="4. Budget by Components" sheetId="30" state="hidden" r:id="rId8"/>
    <sheet name="3. Procurement Plan - PA" sheetId="24" state="hidden" r:id="rId9"/>
    <sheet name="Hoja1" sheetId="31" state="hidden" r:id="rId10"/>
    <sheet name="Oculta" sheetId="32" state="hidden" r:id="rId11"/>
  </sheets>
  <externalReferences>
    <externalReference r:id="rId12"/>
    <externalReference r:id="rId13"/>
  </externalReferences>
  <definedNames>
    <definedName name="_xlnm._FilterDatabase" localSheetId="2" hidden="1">#N/A</definedName>
    <definedName name="_xlnm._FilterDatabase" localSheetId="8" hidden="1">#N/A</definedName>
    <definedName name="Contratista_de_Servicios">#N/A</definedName>
    <definedName name="OLE_LINK1" localSheetId="0">#N/A</definedName>
    <definedName name="_xlnm.Print_Area" localSheetId="0">#N/A</definedName>
    <definedName name="_xlnm.Print_Area" localSheetId="1">#N/A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39" l="1"/>
  <c r="C109" i="22"/>
  <c r="D109" i="22"/>
  <c r="E109" i="22"/>
  <c r="F109" i="22"/>
  <c r="G109" i="22"/>
  <c r="H109" i="22"/>
  <c r="B109" i="22"/>
  <c r="F17" i="39"/>
  <c r="D110" i="22"/>
  <c r="E24" i="39"/>
  <c r="E21" i="39"/>
  <c r="E22" i="39" s="1"/>
  <c r="E23" i="39" s="1"/>
  <c r="E20" i="39"/>
  <c r="F14" i="39"/>
  <c r="E4" i="39" l="1"/>
  <c r="E5" i="39"/>
  <c r="E6" i="39"/>
  <c r="E7" i="39"/>
  <c r="E8" i="39"/>
  <c r="E9" i="39"/>
  <c r="E10" i="39"/>
  <c r="E11" i="39"/>
  <c r="E12" i="39"/>
  <c r="E13" i="39"/>
  <c r="E14" i="39"/>
  <c r="E15" i="39"/>
  <c r="E16" i="39"/>
  <c r="E3" i="39"/>
  <c r="D3" i="39"/>
  <c r="C3" i="39"/>
  <c r="B8" i="34"/>
  <c r="B9" i="34"/>
  <c r="F8" i="34"/>
  <c r="D8" i="34"/>
  <c r="H101" i="22"/>
  <c r="H116" i="22"/>
  <c r="H117" i="22"/>
  <c r="F15" i="39"/>
  <c r="AO42" i="29"/>
  <c r="AM52" i="29"/>
  <c r="AM42" i="29"/>
  <c r="AM6" i="29" s="1"/>
  <c r="AM36" i="29"/>
  <c r="AM12" i="29"/>
  <c r="AM8" i="29"/>
  <c r="AO8" i="29" s="1"/>
  <c r="AM7" i="29"/>
  <c r="D15" i="22"/>
  <c r="H15" i="22"/>
  <c r="V107" i="22"/>
  <c r="H9" i="22"/>
  <c r="D9" i="22"/>
  <c r="B94" i="22"/>
  <c r="C94" i="22"/>
  <c r="E94" i="22"/>
  <c r="F94" i="22"/>
  <c r="G94" i="22"/>
  <c r="C128" i="22" l="1"/>
  <c r="C129" i="22" s="1"/>
  <c r="W83" i="29"/>
  <c r="W82" i="29" s="1"/>
  <c r="H67" i="22" l="1"/>
  <c r="AC67" i="29"/>
  <c r="Z67" i="29"/>
  <c r="V88" i="29"/>
  <c r="V87" i="29"/>
  <c r="V72" i="29"/>
  <c r="V71" i="29"/>
  <c r="V70" i="29"/>
  <c r="V69" i="29"/>
  <c r="V68" i="29"/>
  <c r="V67" i="29"/>
  <c r="V66" i="29"/>
  <c r="V65" i="29"/>
  <c r="V63" i="29"/>
  <c r="V60" i="29"/>
  <c r="V59" i="29"/>
  <c r="V57" i="29"/>
  <c r="V56" i="29"/>
  <c r="V54" i="29"/>
  <c r="V53" i="29"/>
  <c r="V52" i="29"/>
  <c r="V51" i="29"/>
  <c r="V50" i="29"/>
  <c r="V48" i="29"/>
  <c r="V47" i="29"/>
  <c r="V46" i="29"/>
  <c r="V45" i="29"/>
  <c r="V44" i="29"/>
  <c r="V43" i="29"/>
  <c r="S88" i="29"/>
  <c r="S87" i="29"/>
  <c r="S72" i="29"/>
  <c r="S71" i="29"/>
  <c r="S70" i="29"/>
  <c r="S69" i="29"/>
  <c r="S68" i="29"/>
  <c r="S67" i="29"/>
  <c r="S66" i="29"/>
  <c r="S65" i="29"/>
  <c r="S63" i="29"/>
  <c r="S62" i="29"/>
  <c r="S60" i="29"/>
  <c r="S59" i="29"/>
  <c r="S57" i="29"/>
  <c r="S56" i="29"/>
  <c r="S54" i="29"/>
  <c r="S53" i="29"/>
  <c r="S52" i="29"/>
  <c r="S51" i="29"/>
  <c r="S48" i="29"/>
  <c r="S47" i="29"/>
  <c r="S46" i="29"/>
  <c r="S45" i="29"/>
  <c r="S44" i="29"/>
  <c r="S43" i="29"/>
  <c r="T62" i="29"/>
  <c r="V62" i="29" s="1"/>
  <c r="Q50" i="29"/>
  <c r="S50" i="29" s="1"/>
  <c r="AN103" i="29" l="1"/>
  <c r="AN88" i="29"/>
  <c r="AM88" i="29"/>
  <c r="AO88" i="29" s="1"/>
  <c r="AN87" i="29"/>
  <c r="AO87" i="29" s="1"/>
  <c r="AM87" i="29"/>
  <c r="AN72" i="29"/>
  <c r="AM72" i="29"/>
  <c r="AO72" i="29" s="1"/>
  <c r="AN71" i="29"/>
  <c r="AM71" i="29"/>
  <c r="AN70" i="29"/>
  <c r="AM70" i="29"/>
  <c r="AN69" i="29"/>
  <c r="AN68" i="29"/>
  <c r="AM68" i="29"/>
  <c r="AO68" i="29" s="1"/>
  <c r="AN67" i="29"/>
  <c r="AN66" i="29"/>
  <c r="AM66" i="29"/>
  <c r="AN65" i="29"/>
  <c r="AM65" i="29"/>
  <c r="AN63" i="29"/>
  <c r="AM63" i="29"/>
  <c r="AN62" i="29"/>
  <c r="AM62" i="29"/>
  <c r="AN60" i="29"/>
  <c r="AM60" i="29"/>
  <c r="AO60" i="29" s="1"/>
  <c r="AN59" i="29"/>
  <c r="AM59" i="29"/>
  <c r="AN57" i="29"/>
  <c r="AM57" i="29"/>
  <c r="AN56" i="29"/>
  <c r="AM56" i="29"/>
  <c r="AN54" i="29"/>
  <c r="AM54" i="29"/>
  <c r="AN53" i="29"/>
  <c r="AM53" i="29"/>
  <c r="AO52" i="29"/>
  <c r="AN52" i="29"/>
  <c r="AN51" i="29"/>
  <c r="AM51" i="29"/>
  <c r="AO51" i="29" s="1"/>
  <c r="AN50" i="29"/>
  <c r="AM50" i="29"/>
  <c r="AO50" i="29" s="1"/>
  <c r="AN48" i="29"/>
  <c r="AM48" i="29"/>
  <c r="AN47" i="29"/>
  <c r="AM47" i="29"/>
  <c r="AN46" i="29"/>
  <c r="AM46" i="29"/>
  <c r="AO46" i="29" s="1"/>
  <c r="AN45" i="29"/>
  <c r="AM45" i="29"/>
  <c r="AO45" i="29" s="1"/>
  <c r="AN44" i="29"/>
  <c r="AM44" i="29"/>
  <c r="AO44" i="29" s="1"/>
  <c r="AN43" i="29"/>
  <c r="AM43" i="29"/>
  <c r="AO43" i="29" s="1"/>
  <c r="AN41" i="29"/>
  <c r="AN40" i="29"/>
  <c r="AN39" i="29"/>
  <c r="AN38" i="29"/>
  <c r="AN37" i="29"/>
  <c r="I12" i="29"/>
  <c r="I90" i="29"/>
  <c r="H115" i="29"/>
  <c r="I115" i="29" s="1"/>
  <c r="T73" i="22"/>
  <c r="V73" i="22" s="1"/>
  <c r="G69" i="22"/>
  <c r="V2" i="22"/>
  <c r="O58" i="22"/>
  <c r="O50" i="22"/>
  <c r="M58" i="22"/>
  <c r="M50" i="22"/>
  <c r="AJ17" i="22"/>
  <c r="AH17" i="22"/>
  <c r="E107" i="22"/>
  <c r="G107" i="22" s="1"/>
  <c r="H107" i="22" s="1"/>
  <c r="V98" i="22"/>
  <c r="V99" i="22"/>
  <c r="V101" i="22"/>
  <c r="V97" i="22"/>
  <c r="T100" i="22"/>
  <c r="V100" i="22" s="1"/>
  <c r="AO48" i="29" l="1"/>
  <c r="AO53" i="29"/>
  <c r="AO59" i="29"/>
  <c r="AO65" i="29"/>
  <c r="AO70" i="29"/>
  <c r="AO56" i="29"/>
  <c r="AO71" i="29"/>
  <c r="AO66" i="29"/>
  <c r="AO63" i="29"/>
  <c r="AO62" i="29"/>
  <c r="AO57" i="29"/>
  <c r="AO54" i="29"/>
  <c r="AO47" i="29"/>
  <c r="AB1" i="22"/>
  <c r="C113" i="29" l="1"/>
  <c r="B117" i="22"/>
  <c r="C121" i="29" s="1"/>
  <c r="B116" i="22"/>
  <c r="C120" i="29" s="1"/>
  <c r="I131" i="33"/>
  <c r="J131" i="33"/>
  <c r="I126" i="33"/>
  <c r="J126" i="33"/>
  <c r="I127" i="33"/>
  <c r="J127" i="33"/>
  <c r="I128" i="33"/>
  <c r="J128" i="33"/>
  <c r="I129" i="33"/>
  <c r="J129" i="33"/>
  <c r="E14" i="34"/>
  <c r="H61" i="33"/>
  <c r="Q100" i="29"/>
  <c r="AA107" i="29"/>
  <c r="AA104" i="29"/>
  <c r="AA99" i="29"/>
  <c r="AA96" i="29"/>
  <c r="AA92" i="29"/>
  <c r="AA89" i="29"/>
  <c r="AA84" i="29"/>
  <c r="AA80" i="29"/>
  <c r="AC80" i="29"/>
  <c r="AA78" i="29"/>
  <c r="AA75" i="29"/>
  <c r="AD121" i="29"/>
  <c r="X121" i="29"/>
  <c r="U121" i="29"/>
  <c r="R121" i="29"/>
  <c r="AD120" i="29"/>
  <c r="X120" i="29"/>
  <c r="U120" i="29"/>
  <c r="R120" i="29"/>
  <c r="AN120" i="29" s="1"/>
  <c r="AD118" i="29"/>
  <c r="AC118" i="29"/>
  <c r="Z118" i="29"/>
  <c r="AB118" i="29" s="1"/>
  <c r="X118" i="29"/>
  <c r="W118" i="29"/>
  <c r="Y118" i="29" s="1"/>
  <c r="U118" i="29"/>
  <c r="T118" i="29"/>
  <c r="V118" i="29" s="1"/>
  <c r="R118" i="29"/>
  <c r="AN118" i="29" s="1"/>
  <c r="Q118" i="29"/>
  <c r="AD117" i="29"/>
  <c r="AC117" i="29"/>
  <c r="Z117" i="29"/>
  <c r="AB117" i="29" s="1"/>
  <c r="X117" i="29"/>
  <c r="W117" i="29"/>
  <c r="U117" i="29"/>
  <c r="T117" i="29"/>
  <c r="V117" i="29" s="1"/>
  <c r="R117" i="29"/>
  <c r="Q117" i="29"/>
  <c r="AD115" i="29"/>
  <c r="AC115" i="29"/>
  <c r="Z115" i="29"/>
  <c r="X115" i="29"/>
  <c r="AA115" i="29" s="1"/>
  <c r="W115" i="29"/>
  <c r="U115" i="29"/>
  <c r="T115" i="29"/>
  <c r="R115" i="29"/>
  <c r="AN115" i="29" s="1"/>
  <c r="Q115" i="29"/>
  <c r="AC114" i="29"/>
  <c r="Z114" i="29"/>
  <c r="W114" i="29"/>
  <c r="T114" i="29"/>
  <c r="Q114" i="29"/>
  <c r="AD111" i="29"/>
  <c r="AC111" i="29"/>
  <c r="Z111" i="29"/>
  <c r="AB111" i="29" s="1"/>
  <c r="X111" i="29"/>
  <c r="W111" i="29"/>
  <c r="U111" i="29"/>
  <c r="T111" i="29"/>
  <c r="R111" i="29"/>
  <c r="Q111" i="29"/>
  <c r="AD110" i="29"/>
  <c r="AC110" i="29"/>
  <c r="Z110" i="29"/>
  <c r="AB110" i="29" s="1"/>
  <c r="X110" i="29"/>
  <c r="W110" i="29"/>
  <c r="U110" i="29"/>
  <c r="T110" i="29"/>
  <c r="V110" i="29" s="1"/>
  <c r="R110" i="29"/>
  <c r="Q110" i="29"/>
  <c r="AD109" i="29"/>
  <c r="AC109" i="29"/>
  <c r="Z109" i="29"/>
  <c r="AB109" i="29" s="1"/>
  <c r="X109" i="29"/>
  <c r="W109" i="29"/>
  <c r="U109" i="29"/>
  <c r="T109" i="29"/>
  <c r="R109" i="29"/>
  <c r="Q109" i="29"/>
  <c r="AD108" i="29"/>
  <c r="AC108" i="29"/>
  <c r="Z108" i="29"/>
  <c r="AB108" i="29" s="1"/>
  <c r="AB107" i="29" s="1"/>
  <c r="X108" i="29"/>
  <c r="X107" i="29" s="1"/>
  <c r="W108" i="29"/>
  <c r="Y108" i="29" s="1"/>
  <c r="U108" i="29"/>
  <c r="T108" i="29"/>
  <c r="V108" i="29" s="1"/>
  <c r="R108" i="29"/>
  <c r="AN108" i="29" s="1"/>
  <c r="Q108" i="29"/>
  <c r="AD106" i="29"/>
  <c r="AC106" i="29"/>
  <c r="AE106" i="29" s="1"/>
  <c r="Z106" i="29"/>
  <c r="AB106" i="29" s="1"/>
  <c r="X106" i="29"/>
  <c r="W106" i="29"/>
  <c r="U106" i="29"/>
  <c r="T106" i="29"/>
  <c r="R106" i="29"/>
  <c r="Q106" i="29"/>
  <c r="AD105" i="29"/>
  <c r="AD104" i="29" s="1"/>
  <c r="AC105" i="29"/>
  <c r="Z105" i="29"/>
  <c r="AB105" i="29" s="1"/>
  <c r="AB104" i="29" s="1"/>
  <c r="X105" i="29"/>
  <c r="W105" i="29"/>
  <c r="W104" i="29" s="1"/>
  <c r="U105" i="29"/>
  <c r="T105" i="29"/>
  <c r="T104" i="29" s="1"/>
  <c r="R105" i="29"/>
  <c r="R104" i="29" s="1"/>
  <c r="Q105" i="29"/>
  <c r="AD102" i="29"/>
  <c r="AC102" i="29"/>
  <c r="AE102" i="29" s="1"/>
  <c r="Z102" i="29"/>
  <c r="AB102" i="29" s="1"/>
  <c r="X102" i="29"/>
  <c r="W102" i="29"/>
  <c r="U102" i="29"/>
  <c r="T102" i="29"/>
  <c r="R102" i="29"/>
  <c r="Q102" i="29"/>
  <c r="AD101" i="29"/>
  <c r="AC101" i="29"/>
  <c r="Z101" i="29"/>
  <c r="AB101" i="29" s="1"/>
  <c r="X101" i="29"/>
  <c r="W101" i="29"/>
  <c r="U101" i="29"/>
  <c r="T101" i="29"/>
  <c r="V101" i="29" s="1"/>
  <c r="R101" i="29"/>
  <c r="Q101" i="29"/>
  <c r="Q99" i="29" s="1"/>
  <c r="AD100" i="29"/>
  <c r="AC100" i="29"/>
  <c r="AC99" i="29" s="1"/>
  <c r="Z100" i="29"/>
  <c r="AB100" i="29" s="1"/>
  <c r="X100" i="29"/>
  <c r="W100" i="29"/>
  <c r="U100" i="29"/>
  <c r="U99" i="29" s="1"/>
  <c r="T100" i="29"/>
  <c r="R100" i="29"/>
  <c r="AN100" i="29" s="1"/>
  <c r="AD98" i="29"/>
  <c r="AC98" i="29"/>
  <c r="AE98" i="29" s="1"/>
  <c r="Z98" i="29"/>
  <c r="AB98" i="29" s="1"/>
  <c r="X98" i="29"/>
  <c r="W98" i="29"/>
  <c r="U98" i="29"/>
  <c r="T98" i="29"/>
  <c r="V98" i="29" s="1"/>
  <c r="R98" i="29"/>
  <c r="AN98" i="29" s="1"/>
  <c r="Q98" i="29"/>
  <c r="AD97" i="29"/>
  <c r="AC97" i="29"/>
  <c r="Z97" i="29"/>
  <c r="AB97" i="29" s="1"/>
  <c r="X97" i="29"/>
  <c r="X96" i="29" s="1"/>
  <c r="W97" i="29"/>
  <c r="Y97" i="29" s="1"/>
  <c r="U97" i="29"/>
  <c r="T97" i="29"/>
  <c r="R97" i="29"/>
  <c r="Q97" i="29"/>
  <c r="Q96" i="29" s="1"/>
  <c r="AD95" i="29"/>
  <c r="AC95" i="29"/>
  <c r="Z95" i="29"/>
  <c r="AB95" i="29" s="1"/>
  <c r="X95" i="29"/>
  <c r="W95" i="29"/>
  <c r="U95" i="29"/>
  <c r="T95" i="29"/>
  <c r="V95" i="29" s="1"/>
  <c r="R95" i="29"/>
  <c r="Q95" i="29"/>
  <c r="AD94" i="29"/>
  <c r="AC94" i="29"/>
  <c r="AE94" i="29" s="1"/>
  <c r="Z94" i="29"/>
  <c r="AB94" i="29" s="1"/>
  <c r="X94" i="29"/>
  <c r="W94" i="29"/>
  <c r="U94" i="29"/>
  <c r="T94" i="29"/>
  <c r="R94" i="29"/>
  <c r="Q94" i="29"/>
  <c r="AD93" i="29"/>
  <c r="AD92" i="29" s="1"/>
  <c r="AC93" i="29"/>
  <c r="Z93" i="29"/>
  <c r="AB93" i="29" s="1"/>
  <c r="AB92" i="29" s="1"/>
  <c r="X93" i="29"/>
  <c r="W93" i="29"/>
  <c r="Y93" i="29" s="1"/>
  <c r="U93" i="29"/>
  <c r="T93" i="29"/>
  <c r="V93" i="29" s="1"/>
  <c r="R93" i="29"/>
  <c r="AN93" i="29" s="1"/>
  <c r="Q93" i="29"/>
  <c r="AD91" i="29"/>
  <c r="AC91" i="29"/>
  <c r="Z91" i="29"/>
  <c r="AB91" i="29" s="1"/>
  <c r="X91" i="29"/>
  <c r="W91" i="29"/>
  <c r="U91" i="29"/>
  <c r="T91" i="29"/>
  <c r="R91" i="29"/>
  <c r="Q91" i="29"/>
  <c r="AD90" i="29"/>
  <c r="AC90" i="29"/>
  <c r="Z90" i="29"/>
  <c r="AB90" i="29" s="1"/>
  <c r="X90" i="29"/>
  <c r="W90" i="29"/>
  <c r="U90" i="29"/>
  <c r="U89" i="29" s="1"/>
  <c r="T90" i="29"/>
  <c r="V90" i="29" s="1"/>
  <c r="R90" i="29"/>
  <c r="Q90" i="29"/>
  <c r="AD85" i="29"/>
  <c r="AD84" i="29" s="1"/>
  <c r="AC85" i="29"/>
  <c r="Z85" i="29"/>
  <c r="AB85" i="29" s="1"/>
  <c r="AB84" i="29" s="1"/>
  <c r="X85" i="29"/>
  <c r="X84" i="29" s="1"/>
  <c r="W85" i="29"/>
  <c r="W84" i="29" s="1"/>
  <c r="U85" i="29"/>
  <c r="U84" i="29" s="1"/>
  <c r="T85" i="29"/>
  <c r="V85" i="29" s="1"/>
  <c r="R85" i="29"/>
  <c r="AN85" i="29" s="1"/>
  <c r="Q85" i="29"/>
  <c r="AD83" i="29"/>
  <c r="AD82" i="29" s="1"/>
  <c r="AC83" i="29"/>
  <c r="AC82" i="29" s="1"/>
  <c r="Z83" i="29"/>
  <c r="Z82" i="29" s="1"/>
  <c r="X83" i="29"/>
  <c r="U83" i="29"/>
  <c r="U82" i="29" s="1"/>
  <c r="T83" i="29"/>
  <c r="R83" i="29"/>
  <c r="AD81" i="29"/>
  <c r="AD80" i="29" s="1"/>
  <c r="AC81" i="29"/>
  <c r="Z81" i="29"/>
  <c r="AB81" i="29" s="1"/>
  <c r="AB80" i="29" s="1"/>
  <c r="X81" i="29"/>
  <c r="X80" i="29" s="1"/>
  <c r="W81" i="29"/>
  <c r="U81" i="29"/>
  <c r="U80" i="29" s="1"/>
  <c r="T81" i="29"/>
  <c r="T80" i="29" s="1"/>
  <c r="R81" i="29"/>
  <c r="Q81" i="29"/>
  <c r="AD79" i="29"/>
  <c r="AD78" i="29" s="1"/>
  <c r="AC79" i="29"/>
  <c r="AE79" i="29" s="1"/>
  <c r="AE78" i="29" s="1"/>
  <c r="Z79" i="29"/>
  <c r="AB79" i="29" s="1"/>
  <c r="AB78" i="29" s="1"/>
  <c r="X79" i="29"/>
  <c r="X78" i="29" s="1"/>
  <c r="W79" i="29"/>
  <c r="U79" i="29"/>
  <c r="U78" i="29" s="1"/>
  <c r="T79" i="29"/>
  <c r="R79" i="29"/>
  <c r="Q79" i="29"/>
  <c r="Q78" i="29" s="1"/>
  <c r="AD77" i="29"/>
  <c r="AD75" i="29" s="1"/>
  <c r="AC77" i="29"/>
  <c r="AC75" i="29" s="1"/>
  <c r="AE75" i="29" s="1"/>
  <c r="Z77" i="29"/>
  <c r="AB77" i="29" s="1"/>
  <c r="X77" i="29"/>
  <c r="X75" i="29" s="1"/>
  <c r="W77" i="29"/>
  <c r="U77" i="29"/>
  <c r="U75" i="29" s="1"/>
  <c r="T77" i="29"/>
  <c r="V77" i="29" s="1"/>
  <c r="R77" i="29"/>
  <c r="AN77" i="29" s="1"/>
  <c r="Q77" i="29"/>
  <c r="Z76" i="29"/>
  <c r="W76" i="29"/>
  <c r="T76" i="29"/>
  <c r="R76" i="29"/>
  <c r="Q76" i="29"/>
  <c r="H114" i="29"/>
  <c r="X114" i="29" s="1"/>
  <c r="Y114" i="29" s="1"/>
  <c r="I93" i="29"/>
  <c r="I83" i="29"/>
  <c r="E75" i="29"/>
  <c r="I75" i="29" s="1"/>
  <c r="D75" i="29"/>
  <c r="C75" i="29"/>
  <c r="E84" i="29"/>
  <c r="D84" i="29"/>
  <c r="C84" i="29"/>
  <c r="E82" i="29"/>
  <c r="D82" i="29"/>
  <c r="C82" i="29"/>
  <c r="AH91" i="22"/>
  <c r="AI91" i="22" s="1"/>
  <c r="AJ91" i="22" s="1"/>
  <c r="S76" i="29" l="1"/>
  <c r="AM76" i="29"/>
  <c r="V79" i="29"/>
  <c r="AN81" i="29"/>
  <c r="AE90" i="29"/>
  <c r="X92" i="29"/>
  <c r="Y94" i="29"/>
  <c r="S98" i="29"/>
  <c r="AM98" i="29"/>
  <c r="AO98" i="29" s="1"/>
  <c r="AD99" i="29"/>
  <c r="X104" i="29"/>
  <c r="Y106" i="29"/>
  <c r="U107" i="29"/>
  <c r="V109" i="29"/>
  <c r="V115" i="29"/>
  <c r="R78" i="29"/>
  <c r="AN78" i="29" s="1"/>
  <c r="AN79" i="29"/>
  <c r="R75" i="29"/>
  <c r="AN75" i="29" s="1"/>
  <c r="AN76" i="29"/>
  <c r="Q75" i="29"/>
  <c r="T75" i="29"/>
  <c r="V75" i="29" s="1"/>
  <c r="V76" i="29"/>
  <c r="AN90" i="29"/>
  <c r="AD89" i="29"/>
  <c r="Y95" i="29"/>
  <c r="Y92" i="29" s="1"/>
  <c r="V100" i="29"/>
  <c r="AE105" i="29"/>
  <c r="AE104" i="29" s="1"/>
  <c r="R80" i="29"/>
  <c r="AC104" i="29"/>
  <c r="Y76" i="29"/>
  <c r="W75" i="29"/>
  <c r="AN102" i="29"/>
  <c r="AN97" i="29"/>
  <c r="AB76" i="29"/>
  <c r="AB75" i="29" s="1"/>
  <c r="Z75" i="29"/>
  <c r="Y98" i="29"/>
  <c r="Y96" i="29" s="1"/>
  <c r="S77" i="29"/>
  <c r="AM77" i="29"/>
  <c r="AO77" i="29" s="1"/>
  <c r="Y85" i="29"/>
  <c r="Y84" i="29" s="1"/>
  <c r="X99" i="29"/>
  <c r="AN106" i="29"/>
  <c r="AD107" i="29"/>
  <c r="S79" i="29"/>
  <c r="AM79" i="29"/>
  <c r="AE81" i="29"/>
  <c r="AE80" i="29" s="1"/>
  <c r="X89" i="29"/>
  <c r="Y91" i="29"/>
  <c r="U92" i="29"/>
  <c r="AB99" i="29"/>
  <c r="U104" i="29"/>
  <c r="AN104" i="29" s="1"/>
  <c r="V106" i="29"/>
  <c r="AE110" i="29"/>
  <c r="AN121" i="29"/>
  <c r="AN117" i="29"/>
  <c r="S118" i="29"/>
  <c r="AM118" i="29"/>
  <c r="AO118" i="29" s="1"/>
  <c r="Y117" i="29"/>
  <c r="S117" i="29"/>
  <c r="AM117" i="29"/>
  <c r="AO117" i="29" s="1"/>
  <c r="AM114" i="29"/>
  <c r="AB115" i="29"/>
  <c r="S115" i="29"/>
  <c r="AM115" i="29"/>
  <c r="AO115" i="29" s="1"/>
  <c r="AE108" i="29"/>
  <c r="Y111" i="29"/>
  <c r="S108" i="29"/>
  <c r="AM108" i="29"/>
  <c r="AO108" i="29" s="1"/>
  <c r="AE109" i="29"/>
  <c r="Q107" i="29"/>
  <c r="S109" i="29"/>
  <c r="AM109" i="29"/>
  <c r="W107" i="29"/>
  <c r="AN109" i="29"/>
  <c r="S110" i="29"/>
  <c r="AM110" i="29"/>
  <c r="AO110" i="29" s="1"/>
  <c r="Z107" i="29"/>
  <c r="AN110" i="29"/>
  <c r="S111" i="29"/>
  <c r="AM111" i="29"/>
  <c r="AC107" i="29"/>
  <c r="T107" i="29"/>
  <c r="V107" i="29" s="1"/>
  <c r="AN111" i="29"/>
  <c r="R107" i="29"/>
  <c r="Y109" i="29"/>
  <c r="V111" i="29"/>
  <c r="Y105" i="29"/>
  <c r="Y104" i="29" s="1"/>
  <c r="Z104" i="29"/>
  <c r="V104" i="29"/>
  <c r="S105" i="29"/>
  <c r="AM105" i="29"/>
  <c r="Q104" i="29"/>
  <c r="AN105" i="29"/>
  <c r="V105" i="29"/>
  <c r="S106" i="29"/>
  <c r="AM106" i="29"/>
  <c r="AO106" i="29" s="1"/>
  <c r="AN101" i="29"/>
  <c r="S102" i="29"/>
  <c r="AM102" i="29"/>
  <c r="AO102" i="29" s="1"/>
  <c r="T99" i="29"/>
  <c r="V99" i="29" s="1"/>
  <c r="R99" i="29"/>
  <c r="AN99" i="29" s="1"/>
  <c r="Y100" i="29"/>
  <c r="V102" i="29"/>
  <c r="S101" i="29"/>
  <c r="AM101" i="29"/>
  <c r="AO101" i="29" s="1"/>
  <c r="Z99" i="29"/>
  <c r="AE100" i="29"/>
  <c r="W99" i="29"/>
  <c r="S100" i="29"/>
  <c r="AM100" i="29"/>
  <c r="AO100" i="29" s="1"/>
  <c r="AB96" i="29"/>
  <c r="AE97" i="29"/>
  <c r="V97" i="29"/>
  <c r="AD96" i="29"/>
  <c r="AD86" i="29" s="1"/>
  <c r="T96" i="29"/>
  <c r="V96" i="29" s="1"/>
  <c r="Z96" i="29"/>
  <c r="U96" i="29"/>
  <c r="S97" i="29"/>
  <c r="AM97" i="29"/>
  <c r="AO97" i="29" s="1"/>
  <c r="R96" i="29"/>
  <c r="S93" i="29"/>
  <c r="AM93" i="29"/>
  <c r="AO93" i="29" s="1"/>
  <c r="S94" i="29"/>
  <c r="AM94" i="29"/>
  <c r="AC92" i="29"/>
  <c r="T92" i="29"/>
  <c r="V92" i="29" s="1"/>
  <c r="AN94" i="29"/>
  <c r="R92" i="29"/>
  <c r="AN92" i="29" s="1"/>
  <c r="V94" i="29"/>
  <c r="S95" i="29"/>
  <c r="AM95" i="29"/>
  <c r="AE95" i="29"/>
  <c r="AN95" i="29"/>
  <c r="Z92" i="29"/>
  <c r="Q92" i="29"/>
  <c r="AE93" i="29"/>
  <c r="AE92" i="29" s="1"/>
  <c r="W92" i="29"/>
  <c r="S90" i="29"/>
  <c r="AM90" i="29"/>
  <c r="AO90" i="29" s="1"/>
  <c r="AE91" i="29"/>
  <c r="AE89" i="29" s="1"/>
  <c r="AN91" i="29"/>
  <c r="S91" i="29"/>
  <c r="AM91" i="29"/>
  <c r="Z89" i="29"/>
  <c r="V91" i="29"/>
  <c r="AA86" i="29"/>
  <c r="Y90" i="29"/>
  <c r="Y89" i="29" s="1"/>
  <c r="R89" i="29"/>
  <c r="AN89" i="29" s="1"/>
  <c r="AB89" i="29"/>
  <c r="AB86" i="29" s="1"/>
  <c r="Z84" i="29"/>
  <c r="S85" i="29"/>
  <c r="AM85" i="29"/>
  <c r="AO85" i="29" s="1"/>
  <c r="AE85" i="29"/>
  <c r="AE84" i="29" s="1"/>
  <c r="Q84" i="29"/>
  <c r="AC84" i="29"/>
  <c r="T84" i="29"/>
  <c r="V84" i="29" s="1"/>
  <c r="R84" i="29"/>
  <c r="AN84" i="29" s="1"/>
  <c r="V83" i="29"/>
  <c r="AM83" i="29"/>
  <c r="X82" i="29"/>
  <c r="AA83" i="29"/>
  <c r="AA82" i="29" s="1"/>
  <c r="R82" i="29"/>
  <c r="S83" i="29"/>
  <c r="S81" i="29"/>
  <c r="AM81" i="29"/>
  <c r="AO81" i="29" s="1"/>
  <c r="Z80" i="29"/>
  <c r="V81" i="29"/>
  <c r="V80" i="29"/>
  <c r="Q80" i="29"/>
  <c r="AN80" i="29"/>
  <c r="Y81" i="29"/>
  <c r="Y80" i="29" s="1"/>
  <c r="W80" i="29"/>
  <c r="T82" i="29"/>
  <c r="V82" i="29" s="1"/>
  <c r="Q82" i="29"/>
  <c r="Q89" i="29"/>
  <c r="W89" i="29"/>
  <c r="AC89" i="29"/>
  <c r="T89" i="29"/>
  <c r="V89" i="29" s="1"/>
  <c r="Y115" i="29"/>
  <c r="AE115" i="29"/>
  <c r="AD114" i="29"/>
  <c r="AE114" i="29" s="1"/>
  <c r="R114" i="29"/>
  <c r="AA114" i="29"/>
  <c r="AB114" i="29" s="1"/>
  <c r="I114" i="29"/>
  <c r="U114" i="29"/>
  <c r="V114" i="29" s="1"/>
  <c r="Y83" i="29"/>
  <c r="Y82" i="29" s="1"/>
  <c r="AE83" i="29"/>
  <c r="AE82" i="29" s="1"/>
  <c r="C119" i="29"/>
  <c r="C116" i="22"/>
  <c r="D120" i="29" s="1"/>
  <c r="E120" i="29" s="1"/>
  <c r="C117" i="22"/>
  <c r="D121" i="29" s="1"/>
  <c r="E121" i="29" s="1"/>
  <c r="T78" i="29"/>
  <c r="V78" i="29" s="1"/>
  <c r="AC78" i="29"/>
  <c r="Z78" i="29"/>
  <c r="Y79" i="29"/>
  <c r="Y78" i="29" s="1"/>
  <c r="W78" i="29"/>
  <c r="Y77" i="29"/>
  <c r="Y75" i="29" s="1"/>
  <c r="AE77" i="29"/>
  <c r="AE96" i="29"/>
  <c r="W96" i="29"/>
  <c r="AC96" i="29"/>
  <c r="AE118" i="29"/>
  <c r="AE117" i="29"/>
  <c r="AE111" i="29"/>
  <c r="Y110" i="29"/>
  <c r="Y102" i="29"/>
  <c r="AE101" i="29"/>
  <c r="Y101" i="29"/>
  <c r="AE99" i="29" l="1"/>
  <c r="AN107" i="29"/>
  <c r="AN82" i="29"/>
  <c r="AO111" i="29"/>
  <c r="AM75" i="29"/>
  <c r="AO75" i="29" s="1"/>
  <c r="S75" i="29"/>
  <c r="AN114" i="29"/>
  <c r="AO114" i="29" s="1"/>
  <c r="AO76" i="29"/>
  <c r="AO79" i="29"/>
  <c r="Y99" i="29"/>
  <c r="AM78" i="29"/>
  <c r="AO78" i="29" s="1"/>
  <c r="AO95" i="29"/>
  <c r="S78" i="29"/>
  <c r="AB83" i="29"/>
  <c r="AB82" i="29" s="1"/>
  <c r="AN83" i="29"/>
  <c r="Y107" i="29"/>
  <c r="S114" i="29"/>
  <c r="S107" i="29"/>
  <c r="AM107" i="29"/>
  <c r="AO107" i="29" s="1"/>
  <c r="AE107" i="29"/>
  <c r="AO109" i="29"/>
  <c r="S104" i="29"/>
  <c r="AM104" i="29"/>
  <c r="AO104" i="29" s="1"/>
  <c r="AO105" i="29"/>
  <c r="AM99" i="29"/>
  <c r="AO99" i="29" s="1"/>
  <c r="S99" i="29"/>
  <c r="AM96" i="29"/>
  <c r="AN96" i="29"/>
  <c r="S96" i="29"/>
  <c r="AO94" i="29"/>
  <c r="S92" i="29"/>
  <c r="AM92" i="29"/>
  <c r="AO92" i="29" s="1"/>
  <c r="R86" i="29"/>
  <c r="AN86" i="29" s="1"/>
  <c r="Q86" i="29"/>
  <c r="S86" i="29" s="1"/>
  <c r="Z86" i="29"/>
  <c r="AE86" i="29"/>
  <c r="AO91" i="29"/>
  <c r="S89" i="29"/>
  <c r="AM89" i="29"/>
  <c r="AO89" i="29" s="1"/>
  <c r="S84" i="29"/>
  <c r="AM84" i="29"/>
  <c r="AO84" i="29" s="1"/>
  <c r="AM82" i="29"/>
  <c r="AO82" i="29" s="1"/>
  <c r="S82" i="29"/>
  <c r="AO83" i="29"/>
  <c r="S80" i="29"/>
  <c r="AM80" i="29"/>
  <c r="Q74" i="29"/>
  <c r="AC86" i="29"/>
  <c r="W121" i="29"/>
  <c r="Y121" i="29" s="1"/>
  <c r="G168" i="33"/>
  <c r="AC121" i="29"/>
  <c r="AE121" i="29" s="1"/>
  <c r="I121" i="29"/>
  <c r="T121" i="29"/>
  <c r="V121" i="29" s="1"/>
  <c r="Q121" i="29"/>
  <c r="Z121" i="29"/>
  <c r="AB121" i="29" s="1"/>
  <c r="T120" i="29"/>
  <c r="V120" i="29" s="1"/>
  <c r="Z120" i="29"/>
  <c r="AB120" i="29" s="1"/>
  <c r="G167" i="33"/>
  <c r="W120" i="29"/>
  <c r="Y120" i="29" s="1"/>
  <c r="Q120" i="29"/>
  <c r="E119" i="29"/>
  <c r="AC120" i="29"/>
  <c r="AE120" i="29" s="1"/>
  <c r="I120" i="29"/>
  <c r="D117" i="22"/>
  <c r="D119" i="29"/>
  <c r="AC67" i="22"/>
  <c r="G92" i="33"/>
  <c r="G162" i="33"/>
  <c r="G107" i="33"/>
  <c r="I130" i="33"/>
  <c r="J125" i="33"/>
  <c r="J130" i="33"/>
  <c r="I109" i="29"/>
  <c r="I110" i="29"/>
  <c r="I111" i="29"/>
  <c r="I108" i="29"/>
  <c r="E107" i="29"/>
  <c r="I107" i="29" s="1"/>
  <c r="D107" i="29"/>
  <c r="C107" i="29"/>
  <c r="M93" i="22"/>
  <c r="J93" i="22"/>
  <c r="I106" i="29"/>
  <c r="E104" i="29"/>
  <c r="D104" i="29"/>
  <c r="C104" i="29"/>
  <c r="AO90" i="22"/>
  <c r="AP90" i="22" s="1"/>
  <c r="I96" i="29"/>
  <c r="E96" i="29"/>
  <c r="D96" i="29"/>
  <c r="C96" i="29"/>
  <c r="D92" i="29"/>
  <c r="E92" i="29"/>
  <c r="E86" i="29" s="1"/>
  <c r="I86" i="29" s="1"/>
  <c r="C92" i="29"/>
  <c r="I89" i="29"/>
  <c r="I91" i="29"/>
  <c r="D89" i="29"/>
  <c r="E89" i="29"/>
  <c r="C89" i="29"/>
  <c r="I85" i="29"/>
  <c r="AB67" i="22"/>
  <c r="X67" i="22"/>
  <c r="D103" i="29" l="1"/>
  <c r="S121" i="29"/>
  <c r="AM121" i="29"/>
  <c r="AO121" i="29" s="1"/>
  <c r="S120" i="29"/>
  <c r="AM120" i="29"/>
  <c r="AO120" i="29" s="1"/>
  <c r="E103" i="29"/>
  <c r="I103" i="29" s="1"/>
  <c r="I104" i="29"/>
  <c r="C103" i="29"/>
  <c r="D86" i="29"/>
  <c r="AO96" i="29"/>
  <c r="C86" i="29"/>
  <c r="AO80" i="29"/>
  <c r="AM74" i="29"/>
  <c r="I92" i="29"/>
  <c r="I125" i="33"/>
  <c r="I34" i="29"/>
  <c r="D116" i="22"/>
  <c r="E65" i="29"/>
  <c r="I65" i="29" s="1"/>
  <c r="E66" i="29"/>
  <c r="I66" i="29" s="1"/>
  <c r="I70" i="33"/>
  <c r="I71" i="33"/>
  <c r="AJ59" i="22"/>
  <c r="N29" i="29"/>
  <c r="AC29" i="29" s="1"/>
  <c r="L14" i="29"/>
  <c r="W14" i="29" s="1"/>
  <c r="Y14" i="29" s="1"/>
  <c r="M14" i="29"/>
  <c r="Z14" i="29" s="1"/>
  <c r="K14" i="29"/>
  <c r="T14" i="29" s="1"/>
  <c r="V14" i="29" s="1"/>
  <c r="P17" i="29"/>
  <c r="G17" i="22"/>
  <c r="G31" i="22"/>
  <c r="G18" i="22"/>
  <c r="Q14" i="29"/>
  <c r="R14" i="29"/>
  <c r="AC14" i="29"/>
  <c r="AD14" i="29"/>
  <c r="Q15" i="29"/>
  <c r="R15" i="29"/>
  <c r="AN15" i="29" s="1"/>
  <c r="AC15" i="29"/>
  <c r="AD15" i="29"/>
  <c r="Q16" i="29"/>
  <c r="R16" i="29"/>
  <c r="AC16" i="29"/>
  <c r="AD16" i="29"/>
  <c r="Q17" i="29"/>
  <c r="R17" i="29"/>
  <c r="AN17" i="29" s="1"/>
  <c r="AC17" i="29"/>
  <c r="AD17" i="29"/>
  <c r="Q18" i="29"/>
  <c r="R18" i="29"/>
  <c r="AC18" i="29"/>
  <c r="AD18" i="29"/>
  <c r="Q19" i="29"/>
  <c r="R19" i="29"/>
  <c r="AN19" i="29" s="1"/>
  <c r="AC19" i="29"/>
  <c r="AD19" i="29"/>
  <c r="Q20" i="29"/>
  <c r="R20" i="29"/>
  <c r="AC20" i="29"/>
  <c r="AD20" i="29"/>
  <c r="Q21" i="29"/>
  <c r="R21" i="29"/>
  <c r="AN21" i="29" s="1"/>
  <c r="AC21" i="29"/>
  <c r="AD21" i="29"/>
  <c r="Q22" i="29"/>
  <c r="R22" i="29"/>
  <c r="AC22" i="29"/>
  <c r="AD22" i="29"/>
  <c r="Q23" i="29"/>
  <c r="R23" i="29"/>
  <c r="AN23" i="29" s="1"/>
  <c r="AC23" i="29"/>
  <c r="AD23" i="29"/>
  <c r="Q24" i="29"/>
  <c r="R24" i="29"/>
  <c r="AC24" i="29"/>
  <c r="AD24" i="29"/>
  <c r="Q25" i="29"/>
  <c r="R25" i="29"/>
  <c r="AN25" i="29" s="1"/>
  <c r="AC25" i="29"/>
  <c r="AD25" i="29"/>
  <c r="Q26" i="29"/>
  <c r="R26" i="29"/>
  <c r="AC26" i="29"/>
  <c r="AD26" i="29"/>
  <c r="Q27" i="29"/>
  <c r="R27" i="29"/>
  <c r="AN27" i="29" s="1"/>
  <c r="AC27" i="29"/>
  <c r="AD27" i="29"/>
  <c r="Q28" i="29"/>
  <c r="R28" i="29"/>
  <c r="AN28" i="29" s="1"/>
  <c r="AC28" i="29"/>
  <c r="AD28" i="29"/>
  <c r="Q29" i="29"/>
  <c r="R29" i="29"/>
  <c r="Q30" i="29"/>
  <c r="R30" i="29"/>
  <c r="AC30" i="29"/>
  <c r="AD30" i="29"/>
  <c r="Q31" i="29"/>
  <c r="R31" i="29"/>
  <c r="AC31" i="29"/>
  <c r="AD31" i="29"/>
  <c r="Q32" i="29"/>
  <c r="R32" i="29"/>
  <c r="AN32" i="29" s="1"/>
  <c r="AC32" i="29"/>
  <c r="AD32" i="29"/>
  <c r="Q33" i="29"/>
  <c r="R33" i="29"/>
  <c r="AC33" i="29"/>
  <c r="AD33" i="29"/>
  <c r="Q34" i="29"/>
  <c r="R34" i="29"/>
  <c r="AN34" i="29" s="1"/>
  <c r="AC34" i="29"/>
  <c r="AD34" i="29"/>
  <c r="Q35" i="29"/>
  <c r="R35" i="29"/>
  <c r="AC35" i="29"/>
  <c r="AD35" i="29"/>
  <c r="AD13" i="29"/>
  <c r="AC13" i="29"/>
  <c r="Z13" i="29"/>
  <c r="X13" i="29"/>
  <c r="W13" i="29"/>
  <c r="U13" i="29"/>
  <c r="T13" i="29"/>
  <c r="R13" i="29"/>
  <c r="Q13" i="29"/>
  <c r="R9" i="29"/>
  <c r="U9" i="29"/>
  <c r="X9" i="29"/>
  <c r="AA9" i="29"/>
  <c r="AD9" i="29"/>
  <c r="R10" i="29"/>
  <c r="U10" i="29"/>
  <c r="X10" i="29"/>
  <c r="AA10" i="29"/>
  <c r="AD10" i="29"/>
  <c r="AD36" i="29"/>
  <c r="AA36" i="29"/>
  <c r="X36" i="29"/>
  <c r="U36" i="29"/>
  <c r="R36" i="29"/>
  <c r="Q38" i="29"/>
  <c r="Q39" i="29"/>
  <c r="Q40" i="29"/>
  <c r="Q41" i="29"/>
  <c r="T38" i="29"/>
  <c r="V38" i="29" s="1"/>
  <c r="T39" i="29"/>
  <c r="V39" i="29" s="1"/>
  <c r="T40" i="29"/>
  <c r="V40" i="29" s="1"/>
  <c r="T41" i="29"/>
  <c r="V41" i="29" s="1"/>
  <c r="W38" i="29"/>
  <c r="Y38" i="29" s="1"/>
  <c r="W39" i="29"/>
  <c r="Y39" i="29" s="1"/>
  <c r="W40" i="29"/>
  <c r="Y40" i="29" s="1"/>
  <c r="W41" i="29"/>
  <c r="Y41" i="29" s="1"/>
  <c r="Z38" i="29"/>
  <c r="AB38" i="29" s="1"/>
  <c r="Z39" i="29"/>
  <c r="AB39" i="29" s="1"/>
  <c r="Z40" i="29"/>
  <c r="AB40" i="29" s="1"/>
  <c r="Z41" i="29"/>
  <c r="AB41" i="29" s="1"/>
  <c r="AC38" i="29"/>
  <c r="AE38" i="29" s="1"/>
  <c r="AC39" i="29"/>
  <c r="AE39" i="29" s="1"/>
  <c r="AC40" i="29"/>
  <c r="AE40" i="29" s="1"/>
  <c r="AC41" i="29"/>
  <c r="AE41" i="29" s="1"/>
  <c r="AC37" i="29"/>
  <c r="Z37" i="29"/>
  <c r="AB37" i="29" s="1"/>
  <c r="W37" i="29"/>
  <c r="T37" i="29"/>
  <c r="V37" i="29" s="1"/>
  <c r="Q37" i="29"/>
  <c r="J66" i="33"/>
  <c r="J67" i="33"/>
  <c r="J68" i="33"/>
  <c r="J69" i="33"/>
  <c r="I66" i="33"/>
  <c r="I67" i="33"/>
  <c r="I68" i="33"/>
  <c r="I69" i="33"/>
  <c r="I65" i="33"/>
  <c r="B41" i="22"/>
  <c r="C41" i="22"/>
  <c r="B42" i="22"/>
  <c r="C42" i="22"/>
  <c r="B43" i="22"/>
  <c r="C43" i="22"/>
  <c r="C40" i="22"/>
  <c r="B40" i="22"/>
  <c r="C39" i="22"/>
  <c r="B39" i="22"/>
  <c r="AJ43" i="22"/>
  <c r="D43" i="22" s="1"/>
  <c r="H43" i="22" s="1"/>
  <c r="AJ42" i="22"/>
  <c r="D42" i="22" s="1"/>
  <c r="H42" i="22" s="1"/>
  <c r="AJ41" i="22"/>
  <c r="D41" i="22" s="1"/>
  <c r="H41" i="22" s="1"/>
  <c r="AJ40" i="22"/>
  <c r="D40" i="22" s="1"/>
  <c r="H40" i="22" s="1"/>
  <c r="F141" i="33"/>
  <c r="G39" i="22"/>
  <c r="G38" i="22" s="1"/>
  <c r="F39" i="22"/>
  <c r="F38" i="22" s="1"/>
  <c r="E39" i="22"/>
  <c r="E38" i="22" s="1"/>
  <c r="I55" i="33"/>
  <c r="J55" i="33"/>
  <c r="I56" i="33"/>
  <c r="J56" i="33"/>
  <c r="I57" i="33"/>
  <c r="J57" i="33"/>
  <c r="I58" i="33"/>
  <c r="J58" i="33"/>
  <c r="I59" i="33"/>
  <c r="J59" i="33"/>
  <c r="I60" i="33"/>
  <c r="J60" i="33"/>
  <c r="B27" i="22"/>
  <c r="C27" i="22"/>
  <c r="B28" i="22"/>
  <c r="C28" i="22"/>
  <c r="B29" i="22"/>
  <c r="C29" i="22"/>
  <c r="B30" i="22"/>
  <c r="C30" i="22"/>
  <c r="B31" i="22"/>
  <c r="C31" i="22"/>
  <c r="B32" i="22"/>
  <c r="C32" i="22"/>
  <c r="E16" i="22"/>
  <c r="F16" i="22"/>
  <c r="G16" i="22"/>
  <c r="E17" i="22"/>
  <c r="F17" i="22"/>
  <c r="E18" i="22"/>
  <c r="F18" i="22"/>
  <c r="E19" i="22"/>
  <c r="F19" i="22"/>
  <c r="E20" i="22"/>
  <c r="F20" i="22"/>
  <c r="E21" i="22"/>
  <c r="F21" i="22"/>
  <c r="E22" i="22"/>
  <c r="F22" i="22"/>
  <c r="E23" i="22"/>
  <c r="F23" i="22"/>
  <c r="E24" i="22"/>
  <c r="F24" i="22"/>
  <c r="G24" i="22"/>
  <c r="E25" i="22"/>
  <c r="F25" i="22"/>
  <c r="E26" i="22"/>
  <c r="F26" i="22"/>
  <c r="E27" i="22"/>
  <c r="F27" i="22"/>
  <c r="E28" i="22"/>
  <c r="F28" i="22"/>
  <c r="E29" i="22"/>
  <c r="F29" i="22"/>
  <c r="E30" i="22"/>
  <c r="F30" i="22"/>
  <c r="E31" i="22"/>
  <c r="F31" i="22"/>
  <c r="E32" i="22"/>
  <c r="F32" i="22"/>
  <c r="E33" i="22"/>
  <c r="F33" i="22"/>
  <c r="E34" i="22"/>
  <c r="F34" i="22"/>
  <c r="E35" i="22"/>
  <c r="F35" i="22"/>
  <c r="E36" i="22"/>
  <c r="F36" i="22"/>
  <c r="E37" i="22"/>
  <c r="F37" i="22"/>
  <c r="F15" i="22"/>
  <c r="E15" i="22"/>
  <c r="AQ37" i="22"/>
  <c r="G37" i="22" s="1"/>
  <c r="AQ36" i="22"/>
  <c r="G36" i="22" s="1"/>
  <c r="AQ35" i="22"/>
  <c r="G35" i="22" s="1"/>
  <c r="AQ34" i="22"/>
  <c r="G34" i="22" s="1"/>
  <c r="G33" i="22"/>
  <c r="AQ32" i="22"/>
  <c r="G32" i="22" s="1"/>
  <c r="AQ30" i="22"/>
  <c r="G30" i="22" s="1"/>
  <c r="AQ29" i="22"/>
  <c r="G29" i="22" s="1"/>
  <c r="AQ28" i="22"/>
  <c r="G28" i="22" s="1"/>
  <c r="AQ27" i="22"/>
  <c r="G27" i="22" s="1"/>
  <c r="AQ26" i="22"/>
  <c r="G26" i="22" s="1"/>
  <c r="AQ25" i="22"/>
  <c r="G25" i="22" s="1"/>
  <c r="AQ23" i="22"/>
  <c r="G23" i="22" s="1"/>
  <c r="AQ22" i="22"/>
  <c r="G22" i="22" s="1"/>
  <c r="AQ21" i="22"/>
  <c r="G21" i="22" s="1"/>
  <c r="AQ20" i="22"/>
  <c r="G20" i="22" s="1"/>
  <c r="AQ19" i="22"/>
  <c r="G19" i="22" s="1"/>
  <c r="AJ37" i="22"/>
  <c r="D37" i="22" s="1"/>
  <c r="AJ36" i="22"/>
  <c r="AJ35" i="22"/>
  <c r="D35" i="22" s="1"/>
  <c r="AJ34" i="22"/>
  <c r="D34" i="22" s="1"/>
  <c r="AJ33" i="22"/>
  <c r="AJ32" i="22"/>
  <c r="D32" i="22" s="1"/>
  <c r="AJ31" i="22"/>
  <c r="D31" i="22" s="1"/>
  <c r="AJ30" i="22"/>
  <c r="D30" i="22" s="1"/>
  <c r="AJ29" i="22"/>
  <c r="D29" i="22" s="1"/>
  <c r="AJ28" i="22"/>
  <c r="D28" i="22" s="1"/>
  <c r="AJ27" i="22"/>
  <c r="D27" i="22" s="1"/>
  <c r="AJ26" i="22"/>
  <c r="D26" i="22" s="1"/>
  <c r="AJ25" i="22"/>
  <c r="AJ24" i="22"/>
  <c r="D24" i="22" s="1"/>
  <c r="AJ23" i="22"/>
  <c r="D23" i="22" s="1"/>
  <c r="AJ22" i="22"/>
  <c r="D22" i="22" s="1"/>
  <c r="AJ21" i="22"/>
  <c r="D21" i="22" s="1"/>
  <c r="AJ20" i="22"/>
  <c r="AJ19" i="22"/>
  <c r="D19" i="22" s="1"/>
  <c r="AJ18" i="22"/>
  <c r="D18" i="22" s="1"/>
  <c r="AJ16" i="22"/>
  <c r="D16" i="22" s="1"/>
  <c r="AJ15" i="22"/>
  <c r="AC103" i="29"/>
  <c r="Z103" i="29"/>
  <c r="W103" i="29"/>
  <c r="Y103" i="29" s="1"/>
  <c r="T103" i="29"/>
  <c r="V103" i="29" s="1"/>
  <c r="Q103" i="29"/>
  <c r="T86" i="29"/>
  <c r="W86" i="29"/>
  <c r="Y86" i="29" s="1"/>
  <c r="J78" i="33"/>
  <c r="J79" i="33"/>
  <c r="J80" i="33"/>
  <c r="J81" i="33"/>
  <c r="I78" i="33"/>
  <c r="I79" i="33"/>
  <c r="I80" i="33"/>
  <c r="I81" i="33"/>
  <c r="I84" i="29"/>
  <c r="I78" i="29"/>
  <c r="I80" i="29"/>
  <c r="I77" i="33"/>
  <c r="AD119" i="29"/>
  <c r="AA119" i="29"/>
  <c r="X119" i="29"/>
  <c r="U119" i="29"/>
  <c r="R119" i="29"/>
  <c r="Q119" i="29"/>
  <c r="AE116" i="29"/>
  <c r="AD116" i="29"/>
  <c r="AC116" i="29"/>
  <c r="AB116" i="29"/>
  <c r="AA116" i="29"/>
  <c r="Z116" i="29"/>
  <c r="Y116" i="29"/>
  <c r="X116" i="29"/>
  <c r="W116" i="29"/>
  <c r="U116" i="29"/>
  <c r="T116" i="29"/>
  <c r="V116" i="29" s="1"/>
  <c r="R116" i="29"/>
  <c r="Q116" i="29"/>
  <c r="AD113" i="29"/>
  <c r="AA113" i="29"/>
  <c r="X113" i="29"/>
  <c r="U113" i="29"/>
  <c r="R113" i="29"/>
  <c r="AN113" i="29" s="1"/>
  <c r="AE76" i="29"/>
  <c r="AC69" i="29"/>
  <c r="Z69" i="29"/>
  <c r="Z64" i="29" s="1"/>
  <c r="W69" i="29"/>
  <c r="AE64" i="29"/>
  <c r="AD64" i="29"/>
  <c r="AA64" i="29"/>
  <c r="X64" i="29"/>
  <c r="U64" i="29"/>
  <c r="T64" i="29"/>
  <c r="R64" i="29"/>
  <c r="Q64" i="29"/>
  <c r="AE61" i="29"/>
  <c r="AD61" i="29"/>
  <c r="AC61" i="29"/>
  <c r="AB61" i="29"/>
  <c r="AA61" i="29"/>
  <c r="Z61" i="29"/>
  <c r="Y61" i="29"/>
  <c r="X61" i="29"/>
  <c r="W61" i="29"/>
  <c r="U61" i="29"/>
  <c r="T61" i="29"/>
  <c r="R61" i="29"/>
  <c r="Q61" i="29"/>
  <c r="S61" i="29" s="1"/>
  <c r="AE58" i="29"/>
  <c r="AD58" i="29"/>
  <c r="AC58" i="29"/>
  <c r="AB58" i="29"/>
  <c r="AA58" i="29"/>
  <c r="Z58" i="29"/>
  <c r="Y58" i="29"/>
  <c r="X58" i="29"/>
  <c r="W58" i="29"/>
  <c r="U58" i="29"/>
  <c r="T58" i="29"/>
  <c r="R58" i="29"/>
  <c r="Q58" i="29"/>
  <c r="AE55" i="29"/>
  <c r="AD55" i="29"/>
  <c r="AC55" i="29"/>
  <c r="AB55" i="29"/>
  <c r="AA55" i="29"/>
  <c r="Z55" i="29"/>
  <c r="Y55" i="29"/>
  <c r="X55" i="29"/>
  <c r="W55" i="29"/>
  <c r="U55" i="29"/>
  <c r="T55" i="29"/>
  <c r="V55" i="29" s="1"/>
  <c r="R55" i="29"/>
  <c r="Q55" i="29"/>
  <c r="AE49" i="29"/>
  <c r="AD49" i="29"/>
  <c r="AC49" i="29"/>
  <c r="AB49" i="29"/>
  <c r="AA49" i="29"/>
  <c r="Z49" i="29"/>
  <c r="Y49" i="29"/>
  <c r="X49" i="29"/>
  <c r="W49" i="29"/>
  <c r="U49" i="29"/>
  <c r="T49" i="29"/>
  <c r="R49" i="29"/>
  <c r="Q49" i="29"/>
  <c r="S49" i="29" s="1"/>
  <c r="N116" i="29"/>
  <c r="E72" i="29"/>
  <c r="E71" i="29"/>
  <c r="I71" i="29" s="1"/>
  <c r="H70" i="29"/>
  <c r="G70" i="29"/>
  <c r="F70" i="29"/>
  <c r="D70" i="29"/>
  <c r="C70" i="29"/>
  <c r="E68" i="29"/>
  <c r="I68" i="29" s="1"/>
  <c r="H64" i="29"/>
  <c r="G64" i="29"/>
  <c r="F64" i="29"/>
  <c r="D64" i="29"/>
  <c r="C64" i="29"/>
  <c r="E63" i="29"/>
  <c r="I63" i="29" s="1"/>
  <c r="E62" i="29"/>
  <c r="I62" i="29" s="1"/>
  <c r="H61" i="29"/>
  <c r="G61" i="29"/>
  <c r="F61" i="29"/>
  <c r="D61" i="29"/>
  <c r="C61" i="29"/>
  <c r="E60" i="29"/>
  <c r="I60" i="29" s="1"/>
  <c r="E59" i="29"/>
  <c r="H58" i="29"/>
  <c r="G58" i="29"/>
  <c r="F58" i="29"/>
  <c r="D58" i="29"/>
  <c r="C58" i="29"/>
  <c r="E57" i="29"/>
  <c r="I57" i="29" s="1"/>
  <c r="E56" i="29"/>
  <c r="I56" i="29" s="1"/>
  <c r="H55" i="29"/>
  <c r="G55" i="29"/>
  <c r="F55" i="29"/>
  <c r="D55" i="29"/>
  <c r="C55" i="29"/>
  <c r="E54" i="29"/>
  <c r="I54" i="29" s="1"/>
  <c r="E53" i="29"/>
  <c r="I53" i="29" s="1"/>
  <c r="H52" i="29"/>
  <c r="G52" i="29"/>
  <c r="F52" i="29"/>
  <c r="D52" i="29"/>
  <c r="C52" i="29"/>
  <c r="E51" i="29"/>
  <c r="I51" i="29" s="1"/>
  <c r="E50" i="29"/>
  <c r="H49" i="29"/>
  <c r="G49" i="29"/>
  <c r="F49" i="29"/>
  <c r="D49" i="29"/>
  <c r="C49" i="29"/>
  <c r="E48" i="29"/>
  <c r="I48" i="29" s="1"/>
  <c r="E47" i="29"/>
  <c r="I47" i="29" s="1"/>
  <c r="H46" i="29"/>
  <c r="G46" i="29"/>
  <c r="F46" i="29"/>
  <c r="D46" i="29"/>
  <c r="C46" i="29"/>
  <c r="E45" i="29"/>
  <c r="I45" i="29" s="1"/>
  <c r="E44" i="29"/>
  <c r="I44" i="29" s="1"/>
  <c r="H43" i="29"/>
  <c r="G43" i="29"/>
  <c r="F43" i="29"/>
  <c r="D43" i="29"/>
  <c r="C43" i="29"/>
  <c r="G11" i="29"/>
  <c r="F11" i="29"/>
  <c r="D11" i="29"/>
  <c r="C11" i="29"/>
  <c r="E10" i="29"/>
  <c r="Z10" i="29" s="1"/>
  <c r="AB10" i="29" s="1"/>
  <c r="E9" i="29"/>
  <c r="I9" i="29" s="1"/>
  <c r="C8" i="29"/>
  <c r="C7" i="29" s="1"/>
  <c r="H8" i="29"/>
  <c r="H7" i="29" s="1"/>
  <c r="G8" i="29"/>
  <c r="G7" i="29" s="1"/>
  <c r="F8" i="29"/>
  <c r="F7" i="29" s="1"/>
  <c r="H132" i="33"/>
  <c r="J75" i="33"/>
  <c r="I75" i="33"/>
  <c r="J74" i="33"/>
  <c r="I74" i="33"/>
  <c r="J73" i="33"/>
  <c r="I73" i="33"/>
  <c r="AL73" i="29"/>
  <c r="B60" i="22"/>
  <c r="C10" i="22"/>
  <c r="G117" i="22"/>
  <c r="F117" i="22"/>
  <c r="E117" i="22"/>
  <c r="M104" i="22"/>
  <c r="B104" i="22" s="1"/>
  <c r="BL108" i="22"/>
  <c r="BE108" i="22"/>
  <c r="AX108" i="22"/>
  <c r="AI108" i="22"/>
  <c r="AJ108" i="22" s="1"/>
  <c r="AC108" i="22"/>
  <c r="V108" i="22"/>
  <c r="G108" i="22" s="1"/>
  <c r="M108" i="22"/>
  <c r="N108" i="22" s="1"/>
  <c r="F108" i="22"/>
  <c r="E108" i="22"/>
  <c r="BL106" i="22"/>
  <c r="BE106" i="22"/>
  <c r="AX106" i="22"/>
  <c r="AI106" i="22"/>
  <c r="AJ106" i="22" s="1"/>
  <c r="AC106" i="22"/>
  <c r="V106" i="22"/>
  <c r="G106" i="22" s="1"/>
  <c r="M106" i="22"/>
  <c r="B106" i="22" s="1"/>
  <c r="F106" i="22"/>
  <c r="E106" i="22"/>
  <c r="BL105" i="22"/>
  <c r="BC105" i="22"/>
  <c r="BD105" i="22" s="1"/>
  <c r="BE105" i="22" s="1"/>
  <c r="AV105" i="22"/>
  <c r="AW105" i="22" s="1"/>
  <c r="AX105" i="22" s="1"/>
  <c r="AH105" i="22"/>
  <c r="AI105" i="22" s="1"/>
  <c r="AA105" i="22"/>
  <c r="AB105" i="22" s="1"/>
  <c r="V105" i="22"/>
  <c r="G105" i="22" s="1"/>
  <c r="M105" i="22"/>
  <c r="N105" i="22" s="1"/>
  <c r="O105" i="22" s="1"/>
  <c r="F105" i="22"/>
  <c r="E105" i="22"/>
  <c r="BL104" i="22"/>
  <c r="BE104" i="22"/>
  <c r="AX104" i="22"/>
  <c r="AI104" i="22"/>
  <c r="AJ104" i="22" s="1"/>
  <c r="AC104" i="22"/>
  <c r="V104" i="22"/>
  <c r="G104" i="22" s="1"/>
  <c r="F104" i="22"/>
  <c r="E104" i="22"/>
  <c r="BL103" i="22"/>
  <c r="BC103" i="22"/>
  <c r="BD103" i="22" s="1"/>
  <c r="BE103" i="22" s="1"/>
  <c r="AX103" i="22"/>
  <c r="AH103" i="22"/>
  <c r="AI103" i="22" s="1"/>
  <c r="AJ103" i="22" s="1"/>
  <c r="AA103" i="22"/>
  <c r="V103" i="22"/>
  <c r="G103" i="22" s="1"/>
  <c r="M103" i="22"/>
  <c r="N103" i="22" s="1"/>
  <c r="F103" i="22"/>
  <c r="E103" i="22"/>
  <c r="BD109" i="22"/>
  <c r="BL93" i="22"/>
  <c r="BE93" i="22"/>
  <c r="AV93" i="22"/>
  <c r="AW93" i="22" s="1"/>
  <c r="AX93" i="22" s="1"/>
  <c r="AO93" i="22"/>
  <c r="AP93" i="22" s="1"/>
  <c r="AJ93" i="22"/>
  <c r="AA93" i="22"/>
  <c r="AB93" i="22" s="1"/>
  <c r="V93" i="22"/>
  <c r="N93" i="22"/>
  <c r="BL92" i="22"/>
  <c r="BE92" i="22"/>
  <c r="AV92" i="22"/>
  <c r="AO92" i="22"/>
  <c r="AP92" i="22" s="1"/>
  <c r="AH92" i="22"/>
  <c r="AI92" i="22" s="1"/>
  <c r="AJ92" i="22" s="1"/>
  <c r="AA92" i="22"/>
  <c r="AB92" i="22" s="1"/>
  <c r="AC92" i="22" s="1"/>
  <c r="V92" i="22"/>
  <c r="N92" i="22"/>
  <c r="BL91" i="22"/>
  <c r="BE91" i="22"/>
  <c r="AV91" i="22"/>
  <c r="AW91" i="22" s="1"/>
  <c r="AX91" i="22" s="1"/>
  <c r="AO91" i="22"/>
  <c r="E91" i="22" s="1"/>
  <c r="AA91" i="22"/>
  <c r="AB91" i="22" s="1"/>
  <c r="V91" i="22"/>
  <c r="M91" i="22"/>
  <c r="N91" i="22" s="1"/>
  <c r="BL90" i="22"/>
  <c r="BE90" i="22"/>
  <c r="E90" i="22"/>
  <c r="AA90" i="22"/>
  <c r="AB90" i="22" s="1"/>
  <c r="AC90" i="22" s="1"/>
  <c r="V90" i="22"/>
  <c r="M90" i="22"/>
  <c r="BL88" i="22"/>
  <c r="BE88" i="22"/>
  <c r="AV88" i="22"/>
  <c r="AW88" i="22" s="1"/>
  <c r="AO88" i="22"/>
  <c r="AP88" i="22" s="1"/>
  <c r="AQ88" i="22" s="1"/>
  <c r="AH88" i="22"/>
  <c r="AI88" i="22" s="1"/>
  <c r="AJ88" i="22" s="1"/>
  <c r="AC88" i="22"/>
  <c r="V88" i="22"/>
  <c r="M88" i="22"/>
  <c r="N88" i="22" s="1"/>
  <c r="BL87" i="22"/>
  <c r="BE87" i="22"/>
  <c r="AS87" i="22"/>
  <c r="AV87" i="22" s="1"/>
  <c r="AO87" i="22"/>
  <c r="E87" i="22" s="1"/>
  <c r="AH87" i="22"/>
  <c r="AI87" i="22" s="1"/>
  <c r="AC87" i="22"/>
  <c r="V87" i="22"/>
  <c r="M87" i="22"/>
  <c r="N87" i="22" s="1"/>
  <c r="BL86" i="22"/>
  <c r="BE86" i="22"/>
  <c r="AX86" i="22"/>
  <c r="AO86" i="22"/>
  <c r="AP86" i="22" s="1"/>
  <c r="F86" i="22" s="1"/>
  <c r="AH86" i="22"/>
  <c r="AI86" i="22" s="1"/>
  <c r="AA86" i="22"/>
  <c r="AB86" i="22" s="1"/>
  <c r="AC86" i="22" s="1"/>
  <c r="V86" i="22"/>
  <c r="M86" i="22"/>
  <c r="N86" i="22" s="1"/>
  <c r="BL85" i="22"/>
  <c r="BE85" i="22"/>
  <c r="AO85" i="22"/>
  <c r="AH85" i="22"/>
  <c r="AI85" i="22" s="1"/>
  <c r="AC85" i="22"/>
  <c r="V85" i="22"/>
  <c r="M85" i="22"/>
  <c r="N85" i="22" s="1"/>
  <c r="O85" i="22" s="1"/>
  <c r="BL84" i="22"/>
  <c r="BE84" i="22"/>
  <c r="AX84" i="22"/>
  <c r="AH84" i="22"/>
  <c r="AI84" i="22" s="1"/>
  <c r="AJ84" i="22" s="1"/>
  <c r="AA84" i="22"/>
  <c r="AB84" i="22" s="1"/>
  <c r="V84" i="22"/>
  <c r="G84" i="22" s="1"/>
  <c r="O84" i="22"/>
  <c r="F84" i="22"/>
  <c r="E84" i="22"/>
  <c r="BL83" i="22"/>
  <c r="BE83" i="22"/>
  <c r="AX83" i="22"/>
  <c r="AH83" i="22"/>
  <c r="AI83" i="22" s="1"/>
  <c r="AA83" i="22"/>
  <c r="AB83" i="22" s="1"/>
  <c r="V83" i="22"/>
  <c r="G83" i="22" s="1"/>
  <c r="O83" i="22"/>
  <c r="F83" i="22"/>
  <c r="E83" i="22"/>
  <c r="BL82" i="22"/>
  <c r="BE82" i="22"/>
  <c r="AX82" i="22"/>
  <c r="AH82" i="22"/>
  <c r="AI82" i="22" s="1"/>
  <c r="AA82" i="22"/>
  <c r="AB82" i="22" s="1"/>
  <c r="V82" i="22"/>
  <c r="G82" i="22" s="1"/>
  <c r="O82" i="22"/>
  <c r="F82" i="22"/>
  <c r="E82" i="22"/>
  <c r="BL81" i="22"/>
  <c r="BE81" i="22"/>
  <c r="AX81" i="22"/>
  <c r="AI81" i="22"/>
  <c r="AJ81" i="22" s="1"/>
  <c r="AA81" i="22"/>
  <c r="AB81" i="22" s="1"/>
  <c r="V81" i="22"/>
  <c r="G81" i="22" s="1"/>
  <c r="O81" i="22"/>
  <c r="F81" i="22"/>
  <c r="E81" i="22"/>
  <c r="BL80" i="22"/>
  <c r="BE80" i="22"/>
  <c r="AX80" i="22"/>
  <c r="AO80" i="22"/>
  <c r="AP80" i="22" s="1"/>
  <c r="F80" i="22" s="1"/>
  <c r="AH80" i="22"/>
  <c r="AI80" i="22" s="1"/>
  <c r="AA80" i="22"/>
  <c r="V80" i="22"/>
  <c r="M80" i="22"/>
  <c r="BL79" i="22"/>
  <c r="BE79" i="22"/>
  <c r="AV79" i="22"/>
  <c r="AW79" i="22" s="1"/>
  <c r="AX79" i="22" s="1"/>
  <c r="AO79" i="22"/>
  <c r="AP79" i="22" s="1"/>
  <c r="AH79" i="22"/>
  <c r="AI79" i="22" s="1"/>
  <c r="AC79" i="22"/>
  <c r="V79" i="22"/>
  <c r="M79" i="22"/>
  <c r="N79" i="22" s="1"/>
  <c r="BL75" i="22"/>
  <c r="BE75" i="22"/>
  <c r="AX75" i="22"/>
  <c r="AH75" i="22"/>
  <c r="AI75" i="22" s="1"/>
  <c r="AJ75" i="22" s="1"/>
  <c r="AA75" i="22"/>
  <c r="AB75" i="22" s="1"/>
  <c r="V75" i="22"/>
  <c r="G75" i="22" s="1"/>
  <c r="M75" i="22"/>
  <c r="N75" i="22" s="1"/>
  <c r="O75" i="22" s="1"/>
  <c r="F75" i="22"/>
  <c r="E75" i="22"/>
  <c r="BL74" i="22"/>
  <c r="BE74" i="22"/>
  <c r="AX74" i="22"/>
  <c r="AH74" i="22"/>
  <c r="AI74" i="22" s="1"/>
  <c r="AJ74" i="22" s="1"/>
  <c r="AC74" i="22"/>
  <c r="V74" i="22"/>
  <c r="G74" i="22" s="1"/>
  <c r="M74" i="22"/>
  <c r="N74" i="22" s="1"/>
  <c r="F74" i="22"/>
  <c r="E74" i="22"/>
  <c r="BL73" i="22"/>
  <c r="BE73" i="22"/>
  <c r="AX73" i="22"/>
  <c r="AH73" i="22"/>
  <c r="AC73" i="22"/>
  <c r="M73" i="22"/>
  <c r="BL72" i="22"/>
  <c r="BE72" i="22"/>
  <c r="AV72" i="22"/>
  <c r="AW72" i="22" s="1"/>
  <c r="AX72" i="22" s="1"/>
  <c r="AJ72" i="22"/>
  <c r="AA72" i="22"/>
  <c r="AB72" i="22" s="1"/>
  <c r="AC72" i="22" s="1"/>
  <c r="V72" i="22"/>
  <c r="G72" i="22" s="1"/>
  <c r="M72" i="22"/>
  <c r="N72" i="22" s="1"/>
  <c r="O72" i="22" s="1"/>
  <c r="F72" i="22"/>
  <c r="E72" i="22"/>
  <c r="BL71" i="22"/>
  <c r="BC71" i="22"/>
  <c r="BD71" i="22" s="1"/>
  <c r="BE71" i="22" s="1"/>
  <c r="AV71" i="22"/>
  <c r="AW71" i="22" s="1"/>
  <c r="AX71" i="22" s="1"/>
  <c r="AJ71" i="22"/>
  <c r="AA71" i="22"/>
  <c r="AB71" i="22" s="1"/>
  <c r="V71" i="22"/>
  <c r="G71" i="22" s="1"/>
  <c r="M71" i="22"/>
  <c r="N71" i="22" s="1"/>
  <c r="F71" i="22"/>
  <c r="E71" i="22"/>
  <c r="BL70" i="22"/>
  <c r="BE70" i="22"/>
  <c r="AV70" i="22"/>
  <c r="AW70" i="22" s="1"/>
  <c r="AJ70" i="22"/>
  <c r="AA70" i="22"/>
  <c r="AB70" i="22" s="1"/>
  <c r="V70" i="22"/>
  <c r="G70" i="22" s="1"/>
  <c r="M70" i="22"/>
  <c r="N70" i="22" s="1"/>
  <c r="F70" i="22"/>
  <c r="E70" i="22"/>
  <c r="BL69" i="22"/>
  <c r="BC69" i="22"/>
  <c r="BD69" i="22" s="1"/>
  <c r="BE69" i="22" s="1"/>
  <c r="AV69" i="22"/>
  <c r="AW69" i="22" s="1"/>
  <c r="AJ69" i="22"/>
  <c r="AC69" i="22"/>
  <c r="V69" i="22"/>
  <c r="M69" i="22"/>
  <c r="N69" i="22" s="1"/>
  <c r="F69" i="22"/>
  <c r="E69" i="22"/>
  <c r="BL68" i="22"/>
  <c r="BE68" i="22"/>
  <c r="AX68" i="22"/>
  <c r="AJ68" i="22"/>
  <c r="V68" i="22"/>
  <c r="G68" i="22" s="1"/>
  <c r="M68" i="22"/>
  <c r="B68" i="22" s="1"/>
  <c r="F68" i="22"/>
  <c r="E68" i="22"/>
  <c r="BL67" i="22"/>
  <c r="BE67" i="22"/>
  <c r="AX67" i="22"/>
  <c r="AJ67" i="22"/>
  <c r="AA67" i="22"/>
  <c r="V67" i="22"/>
  <c r="G67" i="22" s="1"/>
  <c r="M67" i="22"/>
  <c r="N67" i="22" s="1"/>
  <c r="O67" i="22" s="1"/>
  <c r="F67" i="22"/>
  <c r="E67" i="22"/>
  <c r="AL42" i="29"/>
  <c r="E44" i="22"/>
  <c r="F44" i="22"/>
  <c r="G44" i="22"/>
  <c r="E6" i="34" s="1"/>
  <c r="B63" i="22"/>
  <c r="D63" i="22" s="1"/>
  <c r="B62" i="22"/>
  <c r="D62" i="22" s="1"/>
  <c r="B61" i="22"/>
  <c r="C60" i="22"/>
  <c r="C59" i="22"/>
  <c r="B59" i="22"/>
  <c r="B57" i="22"/>
  <c r="B56" i="22"/>
  <c r="D56" i="22" s="1"/>
  <c r="B55" i="22"/>
  <c r="D55" i="22" s="1"/>
  <c r="B54" i="22"/>
  <c r="D54" i="22" s="1"/>
  <c r="B53" i="22"/>
  <c r="D53" i="22" s="1"/>
  <c r="B52" i="22"/>
  <c r="D52" i="22" s="1"/>
  <c r="B51" i="22"/>
  <c r="D51" i="22" s="1"/>
  <c r="B50" i="22"/>
  <c r="D50" i="22" s="1"/>
  <c r="H50" i="22" s="1"/>
  <c r="B49" i="22"/>
  <c r="D49" i="22" s="1"/>
  <c r="B48" i="22"/>
  <c r="D48" i="22" s="1"/>
  <c r="B47" i="22"/>
  <c r="D47" i="22" s="1"/>
  <c r="B46" i="22"/>
  <c r="D46" i="22" s="1"/>
  <c r="B45" i="22"/>
  <c r="D45" i="22" s="1"/>
  <c r="C24" i="34"/>
  <c r="C23" i="34"/>
  <c r="I142" i="33"/>
  <c r="I143" i="33"/>
  <c r="I144" i="33"/>
  <c r="I145" i="33"/>
  <c r="H142" i="33"/>
  <c r="H143" i="33"/>
  <c r="H144" i="33"/>
  <c r="H145" i="33"/>
  <c r="C34" i="22"/>
  <c r="C35" i="22"/>
  <c r="D36" i="22"/>
  <c r="C37" i="22"/>
  <c r="D33" i="22"/>
  <c r="C26" i="22"/>
  <c r="B37" i="22"/>
  <c r="B34" i="22"/>
  <c r="B33" i="22"/>
  <c r="E99" i="22"/>
  <c r="C12" i="22"/>
  <c r="E12" i="22"/>
  <c r="F12" i="22"/>
  <c r="G12" i="22"/>
  <c r="D12" i="22"/>
  <c r="B12" i="22"/>
  <c r="B10" i="22"/>
  <c r="I95" i="22"/>
  <c r="J95" i="22"/>
  <c r="K95" i="22"/>
  <c r="L95" i="22"/>
  <c r="L4" i="22" s="1"/>
  <c r="M95" i="22"/>
  <c r="N95" i="22"/>
  <c r="O95" i="22"/>
  <c r="P95" i="22"/>
  <c r="Q95" i="22"/>
  <c r="R95" i="22"/>
  <c r="S95" i="22"/>
  <c r="U95" i="22"/>
  <c r="Y95" i="22"/>
  <c r="AA95" i="22"/>
  <c r="AB95" i="22"/>
  <c r="AC95" i="22"/>
  <c r="AD95" i="22"/>
  <c r="AE95" i="22"/>
  <c r="AF95" i="22"/>
  <c r="AG95" i="22"/>
  <c r="AH95" i="22"/>
  <c r="AK95" i="22"/>
  <c r="AL95" i="22"/>
  <c r="AM95" i="22"/>
  <c r="AN95" i="22"/>
  <c r="AO95" i="22"/>
  <c r="AP95" i="22"/>
  <c r="AQ95" i="22"/>
  <c r="AR95" i="22"/>
  <c r="AS95" i="22"/>
  <c r="AT95" i="22"/>
  <c r="AU95" i="22"/>
  <c r="AV95" i="22"/>
  <c r="AY95" i="22"/>
  <c r="AZ95" i="22"/>
  <c r="BA95" i="22"/>
  <c r="BB95" i="22"/>
  <c r="BC95" i="22"/>
  <c r="BD95" i="22"/>
  <c r="BE95" i="22"/>
  <c r="BF95" i="22"/>
  <c r="BG95" i="22"/>
  <c r="BH95" i="22"/>
  <c r="BI95" i="22"/>
  <c r="BJ95" i="22"/>
  <c r="BK95" i="22"/>
  <c r="BL95" i="22"/>
  <c r="V39" i="22"/>
  <c r="V96" i="22"/>
  <c r="G96" i="22" s="1"/>
  <c r="G98" i="22"/>
  <c r="E97" i="22"/>
  <c r="F97" i="22"/>
  <c r="G97" i="22"/>
  <c r="E98" i="22"/>
  <c r="F98" i="22"/>
  <c r="F99" i="22"/>
  <c r="F100" i="22"/>
  <c r="F101" i="22"/>
  <c r="B97" i="22"/>
  <c r="AW95" i="22"/>
  <c r="D17" i="22"/>
  <c r="D20" i="22"/>
  <c r="D25" i="22"/>
  <c r="AW9" i="22"/>
  <c r="AX9" i="22" s="1"/>
  <c r="D11" i="22"/>
  <c r="G9" i="22"/>
  <c r="G113" i="22"/>
  <c r="F113" i="22"/>
  <c r="E113" i="22"/>
  <c r="B113" i="22"/>
  <c r="B115" i="22" s="1"/>
  <c r="G110" i="22"/>
  <c r="F110" i="22"/>
  <c r="E110" i="22"/>
  <c r="B110" i="22"/>
  <c r="B112" i="22" s="1"/>
  <c r="C116" i="29"/>
  <c r="C112" i="29" s="1"/>
  <c r="E116" i="22"/>
  <c r="F116" i="22"/>
  <c r="G119" i="29"/>
  <c r="G116" i="22"/>
  <c r="C101" i="22"/>
  <c r="C100" i="22"/>
  <c r="C99" i="22"/>
  <c r="C98" i="22"/>
  <c r="C97" i="22"/>
  <c r="F96" i="22"/>
  <c r="G113" i="29"/>
  <c r="E96" i="22"/>
  <c r="E10" i="22"/>
  <c r="F10" i="22"/>
  <c r="G10" i="22"/>
  <c r="E11" i="22"/>
  <c r="F11" i="22"/>
  <c r="G11" i="22"/>
  <c r="F9" i="22"/>
  <c r="E9" i="22"/>
  <c r="AB110" i="22"/>
  <c r="AC110" i="22" s="1"/>
  <c r="AB113" i="22"/>
  <c r="AC113" i="22" s="1"/>
  <c r="D113" i="22" s="1"/>
  <c r="D115" i="22" s="1"/>
  <c r="D17" i="34" s="1"/>
  <c r="F17" i="34" s="1"/>
  <c r="B101" i="22"/>
  <c r="B100" i="22"/>
  <c r="C25" i="22"/>
  <c r="B25" i="22"/>
  <c r="C24" i="22"/>
  <c r="B24" i="22"/>
  <c r="C23" i="22"/>
  <c r="B23" i="22"/>
  <c r="C22" i="22"/>
  <c r="B22" i="22"/>
  <c r="C21" i="22"/>
  <c r="B21" i="22"/>
  <c r="C20" i="22"/>
  <c r="B20" i="22"/>
  <c r="C19" i="22"/>
  <c r="B19" i="22"/>
  <c r="C18" i="22"/>
  <c r="B18" i="22"/>
  <c r="C17" i="22"/>
  <c r="B17" i="22"/>
  <c r="C16" i="22"/>
  <c r="B16" i="22"/>
  <c r="C15" i="22"/>
  <c r="B15" i="22"/>
  <c r="B11" i="22"/>
  <c r="D97" i="22"/>
  <c r="D99" i="22"/>
  <c r="B99" i="22"/>
  <c r="B9" i="22"/>
  <c r="D98" i="22"/>
  <c r="B98" i="22"/>
  <c r="D100" i="22"/>
  <c r="D101" i="22"/>
  <c r="I138" i="33"/>
  <c r="C138" i="33"/>
  <c r="I137" i="33"/>
  <c r="C137" i="33"/>
  <c r="J114" i="33"/>
  <c r="C113" i="33"/>
  <c r="I112" i="33"/>
  <c r="C112" i="33"/>
  <c r="J98" i="33"/>
  <c r="C98" i="33"/>
  <c r="J97" i="33"/>
  <c r="I42" i="33"/>
  <c r="C42" i="33"/>
  <c r="C41" i="33"/>
  <c r="A41" i="33"/>
  <c r="A42" i="33" s="1"/>
  <c r="A98" i="33" s="1"/>
  <c r="C40" i="33"/>
  <c r="C39" i="33"/>
  <c r="C38" i="33"/>
  <c r="C37" i="33"/>
  <c r="C36" i="33"/>
  <c r="C35" i="33"/>
  <c r="C34" i="33"/>
  <c r="C33" i="33"/>
  <c r="C32" i="33"/>
  <c r="C31" i="33"/>
  <c r="C30" i="33"/>
  <c r="C29" i="33"/>
  <c r="C28" i="33"/>
  <c r="C27" i="33"/>
  <c r="C26" i="33"/>
  <c r="C25" i="33"/>
  <c r="C24" i="33"/>
  <c r="C23" i="33"/>
  <c r="C22" i="33"/>
  <c r="C21" i="33"/>
  <c r="C20" i="33"/>
  <c r="C19" i="33"/>
  <c r="C18" i="33"/>
  <c r="C17" i="33"/>
  <c r="C16" i="33"/>
  <c r="C15" i="33"/>
  <c r="H10" i="33"/>
  <c r="J16" i="33"/>
  <c r="J24" i="33"/>
  <c r="J32" i="33"/>
  <c r="J40" i="33"/>
  <c r="I41" i="33"/>
  <c r="J21" i="33"/>
  <c r="J29" i="33"/>
  <c r="I15" i="33"/>
  <c r="I23" i="33"/>
  <c r="I31" i="33"/>
  <c r="I39" i="33"/>
  <c r="I18" i="33"/>
  <c r="I22" i="33"/>
  <c r="I26" i="33"/>
  <c r="I30" i="33"/>
  <c r="I34" i="33"/>
  <c r="I38" i="33"/>
  <c r="I20" i="33"/>
  <c r="I28" i="33"/>
  <c r="J31" i="33"/>
  <c r="J35" i="33"/>
  <c r="J39" i="33"/>
  <c r="I97" i="33"/>
  <c r="I36" i="33"/>
  <c r="J19" i="33"/>
  <c r="J23" i="33"/>
  <c r="J27" i="33"/>
  <c r="J18" i="33"/>
  <c r="J26" i="33"/>
  <c r="J34" i="33"/>
  <c r="J17" i="33"/>
  <c r="J25" i="33"/>
  <c r="J33" i="33"/>
  <c r="J112" i="33"/>
  <c r="I114" i="33"/>
  <c r="J15" i="33"/>
  <c r="I16" i="33"/>
  <c r="I19" i="33"/>
  <c r="J20" i="33"/>
  <c r="J22" i="33"/>
  <c r="I24" i="33"/>
  <c r="I27" i="33"/>
  <c r="J28" i="33"/>
  <c r="J30" i="33"/>
  <c r="I32" i="33"/>
  <c r="I35" i="33"/>
  <c r="J36" i="33"/>
  <c r="J38" i="33"/>
  <c r="I40" i="33"/>
  <c r="J41" i="33"/>
  <c r="J42" i="33"/>
  <c r="J37" i="33"/>
  <c r="I17" i="33"/>
  <c r="I21" i="33"/>
  <c r="I25" i="33"/>
  <c r="I29" i="33"/>
  <c r="I33" i="33"/>
  <c r="I37" i="33"/>
  <c r="I98" i="33"/>
  <c r="H137" i="33"/>
  <c r="H138" i="33"/>
  <c r="H170" i="33"/>
  <c r="C87" i="10"/>
  <c r="C46" i="10"/>
  <c r="E274" i="32"/>
  <c r="E273" i="32"/>
  <c r="E277" i="32"/>
  <c r="E272" i="32"/>
  <c r="F261" i="32"/>
  <c r="F262" i="32"/>
  <c r="F263" i="32"/>
  <c r="D261" i="32"/>
  <c r="D247" i="32"/>
  <c r="D246" i="32"/>
  <c r="D236" i="32"/>
  <c r="D235" i="32"/>
  <c r="D234" i="32"/>
  <c r="D233" i="32"/>
  <c r="D232" i="32"/>
  <c r="D231" i="32"/>
  <c r="D230" i="32"/>
  <c r="D229" i="32"/>
  <c r="D228" i="32"/>
  <c r="D227" i="32"/>
  <c r="D226" i="32"/>
  <c r="D225" i="32"/>
  <c r="D224" i="32"/>
  <c r="D223" i="32"/>
  <c r="D222" i="32"/>
  <c r="D221" i="32"/>
  <c r="D220" i="32"/>
  <c r="D219" i="32"/>
  <c r="D218" i="32"/>
  <c r="D217" i="32"/>
  <c r="D237" i="32"/>
  <c r="D216" i="32"/>
  <c r="C210" i="32"/>
  <c r="B210" i="32"/>
  <c r="C207" i="32"/>
  <c r="B207" i="32"/>
  <c r="C211" i="32"/>
  <c r="D211" i="32"/>
  <c r="B198" i="32"/>
  <c r="C186" i="32"/>
  <c r="B186" i="32"/>
  <c r="D185" i="32"/>
  <c r="D184" i="32"/>
  <c r="F183" i="32"/>
  <c r="D183" i="32"/>
  <c r="F182" i="32"/>
  <c r="F185" i="32"/>
  <c r="D182" i="32"/>
  <c r="D186" i="32"/>
  <c r="D181" i="32"/>
  <c r="D180" i="32"/>
  <c r="C175" i="32"/>
  <c r="C174" i="32"/>
  <c r="C173" i="32"/>
  <c r="C172" i="32"/>
  <c r="E172" i="32"/>
  <c r="C171" i="32"/>
  <c r="E171" i="32"/>
  <c r="C170" i="32"/>
  <c r="B165" i="32"/>
  <c r="B164" i="32"/>
  <c r="D163" i="32"/>
  <c r="D162" i="32"/>
  <c r="D161" i="32"/>
  <c r="D148" i="32"/>
  <c r="D149" i="32"/>
  <c r="D147" i="32"/>
  <c r="E138" i="32"/>
  <c r="E139" i="32"/>
  <c r="B137" i="32"/>
  <c r="D139" i="32"/>
  <c r="D136" i="32"/>
  <c r="B135" i="32"/>
  <c r="D135" i="32"/>
  <c r="D141" i="32"/>
  <c r="D142" i="32"/>
  <c r="D134" i="32"/>
  <c r="E67" i="32"/>
  <c r="E66" i="32"/>
  <c r="E65" i="32"/>
  <c r="E64" i="32"/>
  <c r="E63" i="32"/>
  <c r="E62" i="32"/>
  <c r="E61" i="32"/>
  <c r="E68" i="32"/>
  <c r="F68" i="32"/>
  <c r="E58" i="32"/>
  <c r="E57" i="32"/>
  <c r="E56" i="32"/>
  <c r="E55" i="32"/>
  <c r="E54" i="32"/>
  <c r="E53" i="32"/>
  <c r="H51" i="32"/>
  <c r="J51" i="32"/>
  <c r="E52" i="32"/>
  <c r="E51" i="32"/>
  <c r="E50" i="32"/>
  <c r="E49" i="32"/>
  <c r="H7" i="32"/>
  <c r="B7" i="32"/>
  <c r="D7" i="32"/>
  <c r="E7" i="32"/>
  <c r="F7" i="32"/>
  <c r="H6" i="32"/>
  <c r="B6" i="32"/>
  <c r="D6" i="32"/>
  <c r="E6" i="32"/>
  <c r="F6" i="32"/>
  <c r="H5" i="32"/>
  <c r="B5" i="32"/>
  <c r="D5" i="32"/>
  <c r="E5" i="32"/>
  <c r="F5" i="32"/>
  <c r="B166" i="32"/>
  <c r="D137" i="32"/>
  <c r="D138" i="32"/>
  <c r="C176" i="32"/>
  <c r="D140" i="32"/>
  <c r="D164" i="32"/>
  <c r="D210" i="32"/>
  <c r="D212" i="32"/>
  <c r="D248" i="32"/>
  <c r="D249" i="32"/>
  <c r="D250" i="32"/>
  <c r="E211" i="32"/>
  <c r="E170" i="32"/>
  <c r="E176" i="32"/>
  <c r="G84" i="24"/>
  <c r="E5" i="10"/>
  <c r="E4" i="10"/>
  <c r="H11" i="10"/>
  <c r="E3" i="10"/>
  <c r="E10" i="30"/>
  <c r="I9" i="30"/>
  <c r="Q34" i="30"/>
  <c r="P34" i="30"/>
  <c r="O34" i="30"/>
  <c r="N34" i="30"/>
  <c r="M34" i="30"/>
  <c r="R34" i="30"/>
  <c r="Q33" i="30"/>
  <c r="P33" i="30"/>
  <c r="O33" i="30"/>
  <c r="N33" i="30"/>
  <c r="M33" i="30"/>
  <c r="R32" i="30"/>
  <c r="R31" i="30"/>
  <c r="A20" i="30"/>
  <c r="A19" i="30"/>
  <c r="A18" i="30"/>
  <c r="A17" i="30"/>
  <c r="A16" i="30"/>
  <c r="A15" i="30"/>
  <c r="A14" i="30"/>
  <c r="A13" i="30"/>
  <c r="A12" i="30"/>
  <c r="E8" i="30"/>
  <c r="L5" i="30"/>
  <c r="K5" i="30"/>
  <c r="H5" i="30"/>
  <c r="H4" i="30"/>
  <c r="H24" i="30"/>
  <c r="G5" i="30"/>
  <c r="G4" i="30"/>
  <c r="G24" i="30"/>
  <c r="F5" i="30"/>
  <c r="F4" i="30"/>
  <c r="F24" i="30"/>
  <c r="E5" i="30"/>
  <c r="D5" i="30"/>
  <c r="G94" i="24"/>
  <c r="G50" i="24"/>
  <c r="H50" i="24"/>
  <c r="M9" i="30"/>
  <c r="BK109" i="22"/>
  <c r="G27" i="24"/>
  <c r="H27" i="24"/>
  <c r="D54" i="10"/>
  <c r="E54" i="10"/>
  <c r="C54" i="10"/>
  <c r="D53" i="10"/>
  <c r="E53" i="10"/>
  <c r="C53" i="10"/>
  <c r="E52" i="10"/>
  <c r="C52" i="10"/>
  <c r="D48" i="10"/>
  <c r="E48" i="10"/>
  <c r="C48" i="10"/>
  <c r="C57" i="10"/>
  <c r="E57" i="10"/>
  <c r="M19" i="30"/>
  <c r="M20" i="30"/>
  <c r="K9" i="30"/>
  <c r="K4" i="30"/>
  <c r="K24" i="30"/>
  <c r="I10" i="30"/>
  <c r="M22" i="30"/>
  <c r="M21" i="30"/>
  <c r="M16" i="30"/>
  <c r="M17" i="30"/>
  <c r="C5" i="30"/>
  <c r="C4" i="30"/>
  <c r="C24" i="30"/>
  <c r="S38" i="30"/>
  <c r="P38" i="30"/>
  <c r="R38" i="30"/>
  <c r="T37" i="30"/>
  <c r="Q38" i="30"/>
  <c r="F84" i="24"/>
  <c r="G98" i="24"/>
  <c r="M6" i="30"/>
  <c r="I5" i="30"/>
  <c r="AB109" i="22"/>
  <c r="F90" i="22"/>
  <c r="AB80" i="22"/>
  <c r="AC80" i="22" s="1"/>
  <c r="M18" i="30"/>
  <c r="B5" i="30"/>
  <c r="M5" i="30"/>
  <c r="I147" i="33"/>
  <c r="H146" i="33"/>
  <c r="M7" i="30"/>
  <c r="D116" i="29"/>
  <c r="AX61" i="22"/>
  <c r="C11" i="22"/>
  <c r="M13" i="30"/>
  <c r="M23" i="30"/>
  <c r="AW109" i="22"/>
  <c r="AJ96" i="22"/>
  <c r="AJ95" i="22" s="1"/>
  <c r="I11" i="30"/>
  <c r="M15" i="30"/>
  <c r="AI109" i="22"/>
  <c r="B11" i="30"/>
  <c r="M11" i="30"/>
  <c r="M14" i="30"/>
  <c r="H148" i="33"/>
  <c r="M12" i="30"/>
  <c r="D10" i="22"/>
  <c r="N104" i="22"/>
  <c r="J82" i="33"/>
  <c r="I85" i="33"/>
  <c r="B36" i="22"/>
  <c r="O39" i="22"/>
  <c r="D39" i="22" s="1"/>
  <c r="H39" i="22" s="1"/>
  <c r="T36" i="30"/>
  <c r="J54" i="33"/>
  <c r="J46" i="33"/>
  <c r="J88" i="33"/>
  <c r="J90" i="33"/>
  <c r="I88" i="33"/>
  <c r="I90" i="33"/>
  <c r="H107" i="33"/>
  <c r="AB69" i="29"/>
  <c r="J47" i="33"/>
  <c r="J61" i="33"/>
  <c r="B26" i="22"/>
  <c r="C36" i="22"/>
  <c r="J49" i="33"/>
  <c r="I139" i="33"/>
  <c r="T38" i="30"/>
  <c r="B35" i="22"/>
  <c r="E116" i="29"/>
  <c r="D4" i="30"/>
  <c r="D24" i="30"/>
  <c r="D9" i="30"/>
  <c r="C33" i="22"/>
  <c r="G15" i="22"/>
  <c r="H98" i="24"/>
  <c r="E4" i="30"/>
  <c r="E24" i="30" s="1"/>
  <c r="E9" i="30"/>
  <c r="L9" i="30"/>
  <c r="L4" i="30"/>
  <c r="L24" i="30"/>
  <c r="J5" i="30"/>
  <c r="J4" i="30"/>
  <c r="J24" i="30"/>
  <c r="M10" i="30"/>
  <c r="U37" i="30"/>
  <c r="I48" i="33"/>
  <c r="J52" i="33"/>
  <c r="I43" i="33"/>
  <c r="J45" i="33"/>
  <c r="J77" i="33"/>
  <c r="H147" i="33"/>
  <c r="J85" i="33"/>
  <c r="I51" i="33"/>
  <c r="H139" i="33"/>
  <c r="I52" i="33"/>
  <c r="I44" i="33"/>
  <c r="F162" i="33"/>
  <c r="J44" i="33"/>
  <c r="J48" i="33"/>
  <c r="I45" i="33"/>
  <c r="J64" i="33"/>
  <c r="I50" i="33"/>
  <c r="J63" i="33"/>
  <c r="I54" i="33"/>
  <c r="I46" i="33"/>
  <c r="I82" i="33"/>
  <c r="I63" i="33"/>
  <c r="I64" i="33"/>
  <c r="I53" i="33"/>
  <c r="J53" i="33"/>
  <c r="I61" i="33"/>
  <c r="I146" i="33"/>
  <c r="I49" i="33"/>
  <c r="J51" i="33"/>
  <c r="G10" i="33"/>
  <c r="I148" i="33"/>
  <c r="J50" i="33"/>
  <c r="J43" i="33"/>
  <c r="F82" i="29"/>
  <c r="F74" i="29" s="1"/>
  <c r="F73" i="29" s="1"/>
  <c r="I76" i="33"/>
  <c r="J76" i="33"/>
  <c r="P39" i="30"/>
  <c r="T39" i="30"/>
  <c r="R39" i="30"/>
  <c r="Q39" i="30"/>
  <c r="U36" i="30"/>
  <c r="S39" i="30"/>
  <c r="I47" i="33"/>
  <c r="I86" i="33"/>
  <c r="J86" i="33"/>
  <c r="M8" i="30"/>
  <c r="B4" i="30"/>
  <c r="I8" i="30"/>
  <c r="I4" i="30"/>
  <c r="I24" i="30"/>
  <c r="D238" i="32"/>
  <c r="D239" i="32"/>
  <c r="E238" i="32"/>
  <c r="I83" i="33"/>
  <c r="J83" i="33"/>
  <c r="F119" i="29"/>
  <c r="G116" i="29"/>
  <c r="AI95" i="22"/>
  <c r="D57" i="22"/>
  <c r="I76" i="29"/>
  <c r="C74" i="29"/>
  <c r="C73" i="29" s="1"/>
  <c r="F113" i="29"/>
  <c r="G170" i="33"/>
  <c r="F211" i="32"/>
  <c r="Y119" i="29"/>
  <c r="I84" i="33"/>
  <c r="J84" i="33"/>
  <c r="I119" i="29"/>
  <c r="F116" i="29"/>
  <c r="D150" i="32"/>
  <c r="D151" i="32"/>
  <c r="H50" i="32"/>
  <c r="E59" i="32"/>
  <c r="D143" i="32"/>
  <c r="H116" i="29"/>
  <c r="R33" i="30"/>
  <c r="S32" i="30"/>
  <c r="H119" i="29"/>
  <c r="E210" i="32"/>
  <c r="F210" i="32"/>
  <c r="F212" i="32"/>
  <c r="D8" i="29"/>
  <c r="D7" i="29" s="1"/>
  <c r="D113" i="29"/>
  <c r="D112" i="29" s="1"/>
  <c r="I116" i="29"/>
  <c r="H52" i="32"/>
  <c r="J50" i="32"/>
  <c r="S31" i="30"/>
  <c r="S33" i="30"/>
  <c r="M4" i="30"/>
  <c r="B24" i="30"/>
  <c r="D74" i="29"/>
  <c r="D73" i="29" s="1"/>
  <c r="I77" i="29"/>
  <c r="D153" i="32"/>
  <c r="J65" i="33"/>
  <c r="I62" i="33"/>
  <c r="J62" i="33"/>
  <c r="H92" i="33"/>
  <c r="G63" i="32"/>
  <c r="H63" i="32"/>
  <c r="E70" i="32"/>
  <c r="F59" i="32"/>
  <c r="E71" i="32"/>
  <c r="E72" i="32"/>
  <c r="G82" i="29"/>
  <c r="G74" i="29" s="1"/>
  <c r="G73" i="29" s="1"/>
  <c r="R74" i="29"/>
  <c r="H149" i="33"/>
  <c r="I149" i="33"/>
  <c r="M24" i="30"/>
  <c r="N16" i="30" s="1"/>
  <c r="H113" i="29"/>
  <c r="H112" i="29" s="1"/>
  <c r="I113" i="29"/>
  <c r="Z113" i="29"/>
  <c r="Y113" i="29"/>
  <c r="T113" i="29"/>
  <c r="V113" i="29" s="1"/>
  <c r="Q113" i="29"/>
  <c r="AC113" i="29"/>
  <c r="E113" i="29"/>
  <c r="E112" i="29" s="1"/>
  <c r="B93" i="22"/>
  <c r="C61" i="22"/>
  <c r="N80" i="22"/>
  <c r="O80" i="22" s="1"/>
  <c r="AB67" i="29"/>
  <c r="AB119" i="29"/>
  <c r="E11" i="29"/>
  <c r="S30" i="29" l="1"/>
  <c r="AN119" i="29"/>
  <c r="AB13" i="29"/>
  <c r="AE34" i="29"/>
  <c r="S28" i="29"/>
  <c r="S26" i="29"/>
  <c r="S24" i="29"/>
  <c r="S22" i="29"/>
  <c r="S20" i="29"/>
  <c r="S18" i="29"/>
  <c r="S16" i="29"/>
  <c r="S14" i="29"/>
  <c r="AM14" i="29"/>
  <c r="AO14" i="29" s="1"/>
  <c r="S64" i="29"/>
  <c r="AN30" i="29"/>
  <c r="AN55" i="29"/>
  <c r="AN116" i="29"/>
  <c r="AN13" i="29"/>
  <c r="S13" i="29"/>
  <c r="AM13" i="29"/>
  <c r="AO13" i="29" s="1"/>
  <c r="AN10" i="29"/>
  <c r="V13" i="29"/>
  <c r="S29" i="29"/>
  <c r="S27" i="29"/>
  <c r="S25" i="29"/>
  <c r="S23" i="29"/>
  <c r="S21" i="29"/>
  <c r="S19" i="29"/>
  <c r="S17" i="29"/>
  <c r="S15" i="29"/>
  <c r="S32" i="29"/>
  <c r="AN35" i="29"/>
  <c r="AN33" i="29"/>
  <c r="AN31" i="29"/>
  <c r="S35" i="29"/>
  <c r="S33" i="29"/>
  <c r="S31" i="29"/>
  <c r="S34" i="29"/>
  <c r="AN26" i="29"/>
  <c r="AN24" i="29"/>
  <c r="AN22" i="29"/>
  <c r="AN20" i="29"/>
  <c r="AN18" i="29"/>
  <c r="AN16" i="29"/>
  <c r="AN14" i="29"/>
  <c r="S119" i="29"/>
  <c r="S116" i="29"/>
  <c r="AM116" i="29"/>
  <c r="AO116" i="29" s="1"/>
  <c r="S113" i="29"/>
  <c r="S103" i="29"/>
  <c r="AM103" i="29"/>
  <c r="V86" i="29"/>
  <c r="AM86" i="29"/>
  <c r="AM73" i="29"/>
  <c r="R73" i="29"/>
  <c r="S74" i="29"/>
  <c r="Y69" i="29"/>
  <c r="AM69" i="29"/>
  <c r="AO69" i="29" s="1"/>
  <c r="AN64" i="29"/>
  <c r="V64" i="29"/>
  <c r="AM61" i="29"/>
  <c r="V61" i="29"/>
  <c r="AN61" i="29"/>
  <c r="S58" i="29"/>
  <c r="AM58" i="29"/>
  <c r="AN58" i="29"/>
  <c r="V58" i="29"/>
  <c r="S55" i="29"/>
  <c r="AM55" i="29"/>
  <c r="AO55" i="29"/>
  <c r="AM49" i="29"/>
  <c r="V49" i="29"/>
  <c r="AN49" i="29"/>
  <c r="S41" i="29"/>
  <c r="AM41" i="29"/>
  <c r="AO41" i="29" s="1"/>
  <c r="S40" i="29"/>
  <c r="AM40" i="29"/>
  <c r="AO40" i="29" s="1"/>
  <c r="S39" i="29"/>
  <c r="AM39" i="29"/>
  <c r="AO39" i="29" s="1"/>
  <c r="S37" i="29"/>
  <c r="AM37" i="29"/>
  <c r="AO37" i="29" s="1"/>
  <c r="S38" i="29"/>
  <c r="AM38" i="29"/>
  <c r="AO38" i="29" s="1"/>
  <c r="AN36" i="29"/>
  <c r="AN9" i="29"/>
  <c r="E73" i="22"/>
  <c r="C108" i="22"/>
  <c r="H23" i="22"/>
  <c r="E92" i="22"/>
  <c r="E89" i="22" s="1"/>
  <c r="G100" i="22"/>
  <c r="G101" i="22"/>
  <c r="M15" i="29"/>
  <c r="M16" i="29" s="1"/>
  <c r="AE28" i="29"/>
  <c r="I25" i="30"/>
  <c r="L25" i="30"/>
  <c r="N7" i="30"/>
  <c r="N6" i="30"/>
  <c r="N4" i="30"/>
  <c r="N10" i="30"/>
  <c r="N17" i="30"/>
  <c r="N12" i="30"/>
  <c r="E25" i="30"/>
  <c r="N20" i="30"/>
  <c r="H25" i="30"/>
  <c r="N8" i="30"/>
  <c r="J25" i="30"/>
  <c r="N18" i="30"/>
  <c r="E86" i="22"/>
  <c r="AQ86" i="22"/>
  <c r="E88" i="22"/>
  <c r="B108" i="22"/>
  <c r="AP87" i="22"/>
  <c r="F87" i="22" s="1"/>
  <c r="H32" i="22"/>
  <c r="H12" i="22"/>
  <c r="H11" i="22"/>
  <c r="N73" i="22"/>
  <c r="O73" i="22" s="1"/>
  <c r="B73" i="22"/>
  <c r="E93" i="22"/>
  <c r="C113" i="22"/>
  <c r="C115" i="22" s="1"/>
  <c r="H97" i="22"/>
  <c r="AP91" i="22"/>
  <c r="F91" i="22" s="1"/>
  <c r="C17" i="34"/>
  <c r="B17" i="34"/>
  <c r="Q112" i="29"/>
  <c r="F25" i="30"/>
  <c r="K25" i="30"/>
  <c r="N22" i="30"/>
  <c r="N11" i="30"/>
  <c r="N5" i="30"/>
  <c r="N13" i="30"/>
  <c r="N14" i="30"/>
  <c r="N23" i="30"/>
  <c r="C25" i="30"/>
  <c r="N19" i="30"/>
  <c r="N15" i="30"/>
  <c r="G25" i="30"/>
  <c r="D25" i="30"/>
  <c r="N9" i="30"/>
  <c r="B25" i="30"/>
  <c r="M25" i="30" s="1"/>
  <c r="N25" i="30" s="1"/>
  <c r="N21" i="30"/>
  <c r="E80" i="22"/>
  <c r="N106" i="22"/>
  <c r="C106" i="22" s="1"/>
  <c r="G86" i="22"/>
  <c r="H98" i="22"/>
  <c r="N68" i="22"/>
  <c r="C68" i="22" s="1"/>
  <c r="O104" i="22"/>
  <c r="D104" i="22" s="1"/>
  <c r="H104" i="22" s="1"/>
  <c r="H30" i="22"/>
  <c r="F18" i="34"/>
  <c r="C9" i="22"/>
  <c r="C8" i="22" s="1"/>
  <c r="G88" i="22"/>
  <c r="C110" i="22"/>
  <c r="C111" i="22" s="1"/>
  <c r="E8" i="22"/>
  <c r="H28" i="22"/>
  <c r="B103" i="22"/>
  <c r="H37" i="22"/>
  <c r="B114" i="22"/>
  <c r="AP85" i="22"/>
  <c r="F85" i="22" s="1"/>
  <c r="H36" i="22"/>
  <c r="B69" i="22"/>
  <c r="E85" i="22"/>
  <c r="B38" i="22"/>
  <c r="D114" i="22"/>
  <c r="D16" i="34" s="1"/>
  <c r="F16" i="34" s="1"/>
  <c r="E100" i="22"/>
  <c r="C104" i="22"/>
  <c r="H27" i="22"/>
  <c r="C85" i="22"/>
  <c r="B85" i="22"/>
  <c r="AB103" i="22"/>
  <c r="AC103" i="22" s="1"/>
  <c r="AC82" i="22"/>
  <c r="AQ87" i="22"/>
  <c r="G87" i="22" s="1"/>
  <c r="E101" i="22"/>
  <c r="C82" i="22"/>
  <c r="B111" i="22"/>
  <c r="O108" i="22"/>
  <c r="D108" i="22" s="1"/>
  <c r="H108" i="22" s="1"/>
  <c r="B81" i="22"/>
  <c r="AJ83" i="22"/>
  <c r="B67" i="22"/>
  <c r="F95" i="22"/>
  <c r="B88" i="22"/>
  <c r="AQ80" i="22"/>
  <c r="G80" i="22" s="1"/>
  <c r="B92" i="22"/>
  <c r="F102" i="22"/>
  <c r="H21" i="22"/>
  <c r="H34" i="22"/>
  <c r="C67" i="22"/>
  <c r="B90" i="22"/>
  <c r="C38" i="22"/>
  <c r="AW92" i="22"/>
  <c r="AX92" i="22" s="1"/>
  <c r="H26" i="22"/>
  <c r="B14" i="22"/>
  <c r="B79" i="22"/>
  <c r="C91" i="22"/>
  <c r="E14" i="22"/>
  <c r="E13" i="22" s="1"/>
  <c r="H35" i="22"/>
  <c r="C14" i="22"/>
  <c r="D60" i="22"/>
  <c r="C86" i="22"/>
  <c r="B83" i="22"/>
  <c r="C80" i="22"/>
  <c r="AQ90" i="22"/>
  <c r="G90" i="22" s="1"/>
  <c r="E79" i="22"/>
  <c r="AJ80" i="22"/>
  <c r="D80" i="22" s="1"/>
  <c r="C75" i="22"/>
  <c r="H20" i="22"/>
  <c r="D61" i="22"/>
  <c r="H61" i="22" s="1"/>
  <c r="AC75" i="22"/>
  <c r="D75" i="22" s="1"/>
  <c r="H75" i="22" s="1"/>
  <c r="C93" i="22"/>
  <c r="B105" i="22"/>
  <c r="B80" i="22"/>
  <c r="B8" i="22"/>
  <c r="H100" i="22"/>
  <c r="AX70" i="22"/>
  <c r="C74" i="22"/>
  <c r="C84" i="22"/>
  <c r="AC91" i="22"/>
  <c r="H29" i="22"/>
  <c r="C95" i="22"/>
  <c r="N90" i="22"/>
  <c r="O90" i="22" s="1"/>
  <c r="D90" i="22" s="1"/>
  <c r="AX88" i="22"/>
  <c r="E102" i="22"/>
  <c r="H22" i="22"/>
  <c r="AC105" i="22"/>
  <c r="BL4" i="22"/>
  <c r="F14" i="22"/>
  <c r="F13" i="22" s="1"/>
  <c r="H16" i="22"/>
  <c r="B82" i="22"/>
  <c r="B72" i="22"/>
  <c r="AX96" i="22"/>
  <c r="AX95" i="22" s="1"/>
  <c r="F8" i="22"/>
  <c r="H25" i="22"/>
  <c r="AQ79" i="22"/>
  <c r="G79" i="22" s="1"/>
  <c r="F79" i="22"/>
  <c r="C83" i="22"/>
  <c r="AC83" i="22"/>
  <c r="D83" i="22" s="1"/>
  <c r="H83" i="22" s="1"/>
  <c r="C71" i="22"/>
  <c r="AJ105" i="22"/>
  <c r="C105" i="22"/>
  <c r="H33" i="22"/>
  <c r="D72" i="22"/>
  <c r="H72" i="22" s="1"/>
  <c r="B87" i="22"/>
  <c r="AW87" i="22"/>
  <c r="AX87" i="22" s="1"/>
  <c r="G102" i="22"/>
  <c r="E13" i="34" s="1"/>
  <c r="D8" i="22"/>
  <c r="H19" i="22"/>
  <c r="C79" i="22"/>
  <c r="O79" i="22"/>
  <c r="C81" i="22"/>
  <c r="AC81" i="22"/>
  <c r="D81" i="22" s="1"/>
  <c r="H81" i="22" s="1"/>
  <c r="AJ85" i="22"/>
  <c r="O87" i="22"/>
  <c r="D14" i="22"/>
  <c r="C70" i="22"/>
  <c r="O70" i="22"/>
  <c r="C88" i="22"/>
  <c r="O88" i="22"/>
  <c r="H113" i="22"/>
  <c r="O69" i="22"/>
  <c r="C69" i="22"/>
  <c r="F92" i="22"/>
  <c r="AQ92" i="22"/>
  <c r="G92" i="22" s="1"/>
  <c r="F93" i="22"/>
  <c r="AQ93" i="22"/>
  <c r="G93" i="22" s="1"/>
  <c r="O103" i="22"/>
  <c r="D103" i="22" s="1"/>
  <c r="C103" i="22"/>
  <c r="T95" i="22"/>
  <c r="C72" i="22"/>
  <c r="B91" i="22"/>
  <c r="B86" i="22"/>
  <c r="B84" i="22"/>
  <c r="G8" i="22"/>
  <c r="E4" i="34" s="1"/>
  <c r="AX69" i="22"/>
  <c r="O71" i="22"/>
  <c r="AJ87" i="22"/>
  <c r="O93" i="22"/>
  <c r="D38" i="22"/>
  <c r="H38" i="22" s="1"/>
  <c r="O86" i="22"/>
  <c r="O74" i="22"/>
  <c r="D74" i="22" s="1"/>
  <c r="H74" i="22" s="1"/>
  <c r="O91" i="22"/>
  <c r="D91" i="22" s="1"/>
  <c r="O106" i="22"/>
  <c r="D106" i="22" s="1"/>
  <c r="H106" i="22" s="1"/>
  <c r="AI73" i="22"/>
  <c r="C73" i="22" s="1"/>
  <c r="H10" i="22"/>
  <c r="O92" i="22"/>
  <c r="D92" i="22" s="1"/>
  <c r="H31" i="22"/>
  <c r="F88" i="22"/>
  <c r="B70" i="22"/>
  <c r="BE4" i="22"/>
  <c r="B95" i="22"/>
  <c r="AJ79" i="22"/>
  <c r="AC93" i="22"/>
  <c r="H17" i="22"/>
  <c r="B75" i="22"/>
  <c r="B71" i="22"/>
  <c r="AC70" i="22"/>
  <c r="AC71" i="22"/>
  <c r="AJ82" i="22"/>
  <c r="AC84" i="22"/>
  <c r="D84" i="22" s="1"/>
  <c r="H84" i="22" s="1"/>
  <c r="AJ86" i="22"/>
  <c r="B74" i="22"/>
  <c r="H24" i="22"/>
  <c r="AE14" i="29"/>
  <c r="L15" i="29"/>
  <c r="W15" i="29" s="1"/>
  <c r="Y15" i="29" s="1"/>
  <c r="AC12" i="29"/>
  <c r="AE23" i="29"/>
  <c r="Z15" i="29"/>
  <c r="AB15" i="29" s="1"/>
  <c r="AE16" i="29"/>
  <c r="AE22" i="29"/>
  <c r="K15" i="29"/>
  <c r="T15" i="29" s="1"/>
  <c r="V15" i="29" s="1"/>
  <c r="AD29" i="29"/>
  <c r="AD12" i="29" s="1"/>
  <c r="AD11" i="29" s="1"/>
  <c r="Q12" i="29"/>
  <c r="AE25" i="29"/>
  <c r="AE17" i="29"/>
  <c r="R12" i="29"/>
  <c r="H175" i="33"/>
  <c r="H176" i="33" s="1"/>
  <c r="H184" i="33"/>
  <c r="D59" i="22"/>
  <c r="C44" i="22"/>
  <c r="G175" i="33"/>
  <c r="G176" i="33" s="1"/>
  <c r="M17" i="29"/>
  <c r="Z16" i="29"/>
  <c r="AB16" i="29" s="1"/>
  <c r="K16" i="29"/>
  <c r="AB14" i="29"/>
  <c r="AE33" i="29"/>
  <c r="AE30" i="29"/>
  <c r="AE32" i="29"/>
  <c r="AE26" i="29"/>
  <c r="AE21" i="29"/>
  <c r="AE18" i="29"/>
  <c r="AE20" i="29"/>
  <c r="AA8" i="29"/>
  <c r="AA7" i="29" s="1"/>
  <c r="H82" i="29"/>
  <c r="H74" i="29" s="1"/>
  <c r="H73" i="29" s="1"/>
  <c r="U74" i="29"/>
  <c r="I61" i="29"/>
  <c r="AE13" i="29"/>
  <c r="T10" i="29"/>
  <c r="V10" i="29" s="1"/>
  <c r="AE31" i="29"/>
  <c r="AE24" i="29"/>
  <c r="AE15" i="29"/>
  <c r="AC119" i="29"/>
  <c r="AC112" i="29" s="1"/>
  <c r="Y13" i="29"/>
  <c r="G14" i="22"/>
  <c r="G13" i="22" s="1"/>
  <c r="E5" i="34" s="1"/>
  <c r="H18" i="22"/>
  <c r="AE35" i="29"/>
  <c r="AE27" i="29"/>
  <c r="AE19" i="29"/>
  <c r="U8" i="29"/>
  <c r="U7" i="29" s="1"/>
  <c r="E55" i="29"/>
  <c r="AC36" i="29"/>
  <c r="AC11" i="29" s="1"/>
  <c r="T74" i="29"/>
  <c r="AC10" i="29"/>
  <c r="AE10" i="29" s="1"/>
  <c r="Q36" i="29"/>
  <c r="W36" i="29"/>
  <c r="AB36" i="29"/>
  <c r="AE119" i="29"/>
  <c r="Y37" i="29"/>
  <c r="Y36" i="29" s="1"/>
  <c r="Z36" i="29"/>
  <c r="W10" i="29"/>
  <c r="Y10" i="29" s="1"/>
  <c r="W9" i="29"/>
  <c r="T36" i="29"/>
  <c r="V36" i="29" s="1"/>
  <c r="T9" i="29"/>
  <c r="V9" i="29" s="1"/>
  <c r="Q10" i="29"/>
  <c r="AC9" i="29"/>
  <c r="R8" i="29"/>
  <c r="AB64" i="29"/>
  <c r="AB42" i="29" s="1"/>
  <c r="Q9" i="29"/>
  <c r="Z9" i="29"/>
  <c r="Z8" i="29" s="1"/>
  <c r="Z7" i="29" s="1"/>
  <c r="AD8" i="29"/>
  <c r="AD7" i="29" s="1"/>
  <c r="X8" i="29"/>
  <c r="X7" i="29" s="1"/>
  <c r="AE37" i="29"/>
  <c r="AE36" i="29" s="1"/>
  <c r="AD112" i="29"/>
  <c r="E43" i="29"/>
  <c r="X112" i="29"/>
  <c r="E61" i="29"/>
  <c r="AA112" i="29"/>
  <c r="I112" i="29"/>
  <c r="W119" i="29"/>
  <c r="F42" i="29"/>
  <c r="F6" i="29" s="1"/>
  <c r="I82" i="29"/>
  <c r="I52" i="29"/>
  <c r="AE42" i="29"/>
  <c r="F112" i="29"/>
  <c r="H42" i="29"/>
  <c r="E64" i="29"/>
  <c r="Z42" i="29"/>
  <c r="R42" i="29"/>
  <c r="AB113" i="29"/>
  <c r="AB112" i="29" s="1"/>
  <c r="AE113" i="29"/>
  <c r="E52" i="29"/>
  <c r="U112" i="29"/>
  <c r="I11" i="29"/>
  <c r="I67" i="29"/>
  <c r="E8" i="29"/>
  <c r="E7" i="29" s="1"/>
  <c r="D42" i="29"/>
  <c r="D6" i="29" s="1"/>
  <c r="E49" i="29"/>
  <c r="AD42" i="29"/>
  <c r="E74" i="29"/>
  <c r="E73" i="29" s="1"/>
  <c r="I10" i="29"/>
  <c r="I8" i="29" s="1"/>
  <c r="I7" i="29" s="1"/>
  <c r="G42" i="29"/>
  <c r="G6" i="29" s="1"/>
  <c r="E58" i="29"/>
  <c r="AC64" i="29"/>
  <c r="AC42" i="29" s="1"/>
  <c r="Y112" i="29"/>
  <c r="Z119" i="29"/>
  <c r="Z112" i="29" s="1"/>
  <c r="X42" i="29"/>
  <c r="U42" i="29"/>
  <c r="W67" i="29"/>
  <c r="AM67" i="29" s="1"/>
  <c r="AO67" i="29" s="1"/>
  <c r="I59" i="29"/>
  <c r="I58" i="29" s="1"/>
  <c r="I43" i="29"/>
  <c r="E70" i="29"/>
  <c r="I55" i="29"/>
  <c r="R112" i="29"/>
  <c r="I72" i="29"/>
  <c r="I70" i="29" s="1"/>
  <c r="W113" i="29"/>
  <c r="AM113" i="29" s="1"/>
  <c r="G112" i="29"/>
  <c r="H11" i="29"/>
  <c r="I46" i="29"/>
  <c r="I50" i="29"/>
  <c r="I49" i="29" s="1"/>
  <c r="Q42" i="29"/>
  <c r="AA42" i="29"/>
  <c r="E46" i="29"/>
  <c r="C42" i="29"/>
  <c r="C6" i="29" s="1"/>
  <c r="T42" i="29"/>
  <c r="T119" i="29"/>
  <c r="V119" i="29" s="1"/>
  <c r="G184" i="33"/>
  <c r="D4" i="34" l="1"/>
  <c r="R11" i="29"/>
  <c r="AN29" i="29"/>
  <c r="AM15" i="29"/>
  <c r="AO15" i="29" s="1"/>
  <c r="S12" i="29"/>
  <c r="AM119" i="29"/>
  <c r="AO119" i="29" s="1"/>
  <c r="F5" i="29"/>
  <c r="AO113" i="29"/>
  <c r="AN112" i="29"/>
  <c r="S112" i="29"/>
  <c r="AO103" i="29"/>
  <c r="AO86" i="29"/>
  <c r="U73" i="29"/>
  <c r="X74" i="29"/>
  <c r="AO61" i="29"/>
  <c r="AO58" i="29"/>
  <c r="S42" i="29"/>
  <c r="AN42" i="29"/>
  <c r="V42" i="29"/>
  <c r="AO49" i="29"/>
  <c r="S36" i="29"/>
  <c r="AM9" i="29"/>
  <c r="AO9" i="29" s="1"/>
  <c r="S9" i="29"/>
  <c r="S10" i="29"/>
  <c r="AM10" i="29"/>
  <c r="AO10" i="29" s="1"/>
  <c r="C18" i="34"/>
  <c r="V74" i="29"/>
  <c r="R7" i="29"/>
  <c r="AN7" i="29" s="1"/>
  <c r="AN8" i="29"/>
  <c r="O68" i="22"/>
  <c r="D68" i="22" s="1"/>
  <c r="H68" i="22" s="1"/>
  <c r="B18" i="34"/>
  <c r="L16" i="29"/>
  <c r="L17" i="29" s="1"/>
  <c r="W17" i="29" s="1"/>
  <c r="Y17" i="29" s="1"/>
  <c r="C114" i="22"/>
  <c r="F4" i="34"/>
  <c r="B102" i="22"/>
  <c r="C112" i="22"/>
  <c r="C90" i="22"/>
  <c r="D88" i="22"/>
  <c r="H88" i="22" s="1"/>
  <c r="I74" i="29"/>
  <c r="I73" i="29" s="1"/>
  <c r="H115" i="22"/>
  <c r="H114" i="22"/>
  <c r="B16" i="34"/>
  <c r="AQ91" i="22"/>
  <c r="G91" i="22" s="1"/>
  <c r="H91" i="22" s="1"/>
  <c r="E3" i="34"/>
  <c r="C16" i="34"/>
  <c r="AE112" i="29"/>
  <c r="N24" i="30"/>
  <c r="E95" i="22"/>
  <c r="E6" i="22"/>
  <c r="E76" i="22"/>
  <c r="C13" i="22"/>
  <c r="C6" i="22" s="1"/>
  <c r="B89" i="22"/>
  <c r="G6" i="22"/>
  <c r="B13" i="22"/>
  <c r="D13" i="22"/>
  <c r="D69" i="22"/>
  <c r="H69" i="22" s="1"/>
  <c r="C92" i="22"/>
  <c r="C89" i="22" s="1"/>
  <c r="H92" i="22"/>
  <c r="D85" i="22"/>
  <c r="AQ85" i="22"/>
  <c r="G85" i="22" s="1"/>
  <c r="G76" i="22" s="1"/>
  <c r="E9" i="34" s="1"/>
  <c r="D67" i="22"/>
  <c r="B76" i="22"/>
  <c r="D82" i="22"/>
  <c r="H82" i="22" s="1"/>
  <c r="F6" i="22"/>
  <c r="F7" i="22" s="1"/>
  <c r="D93" i="22"/>
  <c r="H93" i="22" s="1"/>
  <c r="H80" i="22"/>
  <c r="D71" i="22"/>
  <c r="H71" i="22" s="1"/>
  <c r="D105" i="22"/>
  <c r="H105" i="22" s="1"/>
  <c r="AX4" i="22"/>
  <c r="H14" i="22"/>
  <c r="H13" i="22" s="1"/>
  <c r="D70" i="22"/>
  <c r="H70" i="22" s="1"/>
  <c r="AJ73" i="22"/>
  <c r="F76" i="22"/>
  <c r="D87" i="22"/>
  <c r="H87" i="22" s="1"/>
  <c r="H59" i="22"/>
  <c r="D86" i="22"/>
  <c r="H86" i="22" s="1"/>
  <c r="C102" i="22"/>
  <c r="C87" i="22"/>
  <c r="C76" i="22" s="1"/>
  <c r="H8" i="22"/>
  <c r="H103" i="22"/>
  <c r="D79" i="22"/>
  <c r="H79" i="22" s="1"/>
  <c r="G99" i="22"/>
  <c r="V95" i="22"/>
  <c r="F89" i="22"/>
  <c r="B66" i="22"/>
  <c r="C66" i="22"/>
  <c r="V4" i="22"/>
  <c r="H90" i="22"/>
  <c r="H178" i="33"/>
  <c r="AE29" i="29"/>
  <c r="AE12" i="29" s="1"/>
  <c r="AE11" i="29" s="1"/>
  <c r="H186" i="33"/>
  <c r="Z17" i="29"/>
  <c r="AB17" i="29" s="1"/>
  <c r="M18" i="29"/>
  <c r="L18" i="29"/>
  <c r="T16" i="29"/>
  <c r="K17" i="29"/>
  <c r="I64" i="29"/>
  <c r="I42" i="29" s="1"/>
  <c r="I6" i="29" s="1"/>
  <c r="AB9" i="29"/>
  <c r="AB8" i="29" s="1"/>
  <c r="AB7" i="29" s="1"/>
  <c r="AD6" i="29"/>
  <c r="Q8" i="29"/>
  <c r="S8" i="29" s="1"/>
  <c r="T8" i="29"/>
  <c r="H6" i="29"/>
  <c r="H5" i="29" s="1"/>
  <c r="W112" i="29"/>
  <c r="Y9" i="29"/>
  <c r="Y8" i="29" s="1"/>
  <c r="Y7" i="29" s="1"/>
  <c r="W8" i="29"/>
  <c r="W7" i="29" s="1"/>
  <c r="AC8" i="29"/>
  <c r="AC7" i="29" s="1"/>
  <c r="AC6" i="29" s="1"/>
  <c r="AE9" i="29"/>
  <c r="AE8" i="29" s="1"/>
  <c r="AE7" i="29" s="1"/>
  <c r="C5" i="29"/>
  <c r="Q11" i="29"/>
  <c r="S11" i="29" s="1"/>
  <c r="E42" i="29"/>
  <c r="G5" i="29"/>
  <c r="D5" i="29"/>
  <c r="Y67" i="29"/>
  <c r="Y64" i="29" s="1"/>
  <c r="Y42" i="29" s="1"/>
  <c r="W64" i="29"/>
  <c r="W42" i="29" s="1"/>
  <c r="T73" i="29"/>
  <c r="T112" i="29"/>
  <c r="V112" i="29" s="1"/>
  <c r="Q73" i="29"/>
  <c r="S73" i="29" s="1"/>
  <c r="H6" i="22" l="1"/>
  <c r="V16" i="29"/>
  <c r="V73" i="29"/>
  <c r="AM112" i="29"/>
  <c r="I5" i="29"/>
  <c r="AA74" i="29"/>
  <c r="X73" i="29"/>
  <c r="AM64" i="29"/>
  <c r="AO64" i="29" s="1"/>
  <c r="AO36" i="29"/>
  <c r="T7" i="29"/>
  <c r="V7" i="29" s="1"/>
  <c r="V8" i="29"/>
  <c r="R6" i="29"/>
  <c r="R5" i="29" s="1"/>
  <c r="B7" i="35" s="1"/>
  <c r="Q7" i="29"/>
  <c r="D5" i="34"/>
  <c r="E7" i="22"/>
  <c r="H96" i="22"/>
  <c r="W16" i="29"/>
  <c r="AM16" i="29" s="1"/>
  <c r="AO16" i="29" s="1"/>
  <c r="G89" i="22"/>
  <c r="E10" i="34" s="1"/>
  <c r="C7" i="22"/>
  <c r="E6" i="29"/>
  <c r="Z74" i="29"/>
  <c r="D89" i="22"/>
  <c r="D10" i="34" s="1"/>
  <c r="AC4" i="22"/>
  <c r="H85" i="22"/>
  <c r="H76" i="22" s="1"/>
  <c r="D95" i="22"/>
  <c r="D12" i="34" s="1"/>
  <c r="H89" i="22"/>
  <c r="B64" i="22"/>
  <c r="B65" i="22" s="1"/>
  <c r="D102" i="22"/>
  <c r="D13" i="34" s="1"/>
  <c r="H102" i="22"/>
  <c r="C64" i="22"/>
  <c r="C65" i="22" s="1"/>
  <c r="D73" i="22"/>
  <c r="D66" i="22" s="1"/>
  <c r="AJ4" i="22"/>
  <c r="D76" i="22"/>
  <c r="D9" i="34" s="1"/>
  <c r="H99" i="22"/>
  <c r="H95" i="22" s="1"/>
  <c r="G95" i="22"/>
  <c r="E12" i="34" s="1"/>
  <c r="E11" i="34" s="1"/>
  <c r="K18" i="29"/>
  <c r="T17" i="29"/>
  <c r="L19" i="29"/>
  <c r="W18" i="29"/>
  <c r="Y18" i="29" s="1"/>
  <c r="M19" i="29"/>
  <c r="Z18" i="29"/>
  <c r="Y16" i="29"/>
  <c r="AE6" i="29"/>
  <c r="AC74" i="29"/>
  <c r="W74" i="29"/>
  <c r="Q6" i="29" l="1"/>
  <c r="AB18" i="29"/>
  <c r="V17" i="29"/>
  <c r="AM17" i="29"/>
  <c r="AO17" i="29" s="1"/>
  <c r="AB74" i="29"/>
  <c r="AB73" i="29" s="1"/>
  <c r="AO112" i="29"/>
  <c r="AD74" i="29"/>
  <c r="AA73" i="29"/>
  <c r="S6" i="29"/>
  <c r="Q5" i="29"/>
  <c r="S7" i="29"/>
  <c r="F5" i="34"/>
  <c r="Z73" i="29"/>
  <c r="C5" i="22"/>
  <c r="G7" i="22"/>
  <c r="E5" i="29"/>
  <c r="C8" i="34"/>
  <c r="D7" i="34"/>
  <c r="F13" i="34"/>
  <c r="C13" i="34"/>
  <c r="B13" i="34"/>
  <c r="F10" i="34"/>
  <c r="B10" i="34"/>
  <c r="C10" i="34"/>
  <c r="F9" i="34"/>
  <c r="C9" i="34"/>
  <c r="C12" i="34"/>
  <c r="B12" i="34"/>
  <c r="F12" i="34"/>
  <c r="D64" i="22"/>
  <c r="K19" i="29"/>
  <c r="T18" i="29"/>
  <c r="M20" i="29"/>
  <c r="Z19" i="29"/>
  <c r="AB19" i="29" s="1"/>
  <c r="L20" i="29"/>
  <c r="W19" i="29"/>
  <c r="Y19" i="29" s="1"/>
  <c r="Y74" i="29"/>
  <c r="Y73" i="29" s="1"/>
  <c r="W73" i="29"/>
  <c r="AE74" i="29"/>
  <c r="AE73" i="29" s="1"/>
  <c r="AC73" i="29"/>
  <c r="V18" i="29" l="1"/>
  <c r="AM18" i="29"/>
  <c r="AO18" i="29" s="1"/>
  <c r="AD73" i="29"/>
  <c r="AD5" i="29" s="1"/>
  <c r="F7" i="35" s="1"/>
  <c r="AN74" i="29"/>
  <c r="AO74" i="29" s="1"/>
  <c r="AO7" i="29"/>
  <c r="B12" i="35"/>
  <c r="S5" i="29"/>
  <c r="AC5" i="29"/>
  <c r="W95" i="22"/>
  <c r="C7" i="34"/>
  <c r="L21" i="29"/>
  <c r="W20" i="29"/>
  <c r="Y20" i="29" s="1"/>
  <c r="M21" i="29"/>
  <c r="Z20" i="29"/>
  <c r="K20" i="29"/>
  <c r="T19" i="29"/>
  <c r="V19" i="29" l="1"/>
  <c r="AM19" i="29"/>
  <c r="AO19" i="29" s="1"/>
  <c r="AB20" i="29"/>
  <c r="AN73" i="29"/>
  <c r="AO73" i="29" s="1"/>
  <c r="F12" i="35"/>
  <c r="AE5" i="29"/>
  <c r="B5" i="35"/>
  <c r="B6" i="35"/>
  <c r="X95" i="22"/>
  <c r="K21" i="29"/>
  <c r="T20" i="29"/>
  <c r="L22" i="29"/>
  <c r="W21" i="29"/>
  <c r="Y21" i="29" s="1"/>
  <c r="M22" i="29"/>
  <c r="Z21" i="29"/>
  <c r="AB21" i="29" s="1"/>
  <c r="V20" i="29" l="1"/>
  <c r="AM20" i="29"/>
  <c r="AO20" i="29" s="1"/>
  <c r="B8" i="35"/>
  <c r="F5" i="35"/>
  <c r="F6" i="35"/>
  <c r="Z94" i="22"/>
  <c r="Z95" i="22"/>
  <c r="M23" i="29"/>
  <c r="Z22" i="29"/>
  <c r="AB22" i="29" s="1"/>
  <c r="L23" i="29"/>
  <c r="W22" i="29"/>
  <c r="Y22" i="29" s="1"/>
  <c r="K22" i="29"/>
  <c r="T21" i="29"/>
  <c r="V21" i="29" l="1"/>
  <c r="AM21" i="29"/>
  <c r="AO21" i="29" s="1"/>
  <c r="F8" i="35"/>
  <c r="M24" i="29"/>
  <c r="Z23" i="29"/>
  <c r="AB23" i="29" s="1"/>
  <c r="L24" i="29"/>
  <c r="W23" i="29"/>
  <c r="Y23" i="29" s="1"/>
  <c r="K23" i="29"/>
  <c r="T22" i="29"/>
  <c r="V22" i="29" l="1"/>
  <c r="AM22" i="29"/>
  <c r="AO22" i="29" s="1"/>
  <c r="M25" i="29"/>
  <c r="Z24" i="29"/>
  <c r="AB24" i="29" s="1"/>
  <c r="L25" i="29"/>
  <c r="W24" i="29"/>
  <c r="Y24" i="29" s="1"/>
  <c r="K24" i="29"/>
  <c r="T23" i="29"/>
  <c r="V23" i="29" l="1"/>
  <c r="AM23" i="29"/>
  <c r="AO23" i="29" s="1"/>
  <c r="M26" i="29"/>
  <c r="Z25" i="29"/>
  <c r="AB25" i="29" s="1"/>
  <c r="L26" i="29"/>
  <c r="W25" i="29"/>
  <c r="Y25" i="29" s="1"/>
  <c r="K25" i="29"/>
  <c r="T24" i="29"/>
  <c r="V24" i="29" l="1"/>
  <c r="AM24" i="29"/>
  <c r="AO24" i="29" s="1"/>
  <c r="M27" i="29"/>
  <c r="Z26" i="29"/>
  <c r="AB26" i="29" s="1"/>
  <c r="L27" i="29"/>
  <c r="W26" i="29"/>
  <c r="Y26" i="29" s="1"/>
  <c r="K26" i="29"/>
  <c r="T25" i="29"/>
  <c r="V25" i="29" l="1"/>
  <c r="AM25" i="29"/>
  <c r="AO25" i="29" s="1"/>
  <c r="L28" i="29"/>
  <c r="W27" i="29"/>
  <c r="Y27" i="29" s="1"/>
  <c r="K27" i="29"/>
  <c r="T26" i="29"/>
  <c r="M28" i="29"/>
  <c r="Z27" i="29"/>
  <c r="AB27" i="29" s="1"/>
  <c r="V26" i="29" l="1"/>
  <c r="AM26" i="29"/>
  <c r="AO26" i="29" s="1"/>
  <c r="K28" i="29"/>
  <c r="T27" i="29"/>
  <c r="M29" i="29"/>
  <c r="Z28" i="29"/>
  <c r="AB28" i="29" s="1"/>
  <c r="L29" i="29"/>
  <c r="W28" i="29"/>
  <c r="Y28" i="29" s="1"/>
  <c r="V27" i="29" l="1"/>
  <c r="AM27" i="29"/>
  <c r="AO27" i="29" s="1"/>
  <c r="K29" i="29"/>
  <c r="T28" i="29"/>
  <c r="M30" i="29"/>
  <c r="Z29" i="29"/>
  <c r="AB29" i="29" s="1"/>
  <c r="L30" i="29"/>
  <c r="W29" i="29"/>
  <c r="Y29" i="29" s="1"/>
  <c r="X12" i="29"/>
  <c r="X11" i="29" s="1"/>
  <c r="X6" i="29" s="1"/>
  <c r="V28" i="29" l="1"/>
  <c r="AM28" i="29"/>
  <c r="AO28" i="29" s="1"/>
  <c r="X5" i="29"/>
  <c r="D7" i="35" s="1"/>
  <c r="L31" i="29"/>
  <c r="W30" i="29"/>
  <c r="Y30" i="29" s="1"/>
  <c r="M31" i="29"/>
  <c r="Z30" i="29"/>
  <c r="AB30" i="29" s="1"/>
  <c r="K30" i="29"/>
  <c r="T29" i="29"/>
  <c r="V29" i="29" l="1"/>
  <c r="AM29" i="29"/>
  <c r="AO29" i="29" s="1"/>
  <c r="M32" i="29"/>
  <c r="Z31" i="29"/>
  <c r="AB31" i="29" s="1"/>
  <c r="K31" i="29"/>
  <c r="T30" i="29"/>
  <c r="L32" i="29"/>
  <c r="W31" i="29"/>
  <c r="V30" i="29" l="1"/>
  <c r="AM30" i="29"/>
  <c r="AO30" i="29" s="1"/>
  <c r="K32" i="29"/>
  <c r="T31" i="29"/>
  <c r="M33" i="29"/>
  <c r="Z32" i="29"/>
  <c r="AB32" i="29" s="1"/>
  <c r="Y31" i="29"/>
  <c r="L33" i="29"/>
  <c r="W32" i="29"/>
  <c r="Y32" i="29" s="1"/>
  <c r="V31" i="29" l="1"/>
  <c r="AM31" i="29"/>
  <c r="AO31" i="29" s="1"/>
  <c r="M34" i="29"/>
  <c r="Z33" i="29"/>
  <c r="AB33" i="29" s="1"/>
  <c r="L34" i="29"/>
  <c r="W33" i="29"/>
  <c r="Y33" i="29" s="1"/>
  <c r="K33" i="29"/>
  <c r="T32" i="29"/>
  <c r="AA12" i="29"/>
  <c r="AA11" i="29" s="1"/>
  <c r="AA6" i="29" s="1"/>
  <c r="V32" i="29" l="1"/>
  <c r="AM32" i="29"/>
  <c r="AO32" i="29" s="1"/>
  <c r="L35" i="29"/>
  <c r="W35" i="29" s="1"/>
  <c r="Y35" i="29" s="1"/>
  <c r="W34" i="29"/>
  <c r="Y34" i="29" s="1"/>
  <c r="K34" i="29"/>
  <c r="T33" i="29"/>
  <c r="M35" i="29"/>
  <c r="Z35" i="29" s="1"/>
  <c r="Z34" i="29"/>
  <c r="AB34" i="29" s="1"/>
  <c r="U12" i="29"/>
  <c r="AA5" i="29"/>
  <c r="E7" i="35" s="1"/>
  <c r="V33" i="29" l="1"/>
  <c r="AM33" i="29"/>
  <c r="AO33" i="29" s="1"/>
  <c r="AB35" i="29"/>
  <c r="Z12" i="29"/>
  <c r="Z11" i="29" s="1"/>
  <c r="U11" i="29"/>
  <c r="AN12" i="29"/>
  <c r="U6" i="29"/>
  <c r="AN6" i="29" s="1"/>
  <c r="AN5" i="29" s="1"/>
  <c r="AN11" i="29"/>
  <c r="K35" i="29"/>
  <c r="T35" i="29" s="1"/>
  <c r="T34" i="29"/>
  <c r="Y12" i="29"/>
  <c r="Y11" i="29" s="1"/>
  <c r="AB12" i="29"/>
  <c r="AB11" i="29" s="1"/>
  <c r="U5" i="29"/>
  <c r="C7" i="35" s="1"/>
  <c r="V34" i="29" l="1"/>
  <c r="AM34" i="29"/>
  <c r="AO34" i="29" s="1"/>
  <c r="V35" i="29"/>
  <c r="AM35" i="29"/>
  <c r="AO35" i="29" s="1"/>
  <c r="T12" i="29"/>
  <c r="Z6" i="29"/>
  <c r="Z5" i="29" s="1"/>
  <c r="G7" i="35"/>
  <c r="V12" i="29" l="1"/>
  <c r="T11" i="29"/>
  <c r="AB6" i="29"/>
  <c r="E12" i="35"/>
  <c r="AB5" i="29"/>
  <c r="V11" i="29" l="1"/>
  <c r="T6" i="29"/>
  <c r="E5" i="35"/>
  <c r="E6" i="35"/>
  <c r="V6" i="29" l="1"/>
  <c r="T5" i="29"/>
  <c r="E8" i="35"/>
  <c r="F73" i="22"/>
  <c r="C12" i="35" l="1"/>
  <c r="V5" i="29"/>
  <c r="F66" i="22"/>
  <c r="F64" i="22" s="1"/>
  <c r="G73" i="22"/>
  <c r="H73" i="22" s="1"/>
  <c r="F65" i="22"/>
  <c r="F5" i="22" s="1"/>
  <c r="AQ4" i="22"/>
  <c r="E66" i="22"/>
  <c r="E64" i="22" s="1"/>
  <c r="C6" i="35" l="1"/>
  <c r="C5" i="35"/>
  <c r="H66" i="22"/>
  <c r="H64" i="22" s="1"/>
  <c r="G66" i="22"/>
  <c r="G64" i="22" s="1"/>
  <c r="E65" i="22"/>
  <c r="E5" i="22" s="1"/>
  <c r="E8" i="34"/>
  <c r="C8" i="35" l="1"/>
  <c r="G65" i="22"/>
  <c r="G5" i="22" s="1"/>
  <c r="E7" i="34"/>
  <c r="E19" i="34" l="1"/>
  <c r="F7" i="34"/>
  <c r="O4" i="22"/>
  <c r="B58" i="22"/>
  <c r="D58" i="22" l="1"/>
  <c r="B44" i="22"/>
  <c r="B6" i="22" s="1"/>
  <c r="B7" i="22" s="1"/>
  <c r="B5" i="22" s="1"/>
  <c r="D44" i="22" l="1"/>
  <c r="D6" i="22" s="1"/>
  <c r="H58" i="22"/>
  <c r="H44" i="22" s="1"/>
  <c r="R1" i="22" l="1"/>
  <c r="S1" i="22" s="1"/>
  <c r="D6" i="34"/>
  <c r="D3" i="34"/>
  <c r="F6" i="34"/>
  <c r="B3" i="34" l="1"/>
  <c r="F3" i="34"/>
  <c r="C3" i="34"/>
  <c r="W11" i="29" l="1"/>
  <c r="AM11" i="29" s="1"/>
  <c r="AO11" i="29" l="1"/>
  <c r="W6" i="29"/>
  <c r="Y6" i="29" s="1"/>
  <c r="Y5" i="29" s="1"/>
  <c r="D12" i="35"/>
  <c r="AO12" i="29"/>
  <c r="AO6" i="29" l="1"/>
  <c r="AM5" i="29"/>
  <c r="AO5" i="29" s="1"/>
  <c r="D5" i="35"/>
  <c r="D6" i="35"/>
  <c r="G6" i="35" s="1"/>
  <c r="G5" i="35" l="1"/>
  <c r="D8" i="35"/>
  <c r="G8" i="35" l="1"/>
  <c r="F9" i="35" l="1"/>
  <c r="B9" i="35"/>
  <c r="C9" i="35"/>
  <c r="E9" i="35"/>
  <c r="D9" i="35"/>
  <c r="G9" i="35" l="1"/>
  <c r="D7" i="22" l="1"/>
  <c r="D112" i="22"/>
  <c r="D15" i="34" s="1"/>
  <c r="D94" i="22"/>
  <c r="D111" i="22"/>
  <c r="H110" i="22"/>
  <c r="H94" i="22" s="1"/>
  <c r="F15" i="34" l="1"/>
  <c r="C15" i="34"/>
  <c r="B15" i="34"/>
  <c r="D65" i="22"/>
  <c r="D5" i="22" s="1"/>
  <c r="F16" i="39" s="1"/>
  <c r="H111" i="22"/>
  <c r="H7" i="22" s="1"/>
  <c r="D14" i="34"/>
  <c r="H112" i="22"/>
  <c r="H65" i="22" s="1"/>
  <c r="B14" i="34" l="1"/>
  <c r="B11" i="34" s="1"/>
  <c r="B19" i="34" s="1"/>
  <c r="C14" i="34"/>
  <c r="C11" i="34" s="1"/>
  <c r="C19" i="34" s="1"/>
  <c r="F14" i="34"/>
  <c r="D11" i="34"/>
  <c r="D19" i="34" s="1"/>
  <c r="H5" i="22"/>
  <c r="F11" i="34" l="1"/>
  <c r="F19" i="34" s="1"/>
  <c r="G14" i="34"/>
  <c r="E20" i="34" l="1"/>
  <c r="G4" i="34"/>
  <c r="G19" i="34"/>
  <c r="G6" i="34"/>
  <c r="G16" i="34"/>
  <c r="G9" i="34"/>
  <c r="G3" i="34"/>
  <c r="G13" i="34"/>
  <c r="G12" i="34"/>
  <c r="G8" i="34"/>
  <c r="G17" i="34"/>
  <c r="G5" i="34"/>
  <c r="F20" i="34"/>
  <c r="G18" i="34"/>
  <c r="G7" i="34"/>
  <c r="G10" i="34"/>
  <c r="G15" i="34"/>
  <c r="D20" i="34"/>
  <c r="C20" i="34"/>
  <c r="G11" i="34" l="1"/>
</calcChain>
</file>

<file path=xl/sharedStrings.xml><?xml version="1.0" encoding="utf-8"?>
<sst xmlns="http://schemas.openxmlformats.org/spreadsheetml/2006/main" count="2147" uniqueCount="723">
  <si>
    <t>EC-L1253 - PROGRAMA DE APOYO A LA MEJORA DE LA EFICIENCIA TRIBUTARIA Y ADUANERA</t>
  </si>
  <si>
    <t>Ajuste</t>
  </si>
  <si>
    <t>Presupuesto (En dólares estadounidenses)</t>
  </si>
  <si>
    <t>Componente / Subcomponente / Producto</t>
  </si>
  <si>
    <t>BID</t>
  </si>
  <si>
    <t>IVA BID</t>
  </si>
  <si>
    <t>Total BID</t>
  </si>
  <si>
    <t>Fiscal</t>
  </si>
  <si>
    <t>IVA Fiscal</t>
  </si>
  <si>
    <t>Total Fiscal</t>
  </si>
  <si>
    <t>TOTAL INVERSIÓN</t>
  </si>
  <si>
    <t>Consultorías individuales - Fuente BID</t>
  </si>
  <si>
    <t>Consultorías individuales - Fuente FISCAL</t>
  </si>
  <si>
    <t>Firmas Consultoras - Fuente BID</t>
  </si>
  <si>
    <t xml:space="preserve"> Bienes - Fuente BID</t>
  </si>
  <si>
    <t xml:space="preserve"> Bienes - Fuente Fiscal</t>
  </si>
  <si>
    <t>Servicios diferentes de consultoría - Fuente BID</t>
  </si>
  <si>
    <t>Obras - Fuente BID</t>
  </si>
  <si>
    <t>Otros - Fuente BID</t>
  </si>
  <si>
    <t>TOTAL GENERAL</t>
  </si>
  <si>
    <t>Descripción</t>
  </si>
  <si>
    <t>Unitario Monto</t>
  </si>
  <si>
    <t>Meses</t>
  </si>
  <si>
    <t>Especialistas</t>
  </si>
  <si>
    <t>Subtotal</t>
  </si>
  <si>
    <t>IVA</t>
  </si>
  <si>
    <t>TOTAL</t>
  </si>
  <si>
    <t>Unidad Monto</t>
  </si>
  <si>
    <t xml:space="preserve">TOTAL </t>
  </si>
  <si>
    <t>Unidades</t>
  </si>
  <si>
    <t>Cant,</t>
  </si>
  <si>
    <t>M2</t>
  </si>
  <si>
    <t>Especialista</t>
  </si>
  <si>
    <t xml:space="preserve">Total Componente I: Fortalecimiento institucional del SRI </t>
  </si>
  <si>
    <t xml:space="preserve">Componente I. Fortalecimiento institucional del Servicio de Rentas Internas </t>
  </si>
  <si>
    <t>Pro Memoria: Total SRI (+Auditoría+Evaluación+Contingencias)+UEP</t>
  </si>
  <si>
    <t>Total Subcomponente I: Migración al CDS-CNT</t>
  </si>
  <si>
    <t>Subcomponente I - Migración al CDS-CNT</t>
  </si>
  <si>
    <t>1.1 Migración de mobiliario Data Center principal y secundario</t>
  </si>
  <si>
    <t>Moving Data center (Servicios logisticos para traslado de los equipos al nuevo data center)</t>
  </si>
  <si>
    <t>Expertos para migración de Data Center</t>
  </si>
  <si>
    <t>Total Subcomponente II: Renovación tecnológica</t>
  </si>
  <si>
    <t xml:space="preserve">Subcomponente II - Renovaciónn tecnológica </t>
  </si>
  <si>
    <t>1.2 Plan de equipamiento para comunicaciones, seguridad e infraestructura de aplicaciones.</t>
  </si>
  <si>
    <t xml:space="preserve">Adquisición De Equipos De Comunicaciones </t>
  </si>
  <si>
    <t xml:space="preserve">Adquisición De Equipos Ruteadores </t>
  </si>
  <si>
    <t xml:space="preserve"> Adquisición Equipos Aceleradores De Red </t>
  </si>
  <si>
    <t xml:space="preserve">Adquisición Crecimiento Servidores Base De Datos </t>
  </si>
  <si>
    <t xml:space="preserve">Adquisición De Infraestructura De Capa Media  </t>
  </si>
  <si>
    <t xml:space="preserve">Mantenimiento de Infraestructura De Capa Media  </t>
  </si>
  <si>
    <t>Global</t>
  </si>
  <si>
    <t xml:space="preserve">Adquisición Crecimiento Sistema De Almacenamiento </t>
  </si>
  <si>
    <t xml:space="preserve">Mantenimiento de Crecimiento Sistema De Almacenamiento </t>
  </si>
  <si>
    <t>Adquisición Sistema De Respaldos</t>
  </si>
  <si>
    <t>Mantenimiento de Sistema De Respaldos</t>
  </si>
  <si>
    <t xml:space="preserve">Adquisición Herramienta Gestión De Identidades </t>
  </si>
  <si>
    <t xml:space="preserve">Mantenimiento de Herramienta Gestión De Identidades </t>
  </si>
  <si>
    <t xml:space="preserve">Renovación Tecnológica De La Solución De Seguridad De Base De Datos </t>
  </si>
  <si>
    <t xml:space="preserve">Mantenimiento de Renovación Tecnológica De La Solución De Seguridad De Base De Datos </t>
  </si>
  <si>
    <t xml:space="preserve">Adquisición Sistema De Prevención De Instrusos - Gye </t>
  </si>
  <si>
    <t xml:space="preserve">Almacenamiento Seguro De Llaves Privadas </t>
  </si>
  <si>
    <t xml:space="preserve">Mantenimiento de Almacenamiento Seguro De Llaves Privadas </t>
  </si>
  <si>
    <t xml:space="preserve">Data Loss Prevention </t>
  </si>
  <si>
    <t xml:space="preserve">Mantenimiento de Data Loss Prevention </t>
  </si>
  <si>
    <t xml:space="preserve">Renovación Firewall De Nueva Generación  Ngfw </t>
  </si>
  <si>
    <t xml:space="preserve">Mantenimiento de Renovación Firewall De Nueva Generación  Ngfw </t>
  </si>
  <si>
    <t>Renovación Sistema de Prevención de Instrusos NGIPS (UIO IPS de nueva generación para el centro de datos principal)</t>
  </si>
  <si>
    <t>Mantenimiento de Renovación Sistema de Prevención de Instrusos NGIPS (UIO IPS de nueva generación para el centro de datos principal)</t>
  </si>
  <si>
    <t xml:space="preserve">Adquisición De Equipos Informáticos Para Estaciones de Trabajo </t>
  </si>
  <si>
    <t xml:space="preserve">Mantenimiento de Equipos Informáticos Para Estaciones de Trabajo </t>
  </si>
  <si>
    <t xml:space="preserve"> Adquisición De Equipos De Calidad De Servicio </t>
  </si>
  <si>
    <t xml:space="preserve">Mantenimiento de Equipos De Calidad De Servicio </t>
  </si>
  <si>
    <t xml:space="preserve">Servicio de monitoreo y gestión de amenazas de seguridad </t>
  </si>
  <si>
    <t xml:space="preserve">Renovación Infraestructura De Red </t>
  </si>
  <si>
    <t xml:space="preserve">Mantenimiento de Renovación Infraestructura De Red </t>
  </si>
  <si>
    <t xml:space="preserve">Renovación Servidores Base De Datos </t>
  </si>
  <si>
    <t xml:space="preserve">Mantenimiento de Renovación Servidores Base De Datos </t>
  </si>
  <si>
    <t xml:space="preserve"> Renovación  Sistema De Almacenamiento </t>
  </si>
  <si>
    <t xml:space="preserve">Mantenimiento de Renovación  Sistema De Almacenamiento </t>
  </si>
  <si>
    <t xml:space="preserve">Renovación Infraestructura Noc </t>
  </si>
  <si>
    <t xml:space="preserve">Mantenimiento de Renovación Infraestructura Noc </t>
  </si>
  <si>
    <t>Renovación Sistema De Balanceo</t>
  </si>
  <si>
    <t>Mantenimiento de Renovación Sistema De Balanceo</t>
  </si>
  <si>
    <t>Renovación Equipos Aceleradores De Red</t>
  </si>
  <si>
    <t>Mantenimiento de Renovación Equipos Aceleradores De Red</t>
  </si>
  <si>
    <t>1.3. Plan de automatización de procesos tecnológicos.</t>
  </si>
  <si>
    <t>Transversales analistas de tecnología</t>
  </si>
  <si>
    <t xml:space="preserve">Herramientas De Arquitectura Tecnológica </t>
  </si>
  <si>
    <t xml:space="preserve">Servicio De Pruebas De Carga De Aplicaciones Web </t>
  </si>
  <si>
    <t xml:space="preserve">Herramienta De Automatización De Liberaciones Con Devops </t>
  </si>
  <si>
    <t xml:space="preserve">Herramienta De Validación De Código Estático </t>
  </si>
  <si>
    <t>Total Subcomponente III: Innovación y mejora en los procesos de control tributario</t>
  </si>
  <si>
    <t>Subcomponente III - Innovación y mejora en los procesos de control tributario</t>
  </si>
  <si>
    <t xml:space="preserve">1.1 Control Catastral </t>
  </si>
  <si>
    <t>Expertos</t>
  </si>
  <si>
    <t xml:space="preserve">1.2 Comprobantes Electrónicos </t>
  </si>
  <si>
    <t xml:space="preserve">1.3 Gestión de Casos </t>
  </si>
  <si>
    <t xml:space="preserve">1.4 Genéricos Repotenciados </t>
  </si>
  <si>
    <t xml:space="preserve">1.5 Expediente Integral del Contribuyente </t>
  </si>
  <si>
    <t xml:space="preserve">1.6 Gestión de Riesgos Tributarios </t>
  </si>
  <si>
    <t xml:space="preserve">1.7 Gestión Documental </t>
  </si>
  <si>
    <t xml:space="preserve">1.8 Gestión de la Información </t>
  </si>
  <si>
    <t>Servidores de base de datos principales para Procesamiento masivo Big data</t>
  </si>
  <si>
    <t>Hardware y software para la gestión de infraestructura de base de datos para Procesamiento masivo Big data</t>
  </si>
  <si>
    <t xml:space="preserve">Implementación de software, hardware y transfenrencia de conocimiento para Procesamiento masivo </t>
  </si>
  <si>
    <t xml:space="preserve">1.9 Gestión del Talento Humano </t>
  </si>
  <si>
    <t>Total Componente II: Fortalecimiento institucional del SENAE</t>
  </si>
  <si>
    <t>Componente 2. Fortalecimiento institucional del SENAE</t>
  </si>
  <si>
    <t>Pro Memoria: Total SENAE (+Auditoría+Evaluación+Contingencias)+UEP</t>
  </si>
  <si>
    <t>Total Subcomponente I: Modernización de la plataforma tecnológica</t>
  </si>
  <si>
    <t xml:space="preserve">Subcomponente II. Modernización de la Plataforma Tecnológica </t>
  </si>
  <si>
    <t xml:space="preserve">Subcomponente III. Modernización de la Plataforma Tecnológica </t>
  </si>
  <si>
    <t>2.1. Sistema informático aduanero mejorado e integrado</t>
  </si>
  <si>
    <t>Consultoría de apoyo y acompañamiento de TI para manejo de proyecto</t>
  </si>
  <si>
    <t>Consultoría especializada para el diseño de nueva arquitectura del sistema Ecuapass, para el diseño e implementación de la nueva versión del sistema aduanero y el entrenamiento para usuarios internos y externos</t>
  </si>
  <si>
    <t>2.2 Plataforma basada en Big Data e Inteligencia Artificial implementada</t>
  </si>
  <si>
    <t>Consultoría para análisis de datos estructurados y no estructurados, incorporación de aprendizaje automático, definición de algoritmos para la detección de defraudación aduanera, implementación de un sistema de selectividad basado en modelos analíticos e inteligencia artificial y entrenamiento a usuarios</t>
  </si>
  <si>
    <t>2.3 Plataforma de Data Warehouse y Business Inteligence implementada</t>
  </si>
  <si>
    <t>Consultoría para Implementación de Data Warehouse y Business Intelligence, Consultoría para actualización del proceso de extracción, transformación y carga (ETL), diseño de reportería e indicadores de gestión y actualización de dashboards y datamarts</t>
  </si>
  <si>
    <t>2.4 Plan de renovación de Infraestructura Tecnológica</t>
  </si>
  <si>
    <t xml:space="preserve">Desarrolladores Informáticos </t>
  </si>
  <si>
    <t>Adquisión e implementación de Switch de acceso y distribución, DLP, Balanceador y equipos de escritorio / laptops</t>
  </si>
  <si>
    <t>Renovación de infraestructura tecnológica: Netezza/dataware house, Correlacionador de eventos, Infraestructura de escritorios virtuales y Correo electrónico</t>
  </si>
  <si>
    <t>2.5 Modelo de Gestión Integral de Riesgo implementado</t>
  </si>
  <si>
    <t>Consultoría para el diseño e implementación de un nuevo modelo de riesgos integrado y otros elementos de gobernanza, analítica e inteligencia artificial</t>
  </si>
  <si>
    <t>Total Subcomponente II: Fortalecimiento de los procesos operativos del SENAE</t>
  </si>
  <si>
    <t>Subcomponente I. Fortalecimiento de los procesos operativos del SENAE</t>
  </si>
  <si>
    <t xml:space="preserve">Subcomponente I. Fortalecimiento del Modelo de Gestión Institucional </t>
  </si>
  <si>
    <t>2.6 Unidades móviles terrestres adquiridas</t>
  </si>
  <si>
    <t xml:space="preserve">Patrulleros equipados </t>
  </si>
  <si>
    <t>Furgón de 7 toneladas</t>
  </si>
  <si>
    <t>2.7 Equipo de seguridad, protección y control adquirido</t>
  </si>
  <si>
    <t>Equipo de seguridad y protección (chalecos, cascos, linternas, esposas, toletes), tecnología de control (detector de trazas, sistema de video cámara de inspección, boroscopio)</t>
  </si>
  <si>
    <t xml:space="preserve">Canes K-9 y detector de dinero </t>
  </si>
  <si>
    <t>Equipos de comunicación</t>
  </si>
  <si>
    <t>2.8 Equipamiento Centro de Formación para vigilantes aduaneros reacondicionado</t>
  </si>
  <si>
    <t>Equipamiento tecnológico para el centro de cómputo y conectividad</t>
  </si>
  <si>
    <t>2.10 Laboratorio aduanero modernizado</t>
  </si>
  <si>
    <t>Servicio de mantenimiento y calibración de equipos</t>
  </si>
  <si>
    <t>Consultoría para la certificación ISO 17025</t>
  </si>
  <si>
    <t>Adquisición de equipos y servicios para el laboratorio</t>
  </si>
  <si>
    <t>Total Subcomponente III: Fortalecimiento del talento humano</t>
  </si>
  <si>
    <t>2.11 Sistema integral de gestión de Talento Humano implementado</t>
  </si>
  <si>
    <t>Consultoría organizacional sobre RRHH, planificación del talento humano y evaluación del desempeño</t>
  </si>
  <si>
    <t>Software integrado con funcionalidades de nómina, viáticos, traslado de personal, selección, capacitación, evaluación, clima laboral y bienestar social</t>
  </si>
  <si>
    <t>2.12 Funcionarios de SENAE con nuevas capacidades incorporadas</t>
  </si>
  <si>
    <t xml:space="preserve">Consultoría para el Plan de Fortalecimiento de Capacidades </t>
  </si>
  <si>
    <t>Adquisición de servidor para alojar la plataforma</t>
  </si>
  <si>
    <t>Implementación de software de capacitación y entrenamiento</t>
  </si>
  <si>
    <t>Consultoría para el fortalecimiento en gestión de proyectos y programas del SENAE</t>
  </si>
  <si>
    <t>Administración del Programa</t>
  </si>
  <si>
    <t>Coordinación del Componente I</t>
  </si>
  <si>
    <t>Implementación Project</t>
  </si>
  <si>
    <t>Licencias MS Project</t>
  </si>
  <si>
    <t>Servicios de implementación y soporte project</t>
  </si>
  <si>
    <t>Gerente de Portafolio</t>
  </si>
  <si>
    <t>Coordinador de Gestión</t>
  </si>
  <si>
    <t>Secretaría Ejecutiva</t>
  </si>
  <si>
    <t>Experto  (Equipo de Gestión)</t>
  </si>
  <si>
    <t xml:space="preserve">Experto </t>
  </si>
  <si>
    <t>Especialista (Equipo de Gestión)</t>
  </si>
  <si>
    <t>Coordinación Componente II - SENAE</t>
  </si>
  <si>
    <t>Coordinador de Proyecto</t>
  </si>
  <si>
    <t xml:space="preserve">Líder de Proyecto </t>
  </si>
  <si>
    <t xml:space="preserve">Experto Financiero </t>
  </si>
  <si>
    <t>Expertos Adquisión</t>
  </si>
  <si>
    <t xml:space="preserve">Experto Monitoreo y Planificación </t>
  </si>
  <si>
    <t>Experto TI arquitectura, TI desarrollo, TI infraestructura</t>
  </si>
  <si>
    <t>Otros costos y contingencias</t>
  </si>
  <si>
    <t xml:space="preserve">Auditoría </t>
  </si>
  <si>
    <t>Componente I</t>
  </si>
  <si>
    <t>Componente II</t>
  </si>
  <si>
    <t>Evaluación (Medio término, final, de impacto, análisis económico ex-post y PCR)</t>
  </si>
  <si>
    <t>Contingencias - Componente I</t>
  </si>
  <si>
    <t>Contingencias - Componente II</t>
  </si>
  <si>
    <t>Mantenimiento equipo 2.4 Plan de renovación de Infraestructura Tecnológica</t>
  </si>
  <si>
    <t>PLAN DE EJECUCIÓN PLURIANUAL DEL PROGRAMA</t>
  </si>
  <si>
    <t>YEAR 1</t>
  </si>
  <si>
    <t>YEAR 2</t>
  </si>
  <si>
    <t>YEAR 3</t>
  </si>
  <si>
    <t>YEAR 4</t>
  </si>
  <si>
    <t>YEAR 5</t>
  </si>
  <si>
    <t>YEAR 6</t>
  </si>
  <si>
    <t>YEAR 7</t>
  </si>
  <si>
    <t>Total APORTE LOCAL</t>
  </si>
  <si>
    <t xml:space="preserve">Total </t>
  </si>
  <si>
    <t>Total PROGRAMA EC-L1253</t>
  </si>
  <si>
    <t>TOTAL BID</t>
  </si>
  <si>
    <t>FISCAL</t>
  </si>
  <si>
    <t>IVA FISCAL</t>
  </si>
  <si>
    <t>TOTAL FISCAL</t>
  </si>
  <si>
    <t>Año 1</t>
  </si>
  <si>
    <t>Año 2</t>
  </si>
  <si>
    <t>Año 3</t>
  </si>
  <si>
    <t>Año 4</t>
  </si>
  <si>
    <t>Año 5</t>
  </si>
  <si>
    <t>Añ06</t>
  </si>
  <si>
    <t>Año7</t>
  </si>
  <si>
    <t>LOCAL</t>
  </si>
  <si>
    <t>Subcomponente I. Migración al CDS-CNT</t>
  </si>
  <si>
    <t>1.1 Data Center</t>
  </si>
  <si>
    <t>Subcomponente II. Renovación Técnologica</t>
  </si>
  <si>
    <t>1.3 Plan de gestión de automatización de procesos tecnológicos.</t>
  </si>
  <si>
    <t>Transversales Tecnología y Gestión de la Calidad</t>
  </si>
  <si>
    <t>Subcomponente III. Innovación y mejora en los procesos de control tributario</t>
  </si>
  <si>
    <t>1.1 Control Catastral</t>
  </si>
  <si>
    <t>1.2 Comprobantes Electrónicos</t>
  </si>
  <si>
    <t>1.3 Gestión de Casos</t>
  </si>
  <si>
    <t>1.4 Genéricos Repotenciados</t>
  </si>
  <si>
    <t>1.5 Expediente integral del contribuyente</t>
  </si>
  <si>
    <t>1.6 Gestión de Riesgos Tributarios</t>
  </si>
  <si>
    <t>1.7 Gestión Documental</t>
  </si>
  <si>
    <t xml:space="preserve">Servidores de base de datos principales para Procesamiento masivo </t>
  </si>
  <si>
    <t xml:space="preserve">Hardware y software para la gestión de infraestructura de base de datos para Procesamiento masivo </t>
  </si>
  <si>
    <t xml:space="preserve"> Implementación de software, hardware y transfenrencia de conocimiento para Procesamiento masivo </t>
  </si>
  <si>
    <t>1.9 Gestión del Talento Humano</t>
  </si>
  <si>
    <t>Componente II: Fortalecimiento institucional del SENAE</t>
  </si>
  <si>
    <t>2.4 Plan de renovación de infraestructura tecnológica</t>
  </si>
  <si>
    <t>Adquisión e implementación de Switch de acceso y distribución, DLP, Balanceador y equipos de escritorio / laptops /  Netezza/dataware house, Correlacionador de eventos, Infraestructura de escritorios virtuales y Correo electrónico</t>
  </si>
  <si>
    <t>Consultoría para el servicio de mantenimiento y calibración de equipos</t>
  </si>
  <si>
    <t>Administración y otros costos</t>
  </si>
  <si>
    <t>Administracion del programa</t>
  </si>
  <si>
    <t>Coordinación Componente II</t>
  </si>
  <si>
    <t>Auditoría y evaluación</t>
  </si>
  <si>
    <t>Auditoría</t>
  </si>
  <si>
    <t xml:space="preserve">      Evaluación</t>
  </si>
  <si>
    <t>Reserva contingencias</t>
  </si>
  <si>
    <t>Contingencias Componente I</t>
  </si>
  <si>
    <t>Contingencias Componente II</t>
  </si>
  <si>
    <t>INFORMACIÓN PARA CARGA INICIAL DEL PLAN DE ADQUISICIONES (EN CURSO Y/O ULTIMO PRESENTADO)</t>
  </si>
  <si>
    <t>OBRAS</t>
  </si>
  <si>
    <t>Producto</t>
  </si>
  <si>
    <t>Unidad Ejecutora:</t>
  </si>
  <si>
    <t>Actividad: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</si>
  <si>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</si>
  <si>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</si>
  <si>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</si>
  <si>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</si>
  <si>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</si>
  <si>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</si>
  <si>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</si>
  <si>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r>
      <t>Comentarios</t>
    </r>
    <r>
      <rPr>
        <sz val="8"/>
        <color indexed="9"/>
        <rFont val="Calibri"/>
        <family val="2"/>
      </rPr>
      <t xml:space="preserve"> - para UCS incluir método de selección</t>
    </r>
  </si>
  <si>
    <t>Monto Estimado BID en US$:</t>
  </si>
  <si>
    <t>Monto Estimado Local en US$:</t>
  </si>
  <si>
    <t>Monto Estimado % BID:</t>
  </si>
  <si>
    <t>Monto Estimado % Contraparte:</t>
  </si>
  <si>
    <t>Aviso Especial de Adquisiciones</t>
  </si>
  <si>
    <t>Firma del Contrato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</si>
  <si>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</si>
  <si>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</si>
  <si>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SRI</t>
  </si>
  <si>
    <t xml:space="preserve">Licitación Pública Internacional </t>
  </si>
  <si>
    <t>Componente 1</t>
  </si>
  <si>
    <t>Ex-Post</t>
  </si>
  <si>
    <t>Licitación Publica Nacional</t>
  </si>
  <si>
    <t>Comparación de precios</t>
  </si>
  <si>
    <t>Ex-Ante</t>
  </si>
  <si>
    <t>Componente 2</t>
  </si>
  <si>
    <t>Componente 3</t>
  </si>
  <si>
    <t>1.2 Plan de equipamiento para comunicaciones, seguridad e infraestructura de aplicaciones</t>
  </si>
  <si>
    <t xml:space="preserve">Proceso con mantenimiento, normativa </t>
  </si>
  <si>
    <t>1.3 Plan de automatización de procesos tecnológicos</t>
  </si>
  <si>
    <t xml:space="preserve">1.5 Gestión de la Información </t>
  </si>
  <si>
    <t>Licencias Project (40)</t>
  </si>
  <si>
    <t>SENAE</t>
  </si>
  <si>
    <t>Adquisión e implementación de Switch de acceso y distribución</t>
  </si>
  <si>
    <t>DLP</t>
  </si>
  <si>
    <t>Adquisición e implementación de balanceador</t>
  </si>
  <si>
    <t>Equipos de computación: computadoras de escritorio/laptops</t>
  </si>
  <si>
    <t>Mantenimiento equipo</t>
  </si>
  <si>
    <t>Netezza/dataware house</t>
  </si>
  <si>
    <t>Correlacionador de eventos</t>
  </si>
  <si>
    <t>Infraestructura de escritorios virtuales</t>
  </si>
  <si>
    <t>Correo electrónico</t>
  </si>
  <si>
    <t>2.7 Unidades móviles terrestres adquiridas</t>
  </si>
  <si>
    <t>2.8 Equipo de seguridad, protección y control adquirido</t>
  </si>
  <si>
    <t>SERVICIOS DE NO CONSULTORÍA</t>
  </si>
  <si>
    <t>Documento de Licitación</t>
  </si>
  <si>
    <t>1.8 Gestión de la Información y Comprobantes Electrónicos</t>
  </si>
  <si>
    <t>CONSULTORÍAS FIRMAS</t>
  </si>
  <si>
    <t xml:space="preserve">   </t>
  </si>
  <si>
    <t>cantidad</t>
  </si>
  <si>
    <t>N° de proceso</t>
  </si>
  <si>
    <t>Aviso de Expresiones de Interés</t>
  </si>
  <si>
    <t>Selección Basada en Calificación de Consultores</t>
  </si>
  <si>
    <t>Data center fiscalizado por el tiempo de construcción de la obra y hasta el periodo de recepción definitivo</t>
  </si>
  <si>
    <t>Selección Basada en la Calidad y el Costo</t>
  </si>
  <si>
    <t>Selección basada en el menor costo </t>
  </si>
  <si>
    <t>Coordinación del Componente II</t>
  </si>
  <si>
    <t>Evaluación de medio término</t>
  </si>
  <si>
    <t>Evaluación final</t>
  </si>
  <si>
    <t>Evaluación deimpacto</t>
  </si>
  <si>
    <t>Análisis econónico ex post</t>
  </si>
  <si>
    <t>Project completion report</t>
  </si>
  <si>
    <t>CONSULTORÍAS INDIVIDUOS</t>
  </si>
  <si>
    <t>Cantidad Estimada de Consultores:</t>
  </si>
  <si>
    <t>No Objeción a los TdR de la Actividad</t>
  </si>
  <si>
    <t>Firma Contrato</t>
  </si>
  <si>
    <t>3.1, 3.2, 3.4, 3.5, 3.6, y 37</t>
  </si>
  <si>
    <t>Sistema Nacional</t>
  </si>
  <si>
    <t>Contratista de Servicios</t>
  </si>
  <si>
    <t>Productos 1.1, 1.2, 1.3, 1.4, 1.5, 1.6, 1.7, 1.8, 1.9</t>
  </si>
  <si>
    <t>Expertos para el desarrollo de los productos</t>
  </si>
  <si>
    <t>CDC si están levantados de los proyectos</t>
  </si>
  <si>
    <t xml:space="preserve">Especialistas que participarán en el desarrollo los productos </t>
  </si>
  <si>
    <t>Transversales expertos de tecnología/calidad (23)</t>
  </si>
  <si>
    <t>Transeversales especialistas de tecnología/calidad/inteligencia de la información (10)</t>
  </si>
  <si>
    <t>Transeversales especialistas de tecnología/calidad/inteligencia de la información (5)</t>
  </si>
  <si>
    <t>Transversales analistas de tecnología (5)</t>
  </si>
  <si>
    <t>2 Secretaría Ejecutiva  (1 Coordinador de Gestión, 1 Gerencia de Portafolio)</t>
  </si>
  <si>
    <t>Equipo de Gestión  (Los siguientes consultores: 3 Adquisiciones, 2 jurídico, 2 Financiero, 1 Planificación, 2 talento humano)</t>
  </si>
  <si>
    <t>3CV</t>
  </si>
  <si>
    <t>OTROS</t>
  </si>
  <si>
    <t>Contingencias</t>
  </si>
  <si>
    <t>Contingecias</t>
  </si>
  <si>
    <t>DESGLOSE</t>
  </si>
  <si>
    <t>Total</t>
  </si>
  <si>
    <t>Total proyecto</t>
  </si>
  <si>
    <t>Componentes / Subcomponentes</t>
  </si>
  <si>
    <t>KIF</t>
  </si>
  <si>
    <t>BID+KIF</t>
  </si>
  <si>
    <t xml:space="preserve">Local </t>
  </si>
  <si>
    <t>%</t>
  </si>
  <si>
    <t xml:space="preserve">Componente I. Fortalecimiento institucional del SRI </t>
  </si>
  <si>
    <t>Subcomponente 1.1. Migración al CDS-CNT</t>
  </si>
  <si>
    <t>Subcomponente 1.2. Renovación tecnológica</t>
  </si>
  <si>
    <t>Subcomponente 1.3. Innovación y mejora en los procesos de control tributario</t>
  </si>
  <si>
    <t>Componente II. Fortalecimiento institucional del SENAE</t>
  </si>
  <si>
    <t>Subcomponente 2.1. Modernización de la Plataforma Tecnológica</t>
  </si>
  <si>
    <t>Subcomponente 2.2. Fortalecimiento de los procesos operativos del SENAE</t>
  </si>
  <si>
    <t xml:space="preserve">Subcomponente 2.3. Fortalecimiento del Talento Humano </t>
  </si>
  <si>
    <t>Administración y otros gastos</t>
  </si>
  <si>
    <t>Administración CI</t>
  </si>
  <si>
    <t>Administración CII</t>
  </si>
  <si>
    <t>Auditoría CI</t>
  </si>
  <si>
    <t>Auditoría CII</t>
  </si>
  <si>
    <t>Evaluación CI</t>
  </si>
  <si>
    <t>Evaluación CII</t>
  </si>
  <si>
    <t>CRONOGRAMA DE DESEMBOLSOS</t>
  </si>
  <si>
    <t>Fuente</t>
  </si>
  <si>
    <r>
      <t>A</t>
    </r>
    <r>
      <rPr>
        <b/>
        <sz val="12"/>
        <color indexed="8"/>
        <rFont val="Abadi"/>
        <family val="2"/>
        <charset val="1"/>
      </rPr>
      <t>ño 1</t>
    </r>
  </si>
  <si>
    <r>
      <t>A</t>
    </r>
    <r>
      <rPr>
        <b/>
        <sz val="12"/>
        <color indexed="8"/>
        <rFont val="Abadi"/>
        <family val="2"/>
        <charset val="1"/>
      </rPr>
      <t>ño 2</t>
    </r>
    <r>
      <rPr>
        <sz val="11"/>
        <color indexed="8"/>
        <rFont val="Calibri"/>
        <family val="2"/>
      </rPr>
      <t/>
    </r>
  </si>
  <si>
    <r>
      <t>A</t>
    </r>
    <r>
      <rPr>
        <b/>
        <sz val="12"/>
        <color indexed="8"/>
        <rFont val="Abadi"/>
        <family val="2"/>
        <charset val="1"/>
      </rPr>
      <t>ño 3</t>
    </r>
    <r>
      <rPr>
        <sz val="11"/>
        <color indexed="8"/>
        <rFont val="Calibri"/>
        <family val="2"/>
      </rPr>
      <t/>
    </r>
  </si>
  <si>
    <r>
      <t>A</t>
    </r>
    <r>
      <rPr>
        <b/>
        <sz val="12"/>
        <color indexed="8"/>
        <rFont val="Abadi"/>
        <family val="2"/>
        <charset val="1"/>
      </rPr>
      <t>ño 4</t>
    </r>
    <r>
      <rPr>
        <sz val="11"/>
        <color indexed="8"/>
        <rFont val="Calibri"/>
        <family val="2"/>
      </rPr>
      <t/>
    </r>
  </si>
  <si>
    <r>
      <t>A</t>
    </r>
    <r>
      <rPr>
        <b/>
        <sz val="12"/>
        <color indexed="8"/>
        <rFont val="Abadi"/>
        <family val="2"/>
        <charset val="1"/>
      </rPr>
      <t>ño 5</t>
    </r>
    <r>
      <rPr>
        <sz val="11"/>
        <color indexed="8"/>
        <rFont val="Calibri"/>
        <family val="2"/>
      </rPr>
      <t/>
    </r>
  </si>
  <si>
    <t>Local</t>
  </si>
  <si>
    <t>BID + KIF</t>
  </si>
  <si>
    <t>BID % annual</t>
  </si>
  <si>
    <t>KIF % anual</t>
  </si>
  <si>
    <t>Total Aporte local</t>
  </si>
  <si>
    <t>Financiamento climatico</t>
  </si>
  <si>
    <t>Mitigacion u Adaptacion</t>
  </si>
  <si>
    <t>Categoria Financiamento Climatico</t>
  </si>
  <si>
    <t>Subcomponente II. Modernización de la infraestructura institucional: Renovación Técnologica</t>
  </si>
  <si>
    <t>Mitigacion</t>
  </si>
  <si>
    <t>Equipos eficientes</t>
  </si>
  <si>
    <t>Digitalizacion</t>
  </si>
  <si>
    <t>1.7 Gestión documental</t>
  </si>
  <si>
    <t>1.8 Gestión de informacion</t>
  </si>
  <si>
    <t>Subcomponente I: Modernización de la plataforma tecnológica</t>
  </si>
  <si>
    <t>Subcomponente II: Fortalecimiento de los procesos operativos del SENAE</t>
  </si>
  <si>
    <r>
      <t>2.8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Equipamiento tecnológico para el centro de cómputo y conectividad</t>
    </r>
  </si>
  <si>
    <t>% financiamento climatico</t>
  </si>
  <si>
    <t>Total proyecto excluyendo costos administrativos</t>
  </si>
  <si>
    <t>Categories</t>
  </si>
  <si>
    <t>Rates</t>
  </si>
  <si>
    <t>Rates+Per diem+Tickets</t>
  </si>
  <si>
    <t>+Taxes</t>
  </si>
  <si>
    <t>Local consultancy (Arquitectura de Software)</t>
  </si>
  <si>
    <t>Costo mensual de 1 consultor local</t>
  </si>
  <si>
    <t>Local consultancy (Seguridad)</t>
  </si>
  <si>
    <t>Local consultancy (BI)</t>
  </si>
  <si>
    <t>Plataforma Pre-producción Ecuapass (equipos)</t>
  </si>
  <si>
    <t xml:space="preserve">Costo de equipos y licenciamiento </t>
  </si>
  <si>
    <t>Plataforma Pre-producción Ecuapass (software)</t>
  </si>
  <si>
    <t>Fabrica de Software</t>
  </si>
  <si>
    <t>Costo mensual por desarrollador</t>
  </si>
  <si>
    <t>Salario recursos  sustitutos  de MC y TI</t>
  </si>
  <si>
    <t xml:space="preserve">Costo mensual salario </t>
  </si>
  <si>
    <t xml:space="preserve">Plataforma de mantenimiento VUE </t>
  </si>
  <si>
    <t>Adecuaciones de infraestructura</t>
  </si>
  <si>
    <t>Costo /  m2</t>
  </si>
  <si>
    <t xml:space="preserve">Servicio de Cableado estructurado </t>
  </si>
  <si>
    <t>Costo de servicio implementacio</t>
  </si>
  <si>
    <t>Traslado de equipos  tecnológicos</t>
  </si>
  <si>
    <t>Servidores Intel</t>
  </si>
  <si>
    <t>Precio Unitario (equipo,  software, entrenamiento)</t>
  </si>
  <si>
    <t>Servidores Power</t>
  </si>
  <si>
    <t>Servidores Archivo</t>
  </si>
  <si>
    <t>Switches</t>
  </si>
  <si>
    <t>Adquisición e implementación</t>
  </si>
  <si>
    <t xml:space="preserve">Balanceadores </t>
  </si>
  <si>
    <t>Firewards</t>
  </si>
  <si>
    <t>Racks para Servidores</t>
  </si>
  <si>
    <t>Equipo</t>
  </si>
  <si>
    <t>UPS 100 kva</t>
  </si>
  <si>
    <t>Costo unitario</t>
  </si>
  <si>
    <t>Acondicionadores de Aire de Precisión</t>
  </si>
  <si>
    <t>CEMAT</t>
  </si>
  <si>
    <t>Computadores  escritorio</t>
  </si>
  <si>
    <t xml:space="preserve">Computadores  laptops </t>
  </si>
  <si>
    <t>Licenciamiento, soporte</t>
  </si>
  <si>
    <t xml:space="preserve">Programa Anti -DDOS </t>
  </si>
  <si>
    <t>Costo de Software</t>
  </si>
  <si>
    <t>Proxy Server</t>
  </si>
  <si>
    <t>Switches (seguridad)</t>
  </si>
  <si>
    <t>Identitiy Manager</t>
  </si>
  <si>
    <t>Servidor Exchange</t>
  </si>
  <si>
    <t>Servidor de Power BI (software)</t>
  </si>
  <si>
    <t>Servidor de Power BI (hardware)</t>
  </si>
  <si>
    <t>Costo de desvinculación  NJ1</t>
  </si>
  <si>
    <t xml:space="preserve">Costo por persona </t>
  </si>
  <si>
    <t>Consultoría Organizacional</t>
  </si>
  <si>
    <t>Costo por mes</t>
  </si>
  <si>
    <t>Consultoría Train the trainers</t>
  </si>
  <si>
    <t>Inventario de bodegas</t>
  </si>
  <si>
    <t>Costo de clasificación, inventario, registro por pallet, señalización</t>
  </si>
  <si>
    <t>Costo de clasificación, inventario, registro por bulto, señalización</t>
  </si>
  <si>
    <t>Consultoría en Machine Learning</t>
  </si>
  <si>
    <t>Costo Consultoría</t>
  </si>
  <si>
    <t>Desktops Riesgos</t>
  </si>
  <si>
    <t>Servidodores para minería</t>
  </si>
  <si>
    <t>Licencias SSP</t>
  </si>
  <si>
    <t>Licencias nuevos programas</t>
  </si>
  <si>
    <t>Costo de equipos sustitutos riesgos</t>
  </si>
  <si>
    <t>Costo de capacitación IA</t>
  </si>
  <si>
    <t xml:space="preserve">Costo de adecuación de centro de com´puto </t>
  </si>
  <si>
    <t>Costo unitario sala habilitada
(computadores, licencias, mesas, sillas, proyector, pantalla, pizarra, cableado, puntos de  red, audio y pizarra  acrílica)</t>
  </si>
  <si>
    <t>Costo unitario sala sólo entrenamiento</t>
  </si>
  <si>
    <t>International Consultancy</t>
  </si>
  <si>
    <t>Consultoría Plataforma E-learning</t>
  </si>
  <si>
    <t>Solución de Recursos Humanos</t>
  </si>
  <si>
    <t xml:space="preserve">Costo de soporte de garantías, licenciamiento  </t>
  </si>
  <si>
    <t>Costo anual</t>
  </si>
  <si>
    <t>Local consultancy</t>
  </si>
  <si>
    <t>Consultant Firm Int</t>
  </si>
  <si>
    <t>International Lawyer</t>
  </si>
  <si>
    <t>National Lawyer</t>
  </si>
  <si>
    <t>Training consultancy</t>
  </si>
  <si>
    <t>Consultant Firm Local</t>
  </si>
  <si>
    <t>Construction / Remodeling M2</t>
  </si>
  <si>
    <t>Data Base Servers</t>
  </si>
  <si>
    <t>Oracle License</t>
  </si>
  <si>
    <t>By processor</t>
  </si>
  <si>
    <t>Storage type San</t>
  </si>
  <si>
    <t>Rack support Server</t>
  </si>
  <si>
    <t>Communication Servers</t>
  </si>
  <si>
    <t>Lan Network and Core</t>
  </si>
  <si>
    <t>Communication Server WS</t>
  </si>
  <si>
    <t>by point</t>
  </si>
  <si>
    <t>Offices Communication</t>
  </si>
  <si>
    <t>Applications Server</t>
  </si>
  <si>
    <t>Security Platform</t>
  </si>
  <si>
    <t>Contingency Platform</t>
  </si>
  <si>
    <t>Business Intelligence</t>
  </si>
  <si>
    <t>Electronic Document Management Platform</t>
  </si>
  <si>
    <t>Computers (Thin Client)</t>
  </si>
  <si>
    <t>Integrated System for inventory Management and Human Resources Management</t>
  </si>
  <si>
    <t>Noc Room (Network Operating Center)</t>
  </si>
  <si>
    <t>Laptops</t>
  </si>
  <si>
    <t>Rack for Servers</t>
  </si>
  <si>
    <t>UPS 5 kva</t>
  </si>
  <si>
    <t xml:space="preserve">Printers </t>
  </si>
  <si>
    <t>Art an Diagram Services</t>
  </si>
  <si>
    <t>Per diem</t>
  </si>
  <si>
    <t>Training Seminars</t>
  </si>
  <si>
    <t>Accessories for Rack</t>
  </si>
  <si>
    <t>Costo computador para desarrollo</t>
  </si>
  <si>
    <t>Capacidad de Cómputo para Ecuapass</t>
  </si>
  <si>
    <t>Costos Operativos y Administrativos del Centro de Datos Principal por año</t>
  </si>
  <si>
    <t>costo anual</t>
  </si>
  <si>
    <t>Operador de Centro de Cómputo</t>
  </si>
  <si>
    <t>costo mensual por recurso</t>
  </si>
  <si>
    <t>Capacitación a personal en nuevas tecnologías adquiridas y competencias requeridas</t>
  </si>
  <si>
    <t>Table 2.1. Presupuesto del Proyecto (US$)</t>
  </si>
  <si>
    <t>Local MEF</t>
  </si>
  <si>
    <t>Local EMCO</t>
  </si>
  <si>
    <t>Local MERNNR</t>
  </si>
  <si>
    <t>Local MTOP</t>
  </si>
  <si>
    <t>MEF</t>
  </si>
  <si>
    <t>EMCO</t>
  </si>
  <si>
    <t>MERNNR</t>
  </si>
  <si>
    <t>MTOP</t>
  </si>
  <si>
    <t>PAM/PEC</t>
  </si>
  <si>
    <t>CELEC/CNEL</t>
  </si>
  <si>
    <t>TAME</t>
  </si>
  <si>
    <t>1.    Costos Directo</t>
  </si>
  <si>
    <t>2.   Costos Administrativos</t>
  </si>
  <si>
    <t>Evaluación</t>
  </si>
  <si>
    <t>Auditoria</t>
  </si>
  <si>
    <t>3. Contingencia</t>
  </si>
  <si>
    <t xml:space="preserve">* La contraparte local incluye el IVA de todas las actividades </t>
  </si>
  <si>
    <t>Table 2.2.Disbursement Timetable (US$ millons)</t>
  </si>
  <si>
    <t>Source</t>
  </si>
  <si>
    <t>Year 1</t>
  </si>
  <si>
    <t>Year 2</t>
  </si>
  <si>
    <t>Year 3</t>
  </si>
  <si>
    <t>Year 4</t>
  </si>
  <si>
    <t>Year 5</t>
  </si>
  <si>
    <t>IDB</t>
  </si>
  <si>
    <r>
      <t xml:space="preserve">Método de Selección/Adquisición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</si>
  <si>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 xml:space="preserve">Método de Revisión 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</si>
  <si>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>Comentarios</t>
    </r>
    <r>
      <rPr>
        <sz val="8"/>
        <rFont val="Arial"/>
        <family val="2"/>
      </rPr>
      <t xml:space="preserve"> - para UCS incluir método de selección</t>
    </r>
  </si>
  <si>
    <t>Monto Estimado en US$:</t>
  </si>
  <si>
    <t>Proceso Cancelado</t>
  </si>
  <si>
    <t>Declaración de Licitación Desierta</t>
  </si>
  <si>
    <t>Rechazo de Ofertas</t>
  </si>
  <si>
    <t>Contrato En Ejecución</t>
  </si>
  <si>
    <r>
      <t xml:space="preserve">Método de Adquisición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</si>
  <si>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t>Contrato Terminado</t>
  </si>
  <si>
    <t xml:space="preserve">a determinar </t>
  </si>
  <si>
    <t>Licitación Pública Internacional en 2 etapas </t>
  </si>
  <si>
    <t>EMCO (o la entidad que la sustituya)</t>
  </si>
  <si>
    <t>Contratación Directa </t>
  </si>
  <si>
    <t>Selección Basada en la Calidad y Costo </t>
  </si>
  <si>
    <t>MINTEL</t>
  </si>
  <si>
    <t>DNEP</t>
  </si>
  <si>
    <t>Total Coordinación del Proyecto</t>
  </si>
  <si>
    <t>Administración, auditoría, monitoreo y evaluación</t>
  </si>
  <si>
    <t>Precios Unitarios</t>
  </si>
  <si>
    <t>Bienes </t>
  </si>
  <si>
    <t>Suma Alzada</t>
  </si>
  <si>
    <t>Llave en mano</t>
  </si>
  <si>
    <t>Obras </t>
  </si>
  <si>
    <t>Coordinación y Administración del Proyecto</t>
  </si>
  <si>
    <t xml:space="preserve"> Se les financiará  durante todo el Programa (4 años)</t>
  </si>
  <si>
    <t>Evaluación intermedia</t>
  </si>
  <si>
    <t>Evaluación ex-post</t>
  </si>
  <si>
    <t>Suma global + Gastos Reembolsables</t>
  </si>
  <si>
    <t>Consultoría - Firmas </t>
  </si>
  <si>
    <t xml:space="preserve">Contingencia </t>
  </si>
  <si>
    <t>Términos de Referencia</t>
  </si>
  <si>
    <t>TOTAL LOCAL</t>
  </si>
  <si>
    <t>Suma global</t>
  </si>
  <si>
    <t>Tiempo Trabajado</t>
  </si>
  <si>
    <t>Comparación de Calificaciones</t>
  </si>
  <si>
    <t xml:space="preserve">Por fuera </t>
  </si>
  <si>
    <t>1.2 Diseño de  la cadena de valor,   procesos mejorados y documentados</t>
  </si>
  <si>
    <t>Consultoría para levantamiento y documentación  del proceso mejorado e integrado de Aduana</t>
  </si>
  <si>
    <t>FMI / OMA</t>
  </si>
  <si>
    <t>Documentación (será interna)</t>
  </si>
  <si>
    <t>Recursos sustitutos a nivel de especialista  de mejora continua que participaran en etapa de  levantamiento de brechas y documentación de cambios del sistema</t>
  </si>
  <si>
    <t xml:space="preserve">No requerido </t>
  </si>
  <si>
    <t>1.3 Fortalecimiento de plataforma de capacitación por cargo</t>
  </si>
  <si>
    <t>Consultoría para el diseño organizacional y académico del Centro de Entrenamiento de Operaciones Aduaneras K18</t>
  </si>
  <si>
    <t xml:space="preserve">Apoyo Chile. Copiar su curricula y modelo </t>
  </si>
  <si>
    <t>Servicio de Inventario físico, catalogación y registro de datos - Huaquillas</t>
  </si>
  <si>
    <t xml:space="preserve">2.1 Actualización tecnológica del Módulo de Riesgos, basado en la aplicación de modelos de minería de datos orientado a una Gestión Integral de Riesgo. </t>
  </si>
  <si>
    <t>Consultoría especializada en minería de datos, Big DATA, machine learning e inteligencia artificial.</t>
  </si>
  <si>
    <t xml:space="preserve">2.3 Fortalecimiento de capacidades del recurso humano encargado de la administración de los niveles de riesgo de los Operadores de Comercio Exterior, para la optimización de la facilitación y control.
</t>
  </si>
  <si>
    <t xml:space="preserve">Contratación de capacitación de expertos aduaneros internacionales en materia de riesgos aduaneros. </t>
  </si>
  <si>
    <t>Contratación de capacitación para la administración de las herramientas informáticas de minería de datos.</t>
  </si>
  <si>
    <t>Contratación de capacitación para el procesamiento de información (Big DATA)</t>
  </si>
  <si>
    <t>Contratación de capacitación de machine learning e inteligencia artificial.</t>
  </si>
  <si>
    <t>3.1 Repotenciación e Integración del Sistema  de Aduana</t>
  </si>
  <si>
    <t>Consultoría para desarrollo e implementación de mejoras en sistema ECUAPASS (proceso mejorado e integrado)</t>
  </si>
  <si>
    <t>Consultoría para desarrollo e implementación de formularios para ventanilla VUE</t>
  </si>
  <si>
    <t xml:space="preserve">Adquisión de equipos  tecnológicos (computadores, memorias servidor y discos de  almacenamiento)para fortalecimiento de plataforma de mantenimiento de formularios de Ventanilla Unica Ecuatoriana </t>
  </si>
  <si>
    <t>3.3 Implementación de Sistema de Gestión Integral de Seguridad de la información</t>
  </si>
  <si>
    <t>Solución Integral de administración de identidades (Indentity Manager)</t>
  </si>
  <si>
    <t>Renovación de Solución de Correo Electrónico y Directorio Activo</t>
  </si>
  <si>
    <t>1.1 Implementación de nuevo orgánico funcional</t>
  </si>
  <si>
    <t>1.1.1 Implementación de nuevas posiciones</t>
  </si>
  <si>
    <t>DETALLE</t>
  </si>
  <si>
    <t>RMU ANUAL</t>
  </si>
  <si>
    <t>COSTO MASA SALARIAL</t>
  </si>
  <si>
    <t>DIF</t>
  </si>
  <si>
    <t>MENSUAL</t>
  </si>
  <si>
    <t>RMU</t>
  </si>
  <si>
    <t>%  DE INCREMENTO SOBRE LA RMU</t>
  </si>
  <si>
    <t>NUEVAS POSICIONES NJS 1</t>
  </si>
  <si>
    <t>NUEVAS POSICIONES NJS 6</t>
  </si>
  <si>
    <t>NUEVAS POSICIONES NJS 7</t>
  </si>
  <si>
    <t>1.1.3 Fortalecimiento de plataforma de capacitación por cargo</t>
  </si>
  <si>
    <t xml:space="preserve">a) Consultoría para el diseño organizacional y académico del Centro de Entrenamiento de Operaciones Aduaneras </t>
  </si>
  <si>
    <t>b) Implementación de un Centro de Entrenamiento de Operaciones Aduaneras</t>
  </si>
  <si>
    <t>CANT.</t>
  </si>
  <si>
    <t>C/UNIT.</t>
  </si>
  <si>
    <t>AULA CON COMPUTADORAS</t>
  </si>
  <si>
    <t>Computadoras</t>
  </si>
  <si>
    <t>Licencias</t>
  </si>
  <si>
    <t>Mobiliario</t>
  </si>
  <si>
    <t>Mesas</t>
  </si>
  <si>
    <t>Tecnología</t>
  </si>
  <si>
    <t>Sillas</t>
  </si>
  <si>
    <t>Proyector</t>
  </si>
  <si>
    <t>Pantalla</t>
  </si>
  <si>
    <t>Pizarra</t>
  </si>
  <si>
    <t>Arreglo cableado y conexiones</t>
  </si>
  <si>
    <t>Pizarra acrílica</t>
  </si>
  <si>
    <t>Sistema de audio</t>
  </si>
  <si>
    <t>SUBTOTAL</t>
  </si>
  <si>
    <t xml:space="preserve">AULA </t>
  </si>
  <si>
    <t>Pantalla para proyectar</t>
  </si>
  <si>
    <t>Cableado proyector</t>
  </si>
  <si>
    <t>c) Programa de capacitación "Formador de Formadores"</t>
  </si>
  <si>
    <t>d) Implementación de plataforma e-Learning</t>
  </si>
  <si>
    <t>1.4.1 Adquisición de Software, equipos biométricos e impresoras para credenciales</t>
  </si>
  <si>
    <t>COTIZACIONES</t>
  </si>
  <si>
    <t>CANTIDAD</t>
  </si>
  <si>
    <t>V/U</t>
  </si>
  <si>
    <t>VALOR TOTAL</t>
  </si>
  <si>
    <t>BIOMETRICO DE HUELLA DIGITAL</t>
  </si>
  <si>
    <t>BIOMETRICO DE HUELLA DIGITAL Y RECONOCIMIENTO DE ROSTRO</t>
  </si>
  <si>
    <t>SERVIDOR</t>
  </si>
  <si>
    <t>MANTENIMIENTO</t>
  </si>
  <si>
    <t>1ER AÑO</t>
  </si>
  <si>
    <t>2DO AÑO</t>
  </si>
  <si>
    <t>3ER AÑO</t>
  </si>
  <si>
    <t>IVA 12%</t>
  </si>
  <si>
    <t xml:space="preserve"> TOTAL </t>
  </si>
  <si>
    <t>IMPRESORA DE CREDENCIALES</t>
  </si>
  <si>
    <t>ESCANER</t>
  </si>
  <si>
    <t>TOTAL PROYECTO 1.4.1</t>
  </si>
  <si>
    <t xml:space="preserve">1.4.2 Adquisición de uniformes  y equipos de protección personal para los servidores  </t>
  </si>
  <si>
    <t xml:space="preserve">COTIZACIÓN DE UNIFORMES </t>
  </si>
  <si>
    <t>MODALIDAD</t>
  </si>
  <si>
    <t>NRO. SERVIDORES</t>
  </si>
  <si>
    <t>COSTO UNIT.</t>
  </si>
  <si>
    <t>codigo de trabajo</t>
  </si>
  <si>
    <t>contratos ocasionales</t>
  </si>
  <si>
    <t>nombramientos permanentes</t>
  </si>
  <si>
    <t>total servidores - uniformes</t>
  </si>
  <si>
    <t>No. de servidores que no se considera para uniformes</t>
  </si>
  <si>
    <t>base a 11-sep-19</t>
  </si>
  <si>
    <t>PRENDAS</t>
  </si>
  <si>
    <t xml:space="preserve">Valor Incrementado en 10% </t>
  </si>
  <si>
    <t xml:space="preserve">Nro. prendas </t>
  </si>
  <si>
    <t>Total medidas</t>
  </si>
  <si>
    <t>SACOS EN TELA LINO</t>
  </si>
  <si>
    <t xml:space="preserve">BLUSAS EN TELA IMPORTADA </t>
  </si>
  <si>
    <t>PANTALONES EN LINO</t>
  </si>
  <si>
    <t xml:space="preserve">FALDAS EN TELA LINO </t>
  </si>
  <si>
    <t>CHALECOS EN TELA LINO</t>
  </si>
  <si>
    <t>VESTIDOS EN TELA LINO</t>
  </si>
  <si>
    <t>TOTAL COSTO</t>
  </si>
  <si>
    <t>ADMIN Y OPERATIVOS</t>
  </si>
  <si>
    <t>CVA</t>
  </si>
  <si>
    <t>Total general</t>
  </si>
  <si>
    <t>CONTRATO INDEFINIDO</t>
  </si>
  <si>
    <t>CONTRATOS OCASIONALES</t>
  </si>
  <si>
    <t>NIVEL JERARQUICO SUPERIOR</t>
  </si>
  <si>
    <t>NOMBRAMIENTO PERMANENTE</t>
  </si>
  <si>
    <t>NOMBRAMIENTO PROVISIONAL</t>
  </si>
  <si>
    <t>NOMBRAMIENTO PROVISIONAL NIVEL JERARQUICO SUPERIOR</t>
  </si>
  <si>
    <t>COTIZACIÓN PARA EQUIPOS DE PROTECCIÓN</t>
  </si>
  <si>
    <t>CARGOS</t>
  </si>
  <si>
    <t>TOTAL SERVIDORES</t>
  </si>
  <si>
    <t xml:space="preserve">CVA </t>
  </si>
  <si>
    <t>Interventor</t>
  </si>
  <si>
    <t>Técnico Operador</t>
  </si>
  <si>
    <t>Estibador e Inventariador</t>
  </si>
  <si>
    <t>EQUIPOS DE PROTECCIÓN</t>
  </si>
  <si>
    <t>ESTIBADOR</t>
  </si>
  <si>
    <t>INTERVENTOR</t>
  </si>
  <si>
    <t>C/U</t>
  </si>
  <si>
    <t xml:space="preserve">casco industrial </t>
  </si>
  <si>
    <t>chalecos reflectivos</t>
  </si>
  <si>
    <t>faja antilumbar</t>
  </si>
  <si>
    <t>botas especiales</t>
  </si>
  <si>
    <t>COSTO TOTAL</t>
  </si>
  <si>
    <t xml:space="preserve">SERV IDORES </t>
  </si>
  <si>
    <t>Nro. Servidores</t>
  </si>
  <si>
    <t>Interventor Técnico Operador</t>
  </si>
  <si>
    <t xml:space="preserve">EQUIPOS DE PROTECCIÓN </t>
  </si>
  <si>
    <t>COSTO</t>
  </si>
  <si>
    <t>Uniforme de Dotación</t>
  </si>
  <si>
    <t>Armamento y su respectiva munición.</t>
  </si>
  <si>
    <t>Equipos de comunicación (celular satelital, radios fijas y móviles, equipos de transmisión y recepción de datos)</t>
  </si>
  <si>
    <t>Impermeables</t>
  </si>
  <si>
    <t>Casco kevlar</t>
  </si>
  <si>
    <t>Esposas metálicas</t>
  </si>
  <si>
    <t>Visor nocturno</t>
  </si>
  <si>
    <t>Cámara táctica</t>
  </si>
  <si>
    <t xml:space="preserve">Filmadora/videocamara </t>
  </si>
  <si>
    <t>Máscaras antigás</t>
  </si>
  <si>
    <t>Guantes quirúrgicos</t>
  </si>
  <si>
    <t>Fundas protectoras de evidencias</t>
  </si>
  <si>
    <t>Conos reflectivos</t>
  </si>
  <si>
    <t>Chalecos reflectivos</t>
  </si>
  <si>
    <t>Chalecos antibalas nivel 3</t>
  </si>
  <si>
    <t>Tonfa o bastón policial extensible</t>
  </si>
  <si>
    <t>Escudo antimotines (dependiendo de los antecedentes de la zona a patrullar)</t>
  </si>
  <si>
    <t>botas militares</t>
  </si>
  <si>
    <t>gas pimienta</t>
  </si>
  <si>
    <t>Linternas de señalización.</t>
  </si>
  <si>
    <t>linterna</t>
  </si>
  <si>
    <t xml:space="preserve">IVA% </t>
  </si>
  <si>
    <t xml:space="preserve">1.4.4 Adquisición de sistema informático, sistema de gestión en seguridad y salud (ISO 45001) </t>
  </si>
  <si>
    <t>C/UNIT</t>
  </si>
  <si>
    <t>Sistema de Gestión ISO 45001 de seguridad y salud</t>
  </si>
  <si>
    <t>Certificación para ISO 450001</t>
  </si>
  <si>
    <t>% IVA</t>
  </si>
  <si>
    <t>1.4.5 Implementación del consultorio médico</t>
  </si>
  <si>
    <t>IMPLEMENTACIÓN DE SERVICIO MÉDICO</t>
  </si>
  <si>
    <t>DESCRIPCIÓN</t>
  </si>
  <si>
    <t>OBJETO</t>
  </si>
  <si>
    <t>JUSTIFICACIÓN</t>
  </si>
  <si>
    <t>VALOR U.</t>
  </si>
  <si>
    <t>Consultorio Médico</t>
  </si>
  <si>
    <t xml:space="preserve">Prevención de  Enfermedades Profesionales </t>
  </si>
  <si>
    <t>Cumplir con lo establecido en las leyes nacionales</t>
  </si>
  <si>
    <t>Set de equipo de primeros auxilios (Camilla termoplástica, inmovilizador de cabeza, collarín cervical, kit de férulas)</t>
  </si>
  <si>
    <t>Equipos de primeros auxilios para asistir temporalmente a los funcionarios en caso de emergencias.</t>
  </si>
  <si>
    <t xml:space="preserve">IVA 12% </t>
  </si>
  <si>
    <t>1.5 Automatización de Subsistemas de Talento Humano</t>
  </si>
  <si>
    <t>Opciones</t>
  </si>
  <si>
    <t>Licencia + Impl.</t>
  </si>
  <si>
    <t xml:space="preserve">Valor de Soporte y Mantenimiento x1 año </t>
  </si>
  <si>
    <t>Gastos de Alimentación y Viaje</t>
  </si>
  <si>
    <t>OPCION I :  MODULOS PARA NOMINA + REPORTER + VIATICOS + ADM. DEL TIEMPO</t>
  </si>
  <si>
    <t>+ IVA</t>
  </si>
  <si>
    <t>OPCION II:  MODULOS PARA NOMINA + REPORTER + ADM. DEL TIEMPO + SALUD + SART + TALENTO HUMANO + EBSUINESS</t>
  </si>
  <si>
    <t>OPCION III: MODULOS PARA NOMINA + REPORTER + ADM. DEL TIEMPO + COMPETENCIA + SELCCION + EBSUINESS</t>
  </si>
  <si>
    <t>TOTAL PROYECTO 1.5.</t>
  </si>
  <si>
    <t>Consultoría individual</t>
  </si>
  <si>
    <t>Expertos procesos aduaneros</t>
  </si>
  <si>
    <t>Costos Administrativos</t>
  </si>
  <si>
    <t>Total Proyecto BID</t>
  </si>
  <si>
    <t>% CF</t>
  </si>
  <si>
    <t>Total Proyecto BID sin Costos Admin.</t>
  </si>
  <si>
    <t>% CF de Costos Administrativos</t>
  </si>
  <si>
    <t>CF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</si>
</sst>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&quot;$&quot;#,##0_);[Red]\(&quot;$&quot;#,##0\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&quot;$&quot;* #,##0.00_ ;_ &quot;$&quot;* \-#,##0.00_ ;_ &quot;$&quot;* &quot;-&quot;??_ ;_ @_ "/>
    <numFmt numFmtId="167" formatCode="_ * #,##0.00_ ;_ * \-#,##0.00_ ;_ * &quot;-&quot;??_ ;_ @_ "/>
    <numFmt numFmtId="168" formatCode="_(* #,##0_);_(* \(#,##0\);_(* &quot;-&quot;??_);_(@_)"/>
    <numFmt numFmtId="169" formatCode="[$-409]mmm\-yy;@"/>
    <numFmt numFmtId="170" formatCode="0.0"/>
    <numFmt numFmtId="171" formatCode="#,##0.0"/>
    <numFmt numFmtId="172" formatCode="0.0%"/>
    <numFmt numFmtId="173" formatCode="0.000000000000000%"/>
    <numFmt numFmtId="174" formatCode="#,##0.000000000000"/>
    <numFmt numFmtId="175" formatCode="#,##0.000000"/>
    <numFmt numFmtId="176" formatCode="_(* #,##0.0_);_(* \(#,##0.0\);_(* &quot;-&quot;??_);_(@_)"/>
    <numFmt numFmtId="177" formatCode="0.00000000%"/>
    <numFmt numFmtId="178" formatCode="#,##0.0000000000"/>
    <numFmt numFmtId="179" formatCode="#,##0.0000"/>
  </numFmts>
  <fonts count="9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10"/>
      <name val="Garamond"/>
      <family val="1"/>
    </font>
    <font>
      <sz val="10"/>
      <name val="Garamond"/>
      <family val="1"/>
    </font>
    <font>
      <b/>
      <sz val="10"/>
      <name val="Garamond"/>
      <family val="1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8"/>
      <color indexed="9"/>
      <name val="Calibri"/>
      <family val="2"/>
    </font>
    <font>
      <sz val="8"/>
      <name val="Calibri"/>
      <family val="2"/>
    </font>
    <font>
      <b/>
      <sz val="12"/>
      <color indexed="8"/>
      <name val="Abadi"/>
      <family val="2"/>
      <charset val="1"/>
    </font>
    <font>
      <b/>
      <sz val="14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i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sz val="8"/>
      <color theme="1"/>
      <name val="Garamond"/>
      <family val="1"/>
    </font>
    <font>
      <b/>
      <sz val="16"/>
      <color theme="1"/>
      <name val="Garamond"/>
      <family val="1"/>
    </font>
    <font>
      <b/>
      <sz val="12"/>
      <color theme="1"/>
      <name val="Garamond"/>
      <family val="1"/>
    </font>
    <font>
      <sz val="10"/>
      <color rgb="FF000000"/>
      <name val="Garamond"/>
      <family val="1"/>
    </font>
    <font>
      <sz val="11"/>
      <color rgb="FF1F497D"/>
      <name val="Symbol"/>
      <family val="1"/>
      <charset val="2"/>
    </font>
    <font>
      <sz val="11"/>
      <color rgb="FF1F497D"/>
      <name val="Calibri"/>
      <family val="2"/>
      <scheme val="minor"/>
    </font>
    <font>
      <b/>
      <sz val="10"/>
      <color rgb="FF000000"/>
      <name val="Garamond"/>
      <family val="1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name val="Calibri"/>
      <family val="2"/>
      <scheme val="minor"/>
    </font>
    <font>
      <sz val="16"/>
      <color theme="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8"/>
      <color theme="1"/>
      <name val="Garamond"/>
      <family val="1"/>
    </font>
    <font>
      <sz val="11"/>
      <color theme="0" tint="-0.1499984740745262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6"/>
      <color theme="0" tint="-0.1499984740745262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 tint="0.59999389629810485"/>
        <bgColor theme="4" tint="0.79998168889431442"/>
      </patternFill>
    </fill>
    <fill>
      <patternFill patternType="solid">
        <fgColor rgb="FF01735D"/>
        <bgColor theme="4" tint="0.79998168889431442"/>
      </patternFill>
    </fill>
    <fill>
      <patternFill patternType="solid">
        <fgColor theme="7" tint="-0.249977111117893"/>
        <bgColor theme="4" tint="0.7999816888943144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rgb="FF01AF8E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8EB6DE"/>
        <bgColor indexed="64"/>
      </patternFill>
    </fill>
    <fill>
      <patternFill patternType="solid">
        <fgColor rgb="FF79A9D9"/>
        <bgColor indexed="64"/>
      </patternFill>
    </fill>
    <fill>
      <patternFill patternType="solid">
        <fgColor rgb="FF01AB8B"/>
        <bgColor indexed="64"/>
      </patternFill>
    </fill>
    <fill>
      <patternFill patternType="solid">
        <fgColor rgb="FF00EAAD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7A9FCC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9" tint="-0.249977111117893"/>
        <bgColor theme="4" tint="-0.249977111117893"/>
      </patternFill>
    </fill>
    <fill>
      <patternFill patternType="solid">
        <fgColor rgb="FFCC9900"/>
        <bgColor theme="4" tint="-0.249977111117893"/>
      </patternFill>
    </fill>
    <fill>
      <patternFill patternType="solid">
        <fgColor rgb="FFFFD889"/>
        <bgColor theme="4" tint="-0.249977111117893"/>
      </patternFill>
    </fill>
    <fill>
      <patternFill patternType="solid">
        <fgColor rgb="FF00B050"/>
        <bgColor theme="4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rgb="FFF2F2DF"/>
        <bgColor indexed="64"/>
      </patternFill>
    </fill>
    <fill>
      <patternFill patternType="solid">
        <fgColor rgb="FFE9E8C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7C80"/>
        <bgColor indexed="64"/>
      </patternFill>
    </fill>
  </fills>
  <borders count="8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F7CAAC"/>
      </left>
      <right style="medium">
        <color rgb="FFF7CAAC"/>
      </right>
      <top style="medium">
        <color rgb="FFF7CAAC"/>
      </top>
      <bottom style="thick">
        <color rgb="FFF4B083"/>
      </bottom>
      <diagonal/>
    </border>
    <border>
      <left/>
      <right style="medium">
        <color rgb="FFF7CAAC"/>
      </right>
      <top style="medium">
        <color rgb="FFF7CAAC"/>
      </top>
      <bottom style="thick">
        <color rgb="FFF4B083"/>
      </bottom>
      <diagonal/>
    </border>
    <border>
      <left style="medium">
        <color rgb="FFF7CAAC"/>
      </left>
      <right style="medium">
        <color rgb="FFF7CAAC"/>
      </right>
      <top/>
      <bottom style="medium">
        <color rgb="FFF7CAAC"/>
      </bottom>
      <diagonal/>
    </border>
    <border>
      <left/>
      <right style="medium">
        <color rgb="FFF7CAAC"/>
      </right>
      <top/>
      <bottom style="medium">
        <color rgb="FFF7CAAC"/>
      </bottom>
      <diagonal/>
    </border>
  </borders>
  <cellStyleXfs count="219">
    <xf numFmtId="0" fontId="0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9" fillId="21" borderId="2" applyNumberFormat="0" applyAlignment="0" applyProtection="0"/>
    <xf numFmtId="0" fontId="9" fillId="21" borderId="2" applyNumberFormat="0" applyAlignment="0" applyProtection="0"/>
    <xf numFmtId="43" fontId="37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167" fontId="37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9" fontId="37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41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110">
    <xf numFmtId="0" fontId="0" fillId="0" borderId="0" xfId="0"/>
    <xf numFmtId="0" fontId="44" fillId="0" borderId="0" xfId="159" applyFont="1" applyProtection="1">
      <protection locked="0"/>
    </xf>
    <xf numFmtId="43" fontId="44" fillId="0" borderId="0" xfId="159" applyNumberFormat="1" applyFont="1" applyProtection="1">
      <protection locked="0"/>
    </xf>
    <xf numFmtId="0" fontId="38" fillId="0" borderId="0" xfId="0" applyFont="1"/>
    <xf numFmtId="3" fontId="44" fillId="0" borderId="0" xfId="159" applyNumberFormat="1" applyFont="1" applyProtection="1">
      <protection locked="0"/>
    </xf>
    <xf numFmtId="4" fontId="44" fillId="0" borderId="0" xfId="159" applyNumberFormat="1" applyFont="1" applyProtection="1">
      <protection locked="0"/>
    </xf>
    <xf numFmtId="0" fontId="23" fillId="0" borderId="10" xfId="151" applyFont="1" applyBorder="1" applyAlignment="1">
      <alignment horizontal="left" vertical="center"/>
    </xf>
    <xf numFmtId="0" fontId="23" fillId="0" borderId="10" xfId="151" applyFont="1" applyBorder="1" applyAlignment="1">
      <alignment horizontal="left" vertical="center" wrapText="1"/>
    </xf>
    <xf numFmtId="0" fontId="4" fillId="0" borderId="0" xfId="151"/>
    <xf numFmtId="0" fontId="4" fillId="0" borderId="0" xfId="155"/>
    <xf numFmtId="0" fontId="4" fillId="0" borderId="0" xfId="155" applyAlignment="1">
      <alignment vertical="center" wrapText="1"/>
    </xf>
    <xf numFmtId="0" fontId="24" fillId="0" borderId="0" xfId="139" applyFont="1"/>
    <xf numFmtId="4" fontId="24" fillId="0" borderId="0" xfId="139" applyNumberFormat="1" applyFont="1"/>
    <xf numFmtId="10" fontId="24" fillId="0" borderId="0" xfId="139" applyNumberFormat="1" applyFont="1"/>
    <xf numFmtId="169" fontId="24" fillId="0" borderId="0" xfId="139" applyNumberFormat="1" applyFont="1"/>
    <xf numFmtId="0" fontId="4" fillId="0" borderId="0" xfId="151" applyAlignment="1">
      <alignment vertical="center" wrapText="1"/>
    </xf>
    <xf numFmtId="10" fontId="4" fillId="0" borderId="0" xfId="151" applyNumberFormat="1" applyAlignment="1">
      <alignment vertical="center" wrapText="1"/>
    </xf>
    <xf numFmtId="0" fontId="4" fillId="0" borderId="0" xfId="155" applyAlignment="1">
      <alignment horizontal="left" vertical="center" wrapText="1"/>
    </xf>
    <xf numFmtId="4" fontId="4" fillId="0" borderId="0" xfId="151" applyNumberFormat="1" applyAlignment="1">
      <alignment vertical="center" wrapText="1"/>
    </xf>
    <xf numFmtId="4" fontId="25" fillId="0" borderId="0" xfId="139" applyNumberFormat="1" applyFont="1"/>
    <xf numFmtId="169" fontId="4" fillId="0" borderId="0" xfId="151" applyNumberFormat="1" applyAlignment="1">
      <alignment vertical="center" wrapText="1"/>
    </xf>
    <xf numFmtId="0" fontId="25" fillId="0" borderId="0" xfId="139" applyFont="1"/>
    <xf numFmtId="10" fontId="25" fillId="0" borderId="0" xfId="139" applyNumberFormat="1" applyFont="1"/>
    <xf numFmtId="0" fontId="4" fillId="25" borderId="11" xfId="151" applyFill="1" applyBorder="1" applyAlignment="1">
      <alignment vertical="center" wrapText="1"/>
    </xf>
    <xf numFmtId="0" fontId="4" fillId="25" borderId="12" xfId="151" applyFill="1" applyBorder="1" applyAlignment="1">
      <alignment vertical="center" wrapText="1"/>
    </xf>
    <xf numFmtId="3" fontId="4" fillId="25" borderId="12" xfId="151" applyNumberFormat="1" applyFill="1" applyBorder="1" applyAlignment="1">
      <alignment vertical="center" wrapText="1"/>
    </xf>
    <xf numFmtId="0" fontId="4" fillId="25" borderId="12" xfId="151" applyFill="1" applyBorder="1" applyAlignment="1">
      <alignment horizontal="left" vertical="center" wrapText="1"/>
    </xf>
    <xf numFmtId="0" fontId="4" fillId="25" borderId="13" xfId="151" applyFill="1" applyBorder="1" applyAlignment="1">
      <alignment horizontal="left" vertical="center" wrapText="1"/>
    </xf>
    <xf numFmtId="0" fontId="45" fillId="0" borderId="0" xfId="0" applyFont="1"/>
    <xf numFmtId="0" fontId="4" fillId="0" borderId="14" xfId="151" applyBorder="1" applyAlignment="1">
      <alignment vertical="center" wrapText="1"/>
    </xf>
    <xf numFmtId="0" fontId="4" fillId="0" borderId="15" xfId="151" applyBorder="1" applyAlignment="1">
      <alignment vertical="center" wrapText="1"/>
    </xf>
    <xf numFmtId="10" fontId="4" fillId="0" borderId="15" xfId="151" applyNumberFormat="1" applyBorder="1" applyAlignment="1">
      <alignment vertical="center" wrapText="1"/>
    </xf>
    <xf numFmtId="169" fontId="4" fillId="0" borderId="15" xfId="151" applyNumberFormat="1" applyBorder="1" applyAlignment="1">
      <alignment vertical="center" wrapText="1"/>
    </xf>
    <xf numFmtId="0" fontId="4" fillId="0" borderId="12" xfId="151" applyBorder="1" applyAlignment="1">
      <alignment vertical="center" wrapText="1"/>
    </xf>
    <xf numFmtId="168" fontId="22" fillId="0" borderId="16" xfId="151" applyNumberFormat="1" applyFont="1" applyBorder="1" applyAlignment="1">
      <alignment vertical="center" wrapText="1"/>
    </xf>
    <xf numFmtId="0" fontId="24" fillId="0" borderId="0" xfId="139" applyFont="1" applyAlignment="1">
      <alignment horizontal="left"/>
    </xf>
    <xf numFmtId="0" fontId="4" fillId="0" borderId="17" xfId="151" applyBorder="1" applyAlignment="1">
      <alignment horizontal="left" vertical="center" wrapText="1"/>
    </xf>
    <xf numFmtId="0" fontId="4" fillId="0" borderId="0" xfId="151" applyAlignment="1">
      <alignment horizontal="left" vertical="center" wrapText="1"/>
    </xf>
    <xf numFmtId="0" fontId="4" fillId="0" borderId="14" xfId="151" applyBorder="1" applyAlignment="1">
      <alignment horizontal="left" vertical="center" wrapText="1"/>
    </xf>
    <xf numFmtId="3" fontId="4" fillId="26" borderId="12" xfId="151" applyNumberFormat="1" applyFill="1" applyBorder="1" applyAlignment="1">
      <alignment vertical="center" wrapText="1"/>
    </xf>
    <xf numFmtId="3" fontId="4" fillId="0" borderId="15" xfId="151" applyNumberFormat="1" applyBorder="1" applyAlignment="1">
      <alignment vertical="center" wrapText="1"/>
    </xf>
    <xf numFmtId="168" fontId="22" fillId="0" borderId="0" xfId="151" applyNumberFormat="1" applyFont="1" applyAlignment="1">
      <alignment vertical="center" wrapText="1"/>
    </xf>
    <xf numFmtId="0" fontId="38" fillId="0" borderId="0" xfId="173"/>
    <xf numFmtId="0" fontId="46" fillId="27" borderId="18" xfId="173" applyFont="1" applyFill="1" applyBorder="1" applyAlignment="1">
      <alignment horizontal="center" vertical="center" wrapText="1"/>
    </xf>
    <xf numFmtId="0" fontId="46" fillId="0" borderId="19" xfId="173" applyFont="1" applyBorder="1" applyAlignment="1">
      <alignment horizontal="left" vertical="center" wrapText="1" indent="1"/>
    </xf>
    <xf numFmtId="3" fontId="46" fillId="0" borderId="20" xfId="173" applyNumberFormat="1" applyFont="1" applyBorder="1" applyAlignment="1">
      <alignment horizontal="right" vertical="center" wrapText="1"/>
    </xf>
    <xf numFmtId="4" fontId="47" fillId="0" borderId="20" xfId="173" applyNumberFormat="1" applyFont="1" applyBorder="1" applyAlignment="1">
      <alignment horizontal="center" vertical="center" wrapText="1"/>
    </xf>
    <xf numFmtId="3" fontId="38" fillId="0" borderId="0" xfId="173" applyNumberFormat="1"/>
    <xf numFmtId="3" fontId="46" fillId="0" borderId="20" xfId="173" applyNumberFormat="1" applyFont="1" applyBorder="1" applyAlignment="1">
      <alignment horizontal="left" vertical="center" wrapText="1"/>
    </xf>
    <xf numFmtId="3" fontId="46" fillId="0" borderId="20" xfId="173" quotePrefix="1" applyNumberFormat="1" applyFont="1" applyBorder="1" applyAlignment="1">
      <alignment horizontal="right" vertical="center" wrapText="1"/>
    </xf>
    <xf numFmtId="0" fontId="46" fillId="0" borderId="19" xfId="173" applyFont="1" applyBorder="1" applyAlignment="1">
      <alignment horizontal="left" vertical="center" wrapText="1" indent="2"/>
    </xf>
    <xf numFmtId="0" fontId="46" fillId="27" borderId="19" xfId="173" applyFont="1" applyFill="1" applyBorder="1" applyAlignment="1">
      <alignment vertical="center" wrapText="1"/>
    </xf>
    <xf numFmtId="3" fontId="46" fillId="27" borderId="20" xfId="173" applyNumberFormat="1" applyFont="1" applyFill="1" applyBorder="1" applyAlignment="1">
      <alignment horizontal="right" vertical="center" wrapText="1"/>
    </xf>
    <xf numFmtId="4" fontId="47" fillId="28" borderId="20" xfId="173" applyNumberFormat="1" applyFont="1" applyFill="1" applyBorder="1" applyAlignment="1">
      <alignment horizontal="center" vertical="center" wrapText="1"/>
    </xf>
    <xf numFmtId="2" fontId="46" fillId="27" borderId="20" xfId="173" applyNumberFormat="1" applyFont="1" applyFill="1" applyBorder="1" applyAlignment="1">
      <alignment horizontal="center" vertical="center" wrapText="1"/>
    </xf>
    <xf numFmtId="3" fontId="46" fillId="27" borderId="20" xfId="173" applyNumberFormat="1" applyFont="1" applyFill="1" applyBorder="1" applyAlignment="1">
      <alignment horizontal="center" vertical="center" wrapText="1"/>
    </xf>
    <xf numFmtId="0" fontId="48" fillId="0" borderId="0" xfId="173" applyFont="1"/>
    <xf numFmtId="3" fontId="42" fillId="28" borderId="21" xfId="173" applyNumberFormat="1" applyFont="1" applyFill="1" applyBorder="1" applyAlignment="1">
      <alignment horizontal="center"/>
    </xf>
    <xf numFmtId="3" fontId="42" fillId="28" borderId="22" xfId="173" applyNumberFormat="1" applyFont="1" applyFill="1" applyBorder="1" applyAlignment="1">
      <alignment horizontal="center"/>
    </xf>
    <xf numFmtId="0" fontId="49" fillId="28" borderId="78" xfId="173" applyFont="1" applyFill="1" applyBorder="1" applyAlignment="1">
      <alignment horizontal="center" vertical="center" wrapText="1"/>
    </xf>
    <xf numFmtId="0" fontId="49" fillId="28" borderId="79" xfId="173" applyFont="1" applyFill="1" applyBorder="1" applyAlignment="1">
      <alignment horizontal="center" vertical="center" wrapText="1"/>
    </xf>
    <xf numFmtId="3" fontId="50" fillId="0" borderId="80" xfId="173" applyNumberFormat="1" applyFont="1" applyBorder="1" applyAlignment="1">
      <alignment horizontal="center" vertical="center" wrapText="1"/>
    </xf>
    <xf numFmtId="3" fontId="50" fillId="0" borderId="81" xfId="173" applyNumberFormat="1" applyFont="1" applyBorder="1" applyAlignment="1">
      <alignment horizontal="center" vertical="center" wrapText="1"/>
    </xf>
    <xf numFmtId="3" fontId="49" fillId="0" borderId="81" xfId="173" applyNumberFormat="1" applyFont="1" applyBorder="1" applyAlignment="1">
      <alignment horizontal="center" vertical="center" wrapText="1"/>
    </xf>
    <xf numFmtId="4" fontId="49" fillId="0" borderId="82" xfId="173" applyNumberFormat="1" applyFont="1" applyBorder="1" applyAlignment="1">
      <alignment horizontal="center" vertical="center" wrapText="1"/>
    </xf>
    <xf numFmtId="3" fontId="49" fillId="29" borderId="80" xfId="173" applyNumberFormat="1" applyFont="1" applyFill="1" applyBorder="1" applyAlignment="1">
      <alignment horizontal="center" vertical="center" wrapText="1"/>
    </xf>
    <xf numFmtId="3" fontId="49" fillId="29" borderId="81" xfId="173" applyNumberFormat="1" applyFont="1" applyFill="1" applyBorder="1" applyAlignment="1">
      <alignment horizontal="center" vertical="center" wrapText="1"/>
    </xf>
    <xf numFmtId="4" fontId="49" fillId="29" borderId="82" xfId="173" applyNumberFormat="1" applyFont="1" applyFill="1" applyBorder="1" applyAlignment="1">
      <alignment horizontal="center" vertical="center" wrapText="1"/>
    </xf>
    <xf numFmtId="4" fontId="49" fillId="29" borderId="83" xfId="173" applyNumberFormat="1" applyFont="1" applyFill="1" applyBorder="1" applyAlignment="1">
      <alignment horizontal="center" vertical="center" wrapText="1"/>
    </xf>
    <xf numFmtId="4" fontId="49" fillId="29" borderId="84" xfId="173" applyNumberFormat="1" applyFont="1" applyFill="1" applyBorder="1" applyAlignment="1">
      <alignment horizontal="center" vertical="center" wrapText="1"/>
    </xf>
    <xf numFmtId="0" fontId="49" fillId="29" borderId="20" xfId="173" applyFont="1" applyFill="1" applyBorder="1" applyAlignment="1">
      <alignment horizontal="center" vertical="center" wrapText="1"/>
    </xf>
    <xf numFmtId="0" fontId="51" fillId="29" borderId="23" xfId="0" applyFont="1" applyFill="1" applyBorder="1" applyAlignment="1">
      <alignment horizontal="center" vertical="center" wrapText="1"/>
    </xf>
    <xf numFmtId="0" fontId="51" fillId="29" borderId="24" xfId="0" applyFont="1" applyFill="1" applyBorder="1" applyAlignment="1">
      <alignment horizontal="center" vertical="center"/>
    </xf>
    <xf numFmtId="0" fontId="51" fillId="29" borderId="24" xfId="0" applyFont="1" applyFill="1" applyBorder="1" applyAlignment="1">
      <alignment horizontal="center" vertical="center" wrapText="1"/>
    </xf>
    <xf numFmtId="0" fontId="51" fillId="0" borderId="19" xfId="0" applyFont="1" applyBorder="1" applyAlignment="1">
      <alignment horizontal="center" vertical="center" wrapText="1"/>
    </xf>
    <xf numFmtId="3" fontId="52" fillId="0" borderId="20" xfId="0" applyNumberFormat="1" applyFont="1" applyBorder="1" applyAlignment="1">
      <alignment horizontal="right" vertical="center" wrapText="1"/>
    </xf>
    <xf numFmtId="9" fontId="37" fillId="0" borderId="0" xfId="201" applyFont="1"/>
    <xf numFmtId="0" fontId="51" fillId="29" borderId="19" xfId="0" applyFont="1" applyFill="1" applyBorder="1" applyAlignment="1">
      <alignment horizontal="center" vertical="center" wrapText="1"/>
    </xf>
    <xf numFmtId="3" fontId="51" fillId="29" borderId="20" xfId="0" applyNumberFormat="1" applyFont="1" applyFill="1" applyBorder="1" applyAlignment="1">
      <alignment horizontal="right" vertical="center" wrapText="1"/>
    </xf>
    <xf numFmtId="10" fontId="51" fillId="29" borderId="20" xfId="201" applyNumberFormat="1" applyFont="1" applyFill="1" applyBorder="1" applyAlignment="1">
      <alignment horizontal="right" vertical="center" wrapText="1"/>
    </xf>
    <xf numFmtId="10" fontId="51" fillId="29" borderId="20" xfId="0" applyNumberFormat="1" applyFont="1" applyFill="1" applyBorder="1" applyAlignment="1">
      <alignment horizontal="right" vertical="center" wrapText="1"/>
    </xf>
    <xf numFmtId="0" fontId="38" fillId="26" borderId="0" xfId="173" applyFill="1"/>
    <xf numFmtId="0" fontId="43" fillId="0" borderId="0" xfId="0" applyFont="1"/>
    <xf numFmtId="3" fontId="43" fillId="0" borderId="0" xfId="0" applyNumberFormat="1" applyFont="1"/>
    <xf numFmtId="3" fontId="43" fillId="0" borderId="0" xfId="0" applyNumberFormat="1" applyFont="1" applyAlignment="1">
      <alignment vertical="center"/>
    </xf>
    <xf numFmtId="0" fontId="44" fillId="0" borderId="0" xfId="159" applyFont="1" applyAlignment="1" applyProtection="1">
      <alignment horizontal="left" indent="1"/>
      <protection locked="0"/>
    </xf>
    <xf numFmtId="3" fontId="43" fillId="0" borderId="0" xfId="0" applyNumberFormat="1" applyFont="1" applyAlignment="1">
      <alignment vertical="center" wrapText="1"/>
    </xf>
    <xf numFmtId="0" fontId="43" fillId="0" borderId="0" xfId="0" applyFont="1" applyAlignment="1">
      <alignment horizontal="left" vertical="center" wrapText="1" indent="1"/>
    </xf>
    <xf numFmtId="0" fontId="38" fillId="0" borderId="0" xfId="0" applyFont="1" applyAlignment="1">
      <alignment horizontal="left" indent="1"/>
    </xf>
    <xf numFmtId="0" fontId="44" fillId="0" borderId="0" xfId="159" applyFont="1" applyAlignment="1" applyProtection="1">
      <alignment horizontal="center"/>
      <protection locked="0"/>
    </xf>
    <xf numFmtId="0" fontId="43" fillId="0" borderId="0" xfId="0" applyFont="1" applyAlignment="1">
      <alignment horizontal="left" vertical="top" wrapText="1" indent="1"/>
    </xf>
    <xf numFmtId="0" fontId="43" fillId="0" borderId="0" xfId="0" applyFont="1" applyAlignment="1">
      <alignment horizontal="left" indent="1"/>
    </xf>
    <xf numFmtId="0" fontId="42" fillId="0" borderId="0" xfId="145" applyFont="1" applyAlignment="1">
      <alignment horizontal="center" vertical="center" wrapText="1"/>
    </xf>
    <xf numFmtId="0" fontId="53" fillId="0" borderId="0" xfId="145" applyFont="1" applyAlignment="1">
      <alignment horizontal="center" vertical="center" wrapText="1"/>
    </xf>
    <xf numFmtId="0" fontId="55" fillId="0" borderId="0" xfId="0" applyFont="1" applyAlignment="1">
      <alignment horizontal="left" vertical="center" wrapText="1" indent="2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4"/>
    </xf>
    <xf numFmtId="0" fontId="56" fillId="0" borderId="0" xfId="149" applyFont="1"/>
    <xf numFmtId="0" fontId="28" fillId="0" borderId="0" xfId="149" applyFont="1"/>
    <xf numFmtId="0" fontId="29" fillId="0" borderId="0" xfId="149" applyFont="1"/>
    <xf numFmtId="2" fontId="29" fillId="0" borderId="0" xfId="149" applyNumberFormat="1" applyFont="1"/>
    <xf numFmtId="166" fontId="29" fillId="0" borderId="0" xfId="134" applyFont="1"/>
    <xf numFmtId="0" fontId="57" fillId="0" borderId="25" xfId="149" applyFont="1" applyBorder="1" applyAlignment="1">
      <alignment horizontal="center" vertical="center" wrapText="1"/>
    </xf>
    <xf numFmtId="0" fontId="30" fillId="0" borderId="25" xfId="149" applyFont="1" applyBorder="1" applyAlignment="1">
      <alignment horizontal="center" vertical="center" wrapText="1"/>
    </xf>
    <xf numFmtId="2" fontId="30" fillId="0" borderId="25" xfId="149" applyNumberFormat="1" applyFont="1" applyBorder="1" applyAlignment="1">
      <alignment horizontal="center" vertical="center" wrapText="1"/>
    </xf>
    <xf numFmtId="166" fontId="30" fillId="0" borderId="25" xfId="134" applyFont="1" applyBorder="1" applyAlignment="1">
      <alignment horizontal="center" vertical="center" wrapText="1"/>
    </xf>
    <xf numFmtId="0" fontId="56" fillId="0" borderId="25" xfId="149" applyFont="1" applyBorder="1"/>
    <xf numFmtId="43" fontId="58" fillId="0" borderId="25" xfId="85" applyFont="1" applyFill="1" applyBorder="1" applyAlignment="1">
      <alignment horizontal="center"/>
    </xf>
    <xf numFmtId="0" fontId="59" fillId="0" borderId="0" xfId="149" applyFont="1" applyAlignment="1">
      <alignment vertical="center"/>
    </xf>
    <xf numFmtId="0" fontId="57" fillId="0" borderId="0" xfId="149" applyFont="1"/>
    <xf numFmtId="0" fontId="57" fillId="0" borderId="25" xfId="149" applyFont="1" applyBorder="1" applyAlignment="1">
      <alignment horizontal="center" vertical="center"/>
    </xf>
    <xf numFmtId="0" fontId="56" fillId="0" borderId="25" xfId="149" applyFont="1" applyBorder="1" applyAlignment="1">
      <alignment horizontal="center" vertical="center"/>
    </xf>
    <xf numFmtId="43" fontId="56" fillId="0" borderId="25" xfId="85" applyFont="1" applyBorder="1" applyAlignment="1">
      <alignment horizontal="center" vertical="center"/>
    </xf>
    <xf numFmtId="43" fontId="56" fillId="0" borderId="0" xfId="149" applyNumberFormat="1" applyFont="1"/>
    <xf numFmtId="167" fontId="56" fillId="0" borderId="0" xfId="149" applyNumberFormat="1" applyFont="1"/>
    <xf numFmtId="0" fontId="56" fillId="0" borderId="25" xfId="149" applyFont="1" applyBorder="1" applyAlignment="1">
      <alignment horizontal="center"/>
    </xf>
    <xf numFmtId="0" fontId="56" fillId="0" borderId="25" xfId="149" applyFont="1" applyBorder="1" applyAlignment="1">
      <alignment horizontal="center" vertical="center" wrapText="1"/>
    </xf>
    <xf numFmtId="43" fontId="56" fillId="0" borderId="25" xfId="85" applyFont="1" applyBorder="1" applyAlignment="1">
      <alignment horizontal="center"/>
    </xf>
    <xf numFmtId="43" fontId="57" fillId="0" borderId="25" xfId="85" applyFont="1" applyBorder="1" applyAlignment="1">
      <alignment horizontal="center"/>
    </xf>
    <xf numFmtId="0" fontId="56" fillId="0" borderId="0" xfId="149" applyFont="1" applyAlignment="1">
      <alignment horizontal="center" vertical="center"/>
    </xf>
    <xf numFmtId="43" fontId="56" fillId="0" borderId="0" xfId="85" applyFont="1" applyAlignment="1">
      <alignment horizontal="center"/>
    </xf>
    <xf numFmtId="43" fontId="57" fillId="0" borderId="25" xfId="85" applyFont="1" applyBorder="1" applyAlignment="1">
      <alignment horizontal="center" vertical="center"/>
    </xf>
    <xf numFmtId="43" fontId="56" fillId="0" borderId="0" xfId="85" applyFont="1" applyAlignment="1">
      <alignment horizontal="center" vertical="center"/>
    </xf>
    <xf numFmtId="0" fontId="57" fillId="30" borderId="26" xfId="149" applyFont="1" applyFill="1" applyBorder="1" applyAlignment="1">
      <alignment horizontal="center" vertical="center"/>
    </xf>
    <xf numFmtId="43" fontId="57" fillId="30" borderId="25" xfId="85" applyFont="1" applyFill="1" applyBorder="1" applyAlignment="1">
      <alignment horizontal="center" vertical="center"/>
    </xf>
    <xf numFmtId="9" fontId="57" fillId="30" borderId="25" xfId="149" applyNumberFormat="1" applyFont="1" applyFill="1" applyBorder="1" applyAlignment="1">
      <alignment horizontal="center"/>
    </xf>
    <xf numFmtId="43" fontId="57" fillId="30" borderId="25" xfId="85" applyFont="1" applyFill="1" applyBorder="1" applyAlignment="1">
      <alignment horizontal="center"/>
    </xf>
    <xf numFmtId="0" fontId="57" fillId="30" borderId="25" xfId="149" applyFont="1" applyFill="1" applyBorder="1" applyAlignment="1">
      <alignment horizontal="center"/>
    </xf>
    <xf numFmtId="0" fontId="59" fillId="0" borderId="0" xfId="149" applyFont="1" applyAlignment="1">
      <alignment vertical="center" wrapText="1"/>
    </xf>
    <xf numFmtId="0" fontId="60" fillId="0" borderId="0" xfId="149" applyFont="1"/>
    <xf numFmtId="0" fontId="38" fillId="0" borderId="0" xfId="149"/>
    <xf numFmtId="43" fontId="56" fillId="0" borderId="16" xfId="85" applyFont="1" applyBorder="1" applyAlignment="1">
      <alignment horizontal="center" vertical="center"/>
    </xf>
    <xf numFmtId="43" fontId="57" fillId="31" borderId="0" xfId="149" applyNumberFormat="1" applyFont="1" applyFill="1" applyAlignment="1">
      <alignment horizontal="center" vertical="center"/>
    </xf>
    <xf numFmtId="0" fontId="56" fillId="0" borderId="0" xfId="149" applyFont="1" applyAlignment="1">
      <alignment wrapText="1"/>
    </xf>
    <xf numFmtId="0" fontId="57" fillId="0" borderId="0" xfId="149" applyFont="1" applyAlignment="1">
      <alignment wrapText="1"/>
    </xf>
    <xf numFmtId="0" fontId="56" fillId="26" borderId="25" xfId="149" applyFont="1" applyFill="1" applyBorder="1" applyAlignment="1">
      <alignment horizontal="center" vertical="center"/>
    </xf>
    <xf numFmtId="0" fontId="57" fillId="26" borderId="25" xfId="149" applyFont="1" applyFill="1" applyBorder="1"/>
    <xf numFmtId="0" fontId="57" fillId="26" borderId="25" xfId="149" applyFont="1" applyFill="1" applyBorder="1" applyAlignment="1">
      <alignment horizontal="center" vertical="center"/>
    </xf>
    <xf numFmtId="0" fontId="57" fillId="0" borderId="25" xfId="149" applyFont="1" applyBorder="1"/>
    <xf numFmtId="0" fontId="30" fillId="0" borderId="25" xfId="149" applyFont="1" applyBorder="1" applyAlignment="1">
      <alignment horizontal="center" vertical="center"/>
    </xf>
    <xf numFmtId="0" fontId="29" fillId="0" borderId="25" xfId="149" applyFont="1" applyBorder="1"/>
    <xf numFmtId="2" fontId="29" fillId="0" borderId="25" xfId="134" applyNumberFormat="1" applyFont="1" applyBorder="1" applyAlignment="1">
      <alignment horizontal="center" vertical="center"/>
    </xf>
    <xf numFmtId="2" fontId="29" fillId="0" borderId="25" xfId="149" applyNumberFormat="1" applyFont="1" applyBorder="1" applyAlignment="1">
      <alignment horizontal="center" vertical="center"/>
    </xf>
    <xf numFmtId="2" fontId="29" fillId="26" borderId="25" xfId="149" applyNumberFormat="1" applyFont="1" applyFill="1" applyBorder="1" applyAlignment="1">
      <alignment horizontal="center" vertical="center"/>
    </xf>
    <xf numFmtId="0" fontId="56" fillId="32" borderId="25" xfId="149" applyFont="1" applyFill="1" applyBorder="1" applyAlignment="1">
      <alignment horizontal="center" vertical="center"/>
    </xf>
    <xf numFmtId="0" fontId="57" fillId="33" borderId="25" xfId="149" applyFont="1" applyFill="1" applyBorder="1" applyAlignment="1">
      <alignment horizontal="center" vertical="center"/>
    </xf>
    <xf numFmtId="0" fontId="57" fillId="33" borderId="25" xfId="149" applyFont="1" applyFill="1" applyBorder="1" applyAlignment="1">
      <alignment horizontal="center" vertical="center" wrapText="1"/>
    </xf>
    <xf numFmtId="0" fontId="61" fillId="0" borderId="25" xfId="149" applyFont="1" applyBorder="1" applyAlignment="1">
      <alignment horizontal="left" vertical="center" readingOrder="1"/>
    </xf>
    <xf numFmtId="0" fontId="56" fillId="0" borderId="25" xfId="146" applyFont="1" applyBorder="1" applyAlignment="1">
      <alignment horizontal="center"/>
    </xf>
    <xf numFmtId="0" fontId="56" fillId="33" borderId="25" xfId="149" applyFont="1" applyFill="1" applyBorder="1"/>
    <xf numFmtId="0" fontId="57" fillId="33" borderId="25" xfId="146" applyFont="1" applyFill="1" applyBorder="1" applyAlignment="1">
      <alignment horizontal="center"/>
    </xf>
    <xf numFmtId="0" fontId="56" fillId="0" borderId="0" xfId="146" applyFont="1" applyAlignment="1">
      <alignment horizontal="center"/>
    </xf>
    <xf numFmtId="43" fontId="57" fillId="33" borderId="25" xfId="85" applyFont="1" applyFill="1" applyBorder="1" applyAlignment="1">
      <alignment horizontal="center" vertical="center" wrapText="1"/>
    </xf>
    <xf numFmtId="43" fontId="56" fillId="0" borderId="25" xfId="85" applyFont="1" applyBorder="1"/>
    <xf numFmtId="43" fontId="57" fillId="33" borderId="25" xfId="85" applyFont="1" applyFill="1" applyBorder="1"/>
    <xf numFmtId="0" fontId="62" fillId="0" borderId="0" xfId="149" applyFont="1" applyAlignment="1">
      <alignment horizontal="left" vertical="center" indent="5"/>
    </xf>
    <xf numFmtId="167" fontId="56" fillId="0" borderId="25" xfId="149" applyNumberFormat="1" applyFont="1" applyBorder="1"/>
    <xf numFmtId="43" fontId="56" fillId="26" borderId="25" xfId="85" applyFont="1" applyFill="1" applyBorder="1"/>
    <xf numFmtId="0" fontId="63" fillId="0" borderId="0" xfId="149" applyFont="1" applyAlignment="1">
      <alignment vertical="center"/>
    </xf>
    <xf numFmtId="43" fontId="57" fillId="0" borderId="0" xfId="85" applyFont="1" applyFill="1" applyBorder="1"/>
    <xf numFmtId="43" fontId="56" fillId="0" borderId="0" xfId="85" applyFont="1"/>
    <xf numFmtId="43" fontId="57" fillId="0" borderId="25" xfId="85" applyFont="1" applyBorder="1"/>
    <xf numFmtId="43" fontId="57" fillId="0" borderId="0" xfId="85" applyFont="1"/>
    <xf numFmtId="0" fontId="56" fillId="0" borderId="25" xfId="85" applyNumberFormat="1" applyFont="1" applyBorder="1"/>
    <xf numFmtId="43" fontId="57" fillId="33" borderId="25" xfId="85" applyFont="1" applyFill="1" applyBorder="1" applyAlignment="1">
      <alignment vertical="center"/>
    </xf>
    <xf numFmtId="0" fontId="57" fillId="34" borderId="25" xfId="149" applyFont="1" applyFill="1" applyBorder="1" applyAlignment="1">
      <alignment horizontal="center" vertical="center" wrapText="1"/>
    </xf>
    <xf numFmtId="0" fontId="61" fillId="35" borderId="25" xfId="149" applyFont="1" applyFill="1" applyBorder="1" applyAlignment="1">
      <alignment horizontal="center" vertical="center" wrapText="1"/>
    </xf>
    <xf numFmtId="0" fontId="56" fillId="35" borderId="25" xfId="149" applyFont="1" applyFill="1" applyBorder="1" applyAlignment="1">
      <alignment horizontal="center" vertical="center"/>
    </xf>
    <xf numFmtId="4" fontId="56" fillId="35" borderId="25" xfId="149" applyNumberFormat="1" applyFont="1" applyFill="1" applyBorder="1" applyAlignment="1">
      <alignment horizontal="center" vertical="center"/>
    </xf>
    <xf numFmtId="0" fontId="56" fillId="35" borderId="25" xfId="149" applyFont="1" applyFill="1" applyBorder="1" applyAlignment="1">
      <alignment horizontal="center" vertical="center" wrapText="1"/>
    </xf>
    <xf numFmtId="0" fontId="64" fillId="35" borderId="25" xfId="149" applyFont="1" applyFill="1" applyBorder="1" applyAlignment="1">
      <alignment vertical="center" wrapText="1"/>
    </xf>
    <xf numFmtId="0" fontId="57" fillId="35" borderId="25" xfId="149" applyFont="1" applyFill="1" applyBorder="1" applyAlignment="1">
      <alignment vertical="center"/>
    </xf>
    <xf numFmtId="0" fontId="57" fillId="35" borderId="25" xfId="149" applyFont="1" applyFill="1" applyBorder="1" applyAlignment="1">
      <alignment horizontal="center" vertical="center"/>
    </xf>
    <xf numFmtId="43" fontId="57" fillId="35" borderId="25" xfId="85" applyFont="1" applyFill="1" applyBorder="1" applyAlignment="1">
      <alignment horizontal="center" vertical="center"/>
    </xf>
    <xf numFmtId="0" fontId="56" fillId="0" borderId="25" xfId="149" applyFont="1" applyBorder="1" applyAlignment="1">
      <alignment vertical="center"/>
    </xf>
    <xf numFmtId="0" fontId="56" fillId="0" borderId="25" xfId="149" applyFont="1" applyBorder="1" applyAlignment="1">
      <alignment vertical="center" wrapText="1"/>
    </xf>
    <xf numFmtId="43" fontId="56" fillId="0" borderId="25" xfId="85" applyFont="1" applyBorder="1" applyAlignment="1">
      <alignment vertical="center"/>
    </xf>
    <xf numFmtId="49" fontId="56" fillId="0" borderId="25" xfId="149" applyNumberFormat="1" applyFont="1" applyBorder="1" applyAlignment="1">
      <alignment vertical="center"/>
    </xf>
    <xf numFmtId="0" fontId="56" fillId="26" borderId="25" xfId="149" applyFont="1" applyFill="1" applyBorder="1" applyAlignment="1">
      <alignment vertical="center" wrapText="1"/>
    </xf>
    <xf numFmtId="43" fontId="56" fillId="26" borderId="25" xfId="85" applyFont="1" applyFill="1" applyBorder="1" applyAlignment="1">
      <alignment vertical="center"/>
    </xf>
    <xf numFmtId="49" fontId="56" fillId="26" borderId="25" xfId="149" applyNumberFormat="1" applyFont="1" applyFill="1" applyBorder="1" applyAlignment="1">
      <alignment vertical="center"/>
    </xf>
    <xf numFmtId="4" fontId="56" fillId="0" borderId="0" xfId="149" applyNumberFormat="1" applyFont="1"/>
    <xf numFmtId="43" fontId="57" fillId="36" borderId="0" xfId="85" applyFont="1" applyFill="1"/>
    <xf numFmtId="0" fontId="56" fillId="36" borderId="0" xfId="149" applyFont="1" applyFill="1"/>
    <xf numFmtId="0" fontId="44" fillId="0" borderId="0" xfId="140" applyFont="1" applyAlignment="1">
      <alignment horizontal="left"/>
    </xf>
    <xf numFmtId="0" fontId="44" fillId="0" borderId="0" xfId="140" applyFont="1"/>
    <xf numFmtId="4" fontId="44" fillId="0" borderId="0" xfId="140" applyNumberFormat="1" applyFont="1"/>
    <xf numFmtId="10" fontId="44" fillId="0" borderId="0" xfId="140" applyNumberFormat="1" applyFont="1"/>
    <xf numFmtId="0" fontId="44" fillId="0" borderId="0" xfId="140" applyFont="1" applyAlignment="1">
      <alignment horizontal="center"/>
    </xf>
    <xf numFmtId="169" fontId="44" fillId="0" borderId="0" xfId="140" applyNumberFormat="1" applyFont="1"/>
    <xf numFmtId="0" fontId="65" fillId="0" borderId="0" xfId="151" applyFont="1" applyAlignment="1">
      <alignment horizontal="left" vertical="center"/>
    </xf>
    <xf numFmtId="0" fontId="65" fillId="0" borderId="0" xfId="151" applyFont="1" applyAlignment="1">
      <alignment horizontal="left" vertical="center" wrapText="1"/>
    </xf>
    <xf numFmtId="0" fontId="65" fillId="0" borderId="0" xfId="151" applyFont="1" applyAlignment="1">
      <alignment horizontal="center" vertical="center" wrapText="1"/>
    </xf>
    <xf numFmtId="0" fontId="66" fillId="0" borderId="0" xfId="151" applyFont="1"/>
    <xf numFmtId="0" fontId="66" fillId="0" borderId="0" xfId="155" applyFont="1"/>
    <xf numFmtId="0" fontId="66" fillId="0" borderId="0" xfId="155" applyFont="1" applyAlignment="1">
      <alignment vertical="center" wrapText="1"/>
    </xf>
    <xf numFmtId="4" fontId="67" fillId="24" borderId="25" xfId="151" applyNumberFormat="1" applyFont="1" applyFill="1" applyBorder="1" applyAlignment="1">
      <alignment horizontal="center" vertical="center" wrapText="1"/>
    </xf>
    <xf numFmtId="10" fontId="67" fillId="24" borderId="25" xfId="151" applyNumberFormat="1" applyFont="1" applyFill="1" applyBorder="1" applyAlignment="1">
      <alignment horizontal="center" vertical="center" wrapText="1"/>
    </xf>
    <xf numFmtId="169" fontId="67" fillId="24" borderId="25" xfId="151" applyNumberFormat="1" applyFont="1" applyFill="1" applyBorder="1" applyAlignment="1">
      <alignment horizontal="center" vertical="center" wrapText="1"/>
    </xf>
    <xf numFmtId="3" fontId="66" fillId="0" borderId="25" xfId="151" applyNumberFormat="1" applyFont="1" applyBorder="1" applyAlignment="1">
      <alignment vertical="center" wrapText="1"/>
    </xf>
    <xf numFmtId="0" fontId="66" fillId="0" borderId="25" xfId="151" applyFont="1" applyBorder="1" applyAlignment="1">
      <alignment vertical="center" wrapText="1"/>
    </xf>
    <xf numFmtId="10" fontId="66" fillId="0" borderId="25" xfId="151" applyNumberFormat="1" applyFont="1" applyBorder="1" applyAlignment="1">
      <alignment vertical="center" wrapText="1"/>
    </xf>
    <xf numFmtId="169" fontId="66" fillId="0" borderId="25" xfId="151" applyNumberFormat="1" applyFont="1" applyBorder="1" applyAlignment="1">
      <alignment horizontal="center" vertical="center" wrapText="1"/>
    </xf>
    <xf numFmtId="0" fontId="66" fillId="0" borderId="27" xfId="151" applyFont="1" applyBorder="1" applyAlignment="1">
      <alignment vertical="center" wrapText="1"/>
    </xf>
    <xf numFmtId="0" fontId="66" fillId="0" borderId="15" xfId="151" applyFont="1" applyBorder="1" applyAlignment="1">
      <alignment horizontal="center" vertical="center" wrapText="1"/>
    </xf>
    <xf numFmtId="0" fontId="66" fillId="0" borderId="28" xfId="151" applyFont="1" applyBorder="1" applyAlignment="1">
      <alignment horizontal="left" vertical="center" wrapText="1"/>
    </xf>
    <xf numFmtId="0" fontId="66" fillId="0" borderId="28" xfId="151" applyFont="1" applyBorder="1" applyAlignment="1">
      <alignment vertical="center" wrapText="1"/>
    </xf>
    <xf numFmtId="0" fontId="66" fillId="0" borderId="29" xfId="151" applyFont="1" applyBorder="1" applyAlignment="1">
      <alignment vertical="center" wrapText="1"/>
    </xf>
    <xf numFmtId="4" fontId="66" fillId="0" borderId="29" xfId="151" applyNumberFormat="1" applyFont="1" applyBorder="1" applyAlignment="1">
      <alignment vertical="center" wrapText="1"/>
    </xf>
    <xf numFmtId="10" fontId="66" fillId="0" borderId="29" xfId="151" applyNumberFormat="1" applyFont="1" applyBorder="1" applyAlignment="1">
      <alignment vertical="center" wrapText="1"/>
    </xf>
    <xf numFmtId="0" fontId="66" fillId="0" borderId="29" xfId="151" applyFont="1" applyBorder="1" applyAlignment="1">
      <alignment horizontal="center" vertical="center" wrapText="1"/>
    </xf>
    <xf numFmtId="169" fontId="66" fillId="0" borderId="29" xfId="151" applyNumberFormat="1" applyFont="1" applyBorder="1" applyAlignment="1">
      <alignment horizontal="center" vertical="center" wrapText="1"/>
    </xf>
    <xf numFmtId="0" fontId="66" fillId="0" borderId="30" xfId="151" applyFont="1" applyBorder="1" applyAlignment="1">
      <alignment vertical="center" wrapText="1"/>
    </xf>
    <xf numFmtId="0" fontId="68" fillId="0" borderId="0" xfId="140" applyFont="1" applyAlignment="1">
      <alignment horizontal="left" vertical="center"/>
    </xf>
    <xf numFmtId="0" fontId="68" fillId="0" borderId="0" xfId="140" applyFont="1" applyAlignment="1">
      <alignment vertical="center"/>
    </xf>
    <xf numFmtId="3" fontId="68" fillId="0" borderId="0" xfId="140" applyNumberFormat="1" applyFont="1" applyAlignment="1">
      <alignment vertical="center"/>
    </xf>
    <xf numFmtId="4" fontId="68" fillId="0" borderId="0" xfId="140" applyNumberFormat="1" applyFont="1" applyAlignment="1">
      <alignment vertical="center"/>
    </xf>
    <xf numFmtId="10" fontId="68" fillId="0" borderId="0" xfId="140" applyNumberFormat="1" applyFont="1" applyAlignment="1">
      <alignment vertical="center"/>
    </xf>
    <xf numFmtId="0" fontId="68" fillId="0" borderId="0" xfId="140" applyFont="1" applyAlignment="1">
      <alignment horizontal="center" vertical="center"/>
    </xf>
    <xf numFmtId="169" fontId="69" fillId="0" borderId="15" xfId="151" applyNumberFormat="1" applyFont="1" applyBorder="1" applyAlignment="1">
      <alignment vertical="center" wrapText="1"/>
    </xf>
    <xf numFmtId="169" fontId="68" fillId="0" borderId="0" xfId="140" applyNumberFormat="1" applyFont="1" applyAlignment="1">
      <alignment vertical="center"/>
    </xf>
    <xf numFmtId="0" fontId="69" fillId="0" borderId="0" xfId="155" applyFont="1" applyAlignment="1">
      <alignment vertical="center" wrapText="1"/>
    </xf>
    <xf numFmtId="169" fontId="69" fillId="0" borderId="31" xfId="151" applyNumberFormat="1" applyFont="1" applyBorder="1" applyAlignment="1">
      <alignment vertical="center" wrapText="1"/>
    </xf>
    <xf numFmtId="0" fontId="66" fillId="25" borderId="25" xfId="151" applyFont="1" applyFill="1" applyBorder="1" applyAlignment="1">
      <alignment horizontal="center" vertical="center" wrapText="1"/>
    </xf>
    <xf numFmtId="0" fontId="66" fillId="0" borderId="32" xfId="151" applyFont="1" applyBorder="1" applyAlignment="1">
      <alignment horizontal="left" vertical="center" wrapText="1"/>
    </xf>
    <xf numFmtId="0" fontId="66" fillId="25" borderId="29" xfId="151" applyFont="1" applyFill="1" applyBorder="1" applyAlignment="1">
      <alignment vertical="center" wrapText="1"/>
    </xf>
    <xf numFmtId="169" fontId="66" fillId="0" borderId="29" xfId="151" applyNumberFormat="1" applyFont="1" applyBorder="1" applyAlignment="1">
      <alignment vertical="center" wrapText="1"/>
    </xf>
    <xf numFmtId="168" fontId="66" fillId="0" borderId="25" xfId="85" applyNumberFormat="1" applyFont="1" applyFill="1" applyBorder="1" applyAlignment="1">
      <alignment vertical="center" wrapText="1"/>
    </xf>
    <xf numFmtId="0" fontId="66" fillId="25" borderId="32" xfId="151" applyFont="1" applyFill="1" applyBorder="1" applyAlignment="1">
      <alignment vertical="center" wrapText="1"/>
    </xf>
    <xf numFmtId="0" fontId="66" fillId="25" borderId="28" xfId="151" applyFont="1" applyFill="1" applyBorder="1" applyAlignment="1">
      <alignment vertical="center" wrapText="1"/>
    </xf>
    <xf numFmtId="0" fontId="66" fillId="25" borderId="29" xfId="151" applyFont="1" applyFill="1" applyBorder="1" applyAlignment="1">
      <alignment horizontal="center" vertical="center" wrapText="1"/>
    </xf>
    <xf numFmtId="0" fontId="66" fillId="25" borderId="30" xfId="151" applyFont="1" applyFill="1" applyBorder="1" applyAlignment="1">
      <alignment vertical="center" wrapText="1"/>
    </xf>
    <xf numFmtId="0" fontId="67" fillId="24" borderId="33" xfId="151" applyFont="1" applyFill="1" applyBorder="1" applyAlignment="1">
      <alignment horizontal="center" vertical="center" wrapText="1"/>
    </xf>
    <xf numFmtId="168" fontId="66" fillId="0" borderId="25" xfId="85" applyNumberFormat="1" applyFont="1" applyBorder="1" applyAlignment="1">
      <alignment vertical="center" wrapText="1"/>
    </xf>
    <xf numFmtId="0" fontId="66" fillId="25" borderId="34" xfId="151" applyFont="1" applyFill="1" applyBorder="1" applyAlignment="1">
      <alignment horizontal="center" vertical="center" wrapText="1"/>
    </xf>
    <xf numFmtId="168" fontId="66" fillId="0" borderId="29" xfId="85" applyNumberFormat="1" applyFont="1" applyBorder="1" applyAlignment="1">
      <alignment vertical="center" wrapText="1"/>
    </xf>
    <xf numFmtId="0" fontId="69" fillId="0" borderId="0" xfId="151" applyFont="1" applyAlignment="1">
      <alignment horizontal="left" vertical="center" wrapText="1"/>
    </xf>
    <xf numFmtId="0" fontId="69" fillId="0" borderId="0" xfId="151" applyFont="1" applyAlignment="1">
      <alignment vertical="center" wrapText="1"/>
    </xf>
    <xf numFmtId="4" fontId="69" fillId="0" borderId="0" xfId="151" applyNumberFormat="1" applyFont="1" applyAlignment="1">
      <alignment vertical="center" wrapText="1"/>
    </xf>
    <xf numFmtId="10" fontId="69" fillId="0" borderId="0" xfId="151" applyNumberFormat="1" applyFont="1" applyAlignment="1">
      <alignment vertical="center" wrapText="1"/>
    </xf>
    <xf numFmtId="0" fontId="69" fillId="0" borderId="0" xfId="151" applyFont="1" applyAlignment="1">
      <alignment horizontal="center" vertical="center" wrapText="1"/>
    </xf>
    <xf numFmtId="169" fontId="69" fillId="0" borderId="0" xfId="151" applyNumberFormat="1" applyFont="1" applyAlignment="1">
      <alignment vertical="center" wrapText="1"/>
    </xf>
    <xf numFmtId="0" fontId="69" fillId="0" borderId="0" xfId="155" applyFont="1" applyAlignment="1">
      <alignment vertical="center"/>
    </xf>
    <xf numFmtId="0" fontId="66" fillId="0" borderId="0" xfId="155" applyFont="1" applyAlignment="1">
      <alignment horizontal="left" vertical="center" wrapText="1"/>
    </xf>
    <xf numFmtId="0" fontId="66" fillId="25" borderId="15" xfId="151" applyFont="1" applyFill="1" applyBorder="1" applyAlignment="1">
      <alignment horizontal="center" vertical="center" wrapText="1"/>
    </xf>
    <xf numFmtId="9" fontId="66" fillId="0" borderId="25" xfId="203" applyFont="1" applyFill="1" applyBorder="1" applyAlignment="1">
      <alignment vertical="center" wrapText="1"/>
    </xf>
    <xf numFmtId="0" fontId="69" fillId="0" borderId="0" xfId="155" applyFont="1" applyAlignment="1">
      <alignment horizontal="left" vertical="center" wrapText="1"/>
    </xf>
    <xf numFmtId="0" fontId="66" fillId="0" borderId="35" xfId="151" applyFont="1" applyBorder="1" applyAlignment="1">
      <alignment horizontal="left" vertical="center" wrapText="1"/>
    </xf>
    <xf numFmtId="10" fontId="69" fillId="0" borderId="0" xfId="151" applyNumberFormat="1" applyFont="1" applyAlignment="1">
      <alignment horizontal="center" vertical="center" wrapText="1"/>
    </xf>
    <xf numFmtId="0" fontId="68" fillId="0" borderId="0" xfId="140" applyFont="1"/>
    <xf numFmtId="3" fontId="44" fillId="0" borderId="0" xfId="140" applyNumberFormat="1" applyFont="1" applyAlignment="1">
      <alignment horizontal="center"/>
    </xf>
    <xf numFmtId="4" fontId="68" fillId="0" borderId="25" xfId="140" applyNumberFormat="1" applyFont="1" applyBorder="1" applyAlignment="1">
      <alignment horizontal="center"/>
    </xf>
    <xf numFmtId="3" fontId="68" fillId="0" borderId="25" xfId="140" applyNumberFormat="1" applyFont="1" applyBorder="1" applyAlignment="1">
      <alignment horizontal="center"/>
    </xf>
    <xf numFmtId="10" fontId="68" fillId="0" borderId="0" xfId="140" applyNumberFormat="1" applyFont="1"/>
    <xf numFmtId="3" fontId="44" fillId="0" borderId="0" xfId="140" applyNumberFormat="1" applyFont="1"/>
    <xf numFmtId="0" fontId="65" fillId="0" borderId="0" xfId="140" applyFont="1" applyAlignment="1">
      <alignment vertical="center"/>
    </xf>
    <xf numFmtId="3" fontId="65" fillId="0" borderId="36" xfId="140" applyNumberFormat="1" applyFont="1" applyBorder="1" applyAlignment="1">
      <alignment horizontal="center" vertical="center"/>
    </xf>
    <xf numFmtId="0" fontId="66" fillId="37" borderId="34" xfId="151" applyFont="1" applyFill="1" applyBorder="1" applyAlignment="1">
      <alignment horizontal="center" vertical="center" wrapText="1"/>
    </xf>
    <xf numFmtId="3" fontId="66" fillId="37" borderId="25" xfId="151" applyNumberFormat="1" applyFont="1" applyFill="1" applyBorder="1" applyAlignment="1">
      <alignment vertical="center" wrapText="1"/>
    </xf>
    <xf numFmtId="0" fontId="66" fillId="37" borderId="25" xfId="151" applyFont="1" applyFill="1" applyBorder="1" applyAlignment="1">
      <alignment vertical="center" wrapText="1"/>
    </xf>
    <xf numFmtId="168" fontId="66" fillId="37" borderId="25" xfId="85" applyNumberFormat="1" applyFont="1" applyFill="1" applyBorder="1" applyAlignment="1">
      <alignment vertical="center" wrapText="1"/>
    </xf>
    <xf numFmtId="10" fontId="66" fillId="37" borderId="25" xfId="151" applyNumberFormat="1" applyFont="1" applyFill="1" applyBorder="1" applyAlignment="1">
      <alignment vertical="center" wrapText="1"/>
    </xf>
    <xf numFmtId="0" fontId="66" fillId="37" borderId="25" xfId="151" applyFont="1" applyFill="1" applyBorder="1" applyAlignment="1">
      <alignment horizontal="center" vertical="center" wrapText="1"/>
    </xf>
    <xf numFmtId="169" fontId="66" fillId="37" borderId="25" xfId="151" applyNumberFormat="1" applyFont="1" applyFill="1" applyBorder="1" applyAlignment="1">
      <alignment horizontal="center" vertical="center" wrapText="1"/>
    </xf>
    <xf numFmtId="0" fontId="66" fillId="37" borderId="27" xfId="151" applyFont="1" applyFill="1" applyBorder="1" applyAlignment="1">
      <alignment vertical="center" wrapText="1"/>
    </xf>
    <xf numFmtId="0" fontId="66" fillId="37" borderId="0" xfId="151" applyFont="1" applyFill="1"/>
    <xf numFmtId="0" fontId="66" fillId="37" borderId="0" xfId="155" applyFont="1" applyFill="1" applyAlignment="1">
      <alignment vertical="center" wrapText="1"/>
    </xf>
    <xf numFmtId="0" fontId="44" fillId="37" borderId="0" xfId="140" applyFont="1" applyFill="1"/>
    <xf numFmtId="0" fontId="66" fillId="37" borderId="15" xfId="151" applyFont="1" applyFill="1" applyBorder="1" applyAlignment="1">
      <alignment vertical="center" wrapText="1"/>
    </xf>
    <xf numFmtId="168" fontId="66" fillId="37" borderId="15" xfId="85" applyNumberFormat="1" applyFont="1" applyFill="1" applyBorder="1" applyAlignment="1">
      <alignment vertical="center" wrapText="1"/>
    </xf>
    <xf numFmtId="169" fontId="66" fillId="37" borderId="15" xfId="151" applyNumberFormat="1" applyFont="1" applyFill="1" applyBorder="1" applyAlignment="1">
      <alignment horizontal="center" vertical="center" wrapText="1"/>
    </xf>
    <xf numFmtId="0" fontId="66" fillId="37" borderId="12" xfId="151" applyFont="1" applyFill="1" applyBorder="1" applyAlignment="1">
      <alignment vertical="center" wrapText="1"/>
    </xf>
    <xf numFmtId="0" fontId="66" fillId="37" borderId="34" xfId="151" applyFont="1" applyFill="1" applyBorder="1" applyAlignment="1">
      <alignment vertical="center" wrapText="1"/>
    </xf>
    <xf numFmtId="168" fontId="66" fillId="37" borderId="15" xfId="151" applyNumberFormat="1" applyFont="1" applyFill="1" applyBorder="1" applyAlignment="1">
      <alignment vertical="center" wrapText="1"/>
    </xf>
    <xf numFmtId="0" fontId="66" fillId="37" borderId="14" xfId="151" applyFont="1" applyFill="1" applyBorder="1" applyAlignment="1">
      <alignment horizontal="center" vertical="center" wrapText="1"/>
    </xf>
    <xf numFmtId="0" fontId="66" fillId="37" borderId="0" xfId="155" applyFont="1" applyFill="1"/>
    <xf numFmtId="168" fontId="66" fillId="0" borderId="15" xfId="85" applyNumberFormat="1" applyFont="1" applyFill="1" applyBorder="1" applyAlignment="1">
      <alignment vertical="center" wrapText="1"/>
    </xf>
    <xf numFmtId="0" fontId="42" fillId="0" borderId="0" xfId="0" applyFont="1"/>
    <xf numFmtId="4" fontId="68" fillId="30" borderId="0" xfId="140" applyNumberFormat="1" applyFont="1" applyFill="1" applyAlignment="1">
      <alignment vertical="center"/>
    </xf>
    <xf numFmtId="0" fontId="66" fillId="0" borderId="34" xfId="151" applyFont="1" applyBorder="1" applyAlignment="1">
      <alignment horizontal="center" vertical="center" wrapText="1"/>
    </xf>
    <xf numFmtId="0" fontId="66" fillId="0" borderId="25" xfId="151" applyFont="1" applyBorder="1" applyAlignment="1">
      <alignment horizontal="center" vertical="center" wrapText="1"/>
    </xf>
    <xf numFmtId="0" fontId="66" fillId="0" borderId="14" xfId="151" applyFont="1" applyBorder="1" applyAlignment="1">
      <alignment horizontal="left" vertical="center" wrapText="1"/>
    </xf>
    <xf numFmtId="0" fontId="66" fillId="0" borderId="15" xfId="151" applyFont="1" applyBorder="1" applyAlignment="1">
      <alignment vertical="center" wrapText="1"/>
    </xf>
    <xf numFmtId="3" fontId="66" fillId="0" borderId="15" xfId="151" applyNumberFormat="1" applyFont="1" applyBorder="1" applyAlignment="1">
      <alignment vertical="center" wrapText="1"/>
    </xf>
    <xf numFmtId="169" fontId="66" fillId="0" borderId="15" xfId="151" applyNumberFormat="1" applyFont="1" applyBorder="1" applyAlignment="1">
      <alignment horizontal="center" vertical="center" wrapText="1"/>
    </xf>
    <xf numFmtId="0" fontId="66" fillId="0" borderId="12" xfId="151" applyFont="1" applyBorder="1" applyAlignment="1">
      <alignment vertical="center" wrapText="1"/>
    </xf>
    <xf numFmtId="10" fontId="66" fillId="0" borderId="15" xfId="151" applyNumberFormat="1" applyFont="1" applyBorder="1" applyAlignment="1">
      <alignment vertical="center" wrapText="1"/>
    </xf>
    <xf numFmtId="0" fontId="66" fillId="0" borderId="34" xfId="151" applyFont="1" applyBorder="1" applyAlignment="1">
      <alignment horizontal="left" vertical="center" wrapText="1"/>
    </xf>
    <xf numFmtId="168" fontId="66" fillId="0" borderId="25" xfId="151" applyNumberFormat="1" applyFont="1" applyBorder="1" applyAlignment="1">
      <alignment vertical="center" wrapText="1"/>
    </xf>
    <xf numFmtId="0" fontId="66" fillId="0" borderId="28" xfId="151" applyFont="1" applyBorder="1" applyAlignment="1">
      <alignment horizontal="center" vertical="center" wrapText="1"/>
    </xf>
    <xf numFmtId="168" fontId="66" fillId="0" borderId="29" xfId="85" applyNumberFormat="1" applyFont="1" applyFill="1" applyBorder="1" applyAlignment="1">
      <alignment vertical="center" wrapText="1"/>
    </xf>
    <xf numFmtId="0" fontId="66" fillId="0" borderId="35" xfId="151" applyFont="1" applyBorder="1" applyAlignment="1">
      <alignment vertical="center" wrapText="1"/>
    </xf>
    <xf numFmtId="0" fontId="66" fillId="0" borderId="14" xfId="151" applyFont="1" applyBorder="1" applyAlignment="1">
      <alignment horizontal="center" vertical="center" wrapText="1"/>
    </xf>
    <xf numFmtId="9" fontId="71" fillId="0" borderId="0" xfId="201" applyFont="1" applyBorder="1" applyAlignment="1">
      <alignment horizontal="center" vertical="center" wrapText="1"/>
    </xf>
    <xf numFmtId="9" fontId="71" fillId="38" borderId="0" xfId="201" applyFont="1" applyFill="1" applyBorder="1" applyAlignment="1">
      <alignment horizontal="center" vertical="center" wrapText="1"/>
    </xf>
    <xf numFmtId="9" fontId="71" fillId="30" borderId="0" xfId="201" applyFont="1" applyFill="1" applyBorder="1" applyAlignment="1">
      <alignment horizontal="center" vertical="center" wrapText="1"/>
    </xf>
    <xf numFmtId="0" fontId="68" fillId="0" borderId="0" xfId="159" applyFont="1" applyAlignment="1" applyProtection="1">
      <alignment horizontal="left" indent="1"/>
      <protection locked="0"/>
    </xf>
    <xf numFmtId="0" fontId="73" fillId="0" borderId="0" xfId="145" applyFont="1" applyAlignment="1">
      <alignment horizontal="center" vertical="center" wrapText="1"/>
    </xf>
    <xf numFmtId="9" fontId="74" fillId="39" borderId="0" xfId="201" applyFont="1" applyFill="1" applyBorder="1" applyAlignment="1">
      <alignment horizontal="center" vertical="center" wrapText="1"/>
    </xf>
    <xf numFmtId="3" fontId="66" fillId="37" borderId="14" xfId="151" applyNumberFormat="1" applyFont="1" applyFill="1" applyBorder="1" applyAlignment="1">
      <alignment horizontal="left" vertical="center" wrapText="1"/>
    </xf>
    <xf numFmtId="3" fontId="66" fillId="37" borderId="15" xfId="151" applyNumberFormat="1" applyFont="1" applyFill="1" applyBorder="1" applyAlignment="1">
      <alignment vertical="center" wrapText="1"/>
    </xf>
    <xf numFmtId="0" fontId="66" fillId="37" borderId="15" xfId="151" applyFont="1" applyFill="1" applyBorder="1" applyAlignment="1">
      <alignment horizontal="center" vertical="center" wrapText="1"/>
    </xf>
    <xf numFmtId="0" fontId="44" fillId="0" borderId="0" xfId="139" applyFont="1"/>
    <xf numFmtId="0" fontId="66" fillId="25" borderId="15" xfId="151" applyFont="1" applyFill="1" applyBorder="1" applyAlignment="1">
      <alignment vertical="center" wrapText="1"/>
    </xf>
    <xf numFmtId="168" fontId="66" fillId="25" borderId="15" xfId="85" applyNumberFormat="1" applyFont="1" applyFill="1" applyBorder="1" applyAlignment="1">
      <alignment vertical="center" wrapText="1"/>
    </xf>
    <xf numFmtId="10" fontId="66" fillId="25" borderId="25" xfId="151" applyNumberFormat="1" applyFont="1" applyFill="1" applyBorder="1" applyAlignment="1">
      <alignment vertical="center" wrapText="1"/>
    </xf>
    <xf numFmtId="169" fontId="66" fillId="25" borderId="15" xfId="151" applyNumberFormat="1" applyFont="1" applyFill="1" applyBorder="1" applyAlignment="1">
      <alignment horizontal="center" vertical="center" wrapText="1"/>
    </xf>
    <xf numFmtId="0" fontId="66" fillId="25" borderId="12" xfId="151" applyFont="1" applyFill="1" applyBorder="1" applyAlignment="1">
      <alignment vertical="center" wrapText="1"/>
    </xf>
    <xf numFmtId="0" fontId="66" fillId="25" borderId="34" xfId="151" applyFont="1" applyFill="1" applyBorder="1" applyAlignment="1">
      <alignment vertical="center" wrapText="1"/>
    </xf>
    <xf numFmtId="0" fontId="66" fillId="25" borderId="27" xfId="151" applyFont="1" applyFill="1" applyBorder="1" applyAlignment="1">
      <alignment vertical="center" wrapText="1"/>
    </xf>
    <xf numFmtId="168" fontId="66" fillId="0" borderId="15" xfId="85" applyNumberFormat="1" applyFont="1" applyBorder="1" applyAlignment="1">
      <alignment vertical="center" wrapText="1"/>
    </xf>
    <xf numFmtId="9" fontId="66" fillId="0" borderId="15" xfId="203" applyFont="1" applyBorder="1" applyAlignment="1">
      <alignment vertical="center" wrapText="1"/>
    </xf>
    <xf numFmtId="168" fontId="66" fillId="0" borderId="15" xfId="85" applyNumberFormat="1" applyFont="1" applyBorder="1" applyAlignment="1">
      <alignment horizontal="center" vertical="center" wrapText="1"/>
    </xf>
    <xf numFmtId="0" fontId="66" fillId="0" borderId="21" xfId="151" applyFont="1" applyBorder="1" applyAlignment="1">
      <alignment horizontal="center" vertical="center" wrapText="1"/>
    </xf>
    <xf numFmtId="3" fontId="66" fillId="0" borderId="22" xfId="151" applyNumberFormat="1" applyFont="1" applyBorder="1" applyAlignment="1">
      <alignment vertical="center" wrapText="1"/>
    </xf>
    <xf numFmtId="0" fontId="66" fillId="0" borderId="22" xfId="151" applyFont="1" applyBorder="1" applyAlignment="1">
      <alignment vertical="center" wrapText="1"/>
    </xf>
    <xf numFmtId="168" fontId="66" fillId="0" borderId="22" xfId="85" applyNumberFormat="1" applyFont="1" applyBorder="1" applyAlignment="1">
      <alignment vertical="center" wrapText="1"/>
    </xf>
    <xf numFmtId="10" fontId="66" fillId="0" borderId="22" xfId="151" applyNumberFormat="1" applyFont="1" applyBorder="1" applyAlignment="1">
      <alignment vertical="center" wrapText="1"/>
    </xf>
    <xf numFmtId="0" fontId="66" fillId="25" borderId="22" xfId="151" applyFont="1" applyFill="1" applyBorder="1" applyAlignment="1">
      <alignment horizontal="center" vertical="center" wrapText="1"/>
    </xf>
    <xf numFmtId="169" fontId="66" fillId="0" borderId="22" xfId="151" applyNumberFormat="1" applyFont="1" applyBorder="1" applyAlignment="1">
      <alignment horizontal="center" vertical="center" wrapText="1"/>
    </xf>
    <xf numFmtId="0" fontId="66" fillId="0" borderId="39" xfId="151" applyFont="1" applyBorder="1" applyAlignment="1">
      <alignment vertical="center" wrapText="1"/>
    </xf>
    <xf numFmtId="3" fontId="66" fillId="0" borderId="29" xfId="151" applyNumberFormat="1" applyFont="1" applyBorder="1" applyAlignment="1">
      <alignment vertical="center" wrapText="1"/>
    </xf>
    <xf numFmtId="9" fontId="66" fillId="0" borderId="29" xfId="203" applyFont="1" applyFill="1" applyBorder="1" applyAlignment="1">
      <alignment vertical="center" wrapText="1"/>
    </xf>
    <xf numFmtId="4" fontId="67" fillId="24" borderId="15" xfId="151" applyNumberFormat="1" applyFont="1" applyFill="1" applyBorder="1" applyAlignment="1">
      <alignment horizontal="center" vertical="center" wrapText="1"/>
    </xf>
    <xf numFmtId="10" fontId="67" fillId="24" borderId="15" xfId="151" applyNumberFormat="1" applyFont="1" applyFill="1" applyBorder="1" applyAlignment="1">
      <alignment horizontal="center" vertical="center" wrapText="1"/>
    </xf>
    <xf numFmtId="169" fontId="67" fillId="24" borderId="15" xfId="151" applyNumberFormat="1" applyFont="1" applyFill="1" applyBorder="1" applyAlignment="1">
      <alignment horizontal="center" vertical="center" wrapText="1"/>
    </xf>
    <xf numFmtId="0" fontId="66" fillId="25" borderId="21" xfId="151" applyFont="1" applyFill="1" applyBorder="1" applyAlignment="1">
      <alignment horizontal="center" vertical="center" wrapText="1"/>
    </xf>
    <xf numFmtId="0" fontId="66" fillId="0" borderId="40" xfId="151" applyFont="1" applyBorder="1" applyAlignment="1">
      <alignment horizontal="center" vertical="center" wrapText="1"/>
    </xf>
    <xf numFmtId="10" fontId="66" fillId="37" borderId="15" xfId="151" applyNumberFormat="1" applyFont="1" applyFill="1" applyBorder="1" applyAlignment="1">
      <alignment vertical="center" wrapText="1"/>
    </xf>
    <xf numFmtId="0" fontId="66" fillId="25" borderId="22" xfId="151" applyFont="1" applyFill="1" applyBorder="1" applyAlignment="1">
      <alignment vertical="center" wrapText="1"/>
    </xf>
    <xf numFmtId="10" fontId="66" fillId="25" borderId="22" xfId="151" applyNumberFormat="1" applyFont="1" applyFill="1" applyBorder="1" applyAlignment="1">
      <alignment vertical="center" wrapText="1"/>
    </xf>
    <xf numFmtId="0" fontId="66" fillId="25" borderId="39" xfId="151" applyFont="1" applyFill="1" applyBorder="1" applyAlignment="1">
      <alignment vertical="center" wrapText="1"/>
    </xf>
    <xf numFmtId="3" fontId="66" fillId="25" borderId="22" xfId="151" applyNumberFormat="1" applyFont="1" applyFill="1" applyBorder="1" applyAlignment="1">
      <alignment vertical="center" wrapText="1"/>
    </xf>
    <xf numFmtId="168" fontId="66" fillId="25" borderId="40" xfId="85" applyNumberFormat="1" applyFont="1" applyFill="1" applyBorder="1" applyAlignment="1">
      <alignment vertical="center" wrapText="1"/>
    </xf>
    <xf numFmtId="0" fontId="66" fillId="0" borderId="40" xfId="151" applyFont="1" applyBorder="1" applyAlignment="1">
      <alignment vertical="center" wrapText="1"/>
    </xf>
    <xf numFmtId="0" fontId="66" fillId="0" borderId="22" xfId="151" applyFont="1" applyBorder="1" applyAlignment="1">
      <alignment horizontal="center" vertical="center" wrapText="1"/>
    </xf>
    <xf numFmtId="3" fontId="66" fillId="0" borderId="21" xfId="151" applyNumberFormat="1" applyFont="1" applyBorder="1" applyAlignment="1">
      <alignment horizontal="left" vertical="center" wrapText="1"/>
    </xf>
    <xf numFmtId="168" fontId="66" fillId="25" borderId="22" xfId="85" applyNumberFormat="1" applyFont="1" applyFill="1" applyBorder="1" applyAlignment="1">
      <alignment vertical="center" wrapText="1"/>
    </xf>
    <xf numFmtId="3" fontId="73" fillId="40" borderId="42" xfId="145" applyNumberFormat="1" applyFont="1" applyFill="1" applyBorder="1" applyAlignment="1">
      <alignment horizontal="center" vertical="center" wrapText="1"/>
    </xf>
    <xf numFmtId="3" fontId="73" fillId="39" borderId="37" xfId="145" applyNumberFormat="1" applyFont="1" applyFill="1" applyBorder="1" applyAlignment="1">
      <alignment horizontal="left" vertical="center" wrapText="1"/>
    </xf>
    <xf numFmtId="0" fontId="53" fillId="38" borderId="37" xfId="145" applyFont="1" applyFill="1" applyBorder="1" applyAlignment="1">
      <alignment horizontal="left" vertical="center" wrapText="1" indent="1"/>
    </xf>
    <xf numFmtId="0" fontId="42" fillId="30" borderId="37" xfId="145" applyFont="1" applyFill="1" applyBorder="1" applyAlignment="1">
      <alignment horizontal="left" vertical="center" wrapText="1" indent="2"/>
    </xf>
    <xf numFmtId="3" fontId="73" fillId="39" borderId="38" xfId="145" applyNumberFormat="1" applyFont="1" applyFill="1" applyBorder="1" applyAlignment="1">
      <alignment horizontal="center" vertical="center" wrapText="1"/>
    </xf>
    <xf numFmtId="3" fontId="42" fillId="30" borderId="38" xfId="145" applyNumberFormat="1" applyFont="1" applyFill="1" applyBorder="1" applyAlignment="1">
      <alignment horizontal="center" vertical="center" wrapText="1"/>
    </xf>
    <xf numFmtId="9" fontId="71" fillId="30" borderId="43" xfId="201" applyFont="1" applyFill="1" applyBorder="1" applyAlignment="1">
      <alignment horizontal="center" vertical="center" wrapText="1"/>
    </xf>
    <xf numFmtId="0" fontId="42" fillId="41" borderId="25" xfId="0" applyFont="1" applyFill="1" applyBorder="1" applyAlignment="1">
      <alignment horizontal="left" vertical="center" wrapText="1" indent="4"/>
    </xf>
    <xf numFmtId="0" fontId="75" fillId="41" borderId="25" xfId="0" applyFont="1" applyFill="1" applyBorder="1" applyAlignment="1">
      <alignment horizontal="center" vertical="center" wrapText="1"/>
    </xf>
    <xf numFmtId="4" fontId="75" fillId="41" borderId="25" xfId="0" applyNumberFormat="1" applyFont="1" applyFill="1" applyBorder="1" applyAlignment="1">
      <alignment horizontal="center" vertical="center" wrapText="1"/>
    </xf>
    <xf numFmtId="0" fontId="53" fillId="0" borderId="0" xfId="0" applyFont="1"/>
    <xf numFmtId="3" fontId="53" fillId="42" borderId="25" xfId="0" applyNumberFormat="1" applyFont="1" applyFill="1" applyBorder="1" applyAlignment="1">
      <alignment horizontal="right" indent="1"/>
    </xf>
    <xf numFmtId="2" fontId="0" fillId="42" borderId="25" xfId="0" applyNumberFormat="1" applyFill="1" applyBorder="1" applyAlignment="1">
      <alignment horizontal="right" indent="1"/>
    </xf>
    <xf numFmtId="0" fontId="0" fillId="0" borderId="0" xfId="0" applyAlignment="1">
      <alignment vertical="center"/>
    </xf>
    <xf numFmtId="0" fontId="44" fillId="0" borderId="0" xfId="145" applyFont="1" applyAlignment="1">
      <alignment horizontal="center" vertical="center" wrapText="1"/>
    </xf>
    <xf numFmtId="3" fontId="42" fillId="0" borderId="0" xfId="145" applyNumberFormat="1" applyFont="1" applyAlignment="1">
      <alignment horizontal="center" vertical="center" wrapText="1"/>
    </xf>
    <xf numFmtId="0" fontId="44" fillId="0" borderId="0" xfId="145" applyFont="1" applyAlignment="1">
      <alignment horizontal="left" vertical="center" wrapText="1" indent="1"/>
    </xf>
    <xf numFmtId="3" fontId="44" fillId="0" borderId="0" xfId="145" applyNumberFormat="1" applyFont="1" applyAlignment="1">
      <alignment horizontal="center" vertical="center" wrapText="1"/>
    </xf>
    <xf numFmtId="9" fontId="76" fillId="0" borderId="0" xfId="201" applyFont="1" applyBorder="1" applyAlignment="1">
      <alignment horizontal="center" vertical="center" wrapText="1"/>
    </xf>
    <xf numFmtId="3" fontId="42" fillId="30" borderId="37" xfId="145" applyNumberFormat="1" applyFont="1" applyFill="1" applyBorder="1" applyAlignment="1">
      <alignment horizontal="center" vertical="center" wrapText="1"/>
    </xf>
    <xf numFmtId="3" fontId="73" fillId="39" borderId="37" xfId="145" applyNumberFormat="1" applyFont="1" applyFill="1" applyBorder="1" applyAlignment="1">
      <alignment horizontal="center" vertical="center" wrapText="1"/>
    </xf>
    <xf numFmtId="3" fontId="40" fillId="43" borderId="44" xfId="145" applyNumberFormat="1" applyFont="1" applyFill="1" applyBorder="1" applyAlignment="1">
      <alignment horizontal="center" vertical="center" wrapText="1"/>
    </xf>
    <xf numFmtId="3" fontId="40" fillId="43" borderId="42" xfId="145" applyNumberFormat="1" applyFont="1" applyFill="1" applyBorder="1" applyAlignment="1">
      <alignment horizontal="center" vertical="center" wrapText="1"/>
    </xf>
    <xf numFmtId="3" fontId="71" fillId="30" borderId="42" xfId="85" applyNumberFormat="1" applyFont="1" applyFill="1" applyBorder="1" applyAlignment="1">
      <alignment horizontal="center" vertical="center" wrapText="1"/>
    </xf>
    <xf numFmtId="3" fontId="73" fillId="40" borderId="44" xfId="145" applyNumberFormat="1" applyFont="1" applyFill="1" applyBorder="1" applyAlignment="1">
      <alignment horizontal="center" vertical="center" wrapText="1"/>
    </xf>
    <xf numFmtId="3" fontId="53" fillId="44" borderId="37" xfId="145" applyNumberFormat="1" applyFont="1" applyFill="1" applyBorder="1" applyAlignment="1">
      <alignment horizontal="center" vertical="center" wrapText="1"/>
    </xf>
    <xf numFmtId="3" fontId="0" fillId="0" borderId="0" xfId="0" applyNumberFormat="1"/>
    <xf numFmtId="171" fontId="0" fillId="0" borderId="0" xfId="0" applyNumberFormat="1"/>
    <xf numFmtId="172" fontId="37" fillId="0" borderId="0" xfId="201" applyNumberFormat="1" applyFont="1"/>
    <xf numFmtId="0" fontId="53" fillId="45" borderId="25" xfId="0" applyFont="1" applyFill="1" applyBorder="1" applyAlignment="1">
      <alignment horizontal="center" vertical="center"/>
    </xf>
    <xf numFmtId="0" fontId="66" fillId="0" borderId="16" xfId="151" applyFont="1" applyBorder="1" applyAlignment="1">
      <alignment vertical="center" wrapText="1"/>
    </xf>
    <xf numFmtId="0" fontId="66" fillId="0" borderId="45" xfId="151" applyFont="1" applyBorder="1" applyAlignment="1">
      <alignment vertical="center" wrapText="1"/>
    </xf>
    <xf numFmtId="0" fontId="66" fillId="0" borderId="46" xfId="151" applyFont="1" applyBorder="1" applyAlignment="1">
      <alignment vertical="center" wrapText="1"/>
    </xf>
    <xf numFmtId="0" fontId="66" fillId="0" borderId="47" xfId="151" applyFont="1" applyBorder="1" applyAlignment="1">
      <alignment vertical="center" wrapText="1"/>
    </xf>
    <xf numFmtId="3" fontId="66" fillId="0" borderId="16" xfId="151" applyNumberFormat="1" applyFont="1" applyBorder="1" applyAlignment="1">
      <alignment vertical="center" wrapText="1"/>
    </xf>
    <xf numFmtId="0" fontId="66" fillId="25" borderId="16" xfId="151" applyFont="1" applyFill="1" applyBorder="1" applyAlignment="1">
      <alignment vertical="center" wrapText="1"/>
    </xf>
    <xf numFmtId="168" fontId="66" fillId="0" borderId="16" xfId="85" applyNumberFormat="1" applyFont="1" applyBorder="1" applyAlignment="1">
      <alignment vertical="center" wrapText="1"/>
    </xf>
    <xf numFmtId="9" fontId="66" fillId="0" borderId="16" xfId="203" applyFont="1" applyBorder="1" applyAlignment="1">
      <alignment vertical="center" wrapText="1"/>
    </xf>
    <xf numFmtId="10" fontId="66" fillId="0" borderId="16" xfId="151" applyNumberFormat="1" applyFont="1" applyBorder="1" applyAlignment="1">
      <alignment vertical="center" wrapText="1"/>
    </xf>
    <xf numFmtId="168" fontId="66" fillId="0" borderId="16" xfId="85" applyNumberFormat="1" applyFont="1" applyBorder="1" applyAlignment="1">
      <alignment horizontal="center" vertical="center" wrapText="1"/>
    </xf>
    <xf numFmtId="0" fontId="66" fillId="25" borderId="16" xfId="151" applyFont="1" applyFill="1" applyBorder="1" applyAlignment="1">
      <alignment horizontal="center" vertical="center" wrapText="1"/>
    </xf>
    <xf numFmtId="169" fontId="66" fillId="0" borderId="16" xfId="151" applyNumberFormat="1" applyFont="1" applyBorder="1" applyAlignment="1">
      <alignment horizontal="center" vertical="center" wrapText="1"/>
    </xf>
    <xf numFmtId="0" fontId="66" fillId="0" borderId="48" xfId="151" applyFont="1" applyBorder="1" applyAlignment="1">
      <alignment vertical="center" wrapText="1"/>
    </xf>
    <xf numFmtId="0" fontId="67" fillId="24" borderId="29" xfId="151" applyFont="1" applyFill="1" applyBorder="1" applyAlignment="1">
      <alignment horizontal="center" vertical="center" wrapText="1"/>
    </xf>
    <xf numFmtId="4" fontId="67" fillId="24" borderId="29" xfId="151" applyNumberFormat="1" applyFont="1" applyFill="1" applyBorder="1" applyAlignment="1">
      <alignment horizontal="center" vertical="center" wrapText="1"/>
    </xf>
    <xf numFmtId="10" fontId="67" fillId="24" borderId="29" xfId="151" applyNumberFormat="1" applyFont="1" applyFill="1" applyBorder="1" applyAlignment="1">
      <alignment horizontal="center" vertical="center" wrapText="1"/>
    </xf>
    <xf numFmtId="169" fontId="67" fillId="24" borderId="29" xfId="151" applyNumberFormat="1" applyFont="1" applyFill="1" applyBorder="1" applyAlignment="1">
      <alignment horizontal="center" vertical="center" wrapText="1"/>
    </xf>
    <xf numFmtId="0" fontId="67" fillId="24" borderId="25" xfId="151" applyFont="1" applyFill="1" applyBorder="1" applyAlignment="1">
      <alignment horizontal="center" vertical="center" wrapText="1"/>
    </xf>
    <xf numFmtId="0" fontId="67" fillId="24" borderId="26" xfId="151" applyFont="1" applyFill="1" applyBorder="1" applyAlignment="1">
      <alignment horizontal="center" vertical="center" wrapText="1"/>
    </xf>
    <xf numFmtId="43" fontId="66" fillId="25" borderId="15" xfId="85" applyFont="1" applyFill="1" applyBorder="1" applyAlignment="1">
      <alignment vertical="center" wrapText="1"/>
    </xf>
    <xf numFmtId="168" fontId="66" fillId="0" borderId="22" xfId="85" applyNumberFormat="1" applyFont="1" applyFill="1" applyBorder="1" applyAlignment="1">
      <alignment vertical="center" wrapText="1"/>
    </xf>
    <xf numFmtId="0" fontId="78" fillId="0" borderId="0" xfId="151" applyFont="1" applyAlignment="1">
      <alignment horizontal="left" vertical="center" wrapText="1"/>
    </xf>
    <xf numFmtId="0" fontId="66" fillId="25" borderId="28" xfId="151" applyFont="1" applyFill="1" applyBorder="1" applyAlignment="1">
      <alignment horizontal="center" vertical="center" wrapText="1"/>
    </xf>
    <xf numFmtId="0" fontId="68" fillId="0" borderId="0" xfId="140" applyFont="1" applyAlignment="1">
      <alignment horizontal="left" indent="13"/>
    </xf>
    <xf numFmtId="0" fontId="71" fillId="0" borderId="0" xfId="0" applyFont="1"/>
    <xf numFmtId="0" fontId="53" fillId="45" borderId="25" xfId="0" applyFont="1" applyFill="1" applyBorder="1" applyAlignment="1">
      <alignment horizontal="left" vertical="center" indent="1"/>
    </xf>
    <xf numFmtId="0" fontId="53" fillId="42" borderId="25" xfId="0" applyFont="1" applyFill="1" applyBorder="1" applyAlignment="1">
      <alignment horizontal="left" indent="1"/>
    </xf>
    <xf numFmtId="0" fontId="0" fillId="42" borderId="25" xfId="0" applyFill="1" applyBorder="1" applyAlignment="1">
      <alignment horizontal="left" indent="1"/>
    </xf>
    <xf numFmtId="0" fontId="0" fillId="0" borderId="25" xfId="0" applyBorder="1" applyAlignment="1">
      <alignment horizontal="left" indent="2"/>
    </xf>
    <xf numFmtId="3" fontId="38" fillId="0" borderId="0" xfId="145" applyNumberFormat="1" applyAlignment="1">
      <alignment horizontal="center" vertical="center" wrapText="1"/>
    </xf>
    <xf numFmtId="0" fontId="38" fillId="0" borderId="0" xfId="145" applyAlignment="1">
      <alignment horizontal="center" vertical="center" wrapText="1"/>
    </xf>
    <xf numFmtId="0" fontId="38" fillId="0" borderId="0" xfId="145" applyAlignment="1">
      <alignment horizontal="right" vertical="center" wrapText="1" indent="1"/>
    </xf>
    <xf numFmtId="0" fontId="42" fillId="47" borderId="25" xfId="0" applyFont="1" applyFill="1" applyBorder="1" applyAlignment="1">
      <alignment horizontal="left" vertical="center" indent="1"/>
    </xf>
    <xf numFmtId="0" fontId="42" fillId="47" borderId="25" xfId="0" applyFont="1" applyFill="1" applyBorder="1" applyAlignment="1">
      <alignment horizontal="center" vertical="center" wrapText="1"/>
    </xf>
    <xf numFmtId="0" fontId="42" fillId="47" borderId="25" xfId="0" quotePrefix="1" applyFont="1" applyFill="1" applyBorder="1" applyAlignment="1">
      <alignment horizontal="center" vertical="center" wrapText="1"/>
    </xf>
    <xf numFmtId="0" fontId="46" fillId="27" borderId="27" xfId="173" applyFont="1" applyFill="1" applyBorder="1" applyAlignment="1">
      <alignment horizontal="center" vertical="center" wrapText="1"/>
    </xf>
    <xf numFmtId="0" fontId="4" fillId="24" borderId="25" xfId="151" applyFill="1" applyBorder="1" applyAlignment="1">
      <alignment horizontal="center" vertical="center" wrapText="1"/>
    </xf>
    <xf numFmtId="0" fontId="4" fillId="24" borderId="27" xfId="151" applyFill="1" applyBorder="1" applyAlignment="1">
      <alignment horizontal="center" vertical="center" wrapText="1"/>
    </xf>
    <xf numFmtId="4" fontId="4" fillId="24" borderId="25" xfId="151" applyNumberFormat="1" applyFill="1" applyBorder="1" applyAlignment="1">
      <alignment horizontal="center" vertical="center" wrapText="1"/>
    </xf>
    <xf numFmtId="10" fontId="4" fillId="24" borderId="25" xfId="151" applyNumberFormat="1" applyFill="1" applyBorder="1" applyAlignment="1">
      <alignment horizontal="center" vertical="center" wrapText="1"/>
    </xf>
    <xf numFmtId="169" fontId="4" fillId="24" borderId="25" xfId="151" applyNumberFormat="1" applyFill="1" applyBorder="1" applyAlignment="1">
      <alignment horizontal="center" vertical="center" wrapText="1"/>
    </xf>
    <xf numFmtId="0" fontId="4" fillId="0" borderId="34" xfId="151" applyBorder="1" applyAlignment="1">
      <alignment horizontal="left" vertical="center" wrapText="1"/>
    </xf>
    <xf numFmtId="0" fontId="4" fillId="0" borderId="34" xfId="151" applyBorder="1" applyAlignment="1">
      <alignment vertical="center" wrapText="1"/>
    </xf>
    <xf numFmtId="0" fontId="4" fillId="0" borderId="25" xfId="151" applyBorder="1" applyAlignment="1">
      <alignment vertical="center" wrapText="1"/>
    </xf>
    <xf numFmtId="4" fontId="4" fillId="0" borderId="25" xfId="151" applyNumberFormat="1" applyBorder="1" applyAlignment="1">
      <alignment vertical="center" wrapText="1"/>
    </xf>
    <xf numFmtId="10" fontId="4" fillId="0" borderId="25" xfId="151" applyNumberFormat="1" applyBorder="1" applyAlignment="1">
      <alignment vertical="center" wrapText="1"/>
    </xf>
    <xf numFmtId="169" fontId="4" fillId="0" borderId="25" xfId="151" applyNumberFormat="1" applyBorder="1" applyAlignment="1">
      <alignment vertical="center" wrapText="1"/>
    </xf>
    <xf numFmtId="0" fontId="4" fillId="0" borderId="27" xfId="151" applyBorder="1" applyAlignment="1">
      <alignment vertical="center" wrapText="1"/>
    </xf>
    <xf numFmtId="0" fontId="4" fillId="0" borderId="28" xfId="151" applyBorder="1" applyAlignment="1">
      <alignment horizontal="left" vertical="center" wrapText="1"/>
    </xf>
    <xf numFmtId="0" fontId="4" fillId="0" borderId="28" xfId="151" applyBorder="1" applyAlignment="1">
      <alignment vertical="center" wrapText="1"/>
    </xf>
    <xf numFmtId="0" fontId="4" fillId="0" borderId="29" xfId="151" applyBorder="1" applyAlignment="1">
      <alignment vertical="center" wrapText="1"/>
    </xf>
    <xf numFmtId="4" fontId="4" fillId="0" borderId="29" xfId="151" applyNumberFormat="1" applyBorder="1" applyAlignment="1">
      <alignment vertical="center" wrapText="1"/>
    </xf>
    <xf numFmtId="10" fontId="4" fillId="0" borderId="29" xfId="151" applyNumberFormat="1" applyBorder="1" applyAlignment="1">
      <alignment vertical="center" wrapText="1"/>
    </xf>
    <xf numFmtId="169" fontId="4" fillId="0" borderId="29" xfId="151" applyNumberFormat="1" applyBorder="1" applyAlignment="1">
      <alignment vertical="center" wrapText="1"/>
    </xf>
    <xf numFmtId="0" fontId="4" fillId="0" borderId="30" xfId="151" applyBorder="1" applyAlignment="1">
      <alignment vertical="center" wrapText="1"/>
    </xf>
    <xf numFmtId="0" fontId="4" fillId="25" borderId="34" xfId="151" applyFill="1" applyBorder="1" applyAlignment="1">
      <alignment vertical="center" wrapText="1"/>
    </xf>
    <xf numFmtId="0" fontId="4" fillId="25" borderId="25" xfId="151" applyFill="1" applyBorder="1" applyAlignment="1">
      <alignment vertical="center" wrapText="1"/>
    </xf>
    <xf numFmtId="168" fontId="4" fillId="25" borderId="25" xfId="85" applyNumberFormat="1" applyFont="1" applyFill="1" applyBorder="1" applyAlignment="1">
      <alignment vertical="center" wrapText="1"/>
    </xf>
    <xf numFmtId="10" fontId="4" fillId="25" borderId="25" xfId="151" applyNumberFormat="1" applyFill="1" applyBorder="1" applyAlignment="1">
      <alignment vertical="center" wrapText="1"/>
    </xf>
    <xf numFmtId="169" fontId="4" fillId="25" borderId="25" xfId="151" applyNumberFormat="1" applyFill="1" applyBorder="1" applyAlignment="1">
      <alignment vertical="center" wrapText="1"/>
    </xf>
    <xf numFmtId="0" fontId="4" fillId="25" borderId="27" xfId="151" applyFill="1" applyBorder="1" applyAlignment="1">
      <alignment vertical="center" wrapText="1"/>
    </xf>
    <xf numFmtId="3" fontId="4" fillId="25" borderId="25" xfId="151" applyNumberFormat="1" applyFill="1" applyBorder="1" applyAlignment="1">
      <alignment vertical="center" wrapText="1"/>
    </xf>
    <xf numFmtId="169" fontId="4" fillId="48" borderId="25" xfId="151" applyNumberFormat="1" applyFill="1" applyBorder="1" applyAlignment="1">
      <alignment vertical="center" wrapText="1"/>
    </xf>
    <xf numFmtId="0" fontId="4" fillId="25" borderId="25" xfId="151" applyFill="1" applyBorder="1" applyAlignment="1">
      <alignment horizontal="left" vertical="center" wrapText="1"/>
    </xf>
    <xf numFmtId="0" fontId="4" fillId="24" borderId="33" xfId="151" applyFill="1" applyBorder="1" applyAlignment="1">
      <alignment horizontal="center" vertical="center" wrapText="1"/>
    </xf>
    <xf numFmtId="0" fontId="4" fillId="24" borderId="26" xfId="151" applyFill="1" applyBorder="1" applyAlignment="1">
      <alignment horizontal="center" vertical="center" wrapText="1"/>
    </xf>
    <xf numFmtId="168" fontId="4" fillId="0" borderId="25" xfId="85" applyNumberFormat="1" applyFont="1" applyBorder="1" applyAlignment="1">
      <alignment vertical="center" wrapText="1"/>
    </xf>
    <xf numFmtId="9" fontId="4" fillId="25" borderId="25" xfId="202" applyFont="1" applyFill="1" applyBorder="1" applyAlignment="1">
      <alignment vertical="center" wrapText="1"/>
    </xf>
    <xf numFmtId="9" fontId="4" fillId="0" borderId="25" xfId="202" applyFont="1" applyBorder="1" applyAlignment="1">
      <alignment vertical="center" wrapText="1"/>
    </xf>
    <xf numFmtId="168" fontId="22" fillId="25" borderId="25" xfId="85" applyNumberFormat="1" applyFont="1" applyFill="1" applyBorder="1" applyAlignment="1">
      <alignment vertical="center" wrapText="1"/>
    </xf>
    <xf numFmtId="3" fontId="4" fillId="0" borderId="25" xfId="151" applyNumberFormat="1" applyBorder="1" applyAlignment="1">
      <alignment vertical="center" wrapText="1"/>
    </xf>
    <xf numFmtId="0" fontId="4" fillId="0" borderId="25" xfId="151" applyBorder="1" applyAlignment="1">
      <alignment horizontal="left" vertical="center" wrapText="1"/>
    </xf>
    <xf numFmtId="4" fontId="25" fillId="0" borderId="25" xfId="139" applyNumberFormat="1" applyFont="1" applyBorder="1" applyAlignment="1">
      <alignment horizontal="center"/>
    </xf>
    <xf numFmtId="4" fontId="25" fillId="0" borderId="25" xfId="139" applyNumberFormat="1" applyFont="1" applyBorder="1"/>
    <xf numFmtId="0" fontId="38" fillId="25" borderId="0" xfId="145" applyFill="1" applyAlignment="1">
      <alignment horizontal="right" vertical="center" wrapText="1" indent="1"/>
    </xf>
    <xf numFmtId="9" fontId="71" fillId="25" borderId="0" xfId="201" applyFont="1" applyFill="1" applyBorder="1" applyAlignment="1">
      <alignment horizontal="center" vertical="center" wrapText="1"/>
    </xf>
    <xf numFmtId="3" fontId="66" fillId="25" borderId="25" xfId="151" applyNumberFormat="1" applyFont="1" applyFill="1" applyBorder="1" applyAlignment="1">
      <alignment vertical="center" wrapText="1"/>
    </xf>
    <xf numFmtId="0" fontId="66" fillId="25" borderId="16" xfId="151" applyFont="1" applyFill="1" applyBorder="1" applyAlignment="1" applyProtection="1">
      <alignment vertical="center" wrapText="1"/>
      <protection locked="0"/>
    </xf>
    <xf numFmtId="168" fontId="66" fillId="25" borderId="25" xfId="85" applyNumberFormat="1" applyFont="1" applyFill="1" applyBorder="1" applyAlignment="1">
      <alignment vertical="center" wrapText="1"/>
    </xf>
    <xf numFmtId="0" fontId="66" fillId="25" borderId="25" xfId="151" applyFont="1" applyFill="1" applyBorder="1" applyAlignment="1">
      <alignment vertical="center" wrapText="1"/>
    </xf>
    <xf numFmtId="0" fontId="44" fillId="25" borderId="0" xfId="139" applyFont="1" applyFill="1"/>
    <xf numFmtId="0" fontId="66" fillId="25" borderId="0" xfId="155" applyFont="1" applyFill="1" applyAlignment="1">
      <alignment horizontal="left" vertical="center" wrapText="1"/>
    </xf>
    <xf numFmtId="3" fontId="66" fillId="25" borderId="33" xfId="151" applyNumberFormat="1" applyFont="1" applyFill="1" applyBorder="1" applyAlignment="1">
      <alignment vertical="center" wrapText="1"/>
    </xf>
    <xf numFmtId="0" fontId="66" fillId="25" borderId="14" xfId="151" applyFont="1" applyFill="1" applyBorder="1" applyAlignment="1">
      <alignment horizontal="center" vertical="center" wrapText="1"/>
    </xf>
    <xf numFmtId="168" fontId="66" fillId="25" borderId="15" xfId="151" applyNumberFormat="1" applyFont="1" applyFill="1" applyBorder="1" applyAlignment="1">
      <alignment vertical="center" wrapText="1"/>
    </xf>
    <xf numFmtId="0" fontId="66" fillId="25" borderId="0" xfId="155" applyFont="1" applyFill="1"/>
    <xf numFmtId="169" fontId="66" fillId="25" borderId="22" xfId="151" applyNumberFormat="1" applyFont="1" applyFill="1" applyBorder="1" applyAlignment="1">
      <alignment horizontal="center" vertical="center" wrapText="1"/>
    </xf>
    <xf numFmtId="168" fontId="78" fillId="0" borderId="0" xfId="151" applyNumberFormat="1" applyFont="1" applyAlignment="1">
      <alignment horizontal="left" vertical="center" wrapText="1"/>
    </xf>
    <xf numFmtId="9" fontId="66" fillId="25" borderId="25" xfId="202" applyFont="1" applyFill="1" applyBorder="1" applyAlignment="1">
      <alignment vertical="center" wrapText="1"/>
    </xf>
    <xf numFmtId="0" fontId="42" fillId="25" borderId="0" xfId="145" applyFont="1" applyFill="1" applyAlignment="1">
      <alignment horizontal="center" vertical="center" wrapText="1"/>
    </xf>
    <xf numFmtId="0" fontId="68" fillId="49" borderId="25" xfId="159" applyFont="1" applyFill="1" applyBorder="1" applyAlignment="1" applyProtection="1">
      <alignment horizontal="center" vertical="center"/>
      <protection locked="0"/>
    </xf>
    <xf numFmtId="0" fontId="68" fillId="49" borderId="25" xfId="159" applyFont="1" applyFill="1" applyBorder="1" applyAlignment="1" applyProtection="1">
      <alignment horizontal="center" vertical="center" wrapText="1"/>
      <protection locked="0"/>
    </xf>
    <xf numFmtId="0" fontId="68" fillId="50" borderId="25" xfId="159" applyFont="1" applyFill="1" applyBorder="1" applyAlignment="1" applyProtection="1">
      <alignment horizontal="center" vertical="center"/>
      <protection locked="0"/>
    </xf>
    <xf numFmtId="0" fontId="68" fillId="50" borderId="25" xfId="159" applyFont="1" applyFill="1" applyBorder="1" applyAlignment="1" applyProtection="1">
      <alignment horizontal="center" vertical="center" wrapText="1"/>
      <protection locked="0"/>
    </xf>
    <xf numFmtId="0" fontId="68" fillId="50" borderId="25" xfId="159" applyFont="1" applyFill="1" applyBorder="1" applyAlignment="1" applyProtection="1">
      <alignment horizontal="left" vertical="center" indent="1"/>
      <protection locked="0"/>
    </xf>
    <xf numFmtId="4" fontId="68" fillId="51" borderId="25" xfId="159" applyNumberFormat="1" applyFont="1" applyFill="1" applyBorder="1" applyAlignment="1" applyProtection="1">
      <alignment horizontal="right" vertical="center" indent="1"/>
      <protection locked="0"/>
    </xf>
    <xf numFmtId="4" fontId="44" fillId="52" borderId="25" xfId="159" applyNumberFormat="1" applyFont="1" applyFill="1" applyBorder="1" applyAlignment="1" applyProtection="1">
      <alignment horizontal="right" vertical="center" indent="1"/>
      <protection locked="0"/>
    </xf>
    <xf numFmtId="0" fontId="65" fillId="52" borderId="25" xfId="159" applyFont="1" applyFill="1" applyBorder="1" applyAlignment="1" applyProtection="1">
      <alignment horizontal="left" vertical="center"/>
      <protection locked="0"/>
    </xf>
    <xf numFmtId="0" fontId="68" fillId="52" borderId="25" xfId="159" applyFont="1" applyFill="1" applyBorder="1" applyAlignment="1" applyProtection="1">
      <alignment horizontal="left" vertical="center" wrapText="1"/>
      <protection locked="0"/>
    </xf>
    <xf numFmtId="0" fontId="68" fillId="52" borderId="25" xfId="159" applyFont="1" applyFill="1" applyBorder="1" applyAlignment="1" applyProtection="1">
      <alignment horizontal="center" vertical="center" wrapText="1"/>
      <protection locked="0"/>
    </xf>
    <xf numFmtId="3" fontId="68" fillId="48" borderId="25" xfId="159" applyNumberFormat="1" applyFont="1" applyFill="1" applyBorder="1" applyAlignment="1" applyProtection="1">
      <alignment horizontal="right" vertical="center" indent="1"/>
      <protection locked="0"/>
    </xf>
    <xf numFmtId="3" fontId="68" fillId="42" borderId="25" xfId="0" applyNumberFormat="1" applyFont="1" applyFill="1" applyBorder="1" applyAlignment="1">
      <alignment horizontal="right" vertical="center" wrapText="1" indent="1"/>
    </xf>
    <xf numFmtId="0" fontId="44" fillId="42" borderId="25" xfId="0" applyFont="1" applyFill="1" applyBorder="1" applyAlignment="1" applyProtection="1">
      <alignment horizontal="left" vertical="center" wrapText="1" indent="1"/>
      <protection locked="0"/>
    </xf>
    <xf numFmtId="3" fontId="44" fillId="42" borderId="25" xfId="0" applyNumberFormat="1" applyFont="1" applyFill="1" applyBorder="1" applyAlignment="1" applyProtection="1">
      <alignment horizontal="center" vertical="center" wrapText="1"/>
      <protection locked="0"/>
    </xf>
    <xf numFmtId="3" fontId="44" fillId="42" borderId="25" xfId="159" applyNumberFormat="1" applyFont="1" applyFill="1" applyBorder="1" applyAlignment="1">
      <alignment horizontal="center" vertical="center" wrapText="1"/>
    </xf>
    <xf numFmtId="0" fontId="44" fillId="42" borderId="25" xfId="159" applyFont="1" applyFill="1" applyBorder="1" applyAlignment="1" applyProtection="1">
      <alignment horizontal="center" vertical="center" wrapText="1"/>
      <protection locked="0"/>
    </xf>
    <xf numFmtId="0" fontId="44" fillId="42" borderId="25" xfId="0" applyFont="1" applyFill="1" applyBorder="1" applyAlignment="1" applyProtection="1">
      <alignment horizontal="center" vertical="center" wrapText="1"/>
      <protection locked="0"/>
    </xf>
    <xf numFmtId="3" fontId="44" fillId="53" borderId="25" xfId="0" applyNumberFormat="1" applyFont="1" applyFill="1" applyBorder="1" applyAlignment="1" applyProtection="1">
      <alignment horizontal="center" vertical="center" wrapText="1"/>
      <protection locked="0"/>
    </xf>
    <xf numFmtId="3" fontId="44" fillId="53" borderId="25" xfId="159" applyNumberFormat="1" applyFont="1" applyFill="1" applyBorder="1" applyAlignment="1">
      <alignment horizontal="center" vertical="center" wrapText="1"/>
    </xf>
    <xf numFmtId="0" fontId="44" fillId="53" borderId="25" xfId="0" applyFont="1" applyFill="1" applyBorder="1" applyAlignment="1" applyProtection="1">
      <alignment horizontal="center" vertical="center" wrapText="1"/>
      <protection locked="0"/>
    </xf>
    <xf numFmtId="0" fontId="44" fillId="53" borderId="25" xfId="159" applyFont="1" applyFill="1" applyBorder="1" applyAlignment="1" applyProtection="1">
      <alignment horizontal="center" vertical="center" wrapText="1"/>
      <protection locked="0"/>
    </xf>
    <xf numFmtId="4" fontId="44" fillId="42" borderId="25" xfId="0" applyNumberFormat="1" applyFont="1" applyFill="1" applyBorder="1" applyAlignment="1" applyProtection="1">
      <alignment horizontal="center" vertical="center" wrapText="1"/>
      <protection locked="0"/>
    </xf>
    <xf numFmtId="3" fontId="44" fillId="42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44" fillId="42" borderId="25" xfId="159" applyFont="1" applyFill="1" applyBorder="1" applyAlignment="1" applyProtection="1">
      <alignment horizontal="center" vertical="center"/>
      <protection locked="0"/>
    </xf>
    <xf numFmtId="0" fontId="44" fillId="42" borderId="25" xfId="159" applyFont="1" applyFill="1" applyBorder="1" applyAlignment="1" applyProtection="1">
      <alignment horizontal="left" vertical="center" wrapText="1" indent="1"/>
      <protection locked="0"/>
    </xf>
    <xf numFmtId="0" fontId="44" fillId="42" borderId="25" xfId="0" applyFont="1" applyFill="1" applyBorder="1" applyAlignment="1" applyProtection="1">
      <alignment horizontal="left" vertical="center" wrapText="1"/>
      <protection locked="0"/>
    </xf>
    <xf numFmtId="0" fontId="44" fillId="42" borderId="25" xfId="159" applyFont="1" applyFill="1" applyBorder="1" applyAlignment="1" applyProtection="1">
      <alignment horizontal="center"/>
      <protection locked="0"/>
    </xf>
    <xf numFmtId="0" fontId="65" fillId="51" borderId="25" xfId="159" applyFont="1" applyFill="1" applyBorder="1" applyAlignment="1" applyProtection="1">
      <alignment horizontal="left" vertical="center"/>
      <protection locked="0"/>
    </xf>
    <xf numFmtId="0" fontId="68" fillId="51" borderId="25" xfId="159" applyFont="1" applyFill="1" applyBorder="1" applyAlignment="1" applyProtection="1">
      <alignment horizontal="left" vertical="center" wrapText="1"/>
      <protection locked="0"/>
    </xf>
    <xf numFmtId="0" fontId="68" fillId="51" borderId="25" xfId="159" applyFont="1" applyFill="1" applyBorder="1" applyAlignment="1" applyProtection="1">
      <alignment horizontal="center" vertical="center" wrapText="1"/>
      <protection locked="0"/>
    </xf>
    <xf numFmtId="0" fontId="44" fillId="42" borderId="25" xfId="159" applyFont="1" applyFill="1" applyBorder="1" applyAlignment="1" applyProtection="1">
      <alignment horizontal="left" vertical="center" wrapText="1"/>
      <protection locked="0"/>
    </xf>
    <xf numFmtId="0" fontId="68" fillId="51" borderId="51" xfId="159" applyFont="1" applyFill="1" applyBorder="1" applyAlignment="1" applyProtection="1">
      <alignment horizontal="left" vertical="center" indent="1"/>
      <protection locked="0"/>
    </xf>
    <xf numFmtId="174" fontId="44" fillId="0" borderId="0" xfId="159" applyNumberFormat="1" applyFont="1" applyProtection="1">
      <protection locked="0"/>
    </xf>
    <xf numFmtId="4" fontId="68" fillId="54" borderId="25" xfId="0" applyNumberFormat="1" applyFont="1" applyFill="1" applyBorder="1" applyAlignment="1" applyProtection="1">
      <alignment horizontal="center" vertical="center"/>
      <protection locked="0"/>
    </xf>
    <xf numFmtId="3" fontId="68" fillId="54" borderId="25" xfId="0" applyNumberFormat="1" applyFont="1" applyFill="1" applyBorder="1" applyAlignment="1" applyProtection="1">
      <alignment horizontal="center" vertical="center" wrapText="1"/>
      <protection locked="0"/>
    </xf>
    <xf numFmtId="0" fontId="68" fillId="54" borderId="25" xfId="159" applyFont="1" applyFill="1" applyBorder="1" applyAlignment="1" applyProtection="1">
      <alignment vertical="center"/>
      <protection locked="0"/>
    </xf>
    <xf numFmtId="4" fontId="80" fillId="54" borderId="25" xfId="0" applyNumberFormat="1" applyFont="1" applyFill="1" applyBorder="1" applyAlignment="1" applyProtection="1">
      <alignment horizontal="center" vertical="center"/>
      <protection locked="0"/>
    </xf>
    <xf numFmtId="3" fontId="44" fillId="52" borderId="25" xfId="159" applyNumberFormat="1" applyFont="1" applyFill="1" applyBorder="1" applyAlignment="1" applyProtection="1">
      <alignment horizontal="right" vertical="center" indent="1"/>
      <protection locked="0"/>
    </xf>
    <xf numFmtId="3" fontId="68" fillId="51" borderId="25" xfId="159" applyNumberFormat="1" applyFont="1" applyFill="1" applyBorder="1" applyAlignment="1" applyProtection="1">
      <alignment horizontal="right" vertical="center" indent="1"/>
      <protection locked="0"/>
    </xf>
    <xf numFmtId="3" fontId="68" fillId="46" borderId="25" xfId="0" applyNumberFormat="1" applyFont="1" applyFill="1" applyBorder="1" applyAlignment="1" applyProtection="1">
      <alignment horizontal="right" vertical="center" indent="1"/>
      <protection locked="0"/>
    </xf>
    <xf numFmtId="3" fontId="0" fillId="0" borderId="25" xfId="0" applyNumberFormat="1" applyBorder="1" applyAlignment="1">
      <alignment horizontal="right" indent="1"/>
    </xf>
    <xf numFmtId="0" fontId="54" fillId="0" borderId="0" xfId="145" applyFont="1" applyAlignment="1">
      <alignment horizontal="center" vertical="center" wrapText="1"/>
    </xf>
    <xf numFmtId="3" fontId="44" fillId="42" borderId="16" xfId="0" applyNumberFormat="1" applyFont="1" applyFill="1" applyBorder="1" applyAlignment="1" applyProtection="1">
      <alignment horizontal="center" vertical="center" wrapText="1"/>
      <protection locked="0"/>
    </xf>
    <xf numFmtId="3" fontId="44" fillId="42" borderId="16" xfId="159" applyNumberFormat="1" applyFont="1" applyFill="1" applyBorder="1" applyAlignment="1">
      <alignment horizontal="center" vertical="center" wrapText="1"/>
    </xf>
    <xf numFmtId="3" fontId="44" fillId="42" borderId="27" xfId="159" applyNumberFormat="1" applyFont="1" applyFill="1" applyBorder="1" applyAlignment="1">
      <alignment horizontal="center" vertical="center" wrapText="1"/>
    </xf>
    <xf numFmtId="3" fontId="44" fillId="53" borderId="27" xfId="159" applyNumberFormat="1" applyFont="1" applyFill="1" applyBorder="1" applyAlignment="1">
      <alignment horizontal="center" vertical="center" wrapText="1"/>
    </xf>
    <xf numFmtId="3" fontId="68" fillId="42" borderId="16" xfId="0" applyNumberFormat="1" applyFont="1" applyFill="1" applyBorder="1" applyAlignment="1">
      <alignment horizontal="right" vertical="center" wrapText="1" indent="1"/>
    </xf>
    <xf numFmtId="0" fontId="44" fillId="42" borderId="16" xfId="0" applyFont="1" applyFill="1" applyBorder="1" applyAlignment="1" applyProtection="1">
      <alignment horizontal="left" vertical="center" wrapText="1" indent="1"/>
      <protection locked="0"/>
    </xf>
    <xf numFmtId="0" fontId="44" fillId="42" borderId="16" xfId="0" applyFont="1" applyFill="1" applyBorder="1" applyAlignment="1" applyProtection="1">
      <alignment horizontal="center" vertical="center" wrapText="1"/>
      <protection locked="0"/>
    </xf>
    <xf numFmtId="0" fontId="44" fillId="42" borderId="16" xfId="159" applyFont="1" applyFill="1" applyBorder="1" applyAlignment="1" applyProtection="1">
      <alignment vertical="center" wrapText="1"/>
      <protection locked="0"/>
    </xf>
    <xf numFmtId="3" fontId="44" fillId="26" borderId="16" xfId="159" applyNumberFormat="1" applyFont="1" applyFill="1" applyBorder="1" applyAlignment="1">
      <alignment horizontal="center" vertical="center" wrapText="1"/>
    </xf>
    <xf numFmtId="0" fontId="44" fillId="42" borderId="16" xfId="159" applyFont="1" applyFill="1" applyBorder="1" applyAlignment="1" applyProtection="1">
      <alignment horizontal="center" vertical="center" wrapText="1"/>
      <protection locked="0"/>
    </xf>
    <xf numFmtId="3" fontId="44" fillId="42" borderId="48" xfId="159" applyNumberFormat="1" applyFont="1" applyFill="1" applyBorder="1" applyAlignment="1">
      <alignment horizontal="center" vertical="center" wrapText="1"/>
    </xf>
    <xf numFmtId="3" fontId="68" fillId="42" borderId="15" xfId="0" applyNumberFormat="1" applyFont="1" applyFill="1" applyBorder="1" applyAlignment="1">
      <alignment horizontal="right" vertical="center" wrapText="1" indent="1"/>
    </xf>
    <xf numFmtId="0" fontId="44" fillId="42" borderId="15" xfId="0" applyFont="1" applyFill="1" applyBorder="1" applyAlignment="1" applyProtection="1">
      <alignment horizontal="left" vertical="center" wrapText="1" indent="1"/>
      <protection locked="0"/>
    </xf>
    <xf numFmtId="3" fontId="44" fillId="42" borderId="15" xfId="0" applyNumberFormat="1" applyFont="1" applyFill="1" applyBorder="1" applyAlignment="1" applyProtection="1">
      <alignment horizontal="center" vertical="center" wrapText="1"/>
      <protection locked="0"/>
    </xf>
    <xf numFmtId="0" fontId="44" fillId="42" borderId="15" xfId="0" applyFont="1" applyFill="1" applyBorder="1" applyAlignment="1" applyProtection="1">
      <alignment horizontal="center" vertical="center" wrapText="1"/>
      <protection locked="0"/>
    </xf>
    <xf numFmtId="3" fontId="44" fillId="42" borderId="15" xfId="159" applyNumberFormat="1" applyFont="1" applyFill="1" applyBorder="1" applyAlignment="1">
      <alignment horizontal="center" vertical="center" wrapText="1"/>
    </xf>
    <xf numFmtId="0" fontId="44" fillId="42" borderId="15" xfId="159" applyFont="1" applyFill="1" applyBorder="1" applyAlignment="1" applyProtection="1">
      <alignment vertical="center" wrapText="1"/>
      <protection locked="0"/>
    </xf>
    <xf numFmtId="0" fontId="44" fillId="42" borderId="15" xfId="159" applyFont="1" applyFill="1" applyBorder="1" applyAlignment="1" applyProtection="1">
      <alignment horizontal="center" vertical="center" wrapText="1"/>
      <protection locked="0"/>
    </xf>
    <xf numFmtId="3" fontId="44" fillId="42" borderId="12" xfId="159" applyNumberFormat="1" applyFont="1" applyFill="1" applyBorder="1" applyAlignment="1">
      <alignment horizontal="center" vertical="center" wrapText="1"/>
    </xf>
    <xf numFmtId="3" fontId="68" fillId="42" borderId="29" xfId="0" applyNumberFormat="1" applyFont="1" applyFill="1" applyBorder="1" applyAlignment="1">
      <alignment horizontal="right" vertical="center" wrapText="1" indent="1"/>
    </xf>
    <xf numFmtId="0" fontId="44" fillId="42" borderId="29" xfId="0" applyFont="1" applyFill="1" applyBorder="1" applyAlignment="1" applyProtection="1">
      <alignment horizontal="center" vertical="center" wrapText="1"/>
      <protection locked="0"/>
    </xf>
    <xf numFmtId="3" fontId="44" fillId="42" borderId="29" xfId="0" applyNumberFormat="1" applyFont="1" applyFill="1" applyBorder="1" applyAlignment="1" applyProtection="1">
      <alignment horizontal="center" vertical="center" wrapText="1"/>
      <protection locked="0"/>
    </xf>
    <xf numFmtId="3" fontId="44" fillId="42" borderId="29" xfId="159" applyNumberFormat="1" applyFont="1" applyFill="1" applyBorder="1" applyAlignment="1">
      <alignment horizontal="center" vertical="center" wrapText="1"/>
    </xf>
    <xf numFmtId="0" fontId="44" fillId="42" borderId="53" xfId="159" applyFont="1" applyFill="1" applyBorder="1" applyAlignment="1" applyProtection="1">
      <alignment horizontal="left" vertical="center" wrapText="1" indent="1"/>
      <protection locked="0"/>
    </xf>
    <xf numFmtId="3" fontId="44" fillId="42" borderId="54" xfId="159" applyNumberFormat="1" applyFont="1" applyFill="1" applyBorder="1" applyAlignment="1">
      <alignment horizontal="center" vertical="center" wrapText="1"/>
    </xf>
    <xf numFmtId="3" fontId="44" fillId="42" borderId="30" xfId="159" applyNumberFormat="1" applyFont="1" applyFill="1" applyBorder="1" applyAlignment="1">
      <alignment horizontal="center" vertical="center" wrapText="1"/>
    </xf>
    <xf numFmtId="0" fontId="68" fillId="42" borderId="28" xfId="159" applyFont="1" applyFill="1" applyBorder="1" applyAlignment="1" applyProtection="1">
      <alignment horizontal="left" vertical="center" wrapText="1"/>
      <protection locked="0"/>
    </xf>
    <xf numFmtId="43" fontId="44" fillId="0" borderId="0" xfId="85" applyFont="1" applyProtection="1">
      <protection locked="0"/>
    </xf>
    <xf numFmtId="165" fontId="44" fillId="0" borderId="0" xfId="159" applyNumberFormat="1" applyFont="1" applyProtection="1">
      <protection locked="0"/>
    </xf>
    <xf numFmtId="3" fontId="43" fillId="0" borderId="0" xfId="159" applyNumberFormat="1" applyFont="1" applyProtection="1">
      <protection locked="0"/>
    </xf>
    <xf numFmtId="3" fontId="53" fillId="44" borderId="38" xfId="145" applyNumberFormat="1" applyFont="1" applyFill="1" applyBorder="1" applyAlignment="1">
      <alignment horizontal="center" vertical="center" wrapText="1"/>
    </xf>
    <xf numFmtId="3" fontId="73" fillId="39" borderId="55" xfId="145" applyNumberFormat="1" applyFont="1" applyFill="1" applyBorder="1" applyAlignment="1">
      <alignment horizontal="left" vertical="center" wrapText="1"/>
    </xf>
    <xf numFmtId="0" fontId="42" fillId="30" borderId="55" xfId="145" applyFont="1" applyFill="1" applyBorder="1" applyAlignment="1">
      <alignment horizontal="left" vertical="center" wrapText="1" indent="2"/>
    </xf>
    <xf numFmtId="0" fontId="53" fillId="38" borderId="55" xfId="145" applyFont="1" applyFill="1" applyBorder="1" applyAlignment="1">
      <alignment horizontal="left" vertical="center" wrapText="1" indent="1"/>
    </xf>
    <xf numFmtId="3" fontId="73" fillId="40" borderId="56" xfId="145" applyNumberFormat="1" applyFont="1" applyFill="1" applyBorder="1" applyAlignment="1">
      <alignment horizontal="center" vertical="center" wrapText="1"/>
    </xf>
    <xf numFmtId="9" fontId="74" fillId="40" borderId="57" xfId="201" applyFont="1" applyFill="1" applyBorder="1" applyAlignment="1">
      <alignment horizontal="center" vertical="center" wrapText="1"/>
    </xf>
    <xf numFmtId="9" fontId="74" fillId="40" borderId="58" xfId="201" applyFont="1" applyFill="1" applyBorder="1" applyAlignment="1">
      <alignment horizontal="center" vertical="center" wrapText="1"/>
    </xf>
    <xf numFmtId="3" fontId="71" fillId="30" borderId="57" xfId="85" applyNumberFormat="1" applyFont="1" applyFill="1" applyBorder="1" applyAlignment="1">
      <alignment horizontal="center" vertical="center" wrapText="1"/>
    </xf>
    <xf numFmtId="0" fontId="66" fillId="0" borderId="59" xfId="151" applyFont="1" applyBorder="1" applyAlignment="1">
      <alignment horizontal="center" vertical="center" wrapText="1"/>
    </xf>
    <xf numFmtId="0" fontId="66" fillId="0" borderId="60" xfId="151" applyFont="1" applyBorder="1" applyAlignment="1">
      <alignment horizontal="left" vertical="center" wrapText="1"/>
    </xf>
    <xf numFmtId="168" fontId="53" fillId="38" borderId="38" xfId="145" applyNumberFormat="1" applyFont="1" applyFill="1" applyBorder="1" applyAlignment="1">
      <alignment horizontal="right" vertical="center" wrapText="1"/>
    </xf>
    <xf numFmtId="3" fontId="44" fillId="0" borderId="0" xfId="85" applyNumberFormat="1" applyFont="1" applyBorder="1" applyAlignment="1">
      <alignment horizontal="center" vertical="center" wrapText="1"/>
    </xf>
    <xf numFmtId="0" fontId="38" fillId="0" borderId="0" xfId="145" applyAlignment="1">
      <alignment horizontal="left" vertical="center" wrapText="1" indent="1"/>
    </xf>
    <xf numFmtId="9" fontId="74" fillId="39" borderId="37" xfId="201" applyFont="1" applyFill="1" applyBorder="1" applyAlignment="1">
      <alignment horizontal="center" vertical="center" wrapText="1"/>
    </xf>
    <xf numFmtId="9" fontId="74" fillId="39" borderId="38" xfId="201" applyFont="1" applyFill="1" applyBorder="1" applyAlignment="1">
      <alignment horizontal="center" vertical="center" wrapText="1"/>
    </xf>
    <xf numFmtId="9" fontId="71" fillId="38" borderId="37" xfId="201" applyFont="1" applyFill="1" applyBorder="1" applyAlignment="1">
      <alignment horizontal="center" vertical="center" wrapText="1"/>
    </xf>
    <xf numFmtId="9" fontId="71" fillId="38" borderId="38" xfId="201" applyFont="1" applyFill="1" applyBorder="1" applyAlignment="1">
      <alignment horizontal="center" vertical="center" wrapText="1"/>
    </xf>
    <xf numFmtId="0" fontId="71" fillId="30" borderId="38" xfId="145" applyFont="1" applyFill="1" applyBorder="1" applyAlignment="1">
      <alignment horizontal="center" vertical="center" wrapText="1"/>
    </xf>
    <xf numFmtId="9" fontId="71" fillId="30" borderId="37" xfId="201" applyFont="1" applyFill="1" applyBorder="1" applyAlignment="1">
      <alignment horizontal="center" vertical="center" wrapText="1"/>
    </xf>
    <xf numFmtId="9" fontId="71" fillId="30" borderId="38" xfId="201" applyFont="1" applyFill="1" applyBorder="1" applyAlignment="1">
      <alignment horizontal="center" vertical="center" wrapText="1"/>
    </xf>
    <xf numFmtId="0" fontId="71" fillId="30" borderId="37" xfId="145" applyFont="1" applyFill="1" applyBorder="1" applyAlignment="1">
      <alignment horizontal="center" vertical="center" wrapText="1"/>
    </xf>
    <xf numFmtId="43" fontId="44" fillId="0" borderId="37" xfId="85" applyFont="1" applyFill="1" applyBorder="1" applyAlignment="1">
      <alignment horizontal="left" vertical="center" wrapText="1" indent="4"/>
    </xf>
    <xf numFmtId="3" fontId="44" fillId="0" borderId="37" xfId="85" applyNumberFormat="1" applyFont="1" applyFill="1" applyBorder="1" applyAlignment="1">
      <alignment horizontal="center" vertical="center" wrapText="1"/>
    </xf>
    <xf numFmtId="3" fontId="44" fillId="0" borderId="0" xfId="85" applyNumberFormat="1" applyFont="1" applyFill="1" applyBorder="1" applyAlignment="1">
      <alignment horizontal="center" vertical="center" wrapText="1"/>
    </xf>
    <xf numFmtId="3" fontId="44" fillId="0" borderId="38" xfId="85" applyNumberFormat="1" applyFont="1" applyFill="1" applyBorder="1" applyAlignment="1">
      <alignment horizontal="center" vertical="center" wrapText="1"/>
    </xf>
    <xf numFmtId="9" fontId="76" fillId="0" borderId="0" xfId="201" applyFont="1" applyFill="1" applyBorder="1" applyAlignment="1">
      <alignment horizontal="center" vertical="center" wrapText="1"/>
    </xf>
    <xf numFmtId="0" fontId="68" fillId="0" borderId="0" xfId="145" applyFont="1" applyAlignment="1">
      <alignment horizontal="center" vertical="center" wrapText="1"/>
    </xf>
    <xf numFmtId="43" fontId="42" fillId="25" borderId="0" xfId="85" applyFont="1" applyFill="1" applyAlignment="1">
      <alignment horizontal="center" vertical="center" wrapText="1"/>
    </xf>
    <xf numFmtId="10" fontId="66" fillId="25" borderId="15" xfId="151" applyNumberFormat="1" applyFont="1" applyFill="1" applyBorder="1" applyAlignment="1">
      <alignment vertical="center" wrapText="1"/>
    </xf>
    <xf numFmtId="0" fontId="4" fillId="0" borderId="25" xfId="155" applyBorder="1" applyAlignment="1">
      <alignment vertical="center" wrapText="1"/>
    </xf>
    <xf numFmtId="0" fontId="66" fillId="0" borderId="33" xfId="151" applyFont="1" applyBorder="1" applyAlignment="1">
      <alignment horizontal="left" vertical="center" wrapText="1"/>
    </xf>
    <xf numFmtId="0" fontId="66" fillId="25" borderId="60" xfId="151" applyFont="1" applyFill="1" applyBorder="1" applyAlignment="1">
      <alignment vertical="center" wrapText="1"/>
    </xf>
    <xf numFmtId="10" fontId="66" fillId="25" borderId="16" xfId="151" applyNumberFormat="1" applyFont="1" applyFill="1" applyBorder="1" applyAlignment="1">
      <alignment vertical="center" wrapText="1"/>
    </xf>
    <xf numFmtId="169" fontId="66" fillId="25" borderId="16" xfId="151" applyNumberFormat="1" applyFont="1" applyFill="1" applyBorder="1" applyAlignment="1">
      <alignment horizontal="center" vertical="center" wrapText="1"/>
    </xf>
    <xf numFmtId="0" fontId="66" fillId="25" borderId="59" xfId="151" applyFont="1" applyFill="1" applyBorder="1" applyAlignment="1">
      <alignment horizontal="center" vertical="center" wrapText="1"/>
    </xf>
    <xf numFmtId="3" fontId="66" fillId="25" borderId="16" xfId="151" applyNumberFormat="1" applyFont="1" applyFill="1" applyBorder="1" applyAlignment="1">
      <alignment vertical="center" wrapText="1"/>
    </xf>
    <xf numFmtId="168" fontId="66" fillId="25" borderId="16" xfId="85" applyNumberFormat="1" applyFont="1" applyFill="1" applyBorder="1" applyAlignment="1">
      <alignment vertical="center" wrapText="1"/>
    </xf>
    <xf numFmtId="43" fontId="66" fillId="25" borderId="16" xfId="85" applyFont="1" applyFill="1" applyBorder="1" applyAlignment="1">
      <alignment vertical="center" wrapText="1"/>
    </xf>
    <xf numFmtId="9" fontId="66" fillId="25" borderId="16" xfId="202" applyFont="1" applyFill="1" applyBorder="1" applyAlignment="1">
      <alignment vertical="center" wrapText="1"/>
    </xf>
    <xf numFmtId="0" fontId="66" fillId="25" borderId="48" xfId="151" applyFont="1" applyFill="1" applyBorder="1" applyAlignment="1">
      <alignment vertical="center" wrapText="1"/>
    </xf>
    <xf numFmtId="0" fontId="66" fillId="25" borderId="61" xfId="151" applyFont="1" applyFill="1" applyBorder="1" applyAlignment="1">
      <alignment horizontal="center" vertical="top" wrapText="1"/>
    </xf>
    <xf numFmtId="168" fontId="42" fillId="30" borderId="38" xfId="145" applyNumberFormat="1" applyFont="1" applyFill="1" applyBorder="1" applyAlignment="1">
      <alignment horizontal="right" vertical="center" wrapText="1"/>
    </xf>
    <xf numFmtId="168" fontId="53" fillId="38" borderId="37" xfId="145" applyNumberFormat="1" applyFont="1" applyFill="1" applyBorder="1" applyAlignment="1">
      <alignment horizontal="right" vertical="center" wrapText="1"/>
    </xf>
    <xf numFmtId="171" fontId="68" fillId="0" borderId="0" xfId="140" applyNumberFormat="1" applyFont="1"/>
    <xf numFmtId="9" fontId="71" fillId="0" borderId="0" xfId="201" applyFont="1" applyFill="1" applyBorder="1" applyAlignment="1">
      <alignment horizontal="center" vertical="center" wrapText="1"/>
    </xf>
    <xf numFmtId="9" fontId="71" fillId="0" borderId="37" xfId="201" applyFont="1" applyFill="1" applyBorder="1" applyAlignment="1">
      <alignment horizontal="center" vertical="center" wrapText="1"/>
    </xf>
    <xf numFmtId="9" fontId="71" fillId="0" borderId="38" xfId="201" applyFont="1" applyFill="1" applyBorder="1" applyAlignment="1">
      <alignment horizontal="center" vertical="center" wrapText="1"/>
    </xf>
    <xf numFmtId="168" fontId="44" fillId="0" borderId="37" xfId="85" applyNumberFormat="1" applyFont="1" applyFill="1" applyBorder="1" applyAlignment="1">
      <alignment horizontal="right" vertical="center" wrapText="1"/>
    </xf>
    <xf numFmtId="168" fontId="44" fillId="0" borderId="0" xfId="85" applyNumberFormat="1" applyFont="1" applyFill="1" applyBorder="1" applyAlignment="1">
      <alignment horizontal="right" vertical="center" wrapText="1"/>
    </xf>
    <xf numFmtId="3" fontId="44" fillId="0" borderId="37" xfId="145" applyNumberFormat="1" applyFont="1" applyBorder="1" applyAlignment="1">
      <alignment horizontal="center" vertical="center" wrapText="1"/>
    </xf>
    <xf numFmtId="3" fontId="44" fillId="0" borderId="38" xfId="145" applyNumberFormat="1" applyFont="1" applyBorder="1" applyAlignment="1">
      <alignment horizontal="center" vertical="center" wrapText="1"/>
    </xf>
    <xf numFmtId="43" fontId="44" fillId="0" borderId="55" xfId="85" applyFont="1" applyFill="1" applyBorder="1" applyAlignment="1">
      <alignment horizontal="left" vertical="center" wrapText="1" indent="3"/>
    </xf>
    <xf numFmtId="170" fontId="0" fillId="42" borderId="25" xfId="0" applyNumberFormat="1" applyFill="1" applyBorder="1" applyAlignment="1">
      <alignment horizontal="right" indent="1"/>
    </xf>
    <xf numFmtId="0" fontId="66" fillId="0" borderId="60" xfId="151" applyFont="1" applyBorder="1" applyAlignment="1">
      <alignment vertical="center" wrapText="1"/>
    </xf>
    <xf numFmtId="0" fontId="66" fillId="0" borderId="25" xfId="151" applyFont="1" applyBorder="1" applyAlignment="1">
      <alignment horizontal="left" vertical="center" wrapText="1"/>
    </xf>
    <xf numFmtId="0" fontId="78" fillId="0" borderId="0" xfId="0" applyFont="1"/>
    <xf numFmtId="3" fontId="78" fillId="0" borderId="0" xfId="0" applyNumberFormat="1" applyFont="1"/>
    <xf numFmtId="176" fontId="78" fillId="0" borderId="0" xfId="85" applyNumberFormat="1" applyFont="1"/>
    <xf numFmtId="0" fontId="44" fillId="53" borderId="25" xfId="151" applyFont="1" applyFill="1" applyBorder="1" applyAlignment="1" applyProtection="1">
      <alignment horizontal="left" vertical="center" wrapText="1" indent="1"/>
      <protection locked="0"/>
    </xf>
    <xf numFmtId="0" fontId="44" fillId="42" borderId="25" xfId="151" applyFont="1" applyFill="1" applyBorder="1" applyAlignment="1" applyProtection="1">
      <alignment horizontal="left" vertical="center" wrapText="1"/>
      <protection locked="0"/>
    </xf>
    <xf numFmtId="3" fontId="44" fillId="42" borderId="25" xfId="0" applyNumberFormat="1" applyFont="1" applyFill="1" applyBorder="1" applyAlignment="1">
      <alignment horizontal="right" vertical="center" wrapText="1" indent="1"/>
    </xf>
    <xf numFmtId="0" fontId="44" fillId="0" borderId="25" xfId="151" applyFont="1" applyBorder="1" applyAlignment="1" applyProtection="1">
      <alignment horizontal="left" vertical="center" wrapText="1" indent="1"/>
      <protection locked="0"/>
    </xf>
    <xf numFmtId="43" fontId="66" fillId="0" borderId="40" xfId="85" applyFont="1" applyFill="1" applyBorder="1" applyAlignment="1">
      <alignment vertical="center" wrapText="1"/>
    </xf>
    <xf numFmtId="9" fontId="66" fillId="0" borderId="25" xfId="201" applyFont="1" applyFill="1" applyBorder="1" applyAlignment="1">
      <alignment vertical="center" wrapText="1"/>
    </xf>
    <xf numFmtId="169" fontId="66" fillId="0" borderId="40" xfId="151" applyNumberFormat="1" applyFont="1" applyBorder="1" applyAlignment="1">
      <alignment horizontal="center" vertical="center" wrapText="1"/>
    </xf>
    <xf numFmtId="0" fontId="66" fillId="0" borderId="41" xfId="151" applyFont="1" applyBorder="1" applyAlignment="1">
      <alignment vertical="center" wrapText="1"/>
    </xf>
    <xf numFmtId="43" fontId="66" fillId="0" borderId="15" xfId="85" applyFont="1" applyFill="1" applyBorder="1" applyAlignment="1">
      <alignment vertical="center" wrapText="1"/>
    </xf>
    <xf numFmtId="0" fontId="44" fillId="0" borderId="25" xfId="151" applyFont="1" applyBorder="1" applyAlignment="1" applyProtection="1">
      <alignment horizontal="left" vertical="center" wrapText="1"/>
      <protection locked="0"/>
    </xf>
    <xf numFmtId="172" fontId="71" fillId="30" borderId="0" xfId="201" applyNumberFormat="1" applyFont="1" applyFill="1" applyBorder="1" applyAlignment="1">
      <alignment horizontal="center" vertical="center" wrapText="1"/>
    </xf>
    <xf numFmtId="175" fontId="38" fillId="0" borderId="0" xfId="145" applyNumberFormat="1" applyAlignment="1">
      <alignment horizontal="center" vertical="center" wrapText="1"/>
    </xf>
    <xf numFmtId="172" fontId="71" fillId="25" borderId="0" xfId="201" applyNumberFormat="1" applyFont="1" applyFill="1" applyBorder="1" applyAlignment="1">
      <alignment horizontal="center" vertical="center" wrapText="1"/>
    </xf>
    <xf numFmtId="0" fontId="44" fillId="42" borderId="25" xfId="151" applyFont="1" applyFill="1" applyBorder="1" applyAlignment="1" applyProtection="1">
      <alignment horizontal="center" vertical="center" wrapText="1"/>
      <protection locked="0"/>
    </xf>
    <xf numFmtId="3" fontId="68" fillId="42" borderId="25" xfId="151" applyNumberFormat="1" applyFont="1" applyFill="1" applyBorder="1" applyAlignment="1">
      <alignment horizontal="right" vertical="center" wrapText="1" indent="1"/>
    </xf>
    <xf numFmtId="1" fontId="44" fillId="42" borderId="25" xfId="0" applyNumberFormat="1" applyFont="1" applyFill="1" applyBorder="1" applyAlignment="1" applyProtection="1">
      <alignment horizontal="center" vertical="center" wrapText="1"/>
      <protection locked="0"/>
    </xf>
    <xf numFmtId="3" fontId="68" fillId="28" borderId="25" xfId="0" applyNumberFormat="1" applyFont="1" applyFill="1" applyBorder="1" applyAlignment="1">
      <alignment horizontal="right" vertical="center" wrapText="1" indent="1"/>
    </xf>
    <xf numFmtId="0" fontId="44" fillId="28" borderId="25" xfId="159" applyFont="1" applyFill="1" applyBorder="1" applyAlignment="1" applyProtection="1">
      <alignment horizontal="left" vertical="center" wrapText="1" indent="1"/>
      <protection locked="0"/>
    </xf>
    <xf numFmtId="3" fontId="44" fillId="28" borderId="25" xfId="0" applyNumberFormat="1" applyFont="1" applyFill="1" applyBorder="1" applyAlignment="1" applyProtection="1">
      <alignment horizontal="center" vertical="center" wrapText="1"/>
      <protection locked="0"/>
    </xf>
    <xf numFmtId="3" fontId="44" fillId="28" borderId="25" xfId="159" applyNumberFormat="1" applyFont="1" applyFill="1" applyBorder="1" applyAlignment="1">
      <alignment horizontal="center" vertical="center" wrapText="1"/>
    </xf>
    <xf numFmtId="0" fontId="44" fillId="28" borderId="25" xfId="159" applyFont="1" applyFill="1" applyBorder="1" applyAlignment="1" applyProtection="1">
      <alignment horizontal="center" vertical="center" wrapText="1"/>
      <protection locked="0"/>
    </xf>
    <xf numFmtId="3" fontId="44" fillId="28" borderId="25" xfId="159" applyNumberFormat="1" applyFont="1" applyFill="1" applyBorder="1" applyAlignment="1" applyProtection="1">
      <alignment horizontal="center" vertical="center" wrapText="1"/>
      <protection locked="0"/>
    </xf>
    <xf numFmtId="0" fontId="44" fillId="28" borderId="25" xfId="159" applyFont="1" applyFill="1" applyBorder="1" applyAlignment="1" applyProtection="1">
      <alignment horizontal="center"/>
      <protection locked="0"/>
    </xf>
    <xf numFmtId="3" fontId="44" fillId="28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44" fillId="28" borderId="25" xfId="0" applyFont="1" applyFill="1" applyBorder="1" applyAlignment="1" applyProtection="1">
      <alignment horizontal="left" vertical="center" wrapText="1" indent="1"/>
      <protection locked="0"/>
    </xf>
    <xf numFmtId="0" fontId="44" fillId="28" borderId="25" xfId="0" applyFont="1" applyFill="1" applyBorder="1" applyAlignment="1" applyProtection="1">
      <alignment horizontal="center" vertical="center" wrapText="1"/>
      <protection locked="0"/>
    </xf>
    <xf numFmtId="0" fontId="44" fillId="0" borderId="0" xfId="159" applyFont="1" applyAlignment="1" applyProtection="1">
      <alignment vertical="center"/>
      <protection locked="0"/>
    </xf>
    <xf numFmtId="3" fontId="44" fillId="0" borderId="0" xfId="159" applyNumberFormat="1" applyFont="1" applyAlignment="1">
      <alignment horizontal="center" vertical="center" wrapText="1"/>
    </xf>
    <xf numFmtId="3" fontId="44" fillId="0" borderId="0" xfId="0" applyNumberFormat="1" applyFont="1" applyAlignment="1" applyProtection="1">
      <alignment horizontal="center" vertical="center" wrapText="1"/>
      <protection locked="0"/>
    </xf>
    <xf numFmtId="0" fontId="44" fillId="0" borderId="0" xfId="159" applyFont="1" applyAlignment="1" applyProtection="1">
      <alignment horizontal="center" vertical="center"/>
      <protection locked="0"/>
    </xf>
    <xf numFmtId="0" fontId="44" fillId="0" borderId="0" xfId="159" applyFont="1" applyAlignment="1" applyProtection="1">
      <alignment horizontal="center" vertical="center" wrapText="1"/>
      <protection locked="0"/>
    </xf>
    <xf numFmtId="3" fontId="44" fillId="0" borderId="0" xfId="159" applyNumberFormat="1" applyFont="1" applyAlignment="1" applyProtection="1">
      <alignment vertical="center"/>
      <protection locked="0"/>
    </xf>
    <xf numFmtId="171" fontId="44" fillId="0" borderId="0" xfId="159" applyNumberFormat="1" applyFont="1" applyProtection="1">
      <protection locked="0"/>
    </xf>
    <xf numFmtId="4" fontId="44" fillId="28" borderId="25" xfId="0" applyNumberFormat="1" applyFont="1" applyFill="1" applyBorder="1" applyAlignment="1" applyProtection="1">
      <alignment horizontal="center" vertical="center" wrapText="1"/>
      <protection locked="0"/>
    </xf>
    <xf numFmtId="4" fontId="44" fillId="28" borderId="25" xfId="159" applyNumberFormat="1" applyFont="1" applyFill="1" applyBorder="1" applyAlignment="1">
      <alignment horizontal="center" vertical="center" wrapText="1"/>
    </xf>
    <xf numFmtId="3" fontId="44" fillId="28" borderId="25" xfId="0" applyNumberFormat="1" applyFont="1" applyFill="1" applyBorder="1" applyAlignment="1">
      <alignment horizontal="right" vertical="center" wrapText="1" indent="1"/>
    </xf>
    <xf numFmtId="0" fontId="44" fillId="28" borderId="25" xfId="151" applyFont="1" applyFill="1" applyBorder="1" applyAlignment="1" applyProtection="1">
      <alignment horizontal="left" vertical="center" wrapText="1" indent="1"/>
      <protection locked="0"/>
    </xf>
    <xf numFmtId="177" fontId="44" fillId="28" borderId="25" xfId="201" applyNumberFormat="1" applyFont="1" applyFill="1" applyBorder="1" applyAlignment="1" applyProtection="1">
      <alignment horizontal="center" vertical="center" wrapText="1"/>
      <protection locked="0"/>
    </xf>
    <xf numFmtId="1" fontId="44" fillId="28" borderId="25" xfId="0" applyNumberFormat="1" applyFont="1" applyFill="1" applyBorder="1" applyAlignment="1" applyProtection="1">
      <alignment horizontal="center" vertical="center" wrapText="1"/>
      <protection locked="0"/>
    </xf>
    <xf numFmtId="178" fontId="44" fillId="28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44" fillId="0" borderId="0" xfId="145" applyFont="1" applyAlignment="1">
      <alignment horizontal="right" vertical="center" wrapText="1"/>
    </xf>
    <xf numFmtId="0" fontId="39" fillId="0" borderId="0" xfId="145" applyFont="1" applyAlignment="1">
      <alignment horizontal="right" vertical="center" wrapText="1"/>
    </xf>
    <xf numFmtId="43" fontId="44" fillId="0" borderId="0" xfId="85" applyFont="1" applyAlignment="1">
      <alignment horizontal="right" vertical="center" wrapText="1"/>
    </xf>
    <xf numFmtId="0" fontId="38" fillId="0" borderId="0" xfId="145" applyAlignment="1">
      <alignment horizontal="right" vertical="center" wrapText="1"/>
    </xf>
    <xf numFmtId="168" fontId="38" fillId="0" borderId="0" xfId="145" applyNumberFormat="1" applyAlignment="1">
      <alignment horizontal="right" vertical="center" wrapText="1"/>
    </xf>
    <xf numFmtId="0" fontId="39" fillId="56" borderId="44" xfId="145" applyFont="1" applyFill="1" applyBorder="1" applyAlignment="1">
      <alignment horizontal="right" vertical="center" wrapText="1"/>
    </xf>
    <xf numFmtId="0" fontId="39" fillId="56" borderId="42" xfId="145" applyFont="1" applyFill="1" applyBorder="1" applyAlignment="1">
      <alignment horizontal="right" vertical="center" wrapText="1"/>
    </xf>
    <xf numFmtId="0" fontId="39" fillId="56" borderId="56" xfId="145" applyFont="1" applyFill="1" applyBorder="1" applyAlignment="1">
      <alignment horizontal="right" vertical="center" wrapText="1"/>
    </xf>
    <xf numFmtId="0" fontId="39" fillId="43" borderId="42" xfId="145" applyFont="1" applyFill="1" applyBorder="1" applyAlignment="1">
      <alignment horizontal="right" vertical="center" wrapText="1"/>
    </xf>
    <xf numFmtId="0" fontId="39" fillId="43" borderId="56" xfId="145" applyFont="1" applyFill="1" applyBorder="1" applyAlignment="1">
      <alignment horizontal="right" vertical="center" wrapText="1"/>
    </xf>
    <xf numFmtId="0" fontId="39" fillId="57" borderId="42" xfId="145" applyFont="1" applyFill="1" applyBorder="1" applyAlignment="1">
      <alignment horizontal="right" vertical="center" wrapText="1"/>
    </xf>
    <xf numFmtId="0" fontId="39" fillId="57" borderId="56" xfId="145" applyFont="1" applyFill="1" applyBorder="1" applyAlignment="1">
      <alignment horizontal="right" vertical="center" wrapText="1"/>
    </xf>
    <xf numFmtId="0" fontId="39" fillId="58" borderId="42" xfId="145" applyFont="1" applyFill="1" applyBorder="1" applyAlignment="1">
      <alignment horizontal="right" vertical="center" wrapText="1"/>
    </xf>
    <xf numFmtId="0" fontId="39" fillId="58" borderId="56" xfId="145" applyFont="1" applyFill="1" applyBorder="1" applyAlignment="1">
      <alignment horizontal="right" vertical="center" wrapText="1"/>
    </xf>
    <xf numFmtId="168" fontId="73" fillId="40" borderId="57" xfId="145" applyNumberFormat="1" applyFont="1" applyFill="1" applyBorder="1" applyAlignment="1">
      <alignment horizontal="right" vertical="center" wrapText="1"/>
    </xf>
    <xf numFmtId="168" fontId="73" fillId="40" borderId="58" xfId="145" applyNumberFormat="1" applyFont="1" applyFill="1" applyBorder="1" applyAlignment="1">
      <alignment horizontal="right" vertical="center" wrapText="1"/>
    </xf>
    <xf numFmtId="168" fontId="73" fillId="40" borderId="24" xfId="145" applyNumberFormat="1" applyFont="1" applyFill="1" applyBorder="1" applyAlignment="1">
      <alignment horizontal="right" vertical="center" wrapText="1"/>
    </xf>
    <xf numFmtId="168" fontId="73" fillId="0" borderId="58" xfId="145" applyNumberFormat="1" applyFont="1" applyBorder="1" applyAlignment="1">
      <alignment horizontal="right" vertical="center" wrapText="1"/>
    </xf>
    <xf numFmtId="168" fontId="73" fillId="39" borderId="37" xfId="145" applyNumberFormat="1" applyFont="1" applyFill="1" applyBorder="1" applyAlignment="1">
      <alignment horizontal="right" vertical="center" wrapText="1"/>
    </xf>
    <xf numFmtId="168" fontId="73" fillId="39" borderId="38" xfId="145" applyNumberFormat="1" applyFont="1" applyFill="1" applyBorder="1" applyAlignment="1">
      <alignment horizontal="right" vertical="center" wrapText="1"/>
    </xf>
    <xf numFmtId="3" fontId="53" fillId="44" borderId="37" xfId="145" applyNumberFormat="1" applyFont="1" applyFill="1" applyBorder="1" applyAlignment="1">
      <alignment horizontal="right" vertical="center" wrapText="1"/>
    </xf>
    <xf numFmtId="3" fontId="53" fillId="44" borderId="38" xfId="145" applyNumberFormat="1" applyFont="1" applyFill="1" applyBorder="1" applyAlignment="1">
      <alignment horizontal="right" vertical="center" wrapText="1"/>
    </xf>
    <xf numFmtId="3" fontId="53" fillId="44" borderId="0" xfId="145" applyNumberFormat="1" applyFont="1" applyFill="1" applyAlignment="1">
      <alignment horizontal="right" vertical="center" wrapText="1"/>
    </xf>
    <xf numFmtId="3" fontId="42" fillId="30" borderId="37" xfId="145" applyNumberFormat="1" applyFont="1" applyFill="1" applyBorder="1" applyAlignment="1">
      <alignment horizontal="right" vertical="center" wrapText="1"/>
    </xf>
    <xf numFmtId="3" fontId="42" fillId="30" borderId="38" xfId="145" applyNumberFormat="1" applyFont="1" applyFill="1" applyBorder="1" applyAlignment="1">
      <alignment horizontal="right" vertical="center" wrapText="1"/>
    </xf>
    <xf numFmtId="3" fontId="42" fillId="30" borderId="0" xfId="145" applyNumberFormat="1" applyFont="1" applyFill="1" applyAlignment="1">
      <alignment horizontal="right" vertical="center" wrapText="1"/>
    </xf>
    <xf numFmtId="168" fontId="44" fillId="0" borderId="38" xfId="85" applyNumberFormat="1" applyFont="1" applyFill="1" applyBorder="1" applyAlignment="1">
      <alignment horizontal="right" vertical="center" wrapText="1"/>
    </xf>
    <xf numFmtId="168" fontId="53" fillId="38" borderId="55" xfId="145" applyNumberFormat="1" applyFont="1" applyFill="1" applyBorder="1" applyAlignment="1">
      <alignment horizontal="right" vertical="center" wrapText="1"/>
    </xf>
    <xf numFmtId="3" fontId="73" fillId="39" borderId="38" xfId="145" applyNumberFormat="1" applyFont="1" applyFill="1" applyBorder="1" applyAlignment="1">
      <alignment horizontal="right" vertical="center" wrapText="1"/>
    </xf>
    <xf numFmtId="43" fontId="38" fillId="0" borderId="0" xfId="145" applyNumberFormat="1" applyAlignment="1">
      <alignment horizontal="right" vertical="center" wrapText="1"/>
    </xf>
    <xf numFmtId="0" fontId="39" fillId="0" borderId="0" xfId="0" applyFont="1"/>
    <xf numFmtId="0" fontId="39" fillId="0" borderId="0" xfId="0" applyFont="1" applyAlignment="1">
      <alignment vertical="center"/>
    </xf>
    <xf numFmtId="3" fontId="39" fillId="0" borderId="0" xfId="0" applyNumberFormat="1" applyFont="1"/>
    <xf numFmtId="172" fontId="39" fillId="0" borderId="0" xfId="201" applyNumberFormat="1" applyFont="1" applyBorder="1"/>
    <xf numFmtId="0" fontId="42" fillId="64" borderId="25" xfId="0" applyFont="1" applyFill="1" applyBorder="1" applyAlignment="1">
      <alignment vertical="center" wrapText="1"/>
    </xf>
    <xf numFmtId="3" fontId="42" fillId="64" borderId="25" xfId="0" applyNumberFormat="1" applyFont="1" applyFill="1" applyBorder="1" applyAlignment="1">
      <alignment horizontal="center" vertical="center"/>
    </xf>
    <xf numFmtId="170" fontId="42" fillId="64" borderId="25" xfId="0" applyNumberFormat="1" applyFont="1" applyFill="1" applyBorder="1" applyAlignment="1">
      <alignment horizontal="center" vertical="center"/>
    </xf>
    <xf numFmtId="171" fontId="78" fillId="0" borderId="0" xfId="0" applyNumberFormat="1" applyFont="1"/>
    <xf numFmtId="4" fontId="44" fillId="0" borderId="42" xfId="159" applyNumberFormat="1" applyFont="1" applyBorder="1" applyProtection="1">
      <protection locked="0"/>
    </xf>
    <xf numFmtId="0" fontId="44" fillId="0" borderId="42" xfId="159" applyFont="1" applyBorder="1" applyProtection="1">
      <protection locked="0"/>
    </xf>
    <xf numFmtId="3" fontId="44" fillId="0" borderId="42" xfId="159" applyNumberFormat="1" applyFont="1" applyBorder="1" applyProtection="1">
      <protection locked="0"/>
    </xf>
    <xf numFmtId="0" fontId="44" fillId="0" borderId="42" xfId="159" applyFont="1" applyBorder="1" applyAlignment="1" applyProtection="1">
      <alignment horizontal="center"/>
      <protection locked="0"/>
    </xf>
    <xf numFmtId="0" fontId="44" fillId="0" borderId="42" xfId="159" applyFont="1" applyBorder="1" applyAlignment="1" applyProtection="1">
      <alignment horizontal="left" indent="1"/>
      <protection locked="0"/>
    </xf>
    <xf numFmtId="0" fontId="44" fillId="0" borderId="56" xfId="159" applyFont="1" applyBorder="1" applyProtection="1">
      <protection locked="0"/>
    </xf>
    <xf numFmtId="0" fontId="23" fillId="0" borderId="37" xfId="0" applyFont="1" applyBorder="1" applyAlignment="1">
      <alignment horizontal="left"/>
    </xf>
    <xf numFmtId="0" fontId="44" fillId="0" borderId="38" xfId="159" applyFont="1" applyBorder="1" applyProtection="1">
      <protection locked="0"/>
    </xf>
    <xf numFmtId="0" fontId="68" fillId="0" borderId="37" xfId="159" applyFont="1" applyBorder="1" applyAlignment="1" applyProtection="1">
      <alignment horizontal="left" indent="1"/>
      <protection locked="0"/>
    </xf>
    <xf numFmtId="0" fontId="44" fillId="0" borderId="0" xfId="159" quotePrefix="1" applyFont="1" applyProtection="1">
      <protection locked="0"/>
    </xf>
    <xf numFmtId="4" fontId="70" fillId="0" borderId="0" xfId="159" applyNumberFormat="1" applyFont="1" applyProtection="1">
      <protection locked="0"/>
    </xf>
    <xf numFmtId="4" fontId="68" fillId="54" borderId="34" xfId="0" applyNumberFormat="1" applyFont="1" applyFill="1" applyBorder="1" applyAlignment="1" applyProtection="1">
      <alignment horizontal="right" vertical="center" indent="1"/>
      <protection locked="0"/>
    </xf>
    <xf numFmtId="3" fontId="68" fillId="54" borderId="27" xfId="0" applyNumberFormat="1" applyFont="1" applyFill="1" applyBorder="1" applyAlignment="1" applyProtection="1">
      <alignment horizontal="center" vertical="center" wrapText="1"/>
      <protection locked="0"/>
    </xf>
    <xf numFmtId="4" fontId="68" fillId="46" borderId="34" xfId="0" applyNumberFormat="1" applyFont="1" applyFill="1" applyBorder="1" applyAlignment="1" applyProtection="1">
      <alignment horizontal="left" vertical="center" indent="1"/>
      <protection locked="0"/>
    </xf>
    <xf numFmtId="0" fontId="68" fillId="50" borderId="27" xfId="159" applyFont="1" applyFill="1" applyBorder="1" applyAlignment="1" applyProtection="1">
      <alignment horizontal="center" vertical="center"/>
      <protection locked="0"/>
    </xf>
    <xf numFmtId="0" fontId="68" fillId="51" borderId="34" xfId="159" applyFont="1" applyFill="1" applyBorder="1" applyAlignment="1" applyProtection="1">
      <alignment horizontal="left" vertical="center" indent="1"/>
      <protection locked="0"/>
    </xf>
    <xf numFmtId="0" fontId="44" fillId="52" borderId="34" xfId="159" applyFont="1" applyFill="1" applyBorder="1" applyAlignment="1" applyProtection="1">
      <alignment horizontal="left" vertical="center" indent="1"/>
      <protection locked="0"/>
    </xf>
    <xf numFmtId="0" fontId="68" fillId="52" borderId="27" xfId="159" applyFont="1" applyFill="1" applyBorder="1" applyAlignment="1" applyProtection="1">
      <alignment horizontal="left" vertical="center" wrapText="1"/>
      <protection locked="0"/>
    </xf>
    <xf numFmtId="3" fontId="44" fillId="28" borderId="27" xfId="159" applyNumberFormat="1" applyFont="1" applyFill="1" applyBorder="1" applyAlignment="1">
      <alignment horizontal="center" vertical="center" wrapText="1"/>
    </xf>
    <xf numFmtId="0" fontId="68" fillId="51" borderId="27" xfId="159" applyFont="1" applyFill="1" applyBorder="1" applyAlignment="1" applyProtection="1">
      <alignment horizontal="left" vertical="center" wrapText="1"/>
      <protection locked="0"/>
    </xf>
    <xf numFmtId="0" fontId="68" fillId="42" borderId="34" xfId="159" applyFont="1" applyFill="1" applyBorder="1" applyAlignment="1" applyProtection="1">
      <alignment horizontal="left" vertical="center" wrapText="1"/>
      <protection locked="0"/>
    </xf>
    <xf numFmtId="0" fontId="44" fillId="42" borderId="34" xfId="159" applyFont="1" applyFill="1" applyBorder="1" applyAlignment="1" applyProtection="1">
      <alignment horizontal="left" vertical="center" wrapText="1" indent="1"/>
      <protection locked="0"/>
    </xf>
    <xf numFmtId="0" fontId="54" fillId="0" borderId="44" xfId="145" applyFont="1" applyBorder="1" applyAlignment="1">
      <alignment horizontal="left" vertical="center" wrapText="1" indent="1"/>
    </xf>
    <xf numFmtId="3" fontId="37" fillId="0" borderId="42" xfId="145" applyNumberFormat="1" applyFont="1" applyBorder="1" applyAlignment="1">
      <alignment horizontal="center" vertical="center" wrapText="1"/>
    </xf>
    <xf numFmtId="43" fontId="37" fillId="0" borderId="42" xfId="85" applyFont="1" applyBorder="1" applyAlignment="1">
      <alignment horizontal="center" vertical="center" wrapText="1"/>
    </xf>
    <xf numFmtId="9" fontId="71" fillId="0" borderId="42" xfId="201" applyFont="1" applyBorder="1" applyAlignment="1">
      <alignment horizontal="center" vertical="center" wrapText="1"/>
    </xf>
    <xf numFmtId="168" fontId="73" fillId="39" borderId="0" xfId="145" applyNumberFormat="1" applyFont="1" applyFill="1" applyAlignment="1">
      <alignment horizontal="right" vertical="center" wrapText="1"/>
    </xf>
    <xf numFmtId="168" fontId="73" fillId="0" borderId="0" xfId="145" applyNumberFormat="1" applyFont="1" applyAlignment="1">
      <alignment horizontal="right" vertical="center" wrapText="1"/>
    </xf>
    <xf numFmtId="168" fontId="53" fillId="38" borderId="0" xfId="145" applyNumberFormat="1" applyFont="1" applyFill="1" applyAlignment="1">
      <alignment horizontal="right" vertical="center" wrapText="1"/>
    </xf>
    <xf numFmtId="168" fontId="53" fillId="0" borderId="0" xfId="145" applyNumberFormat="1" applyFont="1" applyAlignment="1">
      <alignment horizontal="right" vertical="center" wrapText="1"/>
    </xf>
    <xf numFmtId="168" fontId="42" fillId="30" borderId="0" xfId="145" applyNumberFormat="1" applyFont="1" applyFill="1" applyAlignment="1">
      <alignment horizontal="right" vertical="center" wrapText="1"/>
    </xf>
    <xf numFmtId="168" fontId="42" fillId="0" borderId="0" xfId="145" applyNumberFormat="1" applyFont="1" applyAlignment="1">
      <alignment horizontal="right" vertical="center" wrapText="1"/>
    </xf>
    <xf numFmtId="3" fontId="73" fillId="39" borderId="0" xfId="145" applyNumberFormat="1" applyFont="1" applyFill="1" applyAlignment="1">
      <alignment horizontal="right" vertical="center" wrapText="1"/>
    </xf>
    <xf numFmtId="3" fontId="73" fillId="0" borderId="0" xfId="145" applyNumberFormat="1" applyFont="1" applyAlignment="1">
      <alignment horizontal="right" vertical="center" wrapText="1"/>
    </xf>
    <xf numFmtId="0" fontId="44" fillId="0" borderId="37" xfId="151" applyFont="1" applyBorder="1" applyAlignment="1" applyProtection="1">
      <alignment horizontal="left" vertical="center" wrapText="1" indent="1"/>
      <protection locked="0"/>
    </xf>
    <xf numFmtId="0" fontId="36" fillId="0" borderId="44" xfId="0" applyFont="1" applyBorder="1" applyAlignment="1">
      <alignment horizontal="left"/>
    </xf>
    <xf numFmtId="0" fontId="68" fillId="48" borderId="34" xfId="159" applyFont="1" applyFill="1" applyBorder="1" applyAlignment="1" applyProtection="1">
      <alignment horizontal="left" vertical="center" wrapText="1" indent="1"/>
      <protection locked="0"/>
    </xf>
    <xf numFmtId="0" fontId="68" fillId="42" borderId="34" xfId="0" applyFont="1" applyFill="1" applyBorder="1" applyAlignment="1" applyProtection="1">
      <alignment horizontal="left" vertical="center" wrapText="1" indent="1"/>
      <protection locked="0"/>
    </xf>
    <xf numFmtId="3" fontId="68" fillId="28" borderId="16" xfId="0" applyNumberFormat="1" applyFont="1" applyFill="1" applyBorder="1" applyAlignment="1">
      <alignment horizontal="right" vertical="center" wrapText="1" indent="1"/>
    </xf>
    <xf numFmtId="3" fontId="44" fillId="28" borderId="16" xfId="0" applyNumberFormat="1" applyFont="1" applyFill="1" applyBorder="1" applyAlignment="1" applyProtection="1">
      <alignment horizontal="center" vertical="center" wrapText="1"/>
      <protection locked="0"/>
    </xf>
    <xf numFmtId="3" fontId="44" fillId="28" borderId="16" xfId="159" applyNumberFormat="1" applyFont="1" applyFill="1" applyBorder="1" applyAlignment="1">
      <alignment horizontal="center" vertical="center" wrapText="1"/>
    </xf>
    <xf numFmtId="0" fontId="44" fillId="28" borderId="16" xfId="0" applyFont="1" applyFill="1" applyBorder="1" applyAlignment="1" applyProtection="1">
      <alignment horizontal="center" vertical="center" wrapText="1"/>
      <protection locked="0"/>
    </xf>
    <xf numFmtId="0" fontId="44" fillId="28" borderId="16" xfId="159" applyFont="1" applyFill="1" applyBorder="1" applyAlignment="1" applyProtection="1">
      <alignment horizontal="center" vertical="center" wrapText="1"/>
      <protection locked="0"/>
    </xf>
    <xf numFmtId="3" fontId="44" fillId="42" borderId="25" xfId="159" applyNumberFormat="1" applyFont="1" applyFill="1" applyBorder="1" applyAlignment="1" applyProtection="1">
      <alignment horizontal="center" vertical="center" wrapText="1"/>
      <protection locked="0"/>
    </xf>
    <xf numFmtId="3" fontId="44" fillId="42" borderId="25" xfId="159" applyNumberFormat="1" applyFont="1" applyFill="1" applyBorder="1" applyAlignment="1">
      <alignment horizontal="left" vertical="center" wrapText="1" indent="1"/>
    </xf>
    <xf numFmtId="3" fontId="44" fillId="28" borderId="25" xfId="159" applyNumberFormat="1" applyFont="1" applyFill="1" applyBorder="1" applyAlignment="1">
      <alignment horizontal="left" vertical="center" wrapText="1" indent="1"/>
    </xf>
    <xf numFmtId="3" fontId="44" fillId="28" borderId="48" xfId="159" applyNumberFormat="1" applyFont="1" applyFill="1" applyBorder="1" applyAlignment="1">
      <alignment horizontal="center" vertical="center" wrapText="1"/>
    </xf>
    <xf numFmtId="0" fontId="44" fillId="28" borderId="25" xfId="0" applyFont="1" applyFill="1" applyBorder="1" applyAlignment="1" applyProtection="1">
      <alignment horizontal="left" vertical="center" wrapText="1"/>
      <protection locked="0"/>
    </xf>
    <xf numFmtId="0" fontId="44" fillId="28" borderId="15" xfId="0" applyFont="1" applyFill="1" applyBorder="1" applyAlignment="1" applyProtection="1">
      <alignment horizontal="center" vertical="center" wrapText="1"/>
      <protection locked="0"/>
    </xf>
    <xf numFmtId="3" fontId="44" fillId="28" borderId="15" xfId="0" applyNumberFormat="1" applyFont="1" applyFill="1" applyBorder="1" applyAlignment="1" applyProtection="1">
      <alignment horizontal="center" vertical="center" wrapText="1"/>
      <protection locked="0"/>
    </xf>
    <xf numFmtId="3" fontId="44" fillId="42" borderId="25" xfId="0" applyNumberFormat="1" applyFont="1" applyFill="1" applyBorder="1" applyAlignment="1" applyProtection="1">
      <alignment vertical="center" wrapText="1"/>
      <protection locked="0"/>
    </xf>
    <xf numFmtId="0" fontId="44" fillId="28" borderId="15" xfId="0" applyFont="1" applyFill="1" applyBorder="1" applyAlignment="1" applyProtection="1">
      <alignment horizontal="left" vertical="center" wrapText="1" indent="1"/>
      <protection locked="0"/>
    </xf>
    <xf numFmtId="0" fontId="44" fillId="28" borderId="16" xfId="0" applyFont="1" applyFill="1" applyBorder="1" applyAlignment="1" applyProtection="1">
      <alignment horizontal="left" vertical="center" wrapText="1"/>
      <protection locked="0"/>
    </xf>
    <xf numFmtId="3" fontId="68" fillId="28" borderId="15" xfId="0" applyNumberFormat="1" applyFont="1" applyFill="1" applyBorder="1" applyAlignment="1">
      <alignment horizontal="right" vertical="center" wrapText="1" indent="1"/>
    </xf>
    <xf numFmtId="3" fontId="44" fillId="28" borderId="15" xfId="159" applyNumberFormat="1" applyFont="1" applyFill="1" applyBorder="1" applyAlignment="1">
      <alignment horizontal="center" vertical="center" wrapText="1"/>
    </xf>
    <xf numFmtId="0" fontId="44" fillId="28" borderId="15" xfId="159" applyFont="1" applyFill="1" applyBorder="1" applyAlignment="1" applyProtection="1">
      <alignment horizontal="center" vertical="center" wrapText="1"/>
      <protection locked="0"/>
    </xf>
    <xf numFmtId="3" fontId="44" fillId="28" borderId="12" xfId="159" applyNumberFormat="1" applyFont="1" applyFill="1" applyBorder="1" applyAlignment="1">
      <alignment horizontal="center" vertical="center" wrapText="1"/>
    </xf>
    <xf numFmtId="0" fontId="68" fillId="28" borderId="34" xfId="159" applyFont="1" applyFill="1" applyBorder="1" applyAlignment="1" applyProtection="1">
      <alignment horizontal="left" vertical="center" wrapText="1"/>
      <protection locked="0"/>
    </xf>
    <xf numFmtId="0" fontId="44" fillId="28" borderId="25" xfId="159" applyFont="1" applyFill="1" applyBorder="1" applyAlignment="1" applyProtection="1">
      <alignment horizontal="left" vertical="center" wrapText="1"/>
      <protection locked="0"/>
    </xf>
    <xf numFmtId="0" fontId="44" fillId="28" borderId="34" xfId="159" applyFont="1" applyFill="1" applyBorder="1" applyAlignment="1" applyProtection="1">
      <alignment horizontal="left" vertical="center" wrapText="1" indent="1"/>
      <protection locked="0"/>
    </xf>
    <xf numFmtId="0" fontId="40" fillId="0" borderId="0" xfId="159" applyFont="1" applyAlignment="1" applyProtection="1">
      <alignment horizontal="left" indent="1"/>
      <protection locked="0"/>
    </xf>
    <xf numFmtId="43" fontId="39" fillId="0" borderId="0" xfId="85" applyFont="1" applyProtection="1">
      <protection locked="0"/>
    </xf>
    <xf numFmtId="165" fontId="39" fillId="0" borderId="0" xfId="159" applyNumberFormat="1" applyFont="1" applyProtection="1">
      <protection locked="0"/>
    </xf>
    <xf numFmtId="0" fontId="39" fillId="0" borderId="0" xfId="159" applyFont="1" applyProtection="1">
      <protection locked="0"/>
    </xf>
    <xf numFmtId="0" fontId="39" fillId="0" borderId="0" xfId="159" applyFont="1" applyAlignment="1" applyProtection="1">
      <alignment horizontal="center"/>
      <protection locked="0"/>
    </xf>
    <xf numFmtId="0" fontId="39" fillId="0" borderId="0" xfId="159" applyFont="1" applyAlignment="1" applyProtection="1">
      <alignment horizontal="left" indent="1"/>
      <protection locked="0"/>
    </xf>
    <xf numFmtId="3" fontId="39" fillId="0" borderId="0" xfId="159" applyNumberFormat="1" applyFont="1" applyProtection="1">
      <protection locked="0"/>
    </xf>
    <xf numFmtId="4" fontId="39" fillId="0" borderId="0" xfId="159" applyNumberFormat="1" applyFont="1" applyProtection="1">
      <protection locked="0"/>
    </xf>
    <xf numFmtId="0" fontId="40" fillId="0" borderId="0" xfId="159" applyFont="1" applyAlignment="1" applyProtection="1">
      <alignment horizontal="left" indent="2"/>
      <protection locked="0"/>
    </xf>
    <xf numFmtId="0" fontId="42" fillId="30" borderId="25" xfId="0" applyFont="1" applyFill="1" applyBorder="1" applyAlignment="1">
      <alignment horizontal="left" vertical="center" wrapText="1" indent="4"/>
    </xf>
    <xf numFmtId="3" fontId="75" fillId="30" borderId="25" xfId="0" applyNumberFormat="1" applyFont="1" applyFill="1" applyBorder="1" applyAlignment="1">
      <alignment horizontal="center" vertical="center" wrapText="1"/>
    </xf>
    <xf numFmtId="0" fontId="42" fillId="65" borderId="25" xfId="0" applyFont="1" applyFill="1" applyBorder="1" applyAlignment="1">
      <alignment vertical="center" wrapText="1"/>
    </xf>
    <xf numFmtId="3" fontId="42" fillId="65" borderId="25" xfId="0" applyNumberFormat="1" applyFont="1" applyFill="1" applyBorder="1" applyAlignment="1">
      <alignment horizontal="center" vertical="center"/>
    </xf>
    <xf numFmtId="170" fontId="42" fillId="65" borderId="25" xfId="0" applyNumberFormat="1" applyFont="1" applyFill="1" applyBorder="1" applyAlignment="1">
      <alignment horizontal="center" vertical="center"/>
    </xf>
    <xf numFmtId="0" fontId="2" fillId="0" borderId="37" xfId="85" applyNumberFormat="1" applyFont="1" applyFill="1" applyBorder="1" applyAlignment="1">
      <alignment horizontal="left" vertical="center" wrapText="1" indent="3"/>
    </xf>
    <xf numFmtId="0" fontId="0" fillId="0" borderId="0" xfId="0" applyAlignment="1">
      <alignment wrapText="1"/>
    </xf>
    <xf numFmtId="0" fontId="79" fillId="0" borderId="85" xfId="0" applyFont="1" applyBorder="1" applyAlignment="1">
      <alignment horizontal="center" vertical="center" wrapText="1"/>
    </xf>
    <xf numFmtId="0" fontId="81" fillId="0" borderId="86" xfId="0" applyFont="1" applyBorder="1" applyAlignment="1">
      <alignment horizontal="center" vertical="center" wrapText="1"/>
    </xf>
    <xf numFmtId="0" fontId="81" fillId="0" borderId="87" xfId="0" applyFont="1" applyBorder="1" applyAlignment="1">
      <alignment horizontal="left" vertical="center" wrapText="1"/>
    </xf>
    <xf numFmtId="0" fontId="2" fillId="0" borderId="88" xfId="0" applyFont="1" applyBorder="1" applyAlignment="1">
      <alignment vertical="top" wrapText="1"/>
    </xf>
    <xf numFmtId="0" fontId="92" fillId="0" borderId="87" xfId="0" applyFont="1" applyBorder="1" applyAlignment="1">
      <alignment horizontal="left" vertical="center" wrapText="1"/>
    </xf>
    <xf numFmtId="3" fontId="92" fillId="0" borderId="88" xfId="0" applyNumberFormat="1" applyFont="1" applyBorder="1" applyAlignment="1">
      <alignment horizontal="right" vertical="center" wrapText="1"/>
    </xf>
    <xf numFmtId="3" fontId="92" fillId="0" borderId="88" xfId="0" applyNumberFormat="1" applyFont="1" applyBorder="1" applyAlignment="1">
      <alignment horizontal="center" vertical="center" wrapText="1"/>
    </xf>
    <xf numFmtId="0" fontId="92" fillId="0" borderId="88" xfId="0" applyFont="1" applyBorder="1" applyAlignment="1">
      <alignment horizontal="center" vertical="center" wrapText="1"/>
    </xf>
    <xf numFmtId="0" fontId="92" fillId="0" borderId="87" xfId="0" applyFont="1" applyBorder="1" applyAlignment="1">
      <alignment horizontal="justify" vertical="center" wrapText="1"/>
    </xf>
    <xf numFmtId="0" fontId="2" fillId="0" borderId="88" xfId="0" applyFont="1" applyBorder="1" applyAlignment="1">
      <alignment vertical="center" wrapText="1"/>
    </xf>
    <xf numFmtId="0" fontId="81" fillId="0" borderId="87" xfId="0" applyFont="1" applyBorder="1" applyAlignment="1">
      <alignment horizontal="center" vertical="center" wrapText="1"/>
    </xf>
    <xf numFmtId="3" fontId="94" fillId="0" borderId="88" xfId="0" applyNumberFormat="1" applyFont="1" applyBorder="1" applyAlignment="1">
      <alignment horizontal="right" vertical="center" wrapText="1"/>
    </xf>
    <xf numFmtId="3" fontId="79" fillId="0" borderId="88" xfId="0" applyNumberFormat="1" applyFont="1" applyBorder="1" applyAlignment="1">
      <alignment horizontal="center" vertical="center" wrapText="1"/>
    </xf>
    <xf numFmtId="0" fontId="94" fillId="0" borderId="88" xfId="0" applyFont="1" applyBorder="1" applyAlignment="1">
      <alignment horizontal="justify" vertical="center" wrapText="1"/>
    </xf>
    <xf numFmtId="0" fontId="79" fillId="0" borderId="88" xfId="0" applyFont="1" applyBorder="1" applyAlignment="1">
      <alignment horizontal="justify" vertical="center" wrapText="1"/>
    </xf>
    <xf numFmtId="3" fontId="81" fillId="0" borderId="88" xfId="0" applyNumberFormat="1" applyFont="1" applyBorder="1" applyAlignment="1">
      <alignment horizontal="center" vertical="center" wrapText="1"/>
    </xf>
    <xf numFmtId="3" fontId="93" fillId="0" borderId="88" xfId="0" applyNumberFormat="1" applyFont="1" applyBorder="1" applyAlignment="1">
      <alignment horizontal="center" vertical="center" wrapText="1"/>
    </xf>
    <xf numFmtId="0" fontId="79" fillId="0" borderId="88" xfId="0" applyFont="1" applyBorder="1" applyAlignment="1">
      <alignment horizontal="center" vertical="center" wrapText="1"/>
    </xf>
    <xf numFmtId="0" fontId="79" fillId="0" borderId="0" xfId="0" applyFont="1" applyAlignment="1">
      <alignment wrapText="1"/>
    </xf>
    <xf numFmtId="3" fontId="79" fillId="0" borderId="0" xfId="0" applyNumberFormat="1" applyFont="1" applyAlignment="1">
      <alignment wrapText="1"/>
    </xf>
    <xf numFmtId="172" fontId="79" fillId="0" borderId="88" xfId="201" applyNumberFormat="1" applyFont="1" applyBorder="1" applyAlignment="1">
      <alignment horizontal="center" vertical="center" wrapText="1"/>
    </xf>
    <xf numFmtId="3" fontId="68" fillId="51" borderId="52" xfId="159" applyNumberFormat="1" applyFont="1" applyFill="1" applyBorder="1" applyAlignment="1" applyProtection="1">
      <alignment horizontal="right" vertical="center" indent="1"/>
      <protection locked="0"/>
    </xf>
    <xf numFmtId="43" fontId="2" fillId="25" borderId="55" xfId="85" applyFont="1" applyFill="1" applyBorder="1" applyAlignment="1">
      <alignment horizontal="left" vertical="center" wrapText="1" indent="4"/>
    </xf>
    <xf numFmtId="3" fontId="2" fillId="25" borderId="37" xfId="85" applyNumberFormat="1" applyFont="1" applyFill="1" applyBorder="1" applyAlignment="1">
      <alignment horizontal="center" vertical="center" wrapText="1"/>
    </xf>
    <xf numFmtId="3" fontId="2" fillId="25" borderId="0" xfId="85" applyNumberFormat="1" applyFont="1" applyFill="1" applyBorder="1" applyAlignment="1">
      <alignment horizontal="center" vertical="center" wrapText="1"/>
    </xf>
    <xf numFmtId="3" fontId="2" fillId="25" borderId="38" xfId="85" applyNumberFormat="1" applyFont="1" applyFill="1" applyBorder="1" applyAlignment="1">
      <alignment horizontal="center" vertical="center" wrapText="1"/>
    </xf>
    <xf numFmtId="168" fontId="2" fillId="25" borderId="37" xfId="85" applyNumberFormat="1" applyFont="1" applyFill="1" applyBorder="1" applyAlignment="1">
      <alignment horizontal="right" vertical="center" wrapText="1"/>
    </xf>
    <xf numFmtId="168" fontId="2" fillId="25" borderId="0" xfId="85" applyNumberFormat="1" applyFont="1" applyFill="1" applyBorder="1" applyAlignment="1">
      <alignment horizontal="right" vertical="center" wrapText="1"/>
    </xf>
    <xf numFmtId="168" fontId="2" fillId="25" borderId="38" xfId="85" applyNumberFormat="1" applyFont="1" applyFill="1" applyBorder="1" applyAlignment="1">
      <alignment horizontal="right" vertical="center" wrapText="1"/>
    </xf>
    <xf numFmtId="3" fontId="2" fillId="0" borderId="0" xfId="85" applyNumberFormat="1" applyFont="1" applyBorder="1" applyAlignment="1">
      <alignment horizontal="center" vertical="center" wrapText="1"/>
    </xf>
    <xf numFmtId="3" fontId="2" fillId="0" borderId="38" xfId="85" applyNumberFormat="1" applyFont="1" applyBorder="1" applyAlignment="1">
      <alignment horizontal="center" vertical="center" wrapText="1"/>
    </xf>
    <xf numFmtId="168" fontId="2" fillId="0" borderId="0" xfId="85" applyNumberFormat="1" applyFont="1" applyBorder="1" applyAlignment="1">
      <alignment horizontal="right" vertical="center" wrapText="1"/>
    </xf>
    <xf numFmtId="164" fontId="2" fillId="0" borderId="0" xfId="85" applyNumberFormat="1" applyFont="1" applyBorder="1" applyAlignment="1">
      <alignment horizontal="right" vertical="center" wrapText="1"/>
    </xf>
    <xf numFmtId="168" fontId="2" fillId="47" borderId="38" xfId="85" applyNumberFormat="1" applyFont="1" applyFill="1" applyBorder="1" applyAlignment="1">
      <alignment horizontal="right" vertical="center" wrapText="1"/>
    </xf>
    <xf numFmtId="168" fontId="2" fillId="0" borderId="0" xfId="85" applyNumberFormat="1" applyFont="1" applyFill="1" applyBorder="1" applyAlignment="1">
      <alignment horizontal="right" vertical="center" wrapText="1"/>
    </xf>
    <xf numFmtId="168" fontId="2" fillId="0" borderId="37" xfId="85" applyNumberFormat="1" applyFont="1" applyBorder="1" applyAlignment="1">
      <alignment horizontal="right" vertical="center" wrapText="1"/>
    </xf>
    <xf numFmtId="168" fontId="2" fillId="55" borderId="38" xfId="85" applyNumberFormat="1" applyFont="1" applyFill="1" applyBorder="1" applyAlignment="1">
      <alignment horizontal="right" vertical="center" wrapText="1"/>
    </xf>
    <xf numFmtId="168" fontId="2" fillId="55" borderId="0" xfId="85" applyNumberFormat="1" applyFont="1" applyFill="1" applyBorder="1" applyAlignment="1">
      <alignment horizontal="right" vertical="center" wrapText="1"/>
    </xf>
    <xf numFmtId="164" fontId="2" fillId="25" borderId="0" xfId="85" applyNumberFormat="1" applyFont="1" applyFill="1" applyBorder="1" applyAlignment="1">
      <alignment horizontal="right" vertical="center" wrapText="1"/>
    </xf>
    <xf numFmtId="43" fontId="2" fillId="25" borderId="37" xfId="85" applyFont="1" applyFill="1" applyBorder="1" applyAlignment="1">
      <alignment horizontal="left" vertical="center" wrapText="1" indent="4"/>
    </xf>
    <xf numFmtId="3" fontId="2" fillId="0" borderId="37" xfId="85" applyNumberFormat="1" applyFont="1" applyFill="1" applyBorder="1" applyAlignment="1">
      <alignment horizontal="center" vertical="center" wrapText="1"/>
    </xf>
    <xf numFmtId="3" fontId="2" fillId="0" borderId="0" xfId="85" applyNumberFormat="1" applyFont="1" applyFill="1" applyBorder="1" applyAlignment="1">
      <alignment horizontal="center" vertical="center" wrapText="1"/>
    </xf>
    <xf numFmtId="3" fontId="2" fillId="0" borderId="38" xfId="85" applyNumberFormat="1" applyFont="1" applyFill="1" applyBorder="1" applyAlignment="1">
      <alignment horizontal="center" vertical="center" wrapText="1"/>
    </xf>
    <xf numFmtId="168" fontId="2" fillId="0" borderId="37" xfId="85" applyNumberFormat="1" applyFont="1" applyFill="1" applyBorder="1" applyAlignment="1">
      <alignment horizontal="right" vertical="center" wrapText="1"/>
    </xf>
    <xf numFmtId="168" fontId="2" fillId="0" borderId="38" xfId="85" applyNumberFormat="1" applyFont="1" applyFill="1" applyBorder="1" applyAlignment="1">
      <alignment horizontal="right" vertical="center" wrapText="1"/>
    </xf>
    <xf numFmtId="3" fontId="2" fillId="0" borderId="37" xfId="85" applyNumberFormat="1" applyFont="1" applyBorder="1" applyAlignment="1">
      <alignment horizontal="center" vertical="center" wrapText="1"/>
    </xf>
    <xf numFmtId="168" fontId="2" fillId="0" borderId="38" xfId="85" applyNumberFormat="1" applyFont="1" applyBorder="1" applyAlignment="1">
      <alignment horizontal="right" vertical="center" wrapText="1"/>
    </xf>
    <xf numFmtId="168" fontId="2" fillId="47" borderId="55" xfId="85" applyNumberFormat="1" applyFont="1" applyFill="1" applyBorder="1" applyAlignment="1">
      <alignment horizontal="right" vertical="center" wrapText="1"/>
    </xf>
    <xf numFmtId="168" fontId="2" fillId="0" borderId="55" xfId="85" applyNumberFormat="1" applyFont="1" applyFill="1" applyBorder="1" applyAlignment="1">
      <alignment horizontal="right" vertical="center" wrapText="1"/>
    </xf>
    <xf numFmtId="3" fontId="2" fillId="0" borderId="37" xfId="85" applyNumberFormat="1" applyFont="1" applyFill="1" applyBorder="1" applyAlignment="1">
      <alignment horizontal="left" vertical="center" wrapText="1" indent="3"/>
    </xf>
    <xf numFmtId="43" fontId="2" fillId="0" borderId="55" xfId="85" applyFont="1" applyBorder="1" applyAlignment="1">
      <alignment horizontal="left" vertical="center" wrapText="1" indent="3"/>
    </xf>
    <xf numFmtId="43" fontId="2" fillId="0" borderId="55" xfId="85" applyFont="1" applyBorder="1" applyAlignment="1">
      <alignment horizontal="left" vertical="center" wrapText="1" indent="1"/>
    </xf>
    <xf numFmtId="43" fontId="2" fillId="0" borderId="19" xfId="85" applyFont="1" applyBorder="1" applyAlignment="1">
      <alignment horizontal="left" vertical="center" wrapText="1" indent="3"/>
    </xf>
    <xf numFmtId="3" fontId="2" fillId="0" borderId="43" xfId="85" applyNumberFormat="1" applyFont="1" applyBorder="1" applyAlignment="1">
      <alignment horizontal="center" vertical="center" wrapText="1"/>
    </xf>
    <xf numFmtId="168" fontId="2" fillId="25" borderId="50" xfId="85" applyNumberFormat="1" applyFont="1" applyFill="1" applyBorder="1" applyAlignment="1">
      <alignment horizontal="right" vertical="center" wrapText="1"/>
    </xf>
    <xf numFmtId="168" fontId="2" fillId="25" borderId="43" xfId="85" applyNumberFormat="1" applyFont="1" applyFill="1" applyBorder="1" applyAlignment="1">
      <alignment horizontal="right" vertical="center" wrapText="1"/>
    </xf>
    <xf numFmtId="168" fontId="2" fillId="25" borderId="20" xfId="85" applyNumberFormat="1" applyFont="1" applyFill="1" applyBorder="1" applyAlignment="1">
      <alignment horizontal="right" vertical="center" wrapText="1"/>
    </xf>
    <xf numFmtId="168" fontId="2" fillId="0" borderId="43" xfId="85" applyNumberFormat="1" applyFont="1" applyBorder="1" applyAlignment="1">
      <alignment horizontal="right" vertical="center" wrapText="1"/>
    </xf>
    <xf numFmtId="168" fontId="2" fillId="47" borderId="20" xfId="85" applyNumberFormat="1" applyFont="1" applyFill="1" applyBorder="1" applyAlignment="1">
      <alignment horizontal="right" vertical="center" wrapText="1"/>
    </xf>
    <xf numFmtId="168" fontId="2" fillId="0" borderId="43" xfId="85" applyNumberFormat="1" applyFont="1" applyFill="1" applyBorder="1" applyAlignment="1">
      <alignment horizontal="right" vertical="center" wrapText="1"/>
    </xf>
    <xf numFmtId="168" fontId="2" fillId="0" borderId="50" xfId="85" applyNumberFormat="1" applyFont="1" applyBorder="1" applyAlignment="1">
      <alignment horizontal="right" vertical="center" wrapText="1"/>
    </xf>
    <xf numFmtId="168" fontId="2" fillId="0" borderId="20" xfId="85" applyNumberFormat="1" applyFont="1" applyBorder="1" applyAlignment="1">
      <alignment horizontal="right" vertical="center" wrapText="1"/>
    </xf>
    <xf numFmtId="168" fontId="2" fillId="47" borderId="19" xfId="85" applyNumberFormat="1" applyFont="1" applyFill="1" applyBorder="1" applyAlignment="1">
      <alignment horizontal="right" vertical="center" wrapText="1"/>
    </xf>
    <xf numFmtId="43" fontId="2" fillId="0" borderId="0" xfId="85" applyFont="1" applyBorder="1" applyAlignment="1">
      <alignment horizontal="right" vertical="center" wrapText="1"/>
    </xf>
    <xf numFmtId="43" fontId="2" fillId="0" borderId="0" xfId="85" applyFont="1" applyFill="1" applyBorder="1" applyAlignment="1">
      <alignment horizontal="right" vertical="center" wrapText="1"/>
    </xf>
    <xf numFmtId="0" fontId="2" fillId="62" borderId="25" xfId="0" applyFont="1" applyFill="1" applyBorder="1" applyAlignment="1">
      <alignment horizontal="left" vertical="center" wrapText="1" indent="1"/>
    </xf>
    <xf numFmtId="170" fontId="2" fillId="62" borderId="25" xfId="0" applyNumberFormat="1" applyFont="1" applyFill="1" applyBorder="1" applyAlignment="1">
      <alignment horizontal="center" vertical="center"/>
    </xf>
    <xf numFmtId="0" fontId="2" fillId="63" borderId="25" xfId="0" applyFont="1" applyFill="1" applyBorder="1" applyAlignment="1">
      <alignment horizontal="left" vertical="center" wrapText="1" indent="1"/>
    </xf>
    <xf numFmtId="3" fontId="2" fillId="63" borderId="25" xfId="0" applyNumberFormat="1" applyFont="1" applyFill="1" applyBorder="1" applyAlignment="1">
      <alignment horizontal="center" vertical="center"/>
    </xf>
    <xf numFmtId="170" fontId="2" fillId="63" borderId="25" xfId="0" applyNumberFormat="1" applyFont="1" applyFill="1" applyBorder="1" applyAlignment="1">
      <alignment horizontal="center" vertical="center"/>
    </xf>
    <xf numFmtId="0" fontId="2" fillId="30" borderId="25" xfId="0" applyFont="1" applyFill="1" applyBorder="1" applyAlignment="1">
      <alignment horizontal="left" vertical="center" wrapText="1" indent="1"/>
    </xf>
    <xf numFmtId="3" fontId="2" fillId="30" borderId="25" xfId="0" applyNumberFormat="1" applyFont="1" applyFill="1" applyBorder="1" applyAlignment="1">
      <alignment horizontal="center" vertical="center"/>
    </xf>
    <xf numFmtId="170" fontId="2" fillId="30" borderId="2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vertical="top" wrapText="1" indent="1"/>
    </xf>
    <xf numFmtId="3" fontId="2" fillId="0" borderId="0" xfId="0" applyNumberFormat="1" applyFont="1" applyAlignment="1">
      <alignment vertical="center"/>
    </xf>
    <xf numFmtId="43" fontId="2" fillId="0" borderId="0" xfId="85" applyFont="1"/>
    <xf numFmtId="3" fontId="44" fillId="66" borderId="25" xfId="159" applyNumberFormat="1" applyFont="1" applyFill="1" applyBorder="1" applyAlignment="1">
      <alignment horizontal="center" vertical="center" wrapText="1"/>
    </xf>
    <xf numFmtId="3" fontId="44" fillId="66" borderId="16" xfId="159" applyNumberFormat="1" applyFont="1" applyFill="1" applyBorder="1" applyAlignment="1">
      <alignment horizontal="center" vertical="center" wrapText="1"/>
    </xf>
    <xf numFmtId="3" fontId="44" fillId="66" borderId="25" xfId="159" applyNumberFormat="1" applyFont="1" applyFill="1" applyBorder="1" applyAlignment="1" applyProtection="1">
      <alignment horizontal="center" vertical="center" wrapText="1"/>
      <protection locked="0"/>
    </xf>
    <xf numFmtId="3" fontId="68" fillId="51" borderId="25" xfId="159" applyNumberFormat="1" applyFont="1" applyFill="1" applyBorder="1" applyAlignment="1" applyProtection="1">
      <alignment horizontal="left" vertical="center" wrapText="1"/>
      <protection locked="0"/>
    </xf>
    <xf numFmtId="0" fontId="44" fillId="66" borderId="25" xfId="0" applyFont="1" applyFill="1" applyBorder="1" applyAlignment="1" applyProtection="1">
      <alignment horizontal="center" vertical="center" wrapText="1"/>
      <protection locked="0"/>
    </xf>
    <xf numFmtId="3" fontId="44" fillId="66" borderId="25" xfId="0" applyNumberFormat="1" applyFont="1" applyFill="1" applyBorder="1" applyAlignment="1" applyProtection="1">
      <alignment horizontal="center" vertical="center" wrapText="1"/>
      <protection locked="0"/>
    </xf>
    <xf numFmtId="0" fontId="44" fillId="66" borderId="25" xfId="0" applyFont="1" applyFill="1" applyBorder="1" applyAlignment="1" applyProtection="1">
      <alignment horizontal="left" vertical="center" wrapText="1" indent="1"/>
      <protection locked="0"/>
    </xf>
    <xf numFmtId="9" fontId="44" fillId="42" borderId="25" xfId="201" applyFont="1" applyFill="1" applyBorder="1" applyAlignment="1" applyProtection="1">
      <alignment horizontal="center" vertical="center" wrapText="1"/>
      <protection locked="0"/>
    </xf>
    <xf numFmtId="3" fontId="68" fillId="54" borderId="16" xfId="0" applyNumberFormat="1" applyFont="1" applyFill="1" applyBorder="1" applyAlignment="1" applyProtection="1">
      <alignment horizontal="center" vertical="center" wrapText="1"/>
      <protection locked="0"/>
    </xf>
    <xf numFmtId="0" fontId="44" fillId="0" borderId="0" xfId="159" applyFont="1" applyFill="1" applyBorder="1" applyAlignment="1" applyProtection="1">
      <alignment horizontal="center"/>
      <protection locked="0"/>
    </xf>
    <xf numFmtId="0" fontId="44" fillId="0" borderId="0" xfId="159" applyFont="1" applyFill="1" applyBorder="1" applyProtection="1">
      <protection locked="0"/>
    </xf>
    <xf numFmtId="4" fontId="44" fillId="0" borderId="0" xfId="159" applyNumberFormat="1" applyFont="1" applyFill="1" applyBorder="1" applyProtection="1">
      <protection locked="0"/>
    </xf>
    <xf numFmtId="3" fontId="44" fillId="0" borderId="0" xfId="159" applyNumberFormat="1" applyFont="1" applyFill="1" applyBorder="1" applyProtection="1">
      <protection locked="0"/>
    </xf>
    <xf numFmtId="3" fontId="44" fillId="0" borderId="0" xfId="159" applyNumberFormat="1" applyFont="1" applyFill="1" applyBorder="1" applyAlignment="1">
      <alignment horizontal="center" vertical="center" wrapText="1"/>
    </xf>
    <xf numFmtId="168" fontId="44" fillId="0" borderId="0" xfId="145" applyNumberFormat="1" applyFont="1" applyAlignment="1">
      <alignment horizontal="right" vertical="center" wrapText="1"/>
    </xf>
    <xf numFmtId="3" fontId="2" fillId="62" borderId="25" xfId="0" applyNumberFormat="1" applyFont="1" applyFill="1" applyBorder="1" applyAlignment="1">
      <alignment horizontal="center" vertical="center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3" fontId="1" fillId="0" borderId="0" xfId="0" applyNumberFormat="1" applyFont="1"/>
    <xf numFmtId="172" fontId="1" fillId="0" borderId="0" xfId="201" applyNumberFormat="1" applyFont="1" applyBorder="1"/>
    <xf numFmtId="173" fontId="1" fillId="0" borderId="0" xfId="0" applyNumberFormat="1" applyFont="1"/>
    <xf numFmtId="4" fontId="1" fillId="0" borderId="0" xfId="0" applyNumberFormat="1" applyFont="1"/>
    <xf numFmtId="179" fontId="1" fillId="0" borderId="0" xfId="0" applyNumberFormat="1" applyFont="1"/>
    <xf numFmtId="0" fontId="39" fillId="0" borderId="0" xfId="0" applyFont="1" applyFill="1" applyBorder="1"/>
    <xf numFmtId="0" fontId="38" fillId="0" borderId="0" xfId="0" applyFont="1" applyFill="1" applyBorder="1"/>
    <xf numFmtId="172" fontId="39" fillId="0" borderId="0" xfId="201" applyNumberFormat="1" applyFont="1" applyFill="1" applyBorder="1" applyAlignment="1">
      <alignment horizontal="center" vertical="center"/>
    </xf>
    <xf numFmtId="3" fontId="39" fillId="0" borderId="0" xfId="0" applyNumberFormat="1" applyFont="1" applyFill="1" applyBorder="1" applyAlignment="1">
      <alignment horizontal="center" vertical="center"/>
    </xf>
    <xf numFmtId="0" fontId="42" fillId="0" borderId="0" xfId="0" applyFont="1" applyFill="1" applyBorder="1"/>
    <xf numFmtId="3" fontId="44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10" fontId="44" fillId="0" borderId="0" xfId="20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3" fontId="1" fillId="0" borderId="0" xfId="0" applyNumberFormat="1" applyFont="1" applyAlignment="1">
      <alignment horizontal="center"/>
    </xf>
    <xf numFmtId="3" fontId="39" fillId="0" borderId="0" xfId="201" applyNumberFormat="1" applyFont="1" applyFill="1" applyBorder="1" applyAlignment="1">
      <alignment horizontal="center" vertical="center"/>
    </xf>
    <xf numFmtId="6" fontId="39" fillId="0" borderId="0" xfId="159" applyNumberFormat="1" applyFont="1" applyProtection="1">
      <protection locked="0"/>
    </xf>
    <xf numFmtId="0" fontId="71" fillId="0" borderId="0" xfId="145" applyFont="1" applyFill="1" applyAlignment="1">
      <alignment horizontal="center" vertical="center" wrapText="1"/>
    </xf>
    <xf numFmtId="0" fontId="1" fillId="0" borderId="0" xfId="145" applyFont="1" applyFill="1" applyAlignment="1">
      <alignment horizontal="left" vertical="center"/>
    </xf>
    <xf numFmtId="0" fontId="44" fillId="0" borderId="0" xfId="145" applyFont="1" applyFill="1" applyAlignment="1">
      <alignment horizontal="left" vertical="center"/>
    </xf>
    <xf numFmtId="0" fontId="37" fillId="0" borderId="0" xfId="145" applyFont="1" applyFill="1" applyAlignment="1">
      <alignment horizontal="left" vertical="center"/>
    </xf>
    <xf numFmtId="0" fontId="78" fillId="0" borderId="0" xfId="145" applyFont="1" applyFill="1" applyAlignment="1">
      <alignment horizontal="left" vertical="center"/>
    </xf>
    <xf numFmtId="168" fontId="65" fillId="0" borderId="0" xfId="145" applyNumberFormat="1" applyFont="1" applyFill="1" applyAlignment="1">
      <alignment horizontal="left" vertical="center"/>
    </xf>
    <xf numFmtId="0" fontId="87" fillId="0" borderId="0" xfId="145" applyFont="1" applyFill="1" applyAlignment="1">
      <alignment horizontal="center" vertical="center"/>
    </xf>
    <xf numFmtId="168" fontId="44" fillId="0" borderId="0" xfId="85" applyNumberFormat="1" applyFont="1" applyFill="1" applyAlignment="1">
      <alignment horizontal="left" vertical="center"/>
    </xf>
    <xf numFmtId="0" fontId="87" fillId="0" borderId="0" xfId="145" applyFont="1" applyFill="1" applyAlignment="1">
      <alignment horizontal="left" vertical="center"/>
    </xf>
    <xf numFmtId="9" fontId="88" fillId="0" borderId="0" xfId="201" applyFont="1" applyFill="1" applyAlignment="1">
      <alignment horizontal="left" vertical="center"/>
    </xf>
    <xf numFmtId="172" fontId="44" fillId="0" borderId="0" xfId="201" applyNumberFormat="1" applyFont="1" applyFill="1" applyAlignment="1">
      <alignment horizontal="center" vertical="center"/>
    </xf>
    <xf numFmtId="168" fontId="88" fillId="0" borderId="0" xfId="85" applyNumberFormat="1" applyFont="1" applyFill="1" applyAlignment="1">
      <alignment horizontal="left" vertical="center"/>
    </xf>
    <xf numFmtId="168" fontId="1" fillId="0" borderId="0" xfId="85" applyNumberFormat="1" applyFont="1" applyFill="1" applyAlignment="1">
      <alignment horizontal="left" vertical="center"/>
    </xf>
    <xf numFmtId="0" fontId="89" fillId="0" borderId="0" xfId="145" applyFont="1" applyFill="1" applyAlignment="1">
      <alignment horizontal="left" vertical="center"/>
    </xf>
    <xf numFmtId="0" fontId="54" fillId="0" borderId="0" xfId="145" applyFont="1" applyFill="1" applyAlignment="1">
      <alignment horizontal="left" vertical="center"/>
    </xf>
    <xf numFmtId="168" fontId="54" fillId="0" borderId="0" xfId="145" applyNumberFormat="1" applyFont="1" applyFill="1" applyAlignment="1">
      <alignment horizontal="left" vertical="center"/>
    </xf>
    <xf numFmtId="0" fontId="2" fillId="0" borderId="0" xfId="145" applyFont="1" applyFill="1" applyAlignment="1">
      <alignment horizontal="left" vertical="center"/>
    </xf>
    <xf numFmtId="168" fontId="95" fillId="0" borderId="0" xfId="145" applyNumberFormat="1" applyFont="1" applyFill="1" applyAlignment="1">
      <alignment horizontal="center" vertical="center" wrapText="1"/>
    </xf>
    <xf numFmtId="168" fontId="42" fillId="0" borderId="0" xfId="145" applyNumberFormat="1" applyFont="1" applyFill="1" applyAlignment="1">
      <alignment horizontal="left" vertical="center"/>
    </xf>
    <xf numFmtId="0" fontId="73" fillId="0" borderId="0" xfId="145" applyFont="1" applyFill="1" applyAlignment="1">
      <alignment horizontal="left" vertical="center"/>
    </xf>
    <xf numFmtId="168" fontId="91" fillId="0" borderId="0" xfId="145" applyNumberFormat="1" applyFont="1" applyFill="1" applyAlignment="1">
      <alignment horizontal="center" vertical="center" wrapText="1"/>
    </xf>
    <xf numFmtId="0" fontId="53" fillId="0" borderId="0" xfId="145" applyFont="1" applyFill="1" applyAlignment="1">
      <alignment horizontal="left" vertical="center"/>
    </xf>
    <xf numFmtId="168" fontId="53" fillId="0" borderId="0" xfId="145" applyNumberFormat="1" applyFont="1" applyFill="1" applyAlignment="1">
      <alignment horizontal="left" vertical="center"/>
    </xf>
    <xf numFmtId="0" fontId="42" fillId="0" borderId="0" xfId="145" applyFont="1" applyFill="1" applyAlignment="1">
      <alignment horizontal="left" vertical="center"/>
    </xf>
    <xf numFmtId="0" fontId="38" fillId="0" borderId="0" xfId="145" applyFill="1" applyAlignment="1">
      <alignment horizontal="left" vertical="center" indent="1"/>
    </xf>
    <xf numFmtId="0" fontId="2" fillId="0" borderId="0" xfId="145" applyFont="1" applyFill="1" applyAlignment="1">
      <alignment horizontal="left" vertical="center" indent="1"/>
    </xf>
    <xf numFmtId="0" fontId="38" fillId="0" borderId="0" xfId="145" applyFill="1" applyAlignment="1">
      <alignment horizontal="right" vertical="center" wrapText="1" indent="1"/>
    </xf>
    <xf numFmtId="0" fontId="42" fillId="0" borderId="0" xfId="145" applyFont="1" applyFill="1" applyAlignment="1">
      <alignment horizontal="center" vertical="center" wrapText="1"/>
    </xf>
    <xf numFmtId="0" fontId="38" fillId="0" borderId="0" xfId="145" applyFill="1" applyAlignment="1">
      <alignment horizontal="left" vertical="center"/>
    </xf>
    <xf numFmtId="43" fontId="2" fillId="0" borderId="0" xfId="85" applyFont="1" applyFill="1" applyBorder="1" applyAlignment="1">
      <alignment horizontal="left" vertical="center"/>
    </xf>
    <xf numFmtId="172" fontId="40" fillId="0" borderId="0" xfId="201" applyNumberFormat="1" applyFont="1" applyFill="1" applyBorder="1" applyAlignment="1">
      <alignment horizontal="right" vertical="center" wrapText="1"/>
    </xf>
    <xf numFmtId="9" fontId="39" fillId="0" borderId="0" xfId="201" applyFont="1" applyFill="1" applyBorder="1" applyAlignment="1">
      <alignment horizontal="right" vertical="center" wrapText="1"/>
    </xf>
    <xf numFmtId="0" fontId="77" fillId="0" borderId="0" xfId="145" applyFont="1" applyBorder="1" applyAlignment="1">
      <alignment horizontal="right" vertical="center" wrapText="1"/>
    </xf>
    <xf numFmtId="0" fontId="39" fillId="0" borderId="0" xfId="145" applyFont="1" applyFill="1" applyBorder="1" applyAlignment="1">
      <alignment horizontal="right" vertical="center" wrapText="1"/>
    </xf>
    <xf numFmtId="0" fontId="44" fillId="0" borderId="0" xfId="145" applyFont="1" applyFill="1" applyBorder="1" applyAlignment="1">
      <alignment horizontal="right" vertical="center" wrapText="1"/>
    </xf>
    <xf numFmtId="168" fontId="44" fillId="0" borderId="0" xfId="145" applyNumberFormat="1" applyFont="1" applyFill="1" applyBorder="1" applyAlignment="1">
      <alignment horizontal="right" vertical="center" wrapText="1"/>
    </xf>
    <xf numFmtId="3" fontId="53" fillId="0" borderId="0" xfId="145" applyNumberFormat="1" applyFont="1" applyFill="1" applyBorder="1" applyAlignment="1">
      <alignment horizontal="right" vertical="center" wrapText="1"/>
    </xf>
    <xf numFmtId="0" fontId="38" fillId="0" borderId="0" xfId="145" applyFill="1" applyBorder="1" applyAlignment="1">
      <alignment horizontal="right" vertical="center" wrapText="1"/>
    </xf>
    <xf numFmtId="43" fontId="1" fillId="0" borderId="0" xfId="145" applyNumberFormat="1" applyFont="1" applyFill="1" applyBorder="1" applyAlignment="1">
      <alignment horizontal="right" vertical="center" wrapText="1"/>
    </xf>
    <xf numFmtId="168" fontId="38" fillId="0" borderId="0" xfId="145" applyNumberFormat="1" applyFill="1" applyBorder="1" applyAlignment="1">
      <alignment horizontal="right" vertical="center" wrapText="1"/>
    </xf>
    <xf numFmtId="168" fontId="53" fillId="38" borderId="0" xfId="145" applyNumberFormat="1" applyFont="1" applyFill="1" applyBorder="1" applyAlignment="1">
      <alignment horizontal="right" vertical="center" wrapText="1"/>
    </xf>
    <xf numFmtId="3" fontId="73" fillId="39" borderId="0" xfId="145" applyNumberFormat="1" applyFont="1" applyFill="1" applyBorder="1" applyAlignment="1">
      <alignment horizontal="center" vertical="center" wrapText="1"/>
    </xf>
    <xf numFmtId="168" fontId="73" fillId="39" borderId="0" xfId="145" applyNumberFormat="1" applyFont="1" applyFill="1" applyBorder="1" applyAlignment="1">
      <alignment horizontal="right" vertical="center" wrapText="1"/>
    </xf>
    <xf numFmtId="3" fontId="53" fillId="44" borderId="0" xfId="145" applyNumberFormat="1" applyFont="1" applyFill="1" applyBorder="1" applyAlignment="1">
      <alignment horizontal="center" vertical="center" wrapText="1"/>
    </xf>
    <xf numFmtId="3" fontId="53" fillId="44" borderId="0" xfId="145" applyNumberFormat="1" applyFont="1" applyFill="1" applyBorder="1" applyAlignment="1">
      <alignment horizontal="right" vertical="center" wrapText="1"/>
    </xf>
    <xf numFmtId="3" fontId="42" fillId="30" borderId="0" xfId="145" applyNumberFormat="1" applyFont="1" applyFill="1" applyBorder="1" applyAlignment="1">
      <alignment horizontal="center" vertical="center" wrapText="1"/>
    </xf>
    <xf numFmtId="3" fontId="42" fillId="30" borderId="0" xfId="145" applyNumberFormat="1" applyFont="1" applyFill="1" applyBorder="1" applyAlignment="1">
      <alignment horizontal="right" vertical="center" wrapText="1"/>
    </xf>
    <xf numFmtId="3" fontId="38" fillId="0" borderId="0" xfId="145" applyNumberFormat="1" applyBorder="1" applyAlignment="1">
      <alignment horizontal="center" vertical="center" wrapText="1"/>
    </xf>
    <xf numFmtId="3" fontId="38" fillId="25" borderId="0" xfId="145" applyNumberFormat="1" applyFill="1" applyBorder="1" applyAlignment="1">
      <alignment horizontal="center" vertical="center" wrapText="1"/>
    </xf>
    <xf numFmtId="3" fontId="44" fillId="0" borderId="0" xfId="145" applyNumberFormat="1" applyFont="1" applyBorder="1" applyAlignment="1">
      <alignment horizontal="center" vertical="center" wrapText="1"/>
    </xf>
    <xf numFmtId="0" fontId="71" fillId="30" borderId="0" xfId="145" applyFont="1" applyFill="1" applyBorder="1" applyAlignment="1">
      <alignment horizontal="center" vertical="center" wrapText="1"/>
    </xf>
    <xf numFmtId="168" fontId="42" fillId="30" borderId="0" xfId="145" applyNumberFormat="1" applyFont="1" applyFill="1" applyBorder="1" applyAlignment="1">
      <alignment horizontal="right" vertical="center" wrapText="1"/>
    </xf>
    <xf numFmtId="3" fontId="73" fillId="39" borderId="0" xfId="145" applyNumberFormat="1" applyFont="1" applyFill="1" applyBorder="1" applyAlignment="1">
      <alignment horizontal="right" vertical="center" wrapText="1"/>
    </xf>
    <xf numFmtId="0" fontId="42" fillId="30" borderId="19" xfId="145" applyFont="1" applyFill="1" applyBorder="1" applyAlignment="1">
      <alignment horizontal="left" vertical="center" wrapText="1" indent="2"/>
    </xf>
    <xf numFmtId="3" fontId="42" fillId="30" borderId="50" xfId="145" applyNumberFormat="1" applyFont="1" applyFill="1" applyBorder="1" applyAlignment="1">
      <alignment horizontal="center" vertical="center" wrapText="1"/>
    </xf>
    <xf numFmtId="3" fontId="42" fillId="30" borderId="43" xfId="145" applyNumberFormat="1" applyFont="1" applyFill="1" applyBorder="1" applyAlignment="1">
      <alignment horizontal="center" vertical="center" wrapText="1"/>
    </xf>
    <xf numFmtId="3" fontId="42" fillId="30" borderId="20" xfId="145" applyNumberFormat="1" applyFont="1" applyFill="1" applyBorder="1" applyAlignment="1">
      <alignment horizontal="center" vertical="center" wrapText="1"/>
    </xf>
    <xf numFmtId="3" fontId="42" fillId="30" borderId="50" xfId="145" applyNumberFormat="1" applyFont="1" applyFill="1" applyBorder="1" applyAlignment="1">
      <alignment horizontal="right" vertical="center" wrapText="1"/>
    </xf>
    <xf numFmtId="3" fontId="42" fillId="30" borderId="43" xfId="145" applyNumberFormat="1" applyFont="1" applyFill="1" applyBorder="1" applyAlignment="1">
      <alignment horizontal="right" vertical="center" wrapText="1"/>
    </xf>
    <xf numFmtId="3" fontId="42" fillId="30" borderId="20" xfId="145" applyNumberFormat="1" applyFont="1" applyFill="1" applyBorder="1" applyAlignment="1">
      <alignment horizontal="right" vertical="center" wrapText="1"/>
    </xf>
    <xf numFmtId="3" fontId="73" fillId="39" borderId="37" xfId="145" applyNumberFormat="1" applyFont="1" applyFill="1" applyBorder="1" applyAlignment="1">
      <alignment horizontal="right" vertical="center" wrapText="1"/>
    </xf>
    <xf numFmtId="170" fontId="75" fillId="30" borderId="25" xfId="0" applyNumberFormat="1" applyFont="1" applyFill="1" applyBorder="1" applyAlignment="1">
      <alignment horizontal="center" vertical="center" wrapText="1"/>
    </xf>
    <xf numFmtId="0" fontId="75" fillId="0" borderId="0" xfId="0" applyFont="1" applyFill="1" applyBorder="1" applyAlignment="1">
      <alignment horizontal="center" vertical="center" wrapText="1"/>
    </xf>
    <xf numFmtId="3" fontId="42" fillId="0" borderId="0" xfId="0" applyNumberFormat="1" applyFont="1" applyFill="1" applyBorder="1" applyAlignment="1">
      <alignment horizontal="center" vertical="center"/>
    </xf>
    <xf numFmtId="170" fontId="42" fillId="0" borderId="0" xfId="0" applyNumberFormat="1" applyFont="1" applyFill="1" applyBorder="1" applyAlignment="1">
      <alignment horizontal="center" vertical="center"/>
    </xf>
    <xf numFmtId="170" fontId="2" fillId="0" borderId="0" xfId="0" applyNumberFormat="1" applyFont="1" applyFill="1" applyBorder="1" applyAlignment="1">
      <alignment horizontal="center" vertical="center"/>
    </xf>
    <xf numFmtId="3" fontId="2" fillId="0" borderId="88" xfId="0" applyNumberFormat="1" applyFont="1" applyBorder="1" applyAlignment="1">
      <alignment horizontal="center" vertical="center" wrapText="1"/>
    </xf>
    <xf numFmtId="0" fontId="42" fillId="0" borderId="88" xfId="0" applyFont="1" applyBorder="1" applyAlignment="1">
      <alignment vertical="top" wrapText="1"/>
    </xf>
    <xf numFmtId="0" fontId="53" fillId="0" borderId="0" xfId="0" applyFont="1" applyAlignment="1">
      <alignment wrapText="1"/>
    </xf>
    <xf numFmtId="0" fontId="42" fillId="0" borderId="88" xfId="0" applyFont="1" applyBorder="1" applyAlignment="1">
      <alignment vertical="center" wrapText="1"/>
    </xf>
    <xf numFmtId="0" fontId="68" fillId="54" borderId="16" xfId="159" applyFont="1" applyFill="1" applyBorder="1" applyAlignment="1" applyProtection="1">
      <alignment horizontal="center" vertical="center"/>
      <protection locked="0"/>
    </xf>
    <xf numFmtId="0" fontId="65" fillId="51" borderId="62" xfId="159" applyFont="1" applyFill="1" applyBorder="1" applyAlignment="1" applyProtection="1">
      <alignment horizontal="center" vertical="center"/>
      <protection locked="0"/>
    </xf>
    <xf numFmtId="0" fontId="65" fillId="51" borderId="58" xfId="159" applyFont="1" applyFill="1" applyBorder="1" applyAlignment="1" applyProtection="1">
      <alignment horizontal="center" vertical="center"/>
      <protection locked="0"/>
    </xf>
    <xf numFmtId="0" fontId="65" fillId="51" borderId="24" xfId="159" applyFont="1" applyFill="1" applyBorder="1" applyAlignment="1" applyProtection="1">
      <alignment horizontal="center" vertical="center"/>
      <protection locked="0"/>
    </xf>
    <xf numFmtId="0" fontId="68" fillId="28" borderId="34" xfId="0" applyFont="1" applyFill="1" applyBorder="1" applyAlignment="1" applyProtection="1">
      <alignment horizontal="left" vertical="center" wrapText="1" indent="1"/>
      <protection locked="0"/>
    </xf>
    <xf numFmtId="0" fontId="68" fillId="28" borderId="14" xfId="0" applyFont="1" applyFill="1" applyBorder="1" applyAlignment="1" applyProtection="1">
      <alignment horizontal="left" vertical="center" wrapText="1" indent="1"/>
      <protection locked="0"/>
    </xf>
    <xf numFmtId="0" fontId="68" fillId="28" borderId="59" xfId="0" applyFont="1" applyFill="1" applyBorder="1" applyAlignment="1" applyProtection="1">
      <alignment horizontal="left" vertical="center" wrapText="1" indent="1"/>
      <protection locked="0"/>
    </xf>
    <xf numFmtId="0" fontId="68" fillId="42" borderId="34" xfId="0" applyFont="1" applyFill="1" applyBorder="1" applyAlignment="1" applyProtection="1">
      <alignment horizontal="left" vertical="center" wrapText="1" indent="1"/>
      <protection locked="0"/>
    </xf>
    <xf numFmtId="0" fontId="65" fillId="51" borderId="25" xfId="159" applyFont="1" applyFill="1" applyBorder="1" applyAlignment="1" applyProtection="1">
      <alignment horizontal="center" vertical="center"/>
      <protection locked="0"/>
    </xf>
    <xf numFmtId="0" fontId="65" fillId="51" borderId="27" xfId="159" applyFont="1" applyFill="1" applyBorder="1" applyAlignment="1" applyProtection="1">
      <alignment horizontal="center" vertical="center"/>
      <protection locked="0"/>
    </xf>
    <xf numFmtId="0" fontId="25" fillId="48" borderId="25" xfId="0" applyFont="1" applyFill="1" applyBorder="1" applyAlignment="1">
      <alignment horizontal="center" vertical="center"/>
    </xf>
    <xf numFmtId="0" fontId="25" fillId="48" borderId="27" xfId="0" applyFont="1" applyFill="1" applyBorder="1" applyAlignment="1">
      <alignment horizontal="center" vertical="center"/>
    </xf>
    <xf numFmtId="0" fontId="68" fillId="42" borderId="34" xfId="159" applyFont="1" applyFill="1" applyBorder="1" applyAlignment="1" applyProtection="1">
      <alignment horizontal="left" vertical="center" wrapText="1"/>
      <protection locked="0"/>
    </xf>
    <xf numFmtId="0" fontId="68" fillId="54" borderId="25" xfId="159" applyFont="1" applyFill="1" applyBorder="1" applyAlignment="1" applyProtection="1">
      <alignment horizontal="center" vertical="center"/>
      <protection locked="0"/>
    </xf>
    <xf numFmtId="0" fontId="68" fillId="54" borderId="25" xfId="159" applyFont="1" applyFill="1" applyBorder="1" applyAlignment="1" applyProtection="1">
      <alignment horizontal="center" vertical="center" wrapText="1"/>
      <protection locked="0"/>
    </xf>
    <xf numFmtId="0" fontId="68" fillId="42" borderId="34" xfId="159" applyFont="1" applyFill="1" applyBorder="1" applyAlignment="1" applyProtection="1">
      <alignment horizontal="left" vertical="center" wrapText="1" indent="1"/>
      <protection locked="0"/>
    </xf>
    <xf numFmtId="0" fontId="68" fillId="28" borderId="14" xfId="0" applyFont="1" applyFill="1" applyBorder="1" applyAlignment="1" applyProtection="1">
      <alignment horizontal="left" vertical="center" wrapText="1"/>
      <protection locked="0"/>
    </xf>
    <xf numFmtId="0" fontId="68" fillId="28" borderId="63" xfId="0" applyFont="1" applyFill="1" applyBorder="1" applyAlignment="1" applyProtection="1">
      <alignment horizontal="left" vertical="center" wrapText="1"/>
      <protection locked="0"/>
    </xf>
    <xf numFmtId="0" fontId="68" fillId="28" borderId="59" xfId="0" applyFont="1" applyFill="1" applyBorder="1" applyAlignment="1" applyProtection="1">
      <alignment horizontal="left" vertical="center" wrapText="1"/>
      <protection locked="0"/>
    </xf>
    <xf numFmtId="0" fontId="68" fillId="42" borderId="14" xfId="0" applyFont="1" applyFill="1" applyBorder="1" applyAlignment="1" applyProtection="1">
      <alignment horizontal="left" vertical="center" wrapText="1"/>
      <protection locked="0"/>
    </xf>
    <xf numFmtId="0" fontId="68" fillId="42" borderId="63" xfId="0" applyFont="1" applyFill="1" applyBorder="1" applyAlignment="1" applyProtection="1">
      <alignment horizontal="left" vertical="center" wrapText="1"/>
      <protection locked="0"/>
    </xf>
    <xf numFmtId="0" fontId="68" fillId="42" borderId="59" xfId="0" applyFont="1" applyFill="1" applyBorder="1" applyAlignment="1" applyProtection="1">
      <alignment horizontal="left" vertical="center" wrapText="1"/>
      <protection locked="0"/>
    </xf>
    <xf numFmtId="0" fontId="68" fillId="42" borderId="59" xfId="0" applyFont="1" applyFill="1" applyBorder="1" applyAlignment="1" applyProtection="1">
      <alignment horizontal="left" vertical="center" wrapText="1" indent="1"/>
      <protection locked="0"/>
    </xf>
    <xf numFmtId="0" fontId="68" fillId="42" borderId="14" xfId="0" applyFont="1" applyFill="1" applyBorder="1" applyAlignment="1" applyProtection="1">
      <alignment horizontal="left" vertical="center" wrapText="1" indent="1"/>
      <protection locked="0"/>
    </xf>
    <xf numFmtId="0" fontId="68" fillId="28" borderId="34" xfId="159" applyFont="1" applyFill="1" applyBorder="1" applyAlignment="1" applyProtection="1">
      <alignment horizontal="left" vertical="center" wrapText="1" indent="1"/>
      <protection locked="0"/>
    </xf>
    <xf numFmtId="0" fontId="68" fillId="28" borderId="64" xfId="0" applyFont="1" applyFill="1" applyBorder="1" applyAlignment="1" applyProtection="1">
      <alignment horizontal="left" vertical="center" wrapText="1" indent="1"/>
      <protection locked="0"/>
    </xf>
    <xf numFmtId="0" fontId="68" fillId="28" borderId="63" xfId="0" applyFont="1" applyFill="1" applyBorder="1" applyAlignment="1" applyProtection="1">
      <alignment horizontal="left" vertical="center" wrapText="1" indent="1"/>
      <protection locked="0"/>
    </xf>
    <xf numFmtId="0" fontId="71" fillId="0" borderId="0" xfId="145" applyFont="1" applyFill="1" applyAlignment="1">
      <alignment horizontal="center" vertical="center" wrapText="1"/>
    </xf>
    <xf numFmtId="0" fontId="90" fillId="0" borderId="0" xfId="145" applyFont="1" applyFill="1" applyAlignment="1">
      <alignment horizontal="center" vertical="center"/>
    </xf>
    <xf numFmtId="0" fontId="39" fillId="59" borderId="42" xfId="145" applyFont="1" applyFill="1" applyBorder="1" applyAlignment="1">
      <alignment horizontal="right" vertical="center" wrapText="1"/>
    </xf>
    <xf numFmtId="0" fontId="39" fillId="59" borderId="0" xfId="145" applyFont="1" applyFill="1" applyBorder="1" applyAlignment="1">
      <alignment horizontal="right" vertical="center" wrapText="1"/>
    </xf>
    <xf numFmtId="0" fontId="39" fillId="59" borderId="56" xfId="145" applyFont="1" applyFill="1" applyBorder="1" applyAlignment="1">
      <alignment horizontal="right" vertical="center" wrapText="1"/>
    </xf>
    <xf numFmtId="0" fontId="39" fillId="59" borderId="38" xfId="145" applyFont="1" applyFill="1" applyBorder="1" applyAlignment="1">
      <alignment horizontal="right" vertical="center" wrapText="1"/>
    </xf>
    <xf numFmtId="0" fontId="77" fillId="43" borderId="42" xfId="145" applyFont="1" applyFill="1" applyBorder="1" applyAlignment="1">
      <alignment horizontal="center" vertical="center" wrapText="1"/>
    </xf>
    <xf numFmtId="0" fontId="77" fillId="57" borderId="0" xfId="145" applyFont="1" applyFill="1" applyBorder="1" applyAlignment="1">
      <alignment horizontal="center" vertical="center" wrapText="1"/>
    </xf>
    <xf numFmtId="0" fontId="77" fillId="58" borderId="0" xfId="145" applyFont="1" applyFill="1" applyBorder="1" applyAlignment="1">
      <alignment horizontal="center" vertical="center" wrapText="1"/>
    </xf>
    <xf numFmtId="0" fontId="81" fillId="0" borderId="0" xfId="145" applyFont="1" applyFill="1" applyBorder="1" applyAlignment="1">
      <alignment horizontal="right" vertical="center" wrapText="1"/>
    </xf>
    <xf numFmtId="0" fontId="39" fillId="59" borderId="44" xfId="145" applyFont="1" applyFill="1" applyBorder="1" applyAlignment="1">
      <alignment horizontal="right" vertical="center" wrapText="1"/>
    </xf>
    <xf numFmtId="0" fontId="39" fillId="59" borderId="37" xfId="145" applyFont="1" applyFill="1" applyBorder="1" applyAlignment="1">
      <alignment horizontal="right" vertical="center" wrapText="1"/>
    </xf>
    <xf numFmtId="3" fontId="73" fillId="40" borderId="74" xfId="145" applyNumberFormat="1" applyFont="1" applyFill="1" applyBorder="1" applyAlignment="1">
      <alignment horizontal="left" vertical="center" wrapText="1" indent="1"/>
    </xf>
    <xf numFmtId="3" fontId="73" fillId="40" borderId="55" xfId="145" applyNumberFormat="1" applyFont="1" applyFill="1" applyBorder="1" applyAlignment="1">
      <alignment horizontal="left" vertical="center" wrapText="1" indent="1"/>
    </xf>
    <xf numFmtId="0" fontId="77" fillId="56" borderId="44" xfId="145" applyFont="1" applyFill="1" applyBorder="1" applyAlignment="1">
      <alignment horizontal="center" vertical="center" wrapText="1"/>
    </xf>
    <xf numFmtId="0" fontId="77" fillId="56" borderId="42" xfId="145" applyFont="1" applyFill="1" applyBorder="1" applyAlignment="1">
      <alignment horizontal="center" vertical="center" wrapText="1"/>
    </xf>
    <xf numFmtId="0" fontId="77" fillId="56" borderId="42" xfId="145" applyFont="1" applyFill="1" applyBorder="1" applyAlignment="1">
      <alignment vertical="center" wrapText="1"/>
    </xf>
    <xf numFmtId="0" fontId="77" fillId="56" borderId="56" xfId="145" applyFont="1" applyFill="1" applyBorder="1" applyAlignment="1">
      <alignment vertical="center" wrapText="1"/>
    </xf>
    <xf numFmtId="0" fontId="72" fillId="0" borderId="0" xfId="145" applyFont="1" applyAlignment="1">
      <alignment horizontal="left" vertical="center" wrapText="1" indent="2"/>
    </xf>
    <xf numFmtId="0" fontId="67" fillId="24" borderId="25" xfId="151" applyFont="1" applyFill="1" applyBorder="1" applyAlignment="1">
      <alignment horizontal="center" vertical="center"/>
    </xf>
    <xf numFmtId="0" fontId="67" fillId="24" borderId="25" xfId="151" applyFont="1" applyFill="1" applyBorder="1" applyAlignment="1">
      <alignment horizontal="center" vertical="center" wrapText="1"/>
    </xf>
    <xf numFmtId="0" fontId="67" fillId="24" borderId="15" xfId="151" applyFont="1" applyFill="1" applyBorder="1" applyAlignment="1">
      <alignment horizontal="center" vertical="center" wrapText="1"/>
    </xf>
    <xf numFmtId="0" fontId="67" fillId="24" borderId="34" xfId="151" applyFont="1" applyFill="1" applyBorder="1" applyAlignment="1">
      <alignment horizontal="center" vertical="center" wrapText="1"/>
    </xf>
    <xf numFmtId="0" fontId="67" fillId="24" borderId="14" xfId="151" applyFont="1" applyFill="1" applyBorder="1" applyAlignment="1">
      <alignment horizontal="center" vertical="center" wrapText="1"/>
    </xf>
    <xf numFmtId="0" fontId="66" fillId="0" borderId="17" xfId="151" applyFont="1" applyBorder="1" applyAlignment="1">
      <alignment horizontal="left" vertical="center" wrapText="1"/>
    </xf>
    <xf numFmtId="0" fontId="66" fillId="0" borderId="61" xfId="151" applyFont="1" applyBorder="1" applyAlignment="1">
      <alignment horizontal="left" vertical="center" wrapText="1"/>
    </xf>
    <xf numFmtId="0" fontId="67" fillId="24" borderId="27" xfId="151" applyFont="1" applyFill="1" applyBorder="1" applyAlignment="1">
      <alignment horizontal="center" vertical="center" wrapText="1"/>
    </xf>
    <xf numFmtId="0" fontId="67" fillId="24" borderId="30" xfId="151" applyFont="1" applyFill="1" applyBorder="1" applyAlignment="1">
      <alignment horizontal="center" vertical="center" wrapText="1"/>
    </xf>
    <xf numFmtId="0" fontId="66" fillId="0" borderId="17" xfId="151" applyFont="1" applyBorder="1" applyAlignment="1">
      <alignment horizontal="center" vertical="center" wrapText="1"/>
    </xf>
    <xf numFmtId="0" fontId="66" fillId="0" borderId="55" xfId="151" applyFont="1" applyBorder="1" applyAlignment="1">
      <alignment horizontal="center" vertical="center" wrapText="1"/>
    </xf>
    <xf numFmtId="0" fontId="66" fillId="0" borderId="61" xfId="151" applyFont="1" applyBorder="1" applyAlignment="1">
      <alignment horizontal="center" vertical="center" wrapText="1"/>
    </xf>
    <xf numFmtId="0" fontId="67" fillId="24" borderId="29" xfId="151" applyFont="1" applyFill="1" applyBorder="1" applyAlignment="1">
      <alignment horizontal="center" vertical="center" wrapText="1"/>
    </xf>
    <xf numFmtId="0" fontId="66" fillId="37" borderId="14" xfId="151" applyFont="1" applyFill="1" applyBorder="1" applyAlignment="1">
      <alignment horizontal="left" vertical="center" wrapText="1"/>
    </xf>
    <xf numFmtId="0" fontId="66" fillId="37" borderId="63" xfId="151" applyFont="1" applyFill="1" applyBorder="1" applyAlignment="1">
      <alignment horizontal="left" vertical="center" wrapText="1"/>
    </xf>
    <xf numFmtId="0" fontId="66" fillId="37" borderId="59" xfId="151" applyFont="1" applyFill="1" applyBorder="1" applyAlignment="1">
      <alignment horizontal="left" vertical="center" wrapText="1"/>
    </xf>
    <xf numFmtId="0" fontId="66" fillId="25" borderId="17" xfId="151" applyFont="1" applyFill="1" applyBorder="1" applyAlignment="1">
      <alignment horizontal="center" vertical="top" wrapText="1"/>
    </xf>
    <xf numFmtId="0" fontId="66" fillId="25" borderId="55" xfId="151" applyFont="1" applyFill="1" applyBorder="1" applyAlignment="1">
      <alignment horizontal="center" vertical="top" wrapText="1"/>
    </xf>
    <xf numFmtId="0" fontId="66" fillId="0" borderId="63" xfId="151" applyFont="1" applyBorder="1" applyAlignment="1">
      <alignment horizontal="center" vertical="center" wrapText="1"/>
    </xf>
    <xf numFmtId="0" fontId="66" fillId="25" borderId="17" xfId="151" applyFont="1" applyFill="1" applyBorder="1" applyAlignment="1">
      <alignment horizontal="left" vertical="center" wrapText="1"/>
    </xf>
    <xf numFmtId="0" fontId="66" fillId="25" borderId="55" xfId="151" applyFont="1" applyFill="1" applyBorder="1" applyAlignment="1">
      <alignment horizontal="left" vertical="center" wrapText="1"/>
    </xf>
    <xf numFmtId="0" fontId="66" fillId="25" borderId="61" xfId="151" applyFont="1" applyFill="1" applyBorder="1" applyAlignment="1">
      <alignment horizontal="left" vertical="center" wrapText="1"/>
    </xf>
    <xf numFmtId="0" fontId="67" fillId="24" borderId="33" xfId="151" applyFont="1" applyFill="1" applyBorder="1" applyAlignment="1">
      <alignment horizontal="center" vertical="center"/>
    </xf>
    <xf numFmtId="0" fontId="67" fillId="24" borderId="49" xfId="151" applyFont="1" applyFill="1" applyBorder="1" applyAlignment="1">
      <alignment horizontal="center" vertical="center"/>
    </xf>
    <xf numFmtId="0" fontId="67" fillId="24" borderId="26" xfId="151" applyFont="1" applyFill="1" applyBorder="1" applyAlignment="1">
      <alignment horizontal="center" vertical="center"/>
    </xf>
    <xf numFmtId="0" fontId="66" fillId="0" borderId="60" xfId="151" applyFont="1" applyBorder="1" applyAlignment="1">
      <alignment horizontal="left" vertical="center" wrapText="1"/>
    </xf>
    <xf numFmtId="0" fontId="66" fillId="0" borderId="71" xfId="151" applyFont="1" applyBorder="1" applyAlignment="1">
      <alignment horizontal="left" vertical="center" wrapText="1"/>
    </xf>
    <xf numFmtId="0" fontId="66" fillId="0" borderId="33" xfId="151" applyFont="1" applyBorder="1" applyAlignment="1">
      <alignment horizontal="left" vertical="center" wrapText="1"/>
    </xf>
    <xf numFmtId="0" fontId="66" fillId="0" borderId="14" xfId="151" applyFont="1" applyBorder="1" applyAlignment="1">
      <alignment horizontal="center" vertical="center" wrapText="1"/>
    </xf>
    <xf numFmtId="0" fontId="67" fillId="24" borderId="65" xfId="151" applyFont="1" applyFill="1" applyBorder="1" applyAlignment="1">
      <alignment horizontal="center" vertical="center" wrapText="1"/>
    </xf>
    <xf numFmtId="0" fontId="67" fillId="24" borderId="66" xfId="151" applyFont="1" applyFill="1" applyBorder="1" applyAlignment="1">
      <alignment horizontal="center" vertical="center" wrapText="1"/>
    </xf>
    <xf numFmtId="0" fontId="67" fillId="24" borderId="21" xfId="151" applyFont="1" applyFill="1" applyBorder="1" applyAlignment="1">
      <alignment horizontal="center" vertical="center" wrapText="1"/>
    </xf>
    <xf numFmtId="0" fontId="82" fillId="24" borderId="33" xfId="151" applyFont="1" applyFill="1" applyBorder="1" applyAlignment="1">
      <alignment horizontal="center" vertical="center" wrapText="1"/>
    </xf>
    <xf numFmtId="0" fontId="82" fillId="24" borderId="26" xfId="151" applyFont="1" applyFill="1" applyBorder="1" applyAlignment="1">
      <alignment horizontal="center" vertical="center" wrapText="1"/>
    </xf>
    <xf numFmtId="0" fontId="67" fillId="24" borderId="28" xfId="151" applyFont="1" applyFill="1" applyBorder="1" applyAlignment="1">
      <alignment horizontal="center" vertical="center" wrapText="1"/>
    </xf>
    <xf numFmtId="0" fontId="44" fillId="25" borderId="11" xfId="139" applyFont="1" applyFill="1" applyBorder="1" applyAlignment="1">
      <alignment horizontal="left" vertical="center" wrapText="1"/>
    </xf>
    <xf numFmtId="0" fontId="44" fillId="25" borderId="38" xfId="139" applyFont="1" applyFill="1" applyBorder="1" applyAlignment="1">
      <alignment horizontal="left" vertical="center" wrapText="1"/>
    </xf>
    <xf numFmtId="0" fontId="44" fillId="25" borderId="67" xfId="139" applyFont="1" applyFill="1" applyBorder="1" applyAlignment="1">
      <alignment horizontal="left" vertical="center" wrapText="1"/>
    </xf>
    <xf numFmtId="0" fontId="83" fillId="24" borderId="21" xfId="151" applyFont="1" applyFill="1" applyBorder="1" applyAlignment="1">
      <alignment horizontal="left" vertical="center" wrapText="1"/>
    </xf>
    <xf numFmtId="0" fontId="83" fillId="24" borderId="22" xfId="151" applyFont="1" applyFill="1" applyBorder="1" applyAlignment="1">
      <alignment horizontal="left" vertical="center" wrapText="1"/>
    </xf>
    <xf numFmtId="0" fontId="83" fillId="24" borderId="39" xfId="151" applyFont="1" applyFill="1" applyBorder="1" applyAlignment="1">
      <alignment horizontal="left" vertical="center" wrapText="1"/>
    </xf>
    <xf numFmtId="0" fontId="66" fillId="0" borderId="55" xfId="151" applyFont="1" applyBorder="1" applyAlignment="1">
      <alignment horizontal="left" vertical="center" wrapText="1"/>
    </xf>
    <xf numFmtId="0" fontId="66" fillId="0" borderId="19" xfId="151" applyFont="1" applyBorder="1" applyAlignment="1">
      <alignment horizontal="left" vertical="center" wrapText="1"/>
    </xf>
    <xf numFmtId="0" fontId="67" fillId="24" borderId="12" xfId="151" applyFont="1" applyFill="1" applyBorder="1" applyAlignment="1">
      <alignment horizontal="center" vertical="center" wrapText="1"/>
    </xf>
    <xf numFmtId="0" fontId="67" fillId="24" borderId="16" xfId="151" applyFont="1" applyFill="1" applyBorder="1" applyAlignment="1">
      <alignment horizontal="center" vertical="center" wrapText="1"/>
    </xf>
    <xf numFmtId="0" fontId="67" fillId="24" borderId="22" xfId="151" applyFont="1" applyFill="1" applyBorder="1" applyAlignment="1">
      <alignment horizontal="center" vertical="center" wrapText="1"/>
    </xf>
    <xf numFmtId="0" fontId="67" fillId="24" borderId="68" xfId="151" applyFont="1" applyFill="1" applyBorder="1" applyAlignment="1">
      <alignment horizontal="center" vertical="center"/>
    </xf>
    <xf numFmtId="0" fontId="67" fillId="24" borderId="69" xfId="151" applyFont="1" applyFill="1" applyBorder="1" applyAlignment="1">
      <alignment horizontal="center" vertical="center"/>
    </xf>
    <xf numFmtId="0" fontId="67" fillId="24" borderId="70" xfId="151" applyFont="1" applyFill="1" applyBorder="1" applyAlignment="1">
      <alignment horizontal="center" vertical="center"/>
    </xf>
    <xf numFmtId="0" fontId="67" fillId="24" borderId="40" xfId="151" applyFont="1" applyFill="1" applyBorder="1" applyAlignment="1">
      <alignment horizontal="center" vertical="center" wrapText="1"/>
    </xf>
    <xf numFmtId="0" fontId="83" fillId="24" borderId="64" xfId="151" applyFont="1" applyFill="1" applyBorder="1" applyAlignment="1">
      <alignment horizontal="left" vertical="center" wrapText="1"/>
    </xf>
    <xf numFmtId="0" fontId="83" fillId="24" borderId="40" xfId="151" applyFont="1" applyFill="1" applyBorder="1" applyAlignment="1">
      <alignment horizontal="left" vertical="center" wrapText="1"/>
    </xf>
    <xf numFmtId="0" fontId="83" fillId="24" borderId="41" xfId="151" applyFont="1" applyFill="1" applyBorder="1" applyAlignment="1">
      <alignment horizontal="left" vertical="center" wrapText="1"/>
    </xf>
    <xf numFmtId="0" fontId="67" fillId="24" borderId="39" xfId="151" applyFont="1" applyFill="1" applyBorder="1" applyAlignment="1">
      <alignment horizontal="center" vertical="center" wrapText="1"/>
    </xf>
    <xf numFmtId="0" fontId="66" fillId="0" borderId="55" xfId="151" quotePrefix="1" applyFont="1" applyBorder="1" applyAlignment="1">
      <alignment horizontal="left" vertical="center" wrapText="1"/>
    </xf>
    <xf numFmtId="0" fontId="66" fillId="0" borderId="61" xfId="151" quotePrefix="1" applyFont="1" applyBorder="1" applyAlignment="1">
      <alignment horizontal="left" vertical="center" wrapText="1"/>
    </xf>
    <xf numFmtId="0" fontId="67" fillId="24" borderId="59" xfId="151" applyFont="1" applyFill="1" applyBorder="1" applyAlignment="1">
      <alignment horizontal="center" vertical="center" wrapText="1"/>
    </xf>
    <xf numFmtId="0" fontId="67" fillId="24" borderId="33" xfId="151" applyFont="1" applyFill="1" applyBorder="1" applyAlignment="1">
      <alignment horizontal="center" vertical="center" wrapText="1"/>
    </xf>
    <xf numFmtId="0" fontId="67" fillId="24" borderId="26" xfId="151" applyFont="1" applyFill="1" applyBorder="1" applyAlignment="1">
      <alignment horizontal="center" vertical="center" wrapText="1"/>
    </xf>
    <xf numFmtId="10" fontId="67" fillId="24" borderId="25" xfId="151" applyNumberFormat="1" applyFont="1" applyFill="1" applyBorder="1" applyAlignment="1">
      <alignment horizontal="center" vertical="center" wrapText="1"/>
    </xf>
    <xf numFmtId="10" fontId="67" fillId="24" borderId="29" xfId="151" applyNumberFormat="1" applyFont="1" applyFill="1" applyBorder="1" applyAlignment="1">
      <alignment horizontal="center" vertical="center" wrapText="1"/>
    </xf>
    <xf numFmtId="0" fontId="66" fillId="37" borderId="17" xfId="151" applyFont="1" applyFill="1" applyBorder="1" applyAlignment="1">
      <alignment horizontal="center" vertical="center" wrapText="1"/>
    </xf>
    <xf numFmtId="0" fontId="66" fillId="37" borderId="55" xfId="151" applyFont="1" applyFill="1" applyBorder="1" applyAlignment="1">
      <alignment horizontal="center" vertical="center" wrapText="1"/>
    </xf>
    <xf numFmtId="0" fontId="66" fillId="37" borderId="61" xfId="151" applyFont="1" applyFill="1" applyBorder="1" applyAlignment="1">
      <alignment horizontal="center" vertical="center" wrapText="1"/>
    </xf>
    <xf numFmtId="0" fontId="84" fillId="35" borderId="42" xfId="173" applyFont="1" applyFill="1" applyBorder="1" applyAlignment="1">
      <alignment vertical="center" wrapText="1"/>
    </xf>
    <xf numFmtId="0" fontId="85" fillId="0" borderId="0" xfId="173" applyFont="1" applyAlignment="1">
      <alignment horizontal="center" wrapText="1"/>
    </xf>
    <xf numFmtId="0" fontId="84" fillId="0" borderId="0" xfId="173" applyFont="1" applyAlignment="1">
      <alignment horizontal="center" wrapText="1"/>
    </xf>
    <xf numFmtId="0" fontId="0" fillId="0" borderId="0" xfId="0" applyAlignment="1">
      <alignment horizontal="center" wrapText="1"/>
    </xf>
    <xf numFmtId="0" fontId="85" fillId="0" borderId="43" xfId="173" applyFont="1" applyBorder="1" applyAlignment="1">
      <alignment horizontal="center" wrapText="1"/>
    </xf>
    <xf numFmtId="0" fontId="84" fillId="0" borderId="43" xfId="173" applyFont="1" applyBorder="1" applyAlignment="1">
      <alignment horizontal="center" wrapText="1"/>
    </xf>
    <xf numFmtId="0" fontId="46" fillId="27" borderId="74" xfId="173" applyFont="1" applyFill="1" applyBorder="1" applyAlignment="1">
      <alignment horizontal="center" vertical="center" wrapText="1"/>
    </xf>
    <xf numFmtId="0" fontId="46" fillId="27" borderId="50" xfId="173" applyFont="1" applyFill="1" applyBorder="1" applyAlignment="1">
      <alignment horizontal="center" vertical="center" wrapText="1"/>
    </xf>
    <xf numFmtId="0" fontId="46" fillId="27" borderId="44" xfId="173" applyFont="1" applyFill="1" applyBorder="1" applyAlignment="1">
      <alignment horizontal="center" vertical="center" wrapText="1"/>
    </xf>
    <xf numFmtId="0" fontId="46" fillId="27" borderId="42" xfId="173" applyFont="1" applyFill="1" applyBorder="1" applyAlignment="1">
      <alignment horizontal="center" vertical="center" wrapText="1"/>
    </xf>
    <xf numFmtId="0" fontId="46" fillId="27" borderId="20" xfId="173" applyFont="1" applyFill="1" applyBorder="1" applyAlignment="1">
      <alignment horizontal="center" vertical="center" wrapText="1"/>
    </xf>
    <xf numFmtId="0" fontId="46" fillId="27" borderId="19" xfId="173" applyFont="1" applyFill="1" applyBorder="1" applyAlignment="1">
      <alignment horizontal="center" vertical="center" wrapText="1"/>
    </xf>
    <xf numFmtId="0" fontId="4" fillId="24" borderId="27" xfId="151" applyFill="1" applyBorder="1" applyAlignment="1">
      <alignment horizontal="center" vertical="center" wrapText="1"/>
    </xf>
    <xf numFmtId="0" fontId="4" fillId="24" borderId="34" xfId="151" applyFill="1" applyBorder="1" applyAlignment="1">
      <alignment horizontal="center" vertical="center" wrapText="1"/>
    </xf>
    <xf numFmtId="0" fontId="4" fillId="24" borderId="25" xfId="151" applyFill="1" applyBorder="1" applyAlignment="1">
      <alignment horizontal="center" vertical="center" wrapText="1"/>
    </xf>
    <xf numFmtId="0" fontId="4" fillId="25" borderId="12" xfId="151" applyFill="1" applyBorder="1" applyAlignment="1">
      <alignment horizontal="left" vertical="center" wrapText="1"/>
    </xf>
    <xf numFmtId="0" fontId="4" fillId="25" borderId="48" xfId="151" applyFill="1" applyBorder="1" applyAlignment="1">
      <alignment horizontal="left" vertical="center" wrapText="1"/>
    </xf>
    <xf numFmtId="0" fontId="4" fillId="25" borderId="72" xfId="151" applyFill="1" applyBorder="1" applyAlignment="1">
      <alignment horizontal="left" vertical="center" wrapText="1"/>
    </xf>
    <xf numFmtId="0" fontId="4" fillId="25" borderId="11" xfId="151" applyFill="1" applyBorder="1" applyAlignment="1">
      <alignment horizontal="left" vertical="center" wrapText="1"/>
    </xf>
    <xf numFmtId="0" fontId="4" fillId="25" borderId="38" xfId="151" applyFill="1" applyBorder="1" applyAlignment="1">
      <alignment horizontal="left" vertical="center" wrapText="1"/>
    </xf>
    <xf numFmtId="0" fontId="4" fillId="25" borderId="67" xfId="151" applyFill="1" applyBorder="1" applyAlignment="1">
      <alignment horizontal="left" vertical="center" wrapText="1"/>
    </xf>
    <xf numFmtId="0" fontId="23" fillId="24" borderId="21" xfId="151" applyFont="1" applyFill="1" applyBorder="1" applyAlignment="1">
      <alignment horizontal="left" vertical="center" wrapText="1"/>
    </xf>
    <xf numFmtId="0" fontId="23" fillId="24" borderId="22" xfId="151" applyFont="1" applyFill="1" applyBorder="1" applyAlignment="1">
      <alignment horizontal="left" vertical="center" wrapText="1"/>
    </xf>
    <xf numFmtId="0" fontId="23" fillId="24" borderId="39" xfId="151" applyFont="1" applyFill="1" applyBorder="1" applyAlignment="1">
      <alignment horizontal="left" vertical="center" wrapText="1"/>
    </xf>
    <xf numFmtId="0" fontId="4" fillId="24" borderId="14" xfId="151" applyFill="1" applyBorder="1" applyAlignment="1">
      <alignment horizontal="center" vertical="center" wrapText="1"/>
    </xf>
    <xf numFmtId="0" fontId="4" fillId="24" borderId="59" xfId="151" applyFill="1" applyBorder="1" applyAlignment="1">
      <alignment horizontal="center" vertical="center" wrapText="1"/>
    </xf>
    <xf numFmtId="0" fontId="4" fillId="24" borderId="25" xfId="151" applyFill="1" applyBorder="1" applyAlignment="1">
      <alignment horizontal="center" vertical="center"/>
    </xf>
    <xf numFmtId="0" fontId="4" fillId="24" borderId="33" xfId="151" applyFill="1" applyBorder="1" applyAlignment="1">
      <alignment horizontal="center" vertical="center" wrapText="1"/>
    </xf>
    <xf numFmtId="0" fontId="4" fillId="24" borderId="26" xfId="151" applyFill="1" applyBorder="1" applyAlignment="1">
      <alignment horizontal="center" vertical="center" wrapText="1"/>
    </xf>
    <xf numFmtId="0" fontId="4" fillId="24" borderId="34" xfId="151" applyFill="1" applyBorder="1" applyAlignment="1">
      <alignment horizontal="left" vertical="center" wrapText="1"/>
    </xf>
    <xf numFmtId="10" fontId="4" fillId="24" borderId="25" xfId="151" applyNumberFormat="1" applyFill="1" applyBorder="1" applyAlignment="1">
      <alignment horizontal="center" vertical="center" wrapText="1"/>
    </xf>
    <xf numFmtId="0" fontId="4" fillId="25" borderId="12" xfId="151" applyFill="1" applyBorder="1" applyAlignment="1">
      <alignment horizontal="center" vertical="center" wrapText="1"/>
    </xf>
    <xf numFmtId="0" fontId="4" fillId="25" borderId="72" xfId="151" applyFill="1" applyBorder="1" applyAlignment="1">
      <alignment horizontal="center" vertical="center" wrapText="1"/>
    </xf>
    <xf numFmtId="0" fontId="4" fillId="25" borderId="48" xfId="151" applyFill="1" applyBorder="1" applyAlignment="1">
      <alignment horizontal="center" vertical="center" wrapText="1"/>
    </xf>
    <xf numFmtId="0" fontId="59" fillId="36" borderId="0" xfId="149" applyFont="1" applyFill="1" applyAlignment="1">
      <alignment horizontal="center" vertical="center" wrapText="1"/>
    </xf>
    <xf numFmtId="0" fontId="57" fillId="34" borderId="25" xfId="149" applyFont="1" applyFill="1" applyBorder="1" applyAlignment="1">
      <alignment horizontal="center" vertical="center"/>
    </xf>
    <xf numFmtId="0" fontId="59" fillId="36" borderId="0" xfId="149" applyFont="1" applyFill="1" applyAlignment="1">
      <alignment horizontal="center" vertical="center"/>
    </xf>
    <xf numFmtId="0" fontId="57" fillId="36" borderId="0" xfId="149" applyFont="1" applyFill="1" applyAlignment="1">
      <alignment horizontal="center" vertical="center" wrapText="1"/>
    </xf>
    <xf numFmtId="0" fontId="57" fillId="33" borderId="33" xfId="149" applyFont="1" applyFill="1" applyBorder="1" applyAlignment="1">
      <alignment horizontal="center"/>
    </xf>
    <xf numFmtId="0" fontId="57" fillId="33" borderId="49" xfId="149" applyFont="1" applyFill="1" applyBorder="1" applyAlignment="1">
      <alignment horizontal="center"/>
    </xf>
    <xf numFmtId="0" fontId="57" fillId="33" borderId="26" xfId="149" applyFont="1" applyFill="1" applyBorder="1" applyAlignment="1">
      <alignment horizontal="center"/>
    </xf>
    <xf numFmtId="0" fontId="57" fillId="33" borderId="25" xfId="149" applyFont="1" applyFill="1" applyBorder="1" applyAlignment="1">
      <alignment horizontal="center" vertical="center"/>
    </xf>
    <xf numFmtId="0" fontId="57" fillId="30" borderId="45" xfId="149" applyFont="1" applyFill="1" applyBorder="1" applyAlignment="1">
      <alignment horizontal="center" vertical="center"/>
    </xf>
    <xf numFmtId="0" fontId="57" fillId="30" borderId="10" xfId="149" applyFont="1" applyFill="1" applyBorder="1" applyAlignment="1">
      <alignment horizontal="center" vertical="center"/>
    </xf>
    <xf numFmtId="0" fontId="57" fillId="30" borderId="46" xfId="149" applyFont="1" applyFill="1" applyBorder="1" applyAlignment="1">
      <alignment horizontal="center" vertical="center"/>
    </xf>
    <xf numFmtId="0" fontId="57" fillId="30" borderId="75" xfId="149" applyFont="1" applyFill="1" applyBorder="1" applyAlignment="1">
      <alignment horizontal="center" vertical="center"/>
    </xf>
    <xf numFmtId="0" fontId="57" fillId="30" borderId="0" xfId="149" applyFont="1" applyFill="1" applyAlignment="1">
      <alignment horizontal="center" vertical="center"/>
    </xf>
    <xf numFmtId="0" fontId="57" fillId="30" borderId="73" xfId="149" applyFont="1" applyFill="1" applyBorder="1" applyAlignment="1">
      <alignment horizontal="center" vertical="center"/>
    </xf>
    <xf numFmtId="0" fontId="57" fillId="30" borderId="13" xfId="149" applyFont="1" applyFill="1" applyBorder="1" applyAlignment="1">
      <alignment horizontal="center" vertical="center"/>
    </xf>
    <xf numFmtId="0" fontId="57" fillId="30" borderId="76" xfId="149" applyFont="1" applyFill="1" applyBorder="1" applyAlignment="1">
      <alignment horizontal="center" vertical="center"/>
    </xf>
    <xf numFmtId="0" fontId="57" fillId="30" borderId="77" xfId="149" applyFont="1" applyFill="1" applyBorder="1" applyAlignment="1">
      <alignment horizontal="center" vertical="center"/>
    </xf>
    <xf numFmtId="0" fontId="57" fillId="60" borderId="0" xfId="149" applyFont="1" applyFill="1" applyAlignment="1">
      <alignment horizontal="center"/>
    </xf>
    <xf numFmtId="0" fontId="56" fillId="0" borderId="33" xfId="149" applyFont="1" applyBorder="1" applyAlignment="1">
      <alignment horizontal="center"/>
    </xf>
    <xf numFmtId="0" fontId="56" fillId="0" borderId="49" xfId="149" applyFont="1" applyBorder="1" applyAlignment="1">
      <alignment horizontal="center"/>
    </xf>
    <xf numFmtId="0" fontId="56" fillId="0" borderId="26" xfId="149" applyFont="1" applyBorder="1" applyAlignment="1">
      <alignment horizontal="center"/>
    </xf>
    <xf numFmtId="0" fontId="60" fillId="60" borderId="0" xfId="149" applyFont="1" applyFill="1" applyAlignment="1">
      <alignment horizontal="center"/>
    </xf>
    <xf numFmtId="0" fontId="57" fillId="31" borderId="0" xfId="149" applyFont="1" applyFill="1" applyAlignment="1">
      <alignment horizontal="center" vertical="center" wrapText="1"/>
    </xf>
    <xf numFmtId="0" fontId="57" fillId="61" borderId="0" xfId="149" applyFont="1" applyFill="1" applyAlignment="1">
      <alignment horizontal="center" wrapText="1"/>
    </xf>
    <xf numFmtId="0" fontId="57" fillId="33" borderId="15" xfId="149" applyFont="1" applyFill="1" applyBorder="1" applyAlignment="1">
      <alignment horizontal="center" vertical="center"/>
    </xf>
    <xf numFmtId="0" fontId="57" fillId="33" borderId="16" xfId="149" applyFont="1" applyFill="1" applyBorder="1" applyAlignment="1">
      <alignment horizontal="center" vertical="center"/>
    </xf>
    <xf numFmtId="0" fontId="57" fillId="47" borderId="25" xfId="149" applyFont="1" applyFill="1" applyBorder="1" applyAlignment="1">
      <alignment horizontal="center" vertical="center" wrapText="1"/>
    </xf>
    <xf numFmtId="0" fontId="57" fillId="0" borderId="33" xfId="149" applyFont="1" applyBorder="1" applyAlignment="1">
      <alignment horizontal="center" vertical="center"/>
    </xf>
    <xf numFmtId="0" fontId="57" fillId="0" borderId="49" xfId="149" applyFont="1" applyBorder="1" applyAlignment="1">
      <alignment horizontal="center" vertical="center"/>
    </xf>
    <xf numFmtId="0" fontId="57" fillId="0" borderId="26" xfId="149" applyFont="1" applyBorder="1" applyAlignment="1">
      <alignment horizontal="center" vertical="center"/>
    </xf>
    <xf numFmtId="0" fontId="86" fillId="36" borderId="0" xfId="149" applyFont="1" applyFill="1" applyAlignment="1">
      <alignment horizontal="center" vertical="center"/>
    </xf>
    <xf numFmtId="0" fontId="59" fillId="60" borderId="0" xfId="149" applyFont="1" applyFill="1" applyAlignment="1">
      <alignment horizontal="center" vertical="center"/>
    </xf>
    <xf numFmtId="168" fontId="0" fillId="0" borderId="0" xfId="85" applyNumberFormat="1" applyFont="1" applyAlignment="1">
      <alignment wrapText="1"/>
    </xf>
    <xf numFmtId="10" fontId="0" fillId="0" borderId="0" xfId="201" applyNumberFormat="1" applyFont="1" applyAlignment="1">
      <alignment wrapText="1"/>
    </xf>
    <xf numFmtId="168" fontId="0" fillId="0" borderId="0" xfId="0" applyNumberFormat="1" applyAlignment="1">
      <alignment wrapText="1"/>
    </xf>
  </cellXfs>
  <cellStyles count="219">
    <cellStyle name="20% - Accent1 2" xfId="1" xr:uid="{00000000-0005-0000-0000-000000000000}"/>
    <cellStyle name="20% - Accent1 3" xfId="2" xr:uid="{00000000-0005-0000-0000-000001000000}"/>
    <cellStyle name="20% - Accent1 4" xfId="3" xr:uid="{00000000-0005-0000-0000-000002000000}"/>
    <cellStyle name="20% - Accent2 2" xfId="4" xr:uid="{00000000-0005-0000-0000-000003000000}"/>
    <cellStyle name="20% - Accent2 3" xfId="5" xr:uid="{00000000-0005-0000-0000-000004000000}"/>
    <cellStyle name="20% - Accent2 4" xfId="6" xr:uid="{00000000-0005-0000-0000-000005000000}"/>
    <cellStyle name="20% - Accent3 2" xfId="7" xr:uid="{00000000-0005-0000-0000-000006000000}"/>
    <cellStyle name="20% - Accent3 3" xfId="8" xr:uid="{00000000-0005-0000-0000-000007000000}"/>
    <cellStyle name="20% - Accent3 4" xfId="9" xr:uid="{00000000-0005-0000-0000-000008000000}"/>
    <cellStyle name="20% - Accent4 2" xfId="10" xr:uid="{00000000-0005-0000-0000-000009000000}"/>
    <cellStyle name="20% - Accent4 3" xfId="11" xr:uid="{00000000-0005-0000-0000-00000A000000}"/>
    <cellStyle name="20% - Accent4 4" xfId="12" xr:uid="{00000000-0005-0000-0000-00000B000000}"/>
    <cellStyle name="20% - Accent5 2" xfId="13" xr:uid="{00000000-0005-0000-0000-00000C000000}"/>
    <cellStyle name="20% - Accent5 3" xfId="14" xr:uid="{00000000-0005-0000-0000-00000D000000}"/>
    <cellStyle name="20% - Accent5 4" xfId="15" xr:uid="{00000000-0005-0000-0000-00000E000000}"/>
    <cellStyle name="20% - Accent6 2" xfId="16" xr:uid="{00000000-0005-0000-0000-00000F000000}"/>
    <cellStyle name="20% - Accent6 3" xfId="17" xr:uid="{00000000-0005-0000-0000-000010000000}"/>
    <cellStyle name="20% - Accent6 4" xfId="18" xr:uid="{00000000-0005-0000-0000-000011000000}"/>
    <cellStyle name="40% - Accent1 2" xfId="19" xr:uid="{00000000-0005-0000-0000-000012000000}"/>
    <cellStyle name="40% - Accent1 3" xfId="20" xr:uid="{00000000-0005-0000-0000-000013000000}"/>
    <cellStyle name="40% - Accent1 4" xfId="21" xr:uid="{00000000-0005-0000-0000-000014000000}"/>
    <cellStyle name="40% - Accent2 2" xfId="22" xr:uid="{00000000-0005-0000-0000-000015000000}"/>
    <cellStyle name="40% - Accent2 3" xfId="23" xr:uid="{00000000-0005-0000-0000-000016000000}"/>
    <cellStyle name="40% - Accent2 4" xfId="24" xr:uid="{00000000-0005-0000-0000-000017000000}"/>
    <cellStyle name="40% - Accent3 2" xfId="25" xr:uid="{00000000-0005-0000-0000-000018000000}"/>
    <cellStyle name="40% - Accent3 3" xfId="26" xr:uid="{00000000-0005-0000-0000-000019000000}"/>
    <cellStyle name="40% - Accent3 4" xfId="27" xr:uid="{00000000-0005-0000-0000-00001A000000}"/>
    <cellStyle name="40% - Accent4 2" xfId="28" xr:uid="{00000000-0005-0000-0000-00001B000000}"/>
    <cellStyle name="40% - Accent4 3" xfId="29" xr:uid="{00000000-0005-0000-0000-00001C000000}"/>
    <cellStyle name="40% - Accent4 4" xfId="30" xr:uid="{00000000-0005-0000-0000-00001D000000}"/>
    <cellStyle name="40% - Accent5 2" xfId="31" xr:uid="{00000000-0005-0000-0000-00001E000000}"/>
    <cellStyle name="40% - Accent5 3" xfId="32" xr:uid="{00000000-0005-0000-0000-00001F000000}"/>
    <cellStyle name="40% - Accent5 4" xfId="33" xr:uid="{00000000-0005-0000-0000-000020000000}"/>
    <cellStyle name="40% - Accent6 2" xfId="34" xr:uid="{00000000-0005-0000-0000-000021000000}"/>
    <cellStyle name="40% - Accent6 3" xfId="35" xr:uid="{00000000-0005-0000-0000-000022000000}"/>
    <cellStyle name="40% - Accent6 4" xfId="36" xr:uid="{00000000-0005-0000-0000-000023000000}"/>
    <cellStyle name="60% - Accent1 2" xfId="37" xr:uid="{00000000-0005-0000-0000-000024000000}"/>
    <cellStyle name="60% - Accent1 3" xfId="38" xr:uid="{00000000-0005-0000-0000-000025000000}"/>
    <cellStyle name="60% - Accent1 4" xfId="39" xr:uid="{00000000-0005-0000-0000-000026000000}"/>
    <cellStyle name="60% - Accent2 2" xfId="40" xr:uid="{00000000-0005-0000-0000-000027000000}"/>
    <cellStyle name="60% - Accent2 3" xfId="41" xr:uid="{00000000-0005-0000-0000-000028000000}"/>
    <cellStyle name="60% - Accent2 4" xfId="42" xr:uid="{00000000-0005-0000-0000-000029000000}"/>
    <cellStyle name="60% - Accent3 2" xfId="43" xr:uid="{00000000-0005-0000-0000-00002A000000}"/>
    <cellStyle name="60% - Accent3 3" xfId="44" xr:uid="{00000000-0005-0000-0000-00002B000000}"/>
    <cellStyle name="60% - Accent3 4" xfId="45" xr:uid="{00000000-0005-0000-0000-00002C000000}"/>
    <cellStyle name="60% - Accent4 2" xfId="46" xr:uid="{00000000-0005-0000-0000-00002D000000}"/>
    <cellStyle name="60% - Accent4 3" xfId="47" xr:uid="{00000000-0005-0000-0000-00002E000000}"/>
    <cellStyle name="60% - Accent4 4" xfId="48" xr:uid="{00000000-0005-0000-0000-00002F000000}"/>
    <cellStyle name="60% - Accent5 2" xfId="49" xr:uid="{00000000-0005-0000-0000-000030000000}"/>
    <cellStyle name="60% - Accent5 3" xfId="50" xr:uid="{00000000-0005-0000-0000-000031000000}"/>
    <cellStyle name="60% - Accent5 4" xfId="51" xr:uid="{00000000-0005-0000-0000-000032000000}"/>
    <cellStyle name="60% - Accent6 2" xfId="52" xr:uid="{00000000-0005-0000-0000-000033000000}"/>
    <cellStyle name="60% - Accent6 3" xfId="53" xr:uid="{00000000-0005-0000-0000-000034000000}"/>
    <cellStyle name="60% - Accent6 4" xfId="54" xr:uid="{00000000-0005-0000-0000-000035000000}"/>
    <cellStyle name="Accent1 2" xfId="55" xr:uid="{00000000-0005-0000-0000-000036000000}"/>
    <cellStyle name="Accent1 3" xfId="56" xr:uid="{00000000-0005-0000-0000-000037000000}"/>
    <cellStyle name="Accent1 4" xfId="57" xr:uid="{00000000-0005-0000-0000-000038000000}"/>
    <cellStyle name="Accent2 2" xfId="58" xr:uid="{00000000-0005-0000-0000-000039000000}"/>
    <cellStyle name="Accent2 3" xfId="59" xr:uid="{00000000-0005-0000-0000-00003A000000}"/>
    <cellStyle name="Accent2 4" xfId="60" xr:uid="{00000000-0005-0000-0000-00003B000000}"/>
    <cellStyle name="Accent3 2" xfId="61" xr:uid="{00000000-0005-0000-0000-00003C000000}"/>
    <cellStyle name="Accent3 3" xfId="62" xr:uid="{00000000-0005-0000-0000-00003D000000}"/>
    <cellStyle name="Accent3 4" xfId="63" xr:uid="{00000000-0005-0000-0000-00003E000000}"/>
    <cellStyle name="Accent4 2" xfId="64" xr:uid="{00000000-0005-0000-0000-00003F000000}"/>
    <cellStyle name="Accent4 3" xfId="65" xr:uid="{00000000-0005-0000-0000-000040000000}"/>
    <cellStyle name="Accent4 4" xfId="66" xr:uid="{00000000-0005-0000-0000-000041000000}"/>
    <cellStyle name="Accent5 2" xfId="67" xr:uid="{00000000-0005-0000-0000-000042000000}"/>
    <cellStyle name="Accent5 3" xfId="68" xr:uid="{00000000-0005-0000-0000-000043000000}"/>
    <cellStyle name="Accent5 4" xfId="69" xr:uid="{00000000-0005-0000-0000-000044000000}"/>
    <cellStyle name="Accent6 2" xfId="70" xr:uid="{00000000-0005-0000-0000-000045000000}"/>
    <cellStyle name="Accent6 3" xfId="71" xr:uid="{00000000-0005-0000-0000-000046000000}"/>
    <cellStyle name="Accent6 4" xfId="72" xr:uid="{00000000-0005-0000-0000-000047000000}"/>
    <cellStyle name="Bad 2" xfId="73" xr:uid="{00000000-0005-0000-0000-000048000000}"/>
    <cellStyle name="Bad 3" xfId="74" xr:uid="{00000000-0005-0000-0000-000049000000}"/>
    <cellStyle name="Bad 4" xfId="75" xr:uid="{00000000-0005-0000-0000-00004A000000}"/>
    <cellStyle name="Calculation 2" xfId="76" xr:uid="{00000000-0005-0000-0000-00004B000000}"/>
    <cellStyle name="Calculation 2 2" xfId="77" xr:uid="{00000000-0005-0000-0000-00004C000000}"/>
    <cellStyle name="Calculation 3" xfId="78" xr:uid="{00000000-0005-0000-0000-00004D000000}"/>
    <cellStyle name="Calculation 3 2" xfId="79" xr:uid="{00000000-0005-0000-0000-00004E000000}"/>
    <cellStyle name="Calculation 4" xfId="80" xr:uid="{00000000-0005-0000-0000-00004F000000}"/>
    <cellStyle name="Calculation 4 2" xfId="81" xr:uid="{00000000-0005-0000-0000-000050000000}"/>
    <cellStyle name="Check Cell 2" xfId="82" xr:uid="{00000000-0005-0000-0000-000051000000}"/>
    <cellStyle name="Check Cell 3" xfId="83" xr:uid="{00000000-0005-0000-0000-000052000000}"/>
    <cellStyle name="Check Cell 4" xfId="84" xr:uid="{00000000-0005-0000-0000-000053000000}"/>
    <cellStyle name="Comma" xfId="85" builtinId="3"/>
    <cellStyle name="Comma 2" xfId="86" xr:uid="{00000000-0005-0000-0000-000055000000}"/>
    <cellStyle name="Comma 2 2" xfId="87" xr:uid="{00000000-0005-0000-0000-000056000000}"/>
    <cellStyle name="Comma 2 2 2" xfId="88" xr:uid="{00000000-0005-0000-0000-000057000000}"/>
    <cellStyle name="Comma 2 3" xfId="89" xr:uid="{00000000-0005-0000-0000-000058000000}"/>
    <cellStyle name="Comma 2 3 2" xfId="90" xr:uid="{00000000-0005-0000-0000-000059000000}"/>
    <cellStyle name="Comma 2 4" xfId="91" xr:uid="{00000000-0005-0000-0000-00005A000000}"/>
    <cellStyle name="Comma 2 4 2" xfId="92" xr:uid="{00000000-0005-0000-0000-00005B000000}"/>
    <cellStyle name="Comma 2 5" xfId="93" xr:uid="{00000000-0005-0000-0000-00005C000000}"/>
    <cellStyle name="Comma 3" xfId="94" xr:uid="{00000000-0005-0000-0000-00005D000000}"/>
    <cellStyle name="Comma 3 2" xfId="95" xr:uid="{00000000-0005-0000-0000-00005E000000}"/>
    <cellStyle name="Comma 4" xfId="96" xr:uid="{00000000-0005-0000-0000-00005F000000}"/>
    <cellStyle name="Comma 4 2" xfId="97" xr:uid="{00000000-0005-0000-0000-000060000000}"/>
    <cellStyle name="Comma 5" xfId="98" xr:uid="{00000000-0005-0000-0000-000061000000}"/>
    <cellStyle name="Comma 5 2" xfId="99" xr:uid="{00000000-0005-0000-0000-000062000000}"/>
    <cellStyle name="Explanatory Text 2" xfId="100" xr:uid="{00000000-0005-0000-0000-000063000000}"/>
    <cellStyle name="Explanatory Text 3" xfId="101" xr:uid="{00000000-0005-0000-0000-000064000000}"/>
    <cellStyle name="Explanatory Text 4" xfId="102" xr:uid="{00000000-0005-0000-0000-000065000000}"/>
    <cellStyle name="Good 2" xfId="103" xr:uid="{00000000-0005-0000-0000-000066000000}"/>
    <cellStyle name="Good 3" xfId="104" xr:uid="{00000000-0005-0000-0000-000067000000}"/>
    <cellStyle name="Good 4" xfId="105" xr:uid="{00000000-0005-0000-0000-000068000000}"/>
    <cellStyle name="Heading 1 2" xfId="106" xr:uid="{00000000-0005-0000-0000-000069000000}"/>
    <cellStyle name="Heading 1 3" xfId="107" xr:uid="{00000000-0005-0000-0000-00006A000000}"/>
    <cellStyle name="Heading 1 4" xfId="108" xr:uid="{00000000-0005-0000-0000-00006B000000}"/>
    <cellStyle name="Heading 2 2" xfId="109" xr:uid="{00000000-0005-0000-0000-00006C000000}"/>
    <cellStyle name="Heading 2 3" xfId="110" xr:uid="{00000000-0005-0000-0000-00006D000000}"/>
    <cellStyle name="Heading 2 4" xfId="111" xr:uid="{00000000-0005-0000-0000-00006E000000}"/>
    <cellStyle name="Heading 3 2" xfId="112" xr:uid="{00000000-0005-0000-0000-00006F000000}"/>
    <cellStyle name="Heading 3 2 2" xfId="113" xr:uid="{00000000-0005-0000-0000-000070000000}"/>
    <cellStyle name="Heading 3 2 3" xfId="114" xr:uid="{00000000-0005-0000-0000-000071000000}"/>
    <cellStyle name="Heading 3 3" xfId="115" xr:uid="{00000000-0005-0000-0000-000072000000}"/>
    <cellStyle name="Heading 3 3 2" xfId="116" xr:uid="{00000000-0005-0000-0000-000073000000}"/>
    <cellStyle name="Heading 3 3 3" xfId="117" xr:uid="{00000000-0005-0000-0000-000074000000}"/>
    <cellStyle name="Heading 3 4" xfId="118" xr:uid="{00000000-0005-0000-0000-000075000000}"/>
    <cellStyle name="Heading 3 4 2" xfId="119" xr:uid="{00000000-0005-0000-0000-000076000000}"/>
    <cellStyle name="Heading 3 4 3" xfId="120" xr:uid="{00000000-0005-0000-0000-000077000000}"/>
    <cellStyle name="Heading 4 2" xfId="121" xr:uid="{00000000-0005-0000-0000-000078000000}"/>
    <cellStyle name="Heading 4 3" xfId="122" xr:uid="{00000000-0005-0000-0000-000079000000}"/>
    <cellStyle name="Heading 4 4" xfId="123" xr:uid="{00000000-0005-0000-0000-00007A000000}"/>
    <cellStyle name="Input 2" xfId="124" xr:uid="{00000000-0005-0000-0000-00007B000000}"/>
    <cellStyle name="Input 2 2" xfId="125" xr:uid="{00000000-0005-0000-0000-00007C000000}"/>
    <cellStyle name="Input 3" xfId="126" xr:uid="{00000000-0005-0000-0000-00007D000000}"/>
    <cellStyle name="Input 3 2" xfId="127" xr:uid="{00000000-0005-0000-0000-00007E000000}"/>
    <cellStyle name="Input 4" xfId="128" xr:uid="{00000000-0005-0000-0000-00007F000000}"/>
    <cellStyle name="Input 4 2" xfId="129" xr:uid="{00000000-0005-0000-0000-000080000000}"/>
    <cellStyle name="Linked Cell 2" xfId="130" xr:uid="{00000000-0005-0000-0000-000081000000}"/>
    <cellStyle name="Linked Cell 3" xfId="131" xr:uid="{00000000-0005-0000-0000-000082000000}"/>
    <cellStyle name="Linked Cell 4" xfId="132" xr:uid="{00000000-0005-0000-0000-000083000000}"/>
    <cellStyle name="Millares 2" xfId="133" xr:uid="{00000000-0005-0000-0000-000084000000}"/>
    <cellStyle name="Moneda 2" xfId="134" xr:uid="{00000000-0005-0000-0000-000085000000}"/>
    <cellStyle name="Moneda 2 2" xfId="135" xr:uid="{00000000-0005-0000-0000-000086000000}"/>
    <cellStyle name="Neutral 2" xfId="136" xr:uid="{00000000-0005-0000-0000-000087000000}"/>
    <cellStyle name="Neutral 3" xfId="137" xr:uid="{00000000-0005-0000-0000-000088000000}"/>
    <cellStyle name="Neutral 4" xfId="138" xr:uid="{00000000-0005-0000-0000-000089000000}"/>
    <cellStyle name="Normal" xfId="0" builtinId="0"/>
    <cellStyle name="Normal 10" xfId="139" xr:uid="{00000000-0005-0000-0000-00008B000000}"/>
    <cellStyle name="Normal 10 2" xfId="140" xr:uid="{00000000-0005-0000-0000-00008C000000}"/>
    <cellStyle name="Normal 10 2 2" xfId="141" xr:uid="{00000000-0005-0000-0000-00008D000000}"/>
    <cellStyle name="Normal 10 3" xfId="142" xr:uid="{00000000-0005-0000-0000-00008E000000}"/>
    <cellStyle name="Normal 11" xfId="143" xr:uid="{00000000-0005-0000-0000-00008F000000}"/>
    <cellStyle name="Normal 11 2" xfId="144" xr:uid="{00000000-0005-0000-0000-000090000000}"/>
    <cellStyle name="Normal 12" xfId="145" xr:uid="{00000000-0005-0000-0000-000091000000}"/>
    <cellStyle name="Normal 12 2" xfId="146" xr:uid="{00000000-0005-0000-0000-000092000000}"/>
    <cellStyle name="Normal 12 2 2" xfId="147" xr:uid="{00000000-0005-0000-0000-000093000000}"/>
    <cellStyle name="Normal 12 3" xfId="148" xr:uid="{00000000-0005-0000-0000-000094000000}"/>
    <cellStyle name="Normal 13" xfId="149" xr:uid="{00000000-0005-0000-0000-000095000000}"/>
    <cellStyle name="Normal 13 2" xfId="150" xr:uid="{00000000-0005-0000-0000-000096000000}"/>
    <cellStyle name="Normal 2" xfId="151" xr:uid="{00000000-0005-0000-0000-000097000000}"/>
    <cellStyle name="Normal 2 2" xfId="152" xr:uid="{00000000-0005-0000-0000-000098000000}"/>
    <cellStyle name="Normal 2 3" xfId="153" xr:uid="{00000000-0005-0000-0000-000099000000}"/>
    <cellStyle name="Normal 2 4" xfId="154" xr:uid="{00000000-0005-0000-0000-00009A000000}"/>
    <cellStyle name="Normal 3" xfId="155" xr:uid="{00000000-0005-0000-0000-00009B000000}"/>
    <cellStyle name="Normal 3 2" xfId="156" xr:uid="{00000000-0005-0000-0000-00009C000000}"/>
    <cellStyle name="Normal 3 3" xfId="157" xr:uid="{00000000-0005-0000-0000-00009D000000}"/>
    <cellStyle name="Normal 3 3 2" xfId="158" xr:uid="{00000000-0005-0000-0000-00009E000000}"/>
    <cellStyle name="Normal 4" xfId="159" xr:uid="{00000000-0005-0000-0000-00009F000000}"/>
    <cellStyle name="Normal 4 2" xfId="160" xr:uid="{00000000-0005-0000-0000-0000A0000000}"/>
    <cellStyle name="Normal 4 2 2" xfId="161" xr:uid="{00000000-0005-0000-0000-0000A1000000}"/>
    <cellStyle name="Normal 4 3" xfId="162" xr:uid="{00000000-0005-0000-0000-0000A2000000}"/>
    <cellStyle name="Normal 4 3 2" xfId="163" xr:uid="{00000000-0005-0000-0000-0000A3000000}"/>
    <cellStyle name="Normal 4 4" xfId="164" xr:uid="{00000000-0005-0000-0000-0000A4000000}"/>
    <cellStyle name="Normal 4 4 2" xfId="165" xr:uid="{00000000-0005-0000-0000-0000A5000000}"/>
    <cellStyle name="Normal 4 5" xfId="166" xr:uid="{00000000-0005-0000-0000-0000A6000000}"/>
    <cellStyle name="Normal 4 5 2" xfId="167" xr:uid="{00000000-0005-0000-0000-0000A7000000}"/>
    <cellStyle name="Normal 4 6" xfId="168" xr:uid="{00000000-0005-0000-0000-0000A8000000}"/>
    <cellStyle name="Normal 4 6 2" xfId="169" xr:uid="{00000000-0005-0000-0000-0000A9000000}"/>
    <cellStyle name="Normal 4 7" xfId="170" xr:uid="{00000000-0005-0000-0000-0000AA000000}"/>
    <cellStyle name="Normal 5" xfId="171" xr:uid="{00000000-0005-0000-0000-0000AB000000}"/>
    <cellStyle name="Normal 5 2" xfId="172" xr:uid="{00000000-0005-0000-0000-0000AC000000}"/>
    <cellStyle name="Normal 5 2 2" xfId="173" xr:uid="{00000000-0005-0000-0000-0000AD000000}"/>
    <cellStyle name="Normal 5 2 2 2" xfId="174" xr:uid="{00000000-0005-0000-0000-0000AE000000}"/>
    <cellStyle name="Normal 5 2 3" xfId="175" xr:uid="{00000000-0005-0000-0000-0000AF000000}"/>
    <cellStyle name="Normal 5 3" xfId="176" xr:uid="{00000000-0005-0000-0000-0000B0000000}"/>
    <cellStyle name="Normal 5 3 2" xfId="177" xr:uid="{00000000-0005-0000-0000-0000B1000000}"/>
    <cellStyle name="Normal 5 4" xfId="178" xr:uid="{00000000-0005-0000-0000-0000B2000000}"/>
    <cellStyle name="Normal 6" xfId="179" xr:uid="{00000000-0005-0000-0000-0000B3000000}"/>
    <cellStyle name="Normal 6 2" xfId="180" xr:uid="{00000000-0005-0000-0000-0000B4000000}"/>
    <cellStyle name="Normal 7" xfId="181" xr:uid="{00000000-0005-0000-0000-0000B5000000}"/>
    <cellStyle name="Normal 7 2" xfId="182" xr:uid="{00000000-0005-0000-0000-0000B6000000}"/>
    <cellStyle name="Normal 8" xfId="183" xr:uid="{00000000-0005-0000-0000-0000B7000000}"/>
    <cellStyle name="Normal 8 2" xfId="184" xr:uid="{00000000-0005-0000-0000-0000B8000000}"/>
    <cellStyle name="Normal 8 2 2" xfId="185" xr:uid="{00000000-0005-0000-0000-0000B9000000}"/>
    <cellStyle name="Normal 8 3" xfId="186" xr:uid="{00000000-0005-0000-0000-0000BA000000}"/>
    <cellStyle name="Normal 9" xfId="187" xr:uid="{00000000-0005-0000-0000-0000BB000000}"/>
    <cellStyle name="Normal 9 2" xfId="188" xr:uid="{00000000-0005-0000-0000-0000BC000000}"/>
    <cellStyle name="Note 2" xfId="189" xr:uid="{00000000-0005-0000-0000-0000BD000000}"/>
    <cellStyle name="Note 2 2" xfId="190" xr:uid="{00000000-0005-0000-0000-0000BE000000}"/>
    <cellStyle name="Note 3" xfId="191" xr:uid="{00000000-0005-0000-0000-0000BF000000}"/>
    <cellStyle name="Note 3 2" xfId="192" xr:uid="{00000000-0005-0000-0000-0000C0000000}"/>
    <cellStyle name="Note 4" xfId="193" xr:uid="{00000000-0005-0000-0000-0000C1000000}"/>
    <cellStyle name="Note 4 2" xfId="194" xr:uid="{00000000-0005-0000-0000-0000C2000000}"/>
    <cellStyle name="Output 2" xfId="195" xr:uid="{00000000-0005-0000-0000-0000C3000000}"/>
    <cellStyle name="Output 2 2" xfId="196" xr:uid="{00000000-0005-0000-0000-0000C4000000}"/>
    <cellStyle name="Output 3" xfId="197" xr:uid="{00000000-0005-0000-0000-0000C5000000}"/>
    <cellStyle name="Output 3 2" xfId="198" xr:uid="{00000000-0005-0000-0000-0000C6000000}"/>
    <cellStyle name="Output 4" xfId="199" xr:uid="{00000000-0005-0000-0000-0000C7000000}"/>
    <cellStyle name="Output 4 2" xfId="200" xr:uid="{00000000-0005-0000-0000-0000C8000000}"/>
    <cellStyle name="Percent" xfId="201" builtinId="5"/>
    <cellStyle name="Percent 2" xfId="202" xr:uid="{00000000-0005-0000-0000-0000CA000000}"/>
    <cellStyle name="Percent 2 2" xfId="203" xr:uid="{00000000-0005-0000-0000-0000CB000000}"/>
    <cellStyle name="Percent 2 2 2" xfId="204" xr:uid="{00000000-0005-0000-0000-0000CC000000}"/>
    <cellStyle name="Percent 2 3" xfId="205" xr:uid="{00000000-0005-0000-0000-0000CD000000}"/>
    <cellStyle name="TableStyleLight1" xfId="206" xr:uid="{00000000-0005-0000-0000-0000CE000000}"/>
    <cellStyle name="Title 2" xfId="207" xr:uid="{00000000-0005-0000-0000-0000CF000000}"/>
    <cellStyle name="Title 3" xfId="208" xr:uid="{00000000-0005-0000-0000-0000D0000000}"/>
    <cellStyle name="Title 4" xfId="209" xr:uid="{00000000-0005-0000-0000-0000D1000000}"/>
    <cellStyle name="Total 2" xfId="210" xr:uid="{00000000-0005-0000-0000-0000D2000000}"/>
    <cellStyle name="Total 2 2" xfId="211" xr:uid="{00000000-0005-0000-0000-0000D3000000}"/>
    <cellStyle name="Total 3" xfId="212" xr:uid="{00000000-0005-0000-0000-0000D4000000}"/>
    <cellStyle name="Total 3 2" xfId="213" xr:uid="{00000000-0005-0000-0000-0000D5000000}"/>
    <cellStyle name="Total 4" xfId="214" xr:uid="{00000000-0005-0000-0000-0000D6000000}"/>
    <cellStyle name="Total 4 2" xfId="215" xr:uid="{00000000-0005-0000-0000-0000D7000000}"/>
    <cellStyle name="Warning Text 2" xfId="216" xr:uid="{00000000-0005-0000-0000-0000D8000000}"/>
    <cellStyle name="Warning Text 3" xfId="217" xr:uid="{00000000-0005-0000-0000-0000D9000000}"/>
    <cellStyle name="Warning Text 4" xfId="218" xr:uid="{00000000-0005-0000-0000-0000DA000000}"/>
  </cellStyles>
  <dxfs count="0"/>
  <tableStyles count="0" defaultTableStyle="TableStyleMedium9" defaultPivotStyle="PivotStyleMedium4"/>
  <colors>
    <mruColors>
      <color rgb="FFFF7C80"/>
      <color rgb="FFE9E8C6"/>
      <color rgb="FFF2F2DF"/>
      <color rgb="FFE3E2CF"/>
      <color rgb="FFDAD8C0"/>
      <color rgb="FFD6E1EE"/>
      <color rgb="FFEEEEEE"/>
      <color rgb="FFE4E4E4"/>
      <color rgb="FFEAF0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259</xdr:row>
      <xdr:rowOff>0</xdr:rowOff>
    </xdr:from>
    <xdr:to>
      <xdr:col>1</xdr:col>
      <xdr:colOff>685800</xdr:colOff>
      <xdr:row>259</xdr:row>
      <xdr:rowOff>438150</xdr:rowOff>
    </xdr:to>
    <xdr:sp macro="" textlink="">
      <xdr:nvSpPr>
        <xdr:cNvPr id="1745" name="Rectángulo 7230" descr="Descripción: Resultado de imagen de señaletica luminosa de salida">
          <a:extLst>
            <a:ext uri="{FF2B5EF4-FFF2-40B4-BE49-F238E27FC236}">
              <a16:creationId xmlns:a16="http://schemas.microsoft.com/office/drawing/2014/main" id="{15CE6B34-DF28-A11C-B140-690E18681921}"/>
            </a:ext>
          </a:extLst>
        </xdr:cNvPr>
        <xdr:cNvSpPr>
          <a:spLocks noChangeAspect="1" noChangeArrowheads="1"/>
        </xdr:cNvSpPr>
      </xdr:nvSpPr>
      <xdr:spPr bwMode="auto">
        <a:xfrm>
          <a:off x="3352800" y="47091600"/>
          <a:ext cx="6858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1460500</xdr:colOff>
      <xdr:row>144</xdr:row>
      <xdr:rowOff>190500</xdr:rowOff>
    </xdr:from>
    <xdr:to>
      <xdr:col>6</xdr:col>
      <xdr:colOff>3175</xdr:colOff>
      <xdr:row>152</xdr:row>
      <xdr:rowOff>3175</xdr:rowOff>
    </xdr:to>
    <xdr:pic>
      <xdr:nvPicPr>
        <xdr:cNvPr id="1746" name="2 Imagen">
          <a:extLst>
            <a:ext uri="{FF2B5EF4-FFF2-40B4-BE49-F238E27FC236}">
              <a16:creationId xmlns:a16="http://schemas.microsoft.com/office/drawing/2014/main" id="{571D1043-7FA9-3508-3565-92715D1A4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2100" y="25571450"/>
          <a:ext cx="1016000" cy="115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1485900</xdr:colOff>
      <xdr:row>74</xdr:row>
      <xdr:rowOff>342900</xdr:rowOff>
    </xdr:from>
    <xdr:to>
      <xdr:col>4</xdr:col>
      <xdr:colOff>1054100</xdr:colOff>
      <xdr:row>95</xdr:row>
      <xdr:rowOff>0</xdr:rowOff>
    </xdr:to>
    <xdr:pic>
      <xdr:nvPicPr>
        <xdr:cNvPr id="1747" name="3 Imagen">
          <a:extLst>
            <a:ext uri="{FF2B5EF4-FFF2-40B4-BE49-F238E27FC236}">
              <a16:creationId xmlns:a16="http://schemas.microsoft.com/office/drawing/2014/main" id="{09C7C09B-7EEB-A4C2-B225-1763F154B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3576300"/>
          <a:ext cx="6426200" cy="330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2800350</xdr:colOff>
      <xdr:row>13</xdr:row>
      <xdr:rowOff>31750</xdr:rowOff>
    </xdr:from>
    <xdr:to>
      <xdr:col>3</xdr:col>
      <xdr:colOff>3175</xdr:colOff>
      <xdr:row>44</xdr:row>
      <xdr:rowOff>3175</xdr:rowOff>
    </xdr:to>
    <xdr:pic>
      <xdr:nvPicPr>
        <xdr:cNvPr id="1748" name="4 Imagen">
          <a:extLst>
            <a:ext uri="{FF2B5EF4-FFF2-40B4-BE49-F238E27FC236}">
              <a16:creationId xmlns:a16="http://schemas.microsoft.com/office/drawing/2014/main" id="{3DF1BC26-FEA7-BCC4-FC02-40317C288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206750"/>
          <a:ext cx="2832100" cy="508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1720850</xdr:colOff>
      <xdr:row>97</xdr:row>
      <xdr:rowOff>50800</xdr:rowOff>
    </xdr:from>
    <xdr:to>
      <xdr:col>5</xdr:col>
      <xdr:colOff>3175</xdr:colOff>
      <xdr:row>127</xdr:row>
      <xdr:rowOff>0</xdr:rowOff>
    </xdr:to>
    <xdr:pic>
      <xdr:nvPicPr>
        <xdr:cNvPr id="1749" name="5 Imagen">
          <a:extLst>
            <a:ext uri="{FF2B5EF4-FFF2-40B4-BE49-F238E27FC236}">
              <a16:creationId xmlns:a16="http://schemas.microsoft.com/office/drawing/2014/main" id="{0E3E204F-27C3-AD65-9F40-6A921DFB3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7850" y="17259300"/>
          <a:ext cx="3524250" cy="49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98</xdr:row>
      <xdr:rowOff>0</xdr:rowOff>
    </xdr:from>
    <xdr:to>
      <xdr:col>1</xdr:col>
      <xdr:colOff>1035050</xdr:colOff>
      <xdr:row>127</xdr:row>
      <xdr:rowOff>0</xdr:rowOff>
    </xdr:to>
    <xdr:pic>
      <xdr:nvPicPr>
        <xdr:cNvPr id="1750" name="6 Imagen">
          <a:extLst>
            <a:ext uri="{FF2B5EF4-FFF2-40B4-BE49-F238E27FC236}">
              <a16:creationId xmlns:a16="http://schemas.microsoft.com/office/drawing/2014/main" id="{552A637C-6F20-6B6F-7D01-FCB2BADF78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73600"/>
          <a:ext cx="4387850" cy="478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0_DATA.IDB/_Working%20Files/6.%20Ecuador/EC-L1253/POD_2021/Copy%20of%20PEP_Enero%202020_290110_OL30Ene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calvo\Documents\Ecuador\EC-L1251%20EEPP\Presupuesto\EC-L1251_EER2%20--%20PEP%20POA%20PA%20y%20Presupuesto%20Detallado.%201405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Detailed Budget"/>
      <sheetName val="2. Pluriannual Plan v.1"/>
      <sheetName val="2. Pluriannual Plan PEP v.2"/>
      <sheetName val="3. Procurement Plan - Agreg"/>
      <sheetName val="4. Resumen Presupuesto"/>
      <sheetName val="Detalle Transversales y EG"/>
      <sheetName val="Personal_resumen"/>
      <sheetName val="TD_Presupuesto"/>
      <sheetName val="Resumen SRI"/>
      <sheetName val="5. Cronograma de Desembolsos"/>
      <sheetName val="Data Center "/>
      <sheetName val="Presupuesto"/>
    </sheetNames>
    <sheetDataSet>
      <sheetData sheetId="0" refreshError="1">
        <row r="41">
          <cell r="I41" t="str">
            <v>Expertos</v>
          </cell>
        </row>
        <row r="42">
          <cell r="I42" t="str">
            <v>Especialistas</v>
          </cell>
        </row>
        <row r="43">
          <cell r="A43" t="str">
            <v>1.5 Gestión de la Información y Comprobantes Electrónicos</v>
          </cell>
          <cell r="AD43" t="str">
            <v>Servidores de base de datos principales para Procesamiento masivo Big data</v>
          </cell>
        </row>
        <row r="44">
          <cell r="AD44" t="str">
            <v>Hardware y software para la gestión de infraestructura de base de datos para Procesamiento masivo Big data</v>
          </cell>
        </row>
        <row r="45">
          <cell r="AK45" t="str">
            <v xml:space="preserve"> Implementación de software, hardware y transfenrencia de conocimiento para Procesamiento masivo Big data</v>
          </cell>
        </row>
      </sheetData>
      <sheetData sheetId="1"/>
      <sheetData sheetId="2" refreshError="1">
        <row r="10">
          <cell r="B10" t="str">
            <v xml:space="preserve">Diseño del Data center </v>
          </cell>
        </row>
        <row r="12">
          <cell r="B12" t="str">
            <v>Data Center Center Certificado TIER III</v>
          </cell>
        </row>
        <row r="17">
          <cell r="B17" t="str">
            <v>Adquisición de equipos de conectividad lan y wan (equipos de red y comunicaciones para agencias, centro de datos principal y alterno)</v>
          </cell>
        </row>
        <row r="18">
          <cell r="B18" t="str">
            <v xml:space="preserve">Adquisición de equipos QoS (equipo que controla el ancho de banda de una red al gestionar los paquetes que viajan en la misma). </v>
          </cell>
        </row>
        <row r="19">
          <cell r="B19" t="str">
            <v>Adquisición de infraestructura de almacenamiento para el centro de datos principal (bandejas de disco)</v>
          </cell>
        </row>
        <row r="20">
          <cell r="B20" t="str">
            <v>Adquisición de Infraestructura de Capa Media para el Centro de Datos Principal (Servidores que poseen memoria, disco, CPU, tarjeta gráfica y tarjeta de red)</v>
          </cell>
        </row>
        <row r="21">
          <cell r="B21" t="str">
            <v>Adquisición de infraestructura de Respaldos (librería de respaldos que permite se guarden los respaldos de información hacia las cintas magnéticas de manera automática).</v>
          </cell>
        </row>
        <row r="22">
          <cell r="B22" t="str">
            <v>Adquisición de infraestructura de Videoconferencia (equipos que permiten realizar conferencias o reuniones virtuales)</v>
          </cell>
        </row>
        <row r="23">
          <cell r="B23" t="str">
            <v>Adquisición equipos aceleradores de agencia (equipo optimizador del tráfico de la red al comprimir/descomprimir la data que viaja a través del enlace de comunicación)</v>
          </cell>
        </row>
        <row r="24">
          <cell r="B24" t="str">
            <v>Adquisición plataforma escritorios virtuales</v>
          </cell>
        </row>
        <row r="25">
          <cell r="B25" t="str">
            <v>Data Loss Prevention (DLP) (Sistema que monitorea el uso de la información digital y previene fugas masivas de información a destinos no autorizados)</v>
          </cell>
        </row>
        <row r="26">
          <cell r="B26" t="str">
            <v>Fortalecimiento infraestructura de respaldos (nube)</v>
          </cell>
        </row>
        <row r="27">
          <cell r="B27" t="str">
            <v>Gestión de Vulnerabilidades (Sistema que permite detectar y reportar las vulnerabilidades de sistemas de datacenter y punto final para habilitar su remediación mediante su integración de sistemas de parchado)</v>
          </cell>
        </row>
        <row r="28">
          <cell r="B28" t="str">
            <v>HSM
(HSM, CA Institucional, implementar un equipo se seguridad especializado para proteger las llaves criptográficas institucionales e implementar una nueva entidad certificadora)</v>
          </cell>
        </row>
        <row r="29">
          <cell r="B29" t="str">
            <v>Identity Management (software que se encarga de la gestión de credenciales de red y de privilegios sobre servicios informáticos institucionales)</v>
          </cell>
        </row>
        <row r="30">
          <cell r="B30" t="str">
            <v>Identity Management (software que se encarga de la gestión de credenciales de red y de privilegios sobre servicios informáticos institucionales) Migración</v>
          </cell>
        </row>
        <row r="31">
          <cell r="B31" t="str">
            <v>NGFW (Datacenter):(Firewall,  IPS, SandBox, URL Filtering, Control de Aplicaciones, Protección de Punto Final)</v>
          </cell>
        </row>
        <row r="32">
          <cell r="B32" t="str">
            <v>NGFW (Datacenter):(Firewall,  IPS, SandBox, URL Filtering, Control de Aplicaciones, Protección de Punto Final) Migración</v>
          </cell>
        </row>
        <row r="33">
          <cell r="B33" t="str">
            <v>Protección Avanzada de Email (fwde correo electrónico con protección especializadas para amenazas emergentes de correo electrónico)</v>
          </cell>
        </row>
        <row r="34">
          <cell r="B34" t="str">
            <v>Protección de Contribuyentes contra Phishing (Servicio que monitorea el uso no autorizado de la marca o imagen del SRI para fines fraudolentes tales como robar información de los contribuyentes)</v>
          </cell>
        </row>
        <row r="35">
          <cell r="B35" t="str">
            <v>Servicio de Centro de Operaciones de Seguridad Servicio de Centro de Operaciones de Seguridad (servicio especializado de monitoreo de eventos de si, gestión de incidentes de si, y de asistencia especializada de si)  (implementación)</v>
          </cell>
        </row>
        <row r="36">
          <cell r="B36" t="str">
            <v>Sistema de Administración Unificada de Políticas de Seguridad  (Sistema que permite orquestar y homologar la política de si, transversalmente a los equipos de seguridad informática)</v>
          </cell>
        </row>
        <row r="37">
          <cell r="B37" t="str">
            <v>Data Loss Prevention (DLP) (Sistema que monitorea el uso de la información digital y previene fugas masivas de información a destinos no autorizados) servicio</v>
          </cell>
        </row>
        <row r="38">
          <cell r="B38" t="str">
            <v>Fortalecimiento de la infraestructura de procesamiento de base de datos</v>
          </cell>
        </row>
        <row r="40">
          <cell r="B40" t="str">
            <v>Herramienta de automatización de liberaciones con DEVOPS (Adquisición de la licencia Enterprise de la herramienta Gitlab con soporte del fabricante, lo que permite documentar pruebas de usabilidad, revisión de código y accesibilidad.)</v>
          </cell>
        </row>
        <row r="41">
          <cell r="B41" t="str">
            <v>Migración herramienta de gestión de servicios tecnológicos (Software que permite la gestión de procesos de mesa, requerimiento, incidentes, problemas, catálogo, niveles de servicio y configuraciones)</v>
          </cell>
        </row>
        <row r="42">
          <cell r="B42" t="str">
            <v>Renovación Herramienta de Validación de Código Estático (Renovación de la licencia de la herramienta Sonarqube enterprise por el periodo de 4 años, que cuenta con actualizaciones de versiones y soporte del fabricante)</v>
          </cell>
        </row>
        <row r="43">
          <cell r="B43" t="str">
            <v>Servicio análisis dinámico de aplicaciones Web(Servicio de análisis dinámico para detectar vulnerabilidades en las aplicaciones web.)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Detailed Budget"/>
      <sheetName val="2. Pluriannual Plan PEP"/>
      <sheetName val="3. Procurement Plan - PA"/>
      <sheetName val="4. Budget by Components"/>
      <sheetName val="Prices"/>
    </sheetNames>
    <sheetDataSet>
      <sheetData sheetId="0">
        <row r="40">
          <cell r="N40">
            <v>1000000</v>
          </cell>
        </row>
        <row r="41">
          <cell r="N41">
            <v>100000</v>
          </cell>
        </row>
        <row r="42">
          <cell r="N42">
            <v>0</v>
          </cell>
        </row>
        <row r="43">
          <cell r="N43">
            <v>0</v>
          </cell>
        </row>
        <row r="50">
          <cell r="A50" t="str">
            <v>Coordinador Operativo</v>
          </cell>
        </row>
        <row r="51">
          <cell r="A51" t="str">
            <v xml:space="preserve">Experto financiero </v>
          </cell>
        </row>
        <row r="52">
          <cell r="A52" t="str">
            <v xml:space="preserve">Experto Adquisiciones </v>
          </cell>
        </row>
        <row r="53">
          <cell r="A53" t="str">
            <v xml:space="preserve">Monitoreo y Planificación </v>
          </cell>
        </row>
        <row r="54">
          <cell r="A54" t="str">
            <v xml:space="preserve">Apoyo ejecución </v>
          </cell>
        </row>
        <row r="55">
          <cell r="A55" t="str">
            <v xml:space="preserve">Experto Legal </v>
          </cell>
        </row>
        <row r="56">
          <cell r="A56" t="str">
            <v>Experto hidrocarburos</v>
          </cell>
        </row>
        <row r="57">
          <cell r="A57" t="str">
            <v>Experto Energía</v>
          </cell>
        </row>
        <row r="58">
          <cell r="A58" t="str">
            <v>Experto Telecom.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40"/>
  <sheetViews>
    <sheetView showGridLines="0" zoomScale="70" zoomScaleNormal="70" zoomScaleSheetLayoutView="63" workbookViewId="0">
      <pane xSplit="1" ySplit="7" topLeftCell="B96" activePane="bottomRight" state="frozen"/>
      <selection pane="topRight" activeCell="B1" sqref="B1"/>
      <selection pane="bottomLeft" activeCell="A8" sqref="A8"/>
      <selection pane="bottomRight" activeCell="D109" sqref="D109"/>
    </sheetView>
  </sheetViews>
  <sheetFormatPr defaultColWidth="9" defaultRowHeight="14.5" outlineLevelCol="1" x14ac:dyDescent="0.35"/>
  <cols>
    <col min="1" max="1" width="62.58203125" style="296" customWidth="1"/>
    <col min="2" max="7" width="18.08203125" style="1" customWidth="1"/>
    <col min="8" max="8" width="22.83203125" style="1" customWidth="1"/>
    <col min="9" max="9" width="46.83203125" style="1" customWidth="1" outlineLevel="1"/>
    <col min="10" max="10" width="15.58203125" style="1" customWidth="1" outlineLevel="1"/>
    <col min="11" max="11" width="9.58203125" style="1" customWidth="1" outlineLevel="1"/>
    <col min="12" max="12" width="13" style="1" customWidth="1" outlineLevel="1"/>
    <col min="13" max="13" width="12.58203125" style="1" customWidth="1" outlineLevel="1"/>
    <col min="14" max="14" width="9.58203125" style="1" customWidth="1" outlineLevel="1"/>
    <col min="15" max="15" width="13" style="1" customWidth="1" outlineLevel="1"/>
    <col min="16" max="16" width="43.5" style="1" customWidth="1" outlineLevel="1"/>
    <col min="17" max="17" width="15.58203125" style="1" customWidth="1" outlineLevel="1"/>
    <col min="18" max="18" width="9.58203125" style="1" customWidth="1" outlineLevel="1"/>
    <col min="19" max="19" width="13" style="1" customWidth="1" outlineLevel="1"/>
    <col min="20" max="20" width="12.58203125" style="1" customWidth="1" outlineLevel="1"/>
    <col min="21" max="21" width="9.58203125" style="1" customWidth="1" outlineLevel="1"/>
    <col min="22" max="22" width="12" style="1" customWidth="1" outlineLevel="1"/>
    <col min="23" max="23" width="44.83203125" style="1" customWidth="1" outlineLevel="1"/>
    <col min="24" max="24" width="15.33203125" style="1" customWidth="1" outlineLevel="1"/>
    <col min="25" max="25" width="9.08203125" style="1" customWidth="1" outlineLevel="1"/>
    <col min="26" max="26" width="14.58203125" style="1" customWidth="1" outlineLevel="1"/>
    <col min="27" max="27" width="14.83203125" style="1" customWidth="1" outlineLevel="1"/>
    <col min="28" max="28" width="10.5" style="1" customWidth="1" outlineLevel="1"/>
    <col min="29" max="29" width="14.08203125" style="1" customWidth="1" outlineLevel="1"/>
    <col min="30" max="30" width="73.08203125" style="1" customWidth="1" outlineLevel="1"/>
    <col min="31" max="31" width="13" style="1" customWidth="1" outlineLevel="1"/>
    <col min="32" max="33" width="8.08203125" style="89" customWidth="1" outlineLevel="1"/>
    <col min="34" max="34" width="14.08203125" style="1" customWidth="1" outlineLevel="1"/>
    <col min="35" max="35" width="12.08203125" style="1" customWidth="1" outlineLevel="1"/>
    <col min="36" max="36" width="14.33203125" style="1" customWidth="1" outlineLevel="1"/>
    <col min="37" max="37" width="73.08203125" style="1" customWidth="1" outlineLevel="1"/>
    <col min="38" max="38" width="13" style="1" customWidth="1" outlineLevel="1"/>
    <col min="39" max="40" width="8.08203125" style="89" customWidth="1" outlineLevel="1"/>
    <col min="41" max="41" width="14.08203125" style="1" customWidth="1" outlineLevel="1"/>
    <col min="42" max="42" width="12.08203125" style="1" customWidth="1" outlineLevel="1"/>
    <col min="43" max="43" width="14.33203125" style="1" customWidth="1" outlineLevel="1"/>
    <col min="44" max="44" width="51.83203125" style="1" customWidth="1" outlineLevel="1"/>
    <col min="45" max="45" width="15.83203125" style="1" customWidth="1" outlineLevel="1"/>
    <col min="46" max="47" width="14.58203125" style="1" customWidth="1" outlineLevel="1"/>
    <col min="48" max="50" width="12.08203125" style="1" customWidth="1" outlineLevel="1"/>
    <col min="51" max="51" width="33.83203125" style="1" customWidth="1" outlineLevel="1"/>
    <col min="52" max="52" width="11.08203125" style="1" customWidth="1" outlineLevel="1"/>
    <col min="53" max="54" width="10.08203125" style="1" customWidth="1" outlineLevel="1"/>
    <col min="55" max="55" width="12.08203125" style="1" customWidth="1" outlineLevel="1"/>
    <col min="56" max="56" width="10.83203125" style="1" customWidth="1" outlineLevel="1"/>
    <col min="57" max="57" width="22.08203125" style="1" customWidth="1" outlineLevel="1"/>
    <col min="58" max="58" width="35.58203125" style="85" customWidth="1"/>
    <col min="59" max="59" width="15" style="1" customWidth="1"/>
    <col min="60" max="61" width="11.08203125" style="1" hidden="1" customWidth="1" outlineLevel="1"/>
    <col min="62" max="62" width="13.08203125" style="1" bestFit="1" customWidth="1" collapsed="1"/>
    <col min="63" max="63" width="12.58203125" style="1" customWidth="1"/>
    <col min="64" max="64" width="13.33203125" style="1" customWidth="1"/>
    <col min="65" max="65" width="15.33203125" style="1" customWidth="1"/>
    <col min="66" max="66" width="15.58203125" style="1" bestFit="1" customWidth="1"/>
    <col min="67" max="67" width="9" style="1"/>
    <col min="68" max="68" width="11.83203125" style="1" bestFit="1" customWidth="1"/>
    <col min="69" max="16384" width="9" style="1"/>
  </cols>
  <sheetData>
    <row r="1" spans="1:70" ht="18" x14ac:dyDescent="0.4">
      <c r="A1" s="701" t="s">
        <v>0</v>
      </c>
      <c r="B1" s="666"/>
      <c r="C1" s="667"/>
      <c r="D1" s="667"/>
      <c r="E1" s="668"/>
      <c r="F1" s="667"/>
      <c r="G1" s="666"/>
      <c r="H1" s="668"/>
      <c r="I1" s="666"/>
      <c r="J1" s="667"/>
      <c r="K1" s="666"/>
      <c r="L1" s="667"/>
      <c r="M1" s="668"/>
      <c r="N1" s="667"/>
      <c r="O1" s="667"/>
      <c r="P1" s="666"/>
      <c r="Q1" s="667" t="s">
        <v>1</v>
      </c>
      <c r="R1" s="666">
        <f>G2/2</f>
        <v>0</v>
      </c>
      <c r="S1" s="667">
        <f>R1/1.12</f>
        <v>0</v>
      </c>
      <c r="T1" s="668"/>
      <c r="U1" s="667"/>
      <c r="V1" s="471">
        <v>2390780.8855986088</v>
      </c>
      <c r="W1" s="667"/>
      <c r="X1" s="667"/>
      <c r="Y1" s="667"/>
      <c r="Z1" s="667"/>
      <c r="AA1" s="667"/>
      <c r="AB1" s="667">
        <f>AC1/1.12</f>
        <v>1808180.357142857</v>
      </c>
      <c r="AC1" s="667">
        <v>2025162</v>
      </c>
      <c r="AD1" s="667"/>
      <c r="AE1" s="667"/>
      <c r="AF1" s="669"/>
      <c r="AG1" s="832"/>
      <c r="AH1" s="833"/>
      <c r="AI1" s="833"/>
      <c r="AJ1" s="834"/>
      <c r="AK1" s="835"/>
      <c r="AL1" s="836"/>
      <c r="AM1" s="832"/>
      <c r="AN1" s="832"/>
      <c r="AO1" s="833"/>
      <c r="AP1" s="833"/>
      <c r="AQ1" s="833"/>
      <c r="AR1" s="833"/>
      <c r="AS1" s="833"/>
      <c r="AT1" s="833"/>
      <c r="AU1" s="833"/>
      <c r="AV1" s="833"/>
      <c r="AW1" s="833"/>
      <c r="AX1" s="833"/>
      <c r="AY1" s="833"/>
      <c r="AZ1" s="833"/>
      <c r="BA1" s="833"/>
      <c r="BB1" s="833"/>
      <c r="BC1" s="833"/>
      <c r="BD1" s="833"/>
      <c r="BE1" s="667"/>
      <c r="BF1" s="670"/>
      <c r="BG1" s="667"/>
      <c r="BH1" s="667"/>
      <c r="BI1" s="667"/>
      <c r="BJ1" s="667"/>
      <c r="BK1" s="667"/>
      <c r="BL1" s="671"/>
    </row>
    <row r="2" spans="1:70" ht="15.5" x14ac:dyDescent="0.35">
      <c r="A2" s="672" t="s">
        <v>2</v>
      </c>
      <c r="B2" s="5"/>
      <c r="D2" s="5"/>
      <c r="G2" s="4"/>
      <c r="H2" s="4"/>
      <c r="I2" s="5"/>
      <c r="K2" s="5"/>
      <c r="M2" s="4"/>
      <c r="P2" s="5"/>
      <c r="R2" s="5"/>
      <c r="S2" s="1">
        <v>541872.23386723362</v>
      </c>
      <c r="T2" s="4"/>
      <c r="V2" s="471">
        <f>V1-2025162</f>
        <v>365618.88559860876</v>
      </c>
      <c r="AG2" s="832"/>
      <c r="AH2" s="833"/>
      <c r="AI2" s="833"/>
      <c r="AJ2" s="833"/>
      <c r="AK2" s="835"/>
      <c r="AL2" s="836"/>
      <c r="AM2" s="832"/>
      <c r="AN2" s="832"/>
      <c r="AO2" s="833"/>
      <c r="AP2" s="833"/>
      <c r="AQ2" s="833"/>
      <c r="AR2" s="833"/>
      <c r="AS2" s="833"/>
      <c r="AT2" s="833"/>
      <c r="AU2" s="833"/>
      <c r="AV2" s="833"/>
      <c r="AW2" s="833"/>
      <c r="AX2" s="833"/>
      <c r="AY2" s="833"/>
      <c r="AZ2" s="833"/>
      <c r="BA2" s="833"/>
      <c r="BB2" s="833"/>
      <c r="BC2" s="833"/>
      <c r="BD2" s="833"/>
      <c r="BL2" s="673"/>
    </row>
    <row r="3" spans="1:70" ht="6.65" customHeight="1" x14ac:dyDescent="0.45">
      <c r="A3" s="674"/>
      <c r="G3" s="675"/>
      <c r="H3" s="676"/>
      <c r="AG3" s="832"/>
      <c r="AH3" s="833"/>
      <c r="AI3" s="833"/>
      <c r="AJ3" s="833"/>
      <c r="AK3" s="833"/>
      <c r="AL3" s="833"/>
      <c r="AM3" s="832"/>
      <c r="AN3" s="832"/>
      <c r="AO3" s="833"/>
      <c r="AP3" s="833"/>
      <c r="AQ3" s="833"/>
      <c r="AR3" s="833"/>
      <c r="AS3" s="833"/>
      <c r="AT3" s="833"/>
      <c r="AU3" s="833"/>
      <c r="AV3" s="833"/>
      <c r="AW3" s="833"/>
      <c r="AX3" s="833"/>
      <c r="AY3" s="833"/>
      <c r="AZ3" s="833"/>
      <c r="BA3" s="833"/>
      <c r="BB3" s="833"/>
      <c r="BC3" s="833"/>
      <c r="BD3" s="833"/>
      <c r="BL3" s="673"/>
    </row>
    <row r="4" spans="1:70" s="614" customFormat="1" ht="33" customHeight="1" x14ac:dyDescent="0.35">
      <c r="A4" s="677" t="s">
        <v>3</v>
      </c>
      <c r="B4" s="491" t="s">
        <v>4</v>
      </c>
      <c r="C4" s="491" t="s">
        <v>5</v>
      </c>
      <c r="D4" s="494" t="s">
        <v>6</v>
      </c>
      <c r="E4" s="491" t="s">
        <v>7</v>
      </c>
      <c r="F4" s="491" t="s">
        <v>8</v>
      </c>
      <c r="G4" s="494" t="s">
        <v>9</v>
      </c>
      <c r="H4" s="494" t="s">
        <v>10</v>
      </c>
      <c r="I4" s="945" t="s">
        <v>11</v>
      </c>
      <c r="J4" s="945"/>
      <c r="K4" s="945"/>
      <c r="L4" s="492">
        <f>SUM(L94:L102)</f>
        <v>0</v>
      </c>
      <c r="M4" s="493"/>
      <c r="N4" s="492"/>
      <c r="O4" s="492">
        <f>SUM(O9:O12,O15:O39,O45:O63,O67:O75,O77:O88,O90:O93,O96:O101,O103:O108,O110:O117)</f>
        <v>23115303.076934475</v>
      </c>
      <c r="P4" s="945" t="s">
        <v>12</v>
      </c>
      <c r="Q4" s="945"/>
      <c r="R4" s="945"/>
      <c r="S4" s="945"/>
      <c r="T4" s="945"/>
      <c r="U4" s="945"/>
      <c r="V4" s="492">
        <f>SUM(V9:V12,V15:V39,V45:V63,V67:V75,V77:V88,V90:V93,V96:V101,V103:V108,V110:V117)</f>
        <v>2686500</v>
      </c>
      <c r="W4" s="945" t="s">
        <v>13</v>
      </c>
      <c r="X4" s="945"/>
      <c r="Y4" s="945"/>
      <c r="Z4" s="945"/>
      <c r="AA4" s="945"/>
      <c r="AB4" s="945"/>
      <c r="AC4" s="492">
        <f>SUM(AC9:AC12,AC15:AC39,AC45:AC63,AC67:AC75,AC77:AC88,AC90:AC93,AC96:AC101,AC103:AC108,AC110:AC117)</f>
        <v>18537852.281600002</v>
      </c>
      <c r="AD4" s="944" t="s">
        <v>14</v>
      </c>
      <c r="AE4" s="944"/>
      <c r="AF4" s="944"/>
      <c r="AG4" s="931"/>
      <c r="AH4" s="931"/>
      <c r="AI4" s="931"/>
      <c r="AJ4" s="831">
        <f>SUM(AJ9:AJ12,AJ15:AJ39,AJ45:AJ63,AJ67:AJ75,AJ77:AJ88,AJ90:AJ93,AJ96:AJ101,AJ103:AJ108,AJ110:AJ117)</f>
        <v>37789796.081869237</v>
      </c>
      <c r="AK4" s="931" t="s">
        <v>15</v>
      </c>
      <c r="AL4" s="931"/>
      <c r="AM4" s="931"/>
      <c r="AN4" s="931"/>
      <c r="AO4" s="931"/>
      <c r="AP4" s="931"/>
      <c r="AQ4" s="831">
        <f>SUM(AQ9:AQ12,AQ15:AQ39,AQ45:AQ63,AQ67:AQ75,AQ77:AQ88,AQ90:AQ93,AQ96:AQ101,AQ103:AQ108,AQ110:AQ117)</f>
        <v>1503686.3055986091</v>
      </c>
      <c r="AR4" s="931" t="s">
        <v>16</v>
      </c>
      <c r="AS4" s="931"/>
      <c r="AT4" s="931"/>
      <c r="AU4" s="931"/>
      <c r="AV4" s="931"/>
      <c r="AW4" s="931"/>
      <c r="AX4" s="831">
        <f>SUM(AX9:AX12,AX15:AX39,AX45:AX63,AX67:AX75,AX77:AX88,AX90:AX93,AX96:AX101,AX103:AX108,AX110:AX117)</f>
        <v>2788585.6768</v>
      </c>
      <c r="AY4" s="931" t="s">
        <v>17</v>
      </c>
      <c r="AZ4" s="931"/>
      <c r="BA4" s="931"/>
      <c r="BB4" s="931"/>
      <c r="BC4" s="931"/>
      <c r="BD4" s="931"/>
      <c r="BE4" s="492">
        <f>SUM(BE9:BE12,BE15:BE39,BE45:BE63,BE67:BE75,BE77:BE88,BE90:BE93,BE96:BE101,BE103:BE108,BE110:BE117)</f>
        <v>0</v>
      </c>
      <c r="BF4" s="944" t="s">
        <v>18</v>
      </c>
      <c r="BG4" s="944"/>
      <c r="BH4" s="944"/>
      <c r="BI4" s="944"/>
      <c r="BJ4" s="944"/>
      <c r="BK4" s="944"/>
      <c r="BL4" s="678">
        <f>SUM(BL9:BL12,BL15:BL39,BL45:BL63,BL67:BL75,BL77:BL88,BL90:BL93,BL96:BL101,BL103:BL108,BL110:BL117)</f>
        <v>0</v>
      </c>
    </row>
    <row r="5" spans="1:70" ht="33" customHeight="1" x14ac:dyDescent="0.35">
      <c r="A5" s="679" t="s">
        <v>19</v>
      </c>
      <c r="B5" s="497">
        <f t="shared" ref="B5:E5" si="0">B7+B65</f>
        <v>77150185.45881024</v>
      </c>
      <c r="C5" s="497">
        <f t="shared" si="0"/>
        <v>7362988.2967934646</v>
      </c>
      <c r="D5" s="497">
        <f t="shared" si="0"/>
        <v>83999999.85560371</v>
      </c>
      <c r="E5" s="497">
        <f t="shared" si="0"/>
        <v>4333346.3585701864</v>
      </c>
      <c r="F5" s="497">
        <f>F7+F65</f>
        <v>197621.5270284224</v>
      </c>
      <c r="G5" s="497">
        <f>G7+G65+1</f>
        <v>4530968.8855986092</v>
      </c>
      <c r="H5" s="497">
        <f>H7+H65</f>
        <v>88530968.341202319</v>
      </c>
      <c r="I5" s="458" t="s">
        <v>20</v>
      </c>
      <c r="J5" s="459" t="s">
        <v>21</v>
      </c>
      <c r="K5" s="459" t="s">
        <v>22</v>
      </c>
      <c r="L5" s="459" t="s">
        <v>23</v>
      </c>
      <c r="M5" s="458" t="s">
        <v>24</v>
      </c>
      <c r="N5" s="458" t="s">
        <v>25</v>
      </c>
      <c r="O5" s="458" t="s">
        <v>26</v>
      </c>
      <c r="P5" s="460" t="s">
        <v>20</v>
      </c>
      <c r="Q5" s="461" t="s">
        <v>21</v>
      </c>
      <c r="R5" s="461" t="s">
        <v>22</v>
      </c>
      <c r="S5" s="461" t="s">
        <v>23</v>
      </c>
      <c r="T5" s="460" t="s">
        <v>24</v>
      </c>
      <c r="U5" s="460" t="s">
        <v>25</v>
      </c>
      <c r="V5" s="460" t="s">
        <v>26</v>
      </c>
      <c r="W5" s="458" t="s">
        <v>20</v>
      </c>
      <c r="X5" s="459" t="s">
        <v>27</v>
      </c>
      <c r="Y5" s="459" t="s">
        <v>22</v>
      </c>
      <c r="Z5" s="459" t="s">
        <v>23</v>
      </c>
      <c r="AA5" s="458" t="s">
        <v>24</v>
      </c>
      <c r="AB5" s="458" t="s">
        <v>25</v>
      </c>
      <c r="AC5" s="458" t="s">
        <v>28</v>
      </c>
      <c r="AD5" s="460" t="s">
        <v>20</v>
      </c>
      <c r="AE5" s="461" t="s">
        <v>27</v>
      </c>
      <c r="AF5" s="461" t="s">
        <v>29</v>
      </c>
      <c r="AG5" s="461" t="s">
        <v>22</v>
      </c>
      <c r="AH5" s="460" t="s">
        <v>24</v>
      </c>
      <c r="AI5" s="460" t="s">
        <v>25</v>
      </c>
      <c r="AJ5" s="460" t="s">
        <v>26</v>
      </c>
      <c r="AK5" s="458" t="s">
        <v>20</v>
      </c>
      <c r="AL5" s="459" t="s">
        <v>27</v>
      </c>
      <c r="AM5" s="459" t="s">
        <v>29</v>
      </c>
      <c r="AN5" s="459" t="s">
        <v>22</v>
      </c>
      <c r="AO5" s="458" t="s">
        <v>24</v>
      </c>
      <c r="AP5" s="458" t="s">
        <v>25</v>
      </c>
      <c r="AQ5" s="458" t="s">
        <v>26</v>
      </c>
      <c r="AR5" s="460" t="s">
        <v>20</v>
      </c>
      <c r="AS5" s="461" t="s">
        <v>27</v>
      </c>
      <c r="AT5" s="461" t="s">
        <v>22</v>
      </c>
      <c r="AU5" s="461" t="s">
        <v>30</v>
      </c>
      <c r="AV5" s="460" t="s">
        <v>24</v>
      </c>
      <c r="AW5" s="460" t="s">
        <v>25</v>
      </c>
      <c r="AX5" s="460" t="s">
        <v>26</v>
      </c>
      <c r="AY5" s="458" t="s">
        <v>20</v>
      </c>
      <c r="AZ5" s="459" t="s">
        <v>27</v>
      </c>
      <c r="BA5" s="459" t="s">
        <v>31</v>
      </c>
      <c r="BB5" s="459" t="s">
        <v>22</v>
      </c>
      <c r="BC5" s="458" t="s">
        <v>24</v>
      </c>
      <c r="BD5" s="458" t="s">
        <v>25</v>
      </c>
      <c r="BE5" s="458" t="s">
        <v>26</v>
      </c>
      <c r="BF5" s="462" t="s">
        <v>20</v>
      </c>
      <c r="BG5" s="461" t="s">
        <v>27</v>
      </c>
      <c r="BH5" s="461" t="s">
        <v>22</v>
      </c>
      <c r="BI5" s="461" t="s">
        <v>32</v>
      </c>
      <c r="BJ5" s="460" t="s">
        <v>24</v>
      </c>
      <c r="BK5" s="460" t="s">
        <v>25</v>
      </c>
      <c r="BL5" s="680" t="s">
        <v>26</v>
      </c>
    </row>
    <row r="6" spans="1:70" s="614" customFormat="1" ht="29.5" customHeight="1" x14ac:dyDescent="0.35">
      <c r="A6" s="681" t="s">
        <v>33</v>
      </c>
      <c r="B6" s="496">
        <f t="shared" ref="B6:G6" si="1">B8+B13+B44</f>
        <v>51157571.138810247</v>
      </c>
      <c r="C6" s="496">
        <f t="shared" si="1"/>
        <v>4243154.1767934645</v>
      </c>
      <c r="D6" s="496">
        <f>D8+D13+D44+0.8</f>
        <v>55400899.415603705</v>
      </c>
      <c r="E6" s="496">
        <f t="shared" si="1"/>
        <v>0</v>
      </c>
      <c r="F6" s="496">
        <f t="shared" si="1"/>
        <v>0</v>
      </c>
      <c r="G6" s="496">
        <f t="shared" si="1"/>
        <v>0</v>
      </c>
      <c r="H6" s="496">
        <f>H8+H13+H44</f>
        <v>55400898.815603703</v>
      </c>
      <c r="I6" s="939" t="s">
        <v>34</v>
      </c>
      <c r="J6" s="939"/>
      <c r="K6" s="939"/>
      <c r="L6" s="939"/>
      <c r="M6" s="939"/>
      <c r="N6" s="939"/>
      <c r="O6" s="939"/>
      <c r="P6" s="939"/>
      <c r="Q6" s="939"/>
      <c r="R6" s="939"/>
      <c r="S6" s="939"/>
      <c r="T6" s="939"/>
      <c r="U6" s="939"/>
      <c r="V6" s="939"/>
      <c r="W6" s="939"/>
      <c r="X6" s="939"/>
      <c r="Y6" s="939"/>
      <c r="Z6" s="939"/>
      <c r="AA6" s="939"/>
      <c r="AB6" s="939"/>
      <c r="AC6" s="939"/>
      <c r="AD6" s="939"/>
      <c r="AE6" s="939"/>
      <c r="AF6" s="939"/>
      <c r="AG6" s="939"/>
      <c r="AH6" s="939"/>
      <c r="AI6" s="939"/>
      <c r="AJ6" s="939"/>
      <c r="AK6" s="939"/>
      <c r="AL6" s="939"/>
      <c r="AM6" s="939"/>
      <c r="AN6" s="939"/>
      <c r="AO6" s="939"/>
      <c r="AP6" s="939"/>
      <c r="AQ6" s="939"/>
      <c r="AR6" s="939"/>
      <c r="AS6" s="939"/>
      <c r="AT6" s="939"/>
      <c r="AU6" s="939"/>
      <c r="AV6" s="939"/>
      <c r="AW6" s="939"/>
      <c r="AX6" s="939"/>
      <c r="AY6" s="939"/>
      <c r="AZ6" s="939"/>
      <c r="BA6" s="939"/>
      <c r="BB6" s="939"/>
      <c r="BC6" s="939"/>
      <c r="BD6" s="939"/>
      <c r="BE6" s="939"/>
      <c r="BF6" s="939"/>
      <c r="BG6" s="939"/>
      <c r="BH6" s="939"/>
      <c r="BI6" s="939"/>
      <c r="BJ6" s="939"/>
      <c r="BK6" s="939"/>
      <c r="BL6" s="940"/>
    </row>
    <row r="7" spans="1:70" s="614" customFormat="1" ht="29.5" customHeight="1" x14ac:dyDescent="0.35">
      <c r="A7" s="682" t="s">
        <v>35</v>
      </c>
      <c r="B7" s="495">
        <f>B6+B95+B111+B114+B116</f>
        <v>51617825.980810247</v>
      </c>
      <c r="C7" s="495">
        <f t="shared" ref="C7:G7" si="2">C6+C95+C111+C114+C116</f>
        <v>4299105.1578334644</v>
      </c>
      <c r="D7" s="495">
        <f t="shared" si="2"/>
        <v>55917105.238643706</v>
      </c>
      <c r="E7" s="495">
        <f t="shared" si="2"/>
        <v>1789635.9999999995</v>
      </c>
      <c r="F7" s="495">
        <f t="shared" si="2"/>
        <v>0</v>
      </c>
      <c r="G7" s="495">
        <f t="shared" si="2"/>
        <v>1789635.9999999995</v>
      </c>
      <c r="H7" s="495">
        <f>H6+H95+H111+H114+H116</f>
        <v>57706740.838643707</v>
      </c>
      <c r="I7" s="465"/>
      <c r="J7" s="466"/>
      <c r="K7" s="466"/>
      <c r="L7" s="466"/>
      <c r="M7" s="466"/>
      <c r="N7" s="466"/>
      <c r="O7" s="466"/>
      <c r="P7" s="465"/>
      <c r="Q7" s="466"/>
      <c r="R7" s="466"/>
      <c r="S7" s="466"/>
      <c r="T7" s="466"/>
      <c r="U7" s="466"/>
      <c r="V7" s="466"/>
      <c r="W7" s="466"/>
      <c r="X7" s="466"/>
      <c r="Y7" s="466"/>
      <c r="Z7" s="466"/>
      <c r="AA7" s="466"/>
      <c r="AB7" s="466"/>
      <c r="AC7" s="466"/>
      <c r="AD7" s="466"/>
      <c r="AE7" s="466"/>
      <c r="AF7" s="467"/>
      <c r="AG7" s="467"/>
      <c r="AH7" s="466"/>
      <c r="AI7" s="466"/>
      <c r="AJ7" s="466"/>
      <c r="AK7" s="466"/>
      <c r="AL7" s="466"/>
      <c r="AM7" s="467"/>
      <c r="AN7" s="467"/>
      <c r="AO7" s="466"/>
      <c r="AP7" s="466"/>
      <c r="AQ7" s="466"/>
      <c r="AR7" s="466"/>
      <c r="AS7" s="466"/>
      <c r="AT7" s="466"/>
      <c r="AU7" s="466"/>
      <c r="AV7" s="466"/>
      <c r="AW7" s="466"/>
      <c r="AX7" s="466"/>
      <c r="AY7" s="466"/>
      <c r="AZ7" s="466"/>
      <c r="BA7" s="466"/>
      <c r="BB7" s="466"/>
      <c r="BC7" s="466"/>
      <c r="BD7" s="466"/>
      <c r="BE7" s="466"/>
      <c r="BF7" s="466"/>
      <c r="BG7" s="466"/>
      <c r="BH7" s="466"/>
      <c r="BI7" s="466"/>
      <c r="BJ7" s="466"/>
      <c r="BK7" s="466"/>
      <c r="BL7" s="683"/>
    </row>
    <row r="8" spans="1:70" s="614" customFormat="1" ht="33.65" customHeight="1" x14ac:dyDescent="0.35">
      <c r="A8" s="702" t="s">
        <v>36</v>
      </c>
      <c r="B8" s="468">
        <f t="shared" ref="B8:H8" si="3">SUM(B9:B12)</f>
        <v>1002142.988</v>
      </c>
      <c r="C8" s="468">
        <f t="shared" si="3"/>
        <v>102000</v>
      </c>
      <c r="D8" s="468">
        <f t="shared" si="3"/>
        <v>1104143.2880000002</v>
      </c>
      <c r="E8" s="468">
        <f t="shared" si="3"/>
        <v>0</v>
      </c>
      <c r="F8" s="468">
        <f t="shared" si="3"/>
        <v>0</v>
      </c>
      <c r="G8" s="468">
        <f t="shared" si="3"/>
        <v>0</v>
      </c>
      <c r="H8" s="468">
        <f t="shared" si="3"/>
        <v>1104143.2880000002</v>
      </c>
      <c r="I8" s="941" t="s">
        <v>37</v>
      </c>
      <c r="J8" s="941"/>
      <c r="K8" s="941"/>
      <c r="L8" s="941"/>
      <c r="M8" s="941"/>
      <c r="N8" s="941"/>
      <c r="O8" s="941"/>
      <c r="P8" s="941"/>
      <c r="Q8" s="941"/>
      <c r="R8" s="941"/>
      <c r="S8" s="941"/>
      <c r="T8" s="941"/>
      <c r="U8" s="941"/>
      <c r="V8" s="941"/>
      <c r="W8" s="941"/>
      <c r="X8" s="941"/>
      <c r="Y8" s="941"/>
      <c r="Z8" s="941"/>
      <c r="AA8" s="941"/>
      <c r="AB8" s="941"/>
      <c r="AC8" s="941"/>
      <c r="AD8" s="941"/>
      <c r="AE8" s="941"/>
      <c r="AF8" s="941"/>
      <c r="AG8" s="941"/>
      <c r="AH8" s="941"/>
      <c r="AI8" s="941"/>
      <c r="AJ8" s="941"/>
      <c r="AK8" s="941"/>
      <c r="AL8" s="941"/>
      <c r="AM8" s="941"/>
      <c r="AN8" s="941"/>
      <c r="AO8" s="941"/>
      <c r="AP8" s="941"/>
      <c r="AQ8" s="941"/>
      <c r="AR8" s="941"/>
      <c r="AS8" s="941"/>
      <c r="AT8" s="941"/>
      <c r="AU8" s="941"/>
      <c r="AV8" s="941"/>
      <c r="AW8" s="941"/>
      <c r="AX8" s="941"/>
      <c r="AY8" s="941"/>
      <c r="AZ8" s="941"/>
      <c r="BA8" s="941"/>
      <c r="BB8" s="941"/>
      <c r="BC8" s="941"/>
      <c r="BD8" s="941"/>
      <c r="BE8" s="941"/>
      <c r="BF8" s="941"/>
      <c r="BG8" s="941"/>
      <c r="BH8" s="941"/>
      <c r="BI8" s="941"/>
      <c r="BJ8" s="941"/>
      <c r="BK8" s="941"/>
      <c r="BL8" s="942"/>
    </row>
    <row r="9" spans="1:70" s="617" customFormat="1" ht="23.15" customHeight="1" x14ac:dyDescent="0.35">
      <c r="A9" s="943" t="s">
        <v>38</v>
      </c>
      <c r="B9" s="469">
        <f t="shared" ref="B9:D11" si="4">+M9+AA9+AH9+AV9+BC9+BJ9</f>
        <v>850000</v>
      </c>
      <c r="C9" s="469">
        <f t="shared" si="4"/>
        <v>102000</v>
      </c>
      <c r="D9" s="469">
        <f>+O9+AC9+AJ9+AX9+BE9+BL9+0.3</f>
        <v>952000.3</v>
      </c>
      <c r="E9" s="469">
        <f t="shared" ref="E9:G12" si="5">T9+AO9</f>
        <v>0</v>
      </c>
      <c r="F9" s="469">
        <f t="shared" si="5"/>
        <v>0</v>
      </c>
      <c r="G9" s="469">
        <f t="shared" si="5"/>
        <v>0</v>
      </c>
      <c r="H9" s="469">
        <f>D9+G9</f>
        <v>952000.3</v>
      </c>
      <c r="I9" s="470"/>
      <c r="J9" s="471"/>
      <c r="K9" s="471"/>
      <c r="L9" s="471"/>
      <c r="M9" s="472"/>
      <c r="N9" s="472"/>
      <c r="O9" s="472"/>
      <c r="P9" s="472"/>
      <c r="Q9" s="472"/>
      <c r="R9" s="472"/>
      <c r="S9" s="472"/>
      <c r="T9" s="472"/>
      <c r="U9" s="472"/>
      <c r="V9" s="472"/>
      <c r="W9" s="473"/>
      <c r="X9" s="471"/>
      <c r="Y9" s="471"/>
      <c r="Z9" s="471"/>
      <c r="AA9" s="472"/>
      <c r="AB9" s="472"/>
      <c r="AC9" s="472"/>
      <c r="AD9" s="474"/>
      <c r="AE9" s="471"/>
      <c r="AF9" s="471"/>
      <c r="AG9" s="471"/>
      <c r="AH9" s="472"/>
      <c r="AI9" s="472"/>
      <c r="AJ9" s="472"/>
      <c r="AK9" s="474"/>
      <c r="AL9" s="471"/>
      <c r="AM9" s="471"/>
      <c r="AN9" s="471"/>
      <c r="AO9" s="472"/>
      <c r="AP9" s="472"/>
      <c r="AQ9" s="472"/>
      <c r="AR9" s="470" t="s">
        <v>39</v>
      </c>
      <c r="AS9" s="471">
        <v>1</v>
      </c>
      <c r="AT9" s="471">
        <v>6</v>
      </c>
      <c r="AU9" s="471">
        <v>700</v>
      </c>
      <c r="AV9" s="472">
        <v>850000</v>
      </c>
      <c r="AW9" s="472">
        <f>AV9*0.12</f>
        <v>102000</v>
      </c>
      <c r="AX9" s="472">
        <f>+AV9+AW9</f>
        <v>952000</v>
      </c>
      <c r="AY9" s="472"/>
      <c r="AZ9" s="472"/>
      <c r="BA9" s="472"/>
      <c r="BB9" s="472"/>
      <c r="BC9" s="472"/>
      <c r="BD9" s="472"/>
      <c r="BE9" s="472"/>
      <c r="BF9" s="472"/>
      <c r="BG9" s="472"/>
      <c r="BH9" s="472"/>
      <c r="BI9" s="472"/>
      <c r="BJ9" s="472"/>
      <c r="BK9" s="472"/>
      <c r="BL9" s="502"/>
      <c r="BM9" s="615"/>
      <c r="BN9" s="616"/>
      <c r="BO9" s="615"/>
      <c r="BP9" s="615"/>
      <c r="BQ9" s="615"/>
      <c r="BR9" s="615"/>
    </row>
    <row r="10" spans="1:70" s="617" customFormat="1" ht="23.15" customHeight="1" x14ac:dyDescent="0.35">
      <c r="A10" s="943"/>
      <c r="B10" s="469">
        <f t="shared" si="4"/>
        <v>0</v>
      </c>
      <c r="C10" s="469">
        <f t="shared" si="4"/>
        <v>0</v>
      </c>
      <c r="D10" s="469">
        <f t="shared" si="4"/>
        <v>0</v>
      </c>
      <c r="E10" s="469">
        <f t="shared" si="5"/>
        <v>0</v>
      </c>
      <c r="F10" s="469">
        <f t="shared" si="5"/>
        <v>0</v>
      </c>
      <c r="G10" s="469">
        <f t="shared" si="5"/>
        <v>0</v>
      </c>
      <c r="H10" s="469">
        <f>D10+G10</f>
        <v>0</v>
      </c>
      <c r="I10" s="470"/>
      <c r="J10" s="471"/>
      <c r="K10" s="471"/>
      <c r="L10" s="471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3"/>
      <c r="X10" s="471"/>
      <c r="Y10" s="471"/>
      <c r="Z10" s="471"/>
      <c r="AA10" s="472"/>
      <c r="AB10" s="472"/>
      <c r="AC10" s="472"/>
      <c r="AD10" s="474"/>
      <c r="AE10" s="471"/>
      <c r="AF10" s="471"/>
      <c r="AG10" s="471"/>
      <c r="AH10" s="472"/>
      <c r="AI10" s="472"/>
      <c r="AJ10" s="472"/>
      <c r="AK10" s="474"/>
      <c r="AL10" s="471"/>
      <c r="AM10" s="471"/>
      <c r="AN10" s="471"/>
      <c r="AO10" s="472"/>
      <c r="AP10" s="472"/>
      <c r="AQ10" s="472"/>
      <c r="AR10" s="470"/>
      <c r="AS10" s="471"/>
      <c r="AT10" s="471"/>
      <c r="AU10" s="471"/>
      <c r="AV10" s="472"/>
      <c r="AW10" s="472"/>
      <c r="AX10" s="472"/>
      <c r="AY10" s="472"/>
      <c r="AZ10" s="472"/>
      <c r="BA10" s="472"/>
      <c r="BB10" s="472"/>
      <c r="BC10" s="472"/>
      <c r="BD10" s="472"/>
      <c r="BE10" s="472"/>
      <c r="BF10" s="472"/>
      <c r="BG10" s="472"/>
      <c r="BH10" s="472"/>
      <c r="BI10" s="472"/>
      <c r="BJ10" s="472"/>
      <c r="BK10" s="472"/>
      <c r="BL10" s="502"/>
      <c r="BM10" s="615"/>
      <c r="BN10" s="616"/>
      <c r="BO10" s="615"/>
      <c r="BP10" s="615"/>
      <c r="BQ10" s="615"/>
      <c r="BR10" s="615"/>
    </row>
    <row r="11" spans="1:70" s="617" customFormat="1" ht="23.15" customHeight="1" x14ac:dyDescent="0.35">
      <c r="A11" s="943"/>
      <c r="B11" s="469">
        <f t="shared" si="4"/>
        <v>0</v>
      </c>
      <c r="C11" s="469">
        <f t="shared" si="4"/>
        <v>0</v>
      </c>
      <c r="D11" s="469">
        <f t="shared" si="4"/>
        <v>0</v>
      </c>
      <c r="E11" s="469">
        <f t="shared" si="5"/>
        <v>0</v>
      </c>
      <c r="F11" s="469">
        <f t="shared" si="5"/>
        <v>0</v>
      </c>
      <c r="G11" s="469">
        <f t="shared" si="5"/>
        <v>0</v>
      </c>
      <c r="H11" s="469">
        <f>D11+G11</f>
        <v>0</v>
      </c>
      <c r="I11" s="470"/>
      <c r="J11" s="471"/>
      <c r="K11" s="471"/>
      <c r="L11" s="471"/>
      <c r="M11" s="472"/>
      <c r="N11" s="472"/>
      <c r="O11" s="472"/>
      <c r="P11" s="472"/>
      <c r="Q11" s="472"/>
      <c r="R11" s="472"/>
      <c r="S11" s="472"/>
      <c r="T11" s="472"/>
      <c r="U11" s="472"/>
      <c r="V11" s="472"/>
      <c r="W11" s="473"/>
      <c r="X11" s="471"/>
      <c r="Y11" s="471"/>
      <c r="Z11" s="471"/>
      <c r="AA11" s="472"/>
      <c r="AB11" s="472"/>
      <c r="AC11" s="472"/>
      <c r="AD11" s="474"/>
      <c r="AE11" s="471"/>
      <c r="AF11" s="471"/>
      <c r="AG11" s="471"/>
      <c r="AH11" s="472"/>
      <c r="AI11" s="472"/>
      <c r="AJ11" s="472"/>
      <c r="AK11" s="474"/>
      <c r="AL11" s="471"/>
      <c r="AM11" s="471"/>
      <c r="AN11" s="471"/>
      <c r="AO11" s="472"/>
      <c r="AP11" s="472"/>
      <c r="AQ11" s="472"/>
      <c r="AR11" s="470"/>
      <c r="AS11" s="471"/>
      <c r="AT11" s="471"/>
      <c r="AU11" s="471"/>
      <c r="AV11" s="472"/>
      <c r="AW11" s="472"/>
      <c r="AX11" s="472"/>
      <c r="AY11" s="472"/>
      <c r="AZ11" s="472"/>
      <c r="BA11" s="472"/>
      <c r="BB11" s="472"/>
      <c r="BC11" s="472"/>
      <c r="BD11" s="472"/>
      <c r="BE11" s="472"/>
      <c r="BF11" s="472"/>
      <c r="BG11" s="472"/>
      <c r="BH11" s="472"/>
      <c r="BI11" s="472"/>
      <c r="BJ11" s="472"/>
      <c r="BK11" s="472"/>
      <c r="BL11" s="502"/>
      <c r="BM11" s="615"/>
      <c r="BN11" s="616"/>
      <c r="BO11" s="615"/>
      <c r="BP11" s="615"/>
      <c r="BQ11" s="615"/>
      <c r="BR11" s="615"/>
    </row>
    <row r="12" spans="1:70" s="617" customFormat="1" ht="23.15" customHeight="1" x14ac:dyDescent="0.35">
      <c r="A12" s="943"/>
      <c r="B12" s="469">
        <f>+O12</f>
        <v>152142.98800000001</v>
      </c>
      <c r="C12" s="469">
        <f>+N12+AB12+AI12+AW12+BD12+BK12</f>
        <v>0</v>
      </c>
      <c r="D12" s="469">
        <f>+O12+AC12+AJ12+AX12+BE12+BL12</f>
        <v>152142.98800000001</v>
      </c>
      <c r="E12" s="469">
        <f t="shared" si="5"/>
        <v>0</v>
      </c>
      <c r="F12" s="469">
        <f t="shared" si="5"/>
        <v>0</v>
      </c>
      <c r="G12" s="469">
        <f t="shared" si="5"/>
        <v>0</v>
      </c>
      <c r="H12" s="469">
        <f>D12+G12</f>
        <v>152142.98800000001</v>
      </c>
      <c r="I12" s="470" t="s">
        <v>40</v>
      </c>
      <c r="J12" s="471">
        <v>2817.4636666666665</v>
      </c>
      <c r="K12" s="471">
        <v>18</v>
      </c>
      <c r="L12" s="471">
        <v>3</v>
      </c>
      <c r="M12" s="472"/>
      <c r="N12" s="472"/>
      <c r="O12" s="472">
        <v>152142.98800000001</v>
      </c>
      <c r="P12" s="472"/>
      <c r="Q12" s="472"/>
      <c r="R12" s="472"/>
      <c r="S12" s="472"/>
      <c r="T12" s="472"/>
      <c r="U12" s="472"/>
      <c r="V12" s="472"/>
      <c r="W12" s="473"/>
      <c r="X12" s="471"/>
      <c r="Y12" s="471"/>
      <c r="Z12" s="471"/>
      <c r="AA12" s="472"/>
      <c r="AB12" s="472"/>
      <c r="AC12" s="472"/>
      <c r="AD12" s="474"/>
      <c r="AE12" s="471"/>
      <c r="AF12" s="471"/>
      <c r="AG12" s="471"/>
      <c r="AH12" s="472"/>
      <c r="AI12" s="472"/>
      <c r="AJ12" s="472"/>
      <c r="AK12" s="474"/>
      <c r="AL12" s="471"/>
      <c r="AM12" s="471"/>
      <c r="AN12" s="471"/>
      <c r="AO12" s="472"/>
      <c r="AP12" s="472"/>
      <c r="AQ12" s="472"/>
      <c r="AR12" s="470"/>
      <c r="AS12" s="471"/>
      <c r="AT12" s="471"/>
      <c r="AU12" s="471"/>
      <c r="AV12" s="472"/>
      <c r="AW12" s="472"/>
      <c r="AX12" s="472"/>
      <c r="AY12" s="472"/>
      <c r="AZ12" s="472"/>
      <c r="BA12" s="472"/>
      <c r="BB12" s="472"/>
      <c r="BC12" s="472"/>
      <c r="BD12" s="472"/>
      <c r="BE12" s="472"/>
      <c r="BF12" s="472"/>
      <c r="BG12" s="472"/>
      <c r="BH12" s="472"/>
      <c r="BI12" s="472"/>
      <c r="BJ12" s="472"/>
      <c r="BK12" s="472"/>
      <c r="BL12" s="502"/>
      <c r="BM12" s="615"/>
      <c r="BN12" s="616"/>
      <c r="BO12" s="615"/>
      <c r="BP12" s="615"/>
      <c r="BQ12" s="615"/>
      <c r="BR12" s="615"/>
    </row>
    <row r="13" spans="1:70" s="614" customFormat="1" ht="33.65" customHeight="1" x14ac:dyDescent="0.35">
      <c r="A13" s="702" t="s">
        <v>41</v>
      </c>
      <c r="B13" s="468">
        <f>B14+B38</f>
        <v>31314048.161578111</v>
      </c>
      <c r="C13" s="468">
        <f t="shared" ref="C13:G13" si="6">C14+C38</f>
        <v>3722020.1660256004</v>
      </c>
      <c r="D13" s="468">
        <f t="shared" si="6"/>
        <v>35036241.327603705</v>
      </c>
      <c r="E13" s="468">
        <f t="shared" si="6"/>
        <v>0</v>
      </c>
      <c r="F13" s="468">
        <f t="shared" si="6"/>
        <v>0</v>
      </c>
      <c r="G13" s="468">
        <f t="shared" si="6"/>
        <v>0</v>
      </c>
      <c r="H13" s="468">
        <f>H14+H38</f>
        <v>35036241.327603705</v>
      </c>
      <c r="I13" s="941" t="s">
        <v>42</v>
      </c>
      <c r="J13" s="941"/>
      <c r="K13" s="941"/>
      <c r="L13" s="941"/>
      <c r="M13" s="941"/>
      <c r="N13" s="941"/>
      <c r="O13" s="941"/>
      <c r="P13" s="941"/>
      <c r="Q13" s="941"/>
      <c r="R13" s="941"/>
      <c r="S13" s="941"/>
      <c r="T13" s="941"/>
      <c r="U13" s="941"/>
      <c r="V13" s="941"/>
      <c r="W13" s="941"/>
      <c r="X13" s="941"/>
      <c r="Y13" s="941"/>
      <c r="Z13" s="941"/>
      <c r="AA13" s="941"/>
      <c r="AB13" s="941"/>
      <c r="AC13" s="941"/>
      <c r="AD13" s="941"/>
      <c r="AE13" s="941"/>
      <c r="AF13" s="941"/>
      <c r="AG13" s="941"/>
      <c r="AH13" s="941"/>
      <c r="AI13" s="941"/>
      <c r="AJ13" s="941"/>
      <c r="AK13" s="941"/>
      <c r="AL13" s="941"/>
      <c r="AM13" s="941"/>
      <c r="AN13" s="941"/>
      <c r="AO13" s="941"/>
      <c r="AP13" s="941"/>
      <c r="AQ13" s="941"/>
      <c r="AR13" s="941"/>
      <c r="AS13" s="941"/>
      <c r="AT13" s="941"/>
      <c r="AU13" s="941"/>
      <c r="AV13" s="941"/>
      <c r="AW13" s="941"/>
      <c r="AX13" s="941"/>
      <c r="AY13" s="941"/>
      <c r="AZ13" s="941"/>
      <c r="BA13" s="941"/>
      <c r="BB13" s="941"/>
      <c r="BC13" s="941"/>
      <c r="BD13" s="941"/>
      <c r="BE13" s="941"/>
      <c r="BF13" s="941"/>
      <c r="BG13" s="941"/>
      <c r="BH13" s="941"/>
      <c r="BI13" s="941"/>
      <c r="BJ13" s="941"/>
      <c r="BK13" s="941"/>
      <c r="BL13" s="942"/>
    </row>
    <row r="14" spans="1:70" s="617" customFormat="1" ht="23.15" customHeight="1" x14ac:dyDescent="0.35">
      <c r="A14" s="947" t="s">
        <v>43</v>
      </c>
      <c r="B14" s="604">
        <f>SUM(B15:B37)</f>
        <v>24886179.249578111</v>
      </c>
      <c r="C14" s="604">
        <f t="shared" ref="C14:H14" si="7">SUM(C15:C37)</f>
        <v>3541376.9660256002</v>
      </c>
      <c r="D14" s="604">
        <f t="shared" si="7"/>
        <v>28427729.215603709</v>
      </c>
      <c r="E14" s="604">
        <f t="shared" si="7"/>
        <v>0</v>
      </c>
      <c r="F14" s="604">
        <f t="shared" si="7"/>
        <v>0</v>
      </c>
      <c r="G14" s="604">
        <f t="shared" si="7"/>
        <v>0</v>
      </c>
      <c r="H14" s="604">
        <f t="shared" si="7"/>
        <v>28427729.215603709</v>
      </c>
      <c r="I14" s="627"/>
      <c r="J14" s="621"/>
      <c r="K14" s="606"/>
      <c r="L14" s="606"/>
      <c r="M14" s="622"/>
      <c r="N14" s="607"/>
      <c r="O14" s="622"/>
      <c r="P14" s="607"/>
      <c r="Q14" s="607"/>
      <c r="R14" s="607"/>
      <c r="S14" s="607"/>
      <c r="T14" s="607"/>
      <c r="U14" s="607"/>
      <c r="V14" s="607"/>
      <c r="W14" s="608"/>
      <c r="X14" s="606"/>
      <c r="Y14" s="606"/>
      <c r="Z14" s="606"/>
      <c r="AA14" s="607"/>
      <c r="AB14" s="607"/>
      <c r="AC14" s="607"/>
      <c r="AD14" s="613"/>
      <c r="AE14" s="606"/>
      <c r="AF14" s="606"/>
      <c r="AG14" s="606"/>
      <c r="AH14" s="607"/>
      <c r="AI14" s="607"/>
      <c r="AJ14" s="607"/>
      <c r="AK14" s="613"/>
      <c r="AL14" s="606"/>
      <c r="AM14" s="606"/>
      <c r="AN14" s="606"/>
      <c r="AO14" s="607"/>
      <c r="AP14" s="607"/>
      <c r="AQ14" s="607"/>
      <c r="AR14" s="613"/>
      <c r="AS14" s="606"/>
      <c r="AT14" s="606"/>
      <c r="AU14" s="606"/>
      <c r="AV14" s="607"/>
      <c r="AW14" s="607"/>
      <c r="AX14" s="607"/>
      <c r="AY14" s="607"/>
      <c r="AZ14" s="607"/>
      <c r="BA14" s="607"/>
      <c r="BB14" s="607"/>
      <c r="BC14" s="607"/>
      <c r="BD14" s="607"/>
      <c r="BE14" s="607"/>
      <c r="BF14" s="607"/>
      <c r="BG14" s="607"/>
      <c r="BH14" s="607"/>
      <c r="BI14" s="607"/>
      <c r="BJ14" s="607"/>
      <c r="BK14" s="607"/>
      <c r="BL14" s="684"/>
      <c r="BM14" s="615"/>
      <c r="BN14" s="616"/>
      <c r="BO14" s="615"/>
      <c r="BP14" s="615"/>
      <c r="BQ14" s="615"/>
      <c r="BR14" s="615"/>
    </row>
    <row r="15" spans="1:70" s="617" customFormat="1" ht="23.15" customHeight="1" x14ac:dyDescent="0.35">
      <c r="A15" s="948"/>
      <c r="B15" s="623">
        <f t="shared" ref="B15:B37" si="8">+M15+AA15+AH15+AV15+BC15+BJ15</f>
        <v>1033017.127296</v>
      </c>
      <c r="C15" s="623">
        <f t="shared" ref="C15:C37" si="9">+N15+AB15+AI15+AW15+BD15+BK15</f>
        <v>140865.97190400001</v>
      </c>
      <c r="D15" s="623">
        <f>+O15+AC15+AJ15+AX15+BE15+BL15</f>
        <v>1173883.0992000001</v>
      </c>
      <c r="E15" s="623">
        <f>T15+AO15</f>
        <v>0</v>
      </c>
      <c r="F15" s="623">
        <f>U15+AP15</f>
        <v>0</v>
      </c>
      <c r="G15" s="623">
        <f>V15+AQ15</f>
        <v>0</v>
      </c>
      <c r="H15" s="623">
        <f>D15+G15</f>
        <v>1173883.0992000001</v>
      </c>
      <c r="I15" s="606"/>
      <c r="J15" s="606"/>
      <c r="K15" s="606"/>
      <c r="L15" s="606"/>
      <c r="M15" s="607"/>
      <c r="N15" s="607"/>
      <c r="O15" s="607"/>
      <c r="P15" s="607"/>
      <c r="Q15" s="607"/>
      <c r="R15" s="607"/>
      <c r="S15" s="607"/>
      <c r="T15" s="607"/>
      <c r="U15" s="607"/>
      <c r="V15" s="607"/>
      <c r="W15" s="613"/>
      <c r="X15" s="606"/>
      <c r="Y15" s="606"/>
      <c r="Z15" s="606"/>
      <c r="AA15" s="607"/>
      <c r="AB15" s="607"/>
      <c r="AC15" s="607"/>
      <c r="AD15" s="624" t="s">
        <v>44</v>
      </c>
      <c r="AE15" s="606"/>
      <c r="AF15" s="606"/>
      <c r="AG15" s="606"/>
      <c r="AH15" s="607">
        <v>1033017.127296</v>
      </c>
      <c r="AI15" s="607">
        <v>140865.97190400001</v>
      </c>
      <c r="AJ15" s="607">
        <f>AH15+AI15</f>
        <v>1173883.0992000001</v>
      </c>
      <c r="AK15" s="624"/>
      <c r="AL15" s="606"/>
      <c r="AM15" s="606"/>
      <c r="AN15" s="606"/>
      <c r="AO15" s="607"/>
      <c r="AP15" s="607"/>
      <c r="AQ15" s="607"/>
      <c r="AR15" s="613"/>
      <c r="AS15" s="606"/>
      <c r="AT15" s="606"/>
      <c r="AU15" s="606"/>
      <c r="AV15" s="607"/>
      <c r="AW15" s="607"/>
      <c r="AX15" s="607"/>
      <c r="AY15" s="608"/>
      <c r="AZ15" s="607"/>
      <c r="BA15" s="606"/>
      <c r="BB15" s="606"/>
      <c r="BC15" s="607"/>
      <c r="BD15" s="607"/>
      <c r="BE15" s="607"/>
      <c r="BF15" s="608"/>
      <c r="BG15" s="606"/>
      <c r="BH15" s="606"/>
      <c r="BI15" s="607"/>
      <c r="BJ15" s="607"/>
      <c r="BK15" s="607"/>
      <c r="BL15" s="684"/>
      <c r="BM15" s="618"/>
      <c r="BN15" s="616">
        <v>0</v>
      </c>
      <c r="BO15" s="616"/>
      <c r="BP15" s="615"/>
      <c r="BQ15" s="615"/>
      <c r="BR15" s="615"/>
    </row>
    <row r="16" spans="1:70" s="617" customFormat="1" ht="23.15" customHeight="1" x14ac:dyDescent="0.35">
      <c r="A16" s="948"/>
      <c r="B16" s="623">
        <f t="shared" si="8"/>
        <v>673190.83039999998</v>
      </c>
      <c r="C16" s="623">
        <f t="shared" si="9"/>
        <v>91798.749599999996</v>
      </c>
      <c r="D16" s="623">
        <f t="shared" ref="D16:D37" si="10">+O16+AC16+AJ16+AX16+BE16+BL16</f>
        <v>764989.58</v>
      </c>
      <c r="E16" s="623">
        <f t="shared" ref="E16:E37" si="11">T16+AO16</f>
        <v>0</v>
      </c>
      <c r="F16" s="623">
        <f t="shared" ref="F16:F37" si="12">U16+AP16</f>
        <v>0</v>
      </c>
      <c r="G16" s="623">
        <f t="shared" ref="G16:G37" si="13">V16+AQ16</f>
        <v>0</v>
      </c>
      <c r="H16" s="623">
        <f t="shared" ref="H16:H37" si="14">D16+G16</f>
        <v>764989.58</v>
      </c>
      <c r="I16" s="606"/>
      <c r="J16" s="606"/>
      <c r="K16" s="606"/>
      <c r="L16" s="606"/>
      <c r="M16" s="607"/>
      <c r="N16" s="607"/>
      <c r="O16" s="607"/>
      <c r="P16" s="607"/>
      <c r="Q16" s="607"/>
      <c r="R16" s="607"/>
      <c r="S16" s="607"/>
      <c r="T16" s="607"/>
      <c r="U16" s="607"/>
      <c r="V16" s="607"/>
      <c r="W16" s="613"/>
      <c r="X16" s="606"/>
      <c r="Y16" s="606"/>
      <c r="Z16" s="606"/>
      <c r="AA16" s="607"/>
      <c r="AB16" s="607"/>
      <c r="AC16" s="607"/>
      <c r="AD16" s="624" t="s">
        <v>45</v>
      </c>
      <c r="AE16" s="606"/>
      <c r="AF16" s="606"/>
      <c r="AG16" s="606"/>
      <c r="AH16" s="607">
        <v>673190.83039999998</v>
      </c>
      <c r="AI16" s="607">
        <v>91798.749599999996</v>
      </c>
      <c r="AJ16" s="607">
        <f t="shared" ref="AJ16:AJ25" si="15">AH16+AI16</f>
        <v>764989.58</v>
      </c>
      <c r="AK16" s="624"/>
      <c r="AL16" s="606"/>
      <c r="AM16" s="606"/>
      <c r="AN16" s="606"/>
      <c r="AO16" s="607"/>
      <c r="AP16" s="607"/>
      <c r="AQ16" s="607"/>
      <c r="AR16" s="613"/>
      <c r="AS16" s="606"/>
      <c r="AT16" s="606"/>
      <c r="AU16" s="606"/>
      <c r="AV16" s="607"/>
      <c r="AW16" s="607"/>
      <c r="AX16" s="607"/>
      <c r="AY16" s="608"/>
      <c r="AZ16" s="607"/>
      <c r="BA16" s="606"/>
      <c r="BB16" s="606"/>
      <c r="BC16" s="607"/>
      <c r="BD16" s="607"/>
      <c r="BE16" s="607"/>
      <c r="BF16" s="608"/>
      <c r="BG16" s="606"/>
      <c r="BH16" s="606"/>
      <c r="BI16" s="607"/>
      <c r="BJ16" s="607"/>
      <c r="BK16" s="607"/>
      <c r="BL16" s="684"/>
      <c r="BM16" s="618"/>
      <c r="BN16" s="616">
        <v>0</v>
      </c>
      <c r="BO16" s="616"/>
      <c r="BP16" s="615"/>
      <c r="BQ16" s="615"/>
      <c r="BR16" s="615"/>
    </row>
    <row r="17" spans="1:70" s="617" customFormat="1" ht="23.15" customHeight="1" x14ac:dyDescent="0.35">
      <c r="A17" s="948"/>
      <c r="B17" s="623">
        <f t="shared" si="8"/>
        <v>2313042.6026466801</v>
      </c>
      <c r="C17" s="623">
        <f t="shared" si="9"/>
        <v>412985.21471999999</v>
      </c>
      <c r="D17" s="623">
        <f t="shared" si="10"/>
        <v>2726200.8173666801</v>
      </c>
      <c r="E17" s="623">
        <f t="shared" si="11"/>
        <v>0</v>
      </c>
      <c r="F17" s="623">
        <f t="shared" si="12"/>
        <v>0</v>
      </c>
      <c r="G17" s="623">
        <f t="shared" si="13"/>
        <v>0</v>
      </c>
      <c r="H17" s="623">
        <f t="shared" si="14"/>
        <v>2726200.8173666801</v>
      </c>
      <c r="I17" s="606"/>
      <c r="J17" s="606"/>
      <c r="K17" s="606"/>
      <c r="L17" s="606"/>
      <c r="M17" s="607"/>
      <c r="N17" s="607"/>
      <c r="O17" s="607"/>
      <c r="P17" s="607"/>
      <c r="Q17" s="607"/>
      <c r="R17" s="607"/>
      <c r="S17" s="607"/>
      <c r="T17" s="607"/>
      <c r="U17" s="607"/>
      <c r="V17" s="607"/>
      <c r="W17" s="613"/>
      <c r="X17" s="606"/>
      <c r="Y17" s="606"/>
      <c r="Z17" s="606"/>
      <c r="AA17" s="607"/>
      <c r="AB17" s="607"/>
      <c r="AC17" s="607"/>
      <c r="AD17" s="624" t="s">
        <v>46</v>
      </c>
      <c r="AE17" s="606"/>
      <c r="AF17" s="606"/>
      <c r="AG17" s="606"/>
      <c r="AH17" s="607">
        <f>2311599.60264668+1443</f>
        <v>2313042.6026466801</v>
      </c>
      <c r="AI17" s="607">
        <v>412985.21471999999</v>
      </c>
      <c r="AJ17" s="607">
        <f>AH17+AI17+173</f>
        <v>2726200.8173666801</v>
      </c>
      <c r="AK17" s="624"/>
      <c r="AL17" s="606"/>
      <c r="AM17" s="606"/>
      <c r="AN17" s="606"/>
      <c r="AO17" s="607"/>
      <c r="AP17" s="607"/>
      <c r="AQ17" s="607"/>
      <c r="AR17" s="607"/>
      <c r="AS17" s="625"/>
      <c r="AT17" s="606"/>
      <c r="AU17" s="606"/>
      <c r="AV17" s="607"/>
      <c r="AW17" s="607"/>
      <c r="AX17" s="607"/>
      <c r="AY17" s="608"/>
      <c r="AZ17" s="607"/>
      <c r="BA17" s="606"/>
      <c r="BB17" s="606"/>
      <c r="BC17" s="607"/>
      <c r="BD17" s="607"/>
      <c r="BE17" s="607"/>
      <c r="BF17" s="608"/>
      <c r="BG17" s="606"/>
      <c r="BH17" s="606"/>
      <c r="BI17" s="607"/>
      <c r="BJ17" s="607"/>
      <c r="BK17" s="607"/>
      <c r="BL17" s="684"/>
      <c r="BM17" s="618"/>
      <c r="BN17" s="616">
        <v>0</v>
      </c>
      <c r="BO17" s="616"/>
      <c r="BP17" s="615"/>
      <c r="BQ17" s="615"/>
      <c r="BR17" s="615"/>
    </row>
    <row r="18" spans="1:70" s="617" customFormat="1" ht="23.15" customHeight="1" x14ac:dyDescent="0.35">
      <c r="A18" s="948"/>
      <c r="B18" s="623">
        <f t="shared" si="8"/>
        <v>1010314.9319999999</v>
      </c>
      <c r="C18" s="623">
        <f t="shared" si="9"/>
        <v>137770.21799999999</v>
      </c>
      <c r="D18" s="623">
        <f t="shared" si="10"/>
        <v>1148085.1499999999</v>
      </c>
      <c r="E18" s="623">
        <f t="shared" si="11"/>
        <v>0</v>
      </c>
      <c r="F18" s="623">
        <f t="shared" si="12"/>
        <v>0</v>
      </c>
      <c r="G18" s="623">
        <f t="shared" si="13"/>
        <v>0</v>
      </c>
      <c r="H18" s="623">
        <f t="shared" si="14"/>
        <v>1148085.1499999999</v>
      </c>
      <c r="I18" s="606"/>
      <c r="J18" s="606"/>
      <c r="K18" s="606"/>
      <c r="L18" s="606"/>
      <c r="M18" s="607"/>
      <c r="N18" s="607"/>
      <c r="O18" s="607"/>
      <c r="P18" s="607"/>
      <c r="Q18" s="607"/>
      <c r="R18" s="607"/>
      <c r="S18" s="607"/>
      <c r="T18" s="607"/>
      <c r="U18" s="607"/>
      <c r="V18" s="607"/>
      <c r="W18" s="613"/>
      <c r="X18" s="606"/>
      <c r="Y18" s="606"/>
      <c r="Z18" s="606"/>
      <c r="AA18" s="607"/>
      <c r="AB18" s="607"/>
      <c r="AC18" s="607"/>
      <c r="AD18" s="624" t="s">
        <v>47</v>
      </c>
      <c r="AE18" s="606"/>
      <c r="AF18" s="606"/>
      <c r="AG18" s="606"/>
      <c r="AH18" s="607">
        <v>1010314.9319999999</v>
      </c>
      <c r="AI18" s="607">
        <v>137770.21799999999</v>
      </c>
      <c r="AJ18" s="607">
        <f t="shared" si="15"/>
        <v>1148085.1499999999</v>
      </c>
      <c r="AK18" s="624"/>
      <c r="AL18" s="606"/>
      <c r="AM18" s="606"/>
      <c r="AN18" s="606"/>
      <c r="AO18" s="607"/>
      <c r="AP18" s="607"/>
      <c r="AQ18" s="607"/>
      <c r="AR18" s="607"/>
      <c r="AS18" s="606"/>
      <c r="AT18" s="606"/>
      <c r="AU18" s="606"/>
      <c r="AV18" s="607"/>
      <c r="AW18" s="607"/>
      <c r="AX18" s="607"/>
      <c r="AY18" s="608"/>
      <c r="AZ18" s="607"/>
      <c r="BA18" s="606"/>
      <c r="BB18" s="606"/>
      <c r="BC18" s="607"/>
      <c r="BD18" s="607"/>
      <c r="BE18" s="607"/>
      <c r="BF18" s="608"/>
      <c r="BG18" s="606"/>
      <c r="BH18" s="606"/>
      <c r="BI18" s="607"/>
      <c r="BJ18" s="607"/>
      <c r="BK18" s="607"/>
      <c r="BL18" s="684"/>
      <c r="BM18" s="618"/>
      <c r="BN18" s="616">
        <v>0</v>
      </c>
      <c r="BO18" s="616"/>
      <c r="BP18" s="615"/>
      <c r="BQ18" s="615"/>
      <c r="BR18" s="615"/>
    </row>
    <row r="19" spans="1:70" s="617" customFormat="1" ht="23.15" customHeight="1" x14ac:dyDescent="0.35">
      <c r="A19" s="948"/>
      <c r="B19" s="623">
        <f t="shared" si="8"/>
        <v>1739723.6735999999</v>
      </c>
      <c r="C19" s="623">
        <f t="shared" si="9"/>
        <v>237235.04639999999</v>
      </c>
      <c r="D19" s="623">
        <f t="shared" si="10"/>
        <v>1976958.7199999997</v>
      </c>
      <c r="E19" s="623">
        <f t="shared" si="11"/>
        <v>0</v>
      </c>
      <c r="F19" s="623">
        <f t="shared" si="12"/>
        <v>0</v>
      </c>
      <c r="G19" s="623">
        <f t="shared" si="13"/>
        <v>0</v>
      </c>
      <c r="H19" s="623">
        <f t="shared" si="14"/>
        <v>1976958.7199999997</v>
      </c>
      <c r="I19" s="606"/>
      <c r="J19" s="606"/>
      <c r="K19" s="606"/>
      <c r="L19" s="606"/>
      <c r="M19" s="607"/>
      <c r="N19" s="607"/>
      <c r="O19" s="607"/>
      <c r="P19" s="607"/>
      <c r="Q19" s="607"/>
      <c r="R19" s="607"/>
      <c r="S19" s="607"/>
      <c r="T19" s="607"/>
      <c r="U19" s="607"/>
      <c r="V19" s="607"/>
      <c r="W19" s="613"/>
      <c r="X19" s="606"/>
      <c r="Y19" s="606"/>
      <c r="Z19" s="606"/>
      <c r="AA19" s="607"/>
      <c r="AB19" s="607"/>
      <c r="AC19" s="607"/>
      <c r="AD19" s="624" t="s">
        <v>48</v>
      </c>
      <c r="AE19" s="606"/>
      <c r="AF19" s="606"/>
      <c r="AG19" s="606"/>
      <c r="AH19" s="607">
        <v>1739723.6735999999</v>
      </c>
      <c r="AI19" s="607">
        <v>237235.04639999999</v>
      </c>
      <c r="AJ19" s="607">
        <f t="shared" si="15"/>
        <v>1976958.7199999997</v>
      </c>
      <c r="AK19" s="624" t="s">
        <v>49</v>
      </c>
      <c r="AL19" s="606" t="s">
        <v>50</v>
      </c>
      <c r="AM19" s="606"/>
      <c r="AN19" s="606"/>
      <c r="AO19" s="607"/>
      <c r="AP19" s="607"/>
      <c r="AQ19" s="607">
        <f t="shared" ref="AQ19:AQ37" si="16">AO19+AP19</f>
        <v>0</v>
      </c>
      <c r="AR19" s="613"/>
      <c r="AS19" s="606"/>
      <c r="AT19" s="606"/>
      <c r="AU19" s="606"/>
      <c r="AV19" s="607"/>
      <c r="AW19" s="607"/>
      <c r="AX19" s="607"/>
      <c r="AY19" s="608"/>
      <c r="AZ19" s="607"/>
      <c r="BA19" s="606"/>
      <c r="BB19" s="606"/>
      <c r="BC19" s="607"/>
      <c r="BD19" s="607"/>
      <c r="BE19" s="607"/>
      <c r="BF19" s="608"/>
      <c r="BG19" s="606"/>
      <c r="BH19" s="606"/>
      <c r="BI19" s="607"/>
      <c r="BJ19" s="607"/>
      <c r="BK19" s="607"/>
      <c r="BL19" s="684"/>
      <c r="BM19" s="618"/>
      <c r="BN19" s="616">
        <v>0</v>
      </c>
      <c r="BO19" s="616"/>
      <c r="BP19" s="615"/>
      <c r="BQ19" s="615"/>
      <c r="BR19" s="615"/>
    </row>
    <row r="20" spans="1:70" s="617" customFormat="1" ht="23.15" customHeight="1" x14ac:dyDescent="0.35">
      <c r="A20" s="948"/>
      <c r="B20" s="623">
        <f t="shared" si="8"/>
        <v>1992996.1773570313</v>
      </c>
      <c r="C20" s="623">
        <f t="shared" si="9"/>
        <v>322008.95999999996</v>
      </c>
      <c r="D20" s="623">
        <f t="shared" si="10"/>
        <v>2315005.137357031</v>
      </c>
      <c r="E20" s="623">
        <f t="shared" si="11"/>
        <v>0</v>
      </c>
      <c r="F20" s="623">
        <f t="shared" si="12"/>
        <v>0</v>
      </c>
      <c r="G20" s="623">
        <f t="shared" si="13"/>
        <v>0</v>
      </c>
      <c r="H20" s="623">
        <f t="shared" si="14"/>
        <v>2315005.137357031</v>
      </c>
      <c r="I20" s="606"/>
      <c r="J20" s="606"/>
      <c r="K20" s="606"/>
      <c r="L20" s="606"/>
      <c r="M20" s="607"/>
      <c r="N20" s="607"/>
      <c r="O20" s="607"/>
      <c r="P20" s="607"/>
      <c r="Q20" s="607"/>
      <c r="R20" s="607"/>
      <c r="S20" s="607"/>
      <c r="T20" s="607"/>
      <c r="U20" s="607"/>
      <c r="V20" s="607"/>
      <c r="W20" s="613"/>
      <c r="X20" s="606"/>
      <c r="Y20" s="606"/>
      <c r="Z20" s="606"/>
      <c r="AA20" s="607"/>
      <c r="AB20" s="607"/>
      <c r="AC20" s="607"/>
      <c r="AD20" s="624" t="s">
        <v>51</v>
      </c>
      <c r="AE20" s="606"/>
      <c r="AF20" s="606"/>
      <c r="AG20" s="606"/>
      <c r="AH20" s="607">
        <v>1992996.1773570313</v>
      </c>
      <c r="AI20" s="607">
        <v>322008.95999999996</v>
      </c>
      <c r="AJ20" s="607">
        <f t="shared" si="15"/>
        <v>2315005.137357031</v>
      </c>
      <c r="AK20" s="624" t="s">
        <v>52</v>
      </c>
      <c r="AL20" s="606" t="s">
        <v>50</v>
      </c>
      <c r="AM20" s="606"/>
      <c r="AN20" s="606"/>
      <c r="AO20" s="607"/>
      <c r="AP20" s="607"/>
      <c r="AQ20" s="607">
        <f t="shared" si="16"/>
        <v>0</v>
      </c>
      <c r="AR20" s="613"/>
      <c r="AS20" s="606"/>
      <c r="AT20" s="606"/>
      <c r="AU20" s="606"/>
      <c r="AV20" s="607"/>
      <c r="AW20" s="607"/>
      <c r="AX20" s="607"/>
      <c r="AY20" s="608"/>
      <c r="AZ20" s="607"/>
      <c r="BA20" s="606"/>
      <c r="BB20" s="606"/>
      <c r="BC20" s="607"/>
      <c r="BD20" s="607"/>
      <c r="BE20" s="607"/>
      <c r="BF20" s="608"/>
      <c r="BG20" s="606"/>
      <c r="BH20" s="606"/>
      <c r="BI20" s="607"/>
      <c r="BJ20" s="607"/>
      <c r="BK20" s="607"/>
      <c r="BL20" s="684"/>
      <c r="BM20" s="618"/>
      <c r="BN20" s="616">
        <v>0</v>
      </c>
      <c r="BO20" s="616"/>
      <c r="BP20" s="615"/>
      <c r="BQ20" s="615"/>
      <c r="BR20" s="615"/>
    </row>
    <row r="21" spans="1:70" s="617" customFormat="1" ht="23.15" customHeight="1" x14ac:dyDescent="0.35">
      <c r="A21" s="948"/>
      <c r="B21" s="623">
        <f t="shared" si="8"/>
        <v>959974.40000000002</v>
      </c>
      <c r="C21" s="623">
        <f t="shared" si="9"/>
        <v>130905.59999999999</v>
      </c>
      <c r="D21" s="623">
        <f t="shared" si="10"/>
        <v>1090880</v>
      </c>
      <c r="E21" s="623">
        <f t="shared" si="11"/>
        <v>0</v>
      </c>
      <c r="F21" s="623">
        <f t="shared" si="12"/>
        <v>0</v>
      </c>
      <c r="G21" s="623">
        <f t="shared" si="13"/>
        <v>0</v>
      </c>
      <c r="H21" s="623">
        <f t="shared" si="14"/>
        <v>1090880</v>
      </c>
      <c r="I21" s="606"/>
      <c r="J21" s="606"/>
      <c r="K21" s="606"/>
      <c r="L21" s="606"/>
      <c r="M21" s="607"/>
      <c r="N21" s="607"/>
      <c r="O21" s="607"/>
      <c r="P21" s="607"/>
      <c r="Q21" s="607"/>
      <c r="R21" s="607"/>
      <c r="S21" s="607"/>
      <c r="T21" s="607"/>
      <c r="U21" s="607"/>
      <c r="V21" s="607"/>
      <c r="W21" s="613"/>
      <c r="X21" s="606"/>
      <c r="Y21" s="606"/>
      <c r="Z21" s="606"/>
      <c r="AA21" s="607"/>
      <c r="AB21" s="607"/>
      <c r="AC21" s="607"/>
      <c r="AD21" s="624" t="s">
        <v>53</v>
      </c>
      <c r="AE21" s="606"/>
      <c r="AF21" s="606"/>
      <c r="AG21" s="606"/>
      <c r="AH21" s="607">
        <v>959974.40000000002</v>
      </c>
      <c r="AI21" s="607">
        <v>130905.59999999999</v>
      </c>
      <c r="AJ21" s="607">
        <f t="shared" si="15"/>
        <v>1090880</v>
      </c>
      <c r="AK21" s="624" t="s">
        <v>54</v>
      </c>
      <c r="AL21" s="606" t="s">
        <v>50</v>
      </c>
      <c r="AM21" s="606"/>
      <c r="AN21" s="606"/>
      <c r="AO21" s="607"/>
      <c r="AP21" s="607"/>
      <c r="AQ21" s="607">
        <f t="shared" si="16"/>
        <v>0</v>
      </c>
      <c r="AR21" s="613"/>
      <c r="AS21" s="606"/>
      <c r="AT21" s="606"/>
      <c r="AU21" s="606"/>
      <c r="AV21" s="607"/>
      <c r="AW21" s="607"/>
      <c r="AX21" s="607"/>
      <c r="AY21" s="608"/>
      <c r="AZ21" s="607"/>
      <c r="BA21" s="606"/>
      <c r="BB21" s="606"/>
      <c r="BC21" s="607"/>
      <c r="BD21" s="607"/>
      <c r="BE21" s="607"/>
      <c r="BF21" s="608"/>
      <c r="BG21" s="606"/>
      <c r="BH21" s="606"/>
      <c r="BI21" s="607"/>
      <c r="BJ21" s="607"/>
      <c r="BK21" s="607"/>
      <c r="BL21" s="684"/>
      <c r="BM21" s="618"/>
      <c r="BN21" s="616">
        <v>0</v>
      </c>
      <c r="BO21" s="616"/>
      <c r="BP21" s="615"/>
      <c r="BQ21" s="615"/>
      <c r="BR21" s="615"/>
    </row>
    <row r="22" spans="1:70" s="617" customFormat="1" ht="23.15" customHeight="1" x14ac:dyDescent="0.35">
      <c r="A22" s="948"/>
      <c r="B22" s="623">
        <f t="shared" si="8"/>
        <v>443520</v>
      </c>
      <c r="C22" s="623">
        <f t="shared" si="9"/>
        <v>60480</v>
      </c>
      <c r="D22" s="623">
        <f t="shared" si="10"/>
        <v>504000</v>
      </c>
      <c r="E22" s="623">
        <f t="shared" si="11"/>
        <v>0</v>
      </c>
      <c r="F22" s="623">
        <f t="shared" si="12"/>
        <v>0</v>
      </c>
      <c r="G22" s="623">
        <f t="shared" si="13"/>
        <v>0</v>
      </c>
      <c r="H22" s="623">
        <f t="shared" si="14"/>
        <v>504000</v>
      </c>
      <c r="I22" s="606"/>
      <c r="J22" s="606"/>
      <c r="K22" s="606"/>
      <c r="L22" s="606"/>
      <c r="M22" s="607"/>
      <c r="N22" s="607"/>
      <c r="O22" s="607"/>
      <c r="P22" s="607"/>
      <c r="Q22" s="607"/>
      <c r="R22" s="607"/>
      <c r="S22" s="607"/>
      <c r="T22" s="607"/>
      <c r="U22" s="607"/>
      <c r="V22" s="607"/>
      <c r="W22" s="613"/>
      <c r="X22" s="606"/>
      <c r="Y22" s="606"/>
      <c r="Z22" s="606"/>
      <c r="AA22" s="607"/>
      <c r="AB22" s="607"/>
      <c r="AC22" s="607"/>
      <c r="AD22" s="624" t="s">
        <v>55</v>
      </c>
      <c r="AE22" s="606"/>
      <c r="AF22" s="606"/>
      <c r="AG22" s="606"/>
      <c r="AH22" s="607">
        <v>443520</v>
      </c>
      <c r="AI22" s="607">
        <v>60480</v>
      </c>
      <c r="AJ22" s="607">
        <f t="shared" si="15"/>
        <v>504000</v>
      </c>
      <c r="AK22" s="624" t="s">
        <v>56</v>
      </c>
      <c r="AL22" s="606" t="s">
        <v>50</v>
      </c>
      <c r="AM22" s="606"/>
      <c r="AN22" s="606"/>
      <c r="AO22" s="607"/>
      <c r="AP22" s="607"/>
      <c r="AQ22" s="607">
        <f t="shared" si="16"/>
        <v>0</v>
      </c>
      <c r="AR22" s="613"/>
      <c r="AS22" s="606"/>
      <c r="AT22" s="606"/>
      <c r="AU22" s="606"/>
      <c r="AV22" s="607"/>
      <c r="AW22" s="607"/>
      <c r="AX22" s="607"/>
      <c r="AY22" s="608"/>
      <c r="AZ22" s="607"/>
      <c r="BA22" s="606"/>
      <c r="BB22" s="606"/>
      <c r="BC22" s="607"/>
      <c r="BD22" s="607"/>
      <c r="BE22" s="607"/>
      <c r="BF22" s="608"/>
      <c r="BG22" s="606"/>
      <c r="BH22" s="606"/>
      <c r="BI22" s="607"/>
      <c r="BJ22" s="607"/>
      <c r="BK22" s="607"/>
      <c r="BL22" s="684"/>
      <c r="BM22" s="618"/>
      <c r="BN22" s="616">
        <v>0</v>
      </c>
      <c r="BO22" s="616"/>
      <c r="BP22" s="615"/>
      <c r="BQ22" s="615"/>
      <c r="BR22" s="615"/>
    </row>
    <row r="23" spans="1:70" s="617" customFormat="1" ht="23.15" customHeight="1" x14ac:dyDescent="0.35">
      <c r="A23" s="948"/>
      <c r="B23" s="623">
        <f t="shared" si="8"/>
        <v>350814.64</v>
      </c>
      <c r="C23" s="623">
        <f t="shared" si="9"/>
        <v>47838.36</v>
      </c>
      <c r="D23" s="623">
        <f t="shared" si="10"/>
        <v>398653</v>
      </c>
      <c r="E23" s="623">
        <f t="shared" si="11"/>
        <v>0</v>
      </c>
      <c r="F23" s="623">
        <f t="shared" si="12"/>
        <v>0</v>
      </c>
      <c r="G23" s="623">
        <f t="shared" si="13"/>
        <v>0</v>
      </c>
      <c r="H23" s="623">
        <f t="shared" si="14"/>
        <v>398653</v>
      </c>
      <c r="I23" s="606"/>
      <c r="J23" s="606"/>
      <c r="K23" s="606"/>
      <c r="L23" s="606"/>
      <c r="M23" s="607"/>
      <c r="N23" s="607"/>
      <c r="O23" s="607"/>
      <c r="P23" s="607"/>
      <c r="Q23" s="607"/>
      <c r="R23" s="607"/>
      <c r="S23" s="607"/>
      <c r="T23" s="607"/>
      <c r="U23" s="607"/>
      <c r="V23" s="607"/>
      <c r="W23" s="613"/>
      <c r="X23" s="606"/>
      <c r="Y23" s="606"/>
      <c r="Z23" s="606"/>
      <c r="AA23" s="607"/>
      <c r="AB23" s="607"/>
      <c r="AC23" s="607"/>
      <c r="AD23" s="624" t="s">
        <v>57</v>
      </c>
      <c r="AE23" s="606"/>
      <c r="AF23" s="606"/>
      <c r="AG23" s="606"/>
      <c r="AH23" s="607">
        <v>350814.64</v>
      </c>
      <c r="AI23" s="607">
        <v>47838.36</v>
      </c>
      <c r="AJ23" s="607">
        <f t="shared" si="15"/>
        <v>398653</v>
      </c>
      <c r="AK23" s="624" t="s">
        <v>58</v>
      </c>
      <c r="AL23" s="606" t="s">
        <v>50</v>
      </c>
      <c r="AM23" s="606"/>
      <c r="AN23" s="606"/>
      <c r="AO23" s="607"/>
      <c r="AP23" s="607"/>
      <c r="AQ23" s="607">
        <f t="shared" si="16"/>
        <v>0</v>
      </c>
      <c r="AR23" s="613"/>
      <c r="AS23" s="606"/>
      <c r="AT23" s="606"/>
      <c r="AU23" s="606"/>
      <c r="AV23" s="607"/>
      <c r="AW23" s="607"/>
      <c r="AX23" s="607"/>
      <c r="AY23" s="608"/>
      <c r="AZ23" s="607"/>
      <c r="BA23" s="606"/>
      <c r="BB23" s="606"/>
      <c r="BC23" s="607"/>
      <c r="BD23" s="607"/>
      <c r="BE23" s="607"/>
      <c r="BF23" s="608"/>
      <c r="BG23" s="606"/>
      <c r="BH23" s="606"/>
      <c r="BI23" s="607"/>
      <c r="BJ23" s="607"/>
      <c r="BK23" s="607"/>
      <c r="BL23" s="684"/>
      <c r="BM23" s="618"/>
      <c r="BN23" s="616">
        <v>0</v>
      </c>
      <c r="BO23" s="616"/>
      <c r="BP23" s="615"/>
      <c r="BQ23" s="615"/>
      <c r="BR23" s="615"/>
    </row>
    <row r="24" spans="1:70" s="617" customFormat="1" ht="23.15" customHeight="1" x14ac:dyDescent="0.35">
      <c r="A24" s="948"/>
      <c r="B24" s="623">
        <f t="shared" si="8"/>
        <v>257400</v>
      </c>
      <c r="C24" s="623">
        <f t="shared" si="9"/>
        <v>35100</v>
      </c>
      <c r="D24" s="623">
        <f t="shared" si="10"/>
        <v>292500</v>
      </c>
      <c r="E24" s="623">
        <f t="shared" si="11"/>
        <v>0</v>
      </c>
      <c r="F24" s="623">
        <f t="shared" si="12"/>
        <v>0</v>
      </c>
      <c r="G24" s="623">
        <f t="shared" si="13"/>
        <v>0</v>
      </c>
      <c r="H24" s="623">
        <f t="shared" si="14"/>
        <v>292500</v>
      </c>
      <c r="I24" s="606"/>
      <c r="J24" s="606"/>
      <c r="K24" s="606"/>
      <c r="L24" s="606"/>
      <c r="M24" s="607"/>
      <c r="N24" s="607"/>
      <c r="O24" s="607"/>
      <c r="P24" s="607"/>
      <c r="Q24" s="607"/>
      <c r="R24" s="607"/>
      <c r="S24" s="607"/>
      <c r="T24" s="607"/>
      <c r="U24" s="607"/>
      <c r="V24" s="607"/>
      <c r="W24" s="613"/>
      <c r="X24" s="606"/>
      <c r="Y24" s="606"/>
      <c r="Z24" s="606"/>
      <c r="AA24" s="607"/>
      <c r="AB24" s="607"/>
      <c r="AC24" s="607"/>
      <c r="AD24" s="624" t="s">
        <v>59</v>
      </c>
      <c r="AE24" s="606"/>
      <c r="AF24" s="606"/>
      <c r="AG24" s="606"/>
      <c r="AH24" s="607">
        <v>257400</v>
      </c>
      <c r="AI24" s="607">
        <v>35100</v>
      </c>
      <c r="AJ24" s="607">
        <f t="shared" si="15"/>
        <v>292500</v>
      </c>
      <c r="AK24" s="624"/>
      <c r="AL24" s="606"/>
      <c r="AM24" s="606"/>
      <c r="AN24" s="606"/>
      <c r="AO24" s="607"/>
      <c r="AP24" s="607"/>
      <c r="AQ24" s="607"/>
      <c r="AR24" s="607"/>
      <c r="AS24" s="606"/>
      <c r="AT24" s="606"/>
      <c r="AU24" s="606"/>
      <c r="AV24" s="607"/>
      <c r="AW24" s="607"/>
      <c r="AX24" s="607"/>
      <c r="AY24" s="608"/>
      <c r="AZ24" s="607"/>
      <c r="BA24" s="606"/>
      <c r="BB24" s="606"/>
      <c r="BC24" s="607"/>
      <c r="BD24" s="607"/>
      <c r="BE24" s="607"/>
      <c r="BF24" s="608"/>
      <c r="BG24" s="606"/>
      <c r="BH24" s="606"/>
      <c r="BI24" s="607"/>
      <c r="BJ24" s="607"/>
      <c r="BK24" s="607"/>
      <c r="BL24" s="684"/>
      <c r="BM24" s="618"/>
      <c r="BN24" s="616">
        <v>0</v>
      </c>
      <c r="BO24" s="616"/>
      <c r="BP24" s="615"/>
      <c r="BQ24" s="615"/>
      <c r="BR24" s="615"/>
    </row>
    <row r="25" spans="1:70" s="617" customFormat="1" ht="23.15" customHeight="1" x14ac:dyDescent="0.35">
      <c r="A25" s="948"/>
      <c r="B25" s="623">
        <f t="shared" si="8"/>
        <v>264000</v>
      </c>
      <c r="C25" s="623">
        <f t="shared" si="9"/>
        <v>36000</v>
      </c>
      <c r="D25" s="623">
        <f t="shared" si="10"/>
        <v>300000</v>
      </c>
      <c r="E25" s="623">
        <f t="shared" si="11"/>
        <v>0</v>
      </c>
      <c r="F25" s="623">
        <f t="shared" si="12"/>
        <v>0</v>
      </c>
      <c r="G25" s="623">
        <f t="shared" si="13"/>
        <v>0</v>
      </c>
      <c r="H25" s="623">
        <f t="shared" si="14"/>
        <v>300000</v>
      </c>
      <c r="I25" s="606"/>
      <c r="J25" s="606"/>
      <c r="K25" s="606"/>
      <c r="L25" s="606"/>
      <c r="M25" s="607"/>
      <c r="N25" s="607"/>
      <c r="O25" s="607"/>
      <c r="P25" s="607"/>
      <c r="Q25" s="607"/>
      <c r="R25" s="607"/>
      <c r="S25" s="607"/>
      <c r="T25" s="607"/>
      <c r="U25" s="607"/>
      <c r="V25" s="607"/>
      <c r="W25" s="613"/>
      <c r="X25" s="606"/>
      <c r="Y25" s="606"/>
      <c r="Z25" s="606"/>
      <c r="AA25" s="607"/>
      <c r="AB25" s="607"/>
      <c r="AC25" s="607"/>
      <c r="AD25" s="624" t="s">
        <v>60</v>
      </c>
      <c r="AE25" s="606"/>
      <c r="AF25" s="606"/>
      <c r="AG25" s="606"/>
      <c r="AH25" s="607">
        <v>264000</v>
      </c>
      <c r="AI25" s="607">
        <v>36000</v>
      </c>
      <c r="AJ25" s="607">
        <f t="shared" si="15"/>
        <v>300000</v>
      </c>
      <c r="AK25" s="624" t="s">
        <v>61</v>
      </c>
      <c r="AL25" s="606" t="s">
        <v>50</v>
      </c>
      <c r="AM25" s="606"/>
      <c r="AN25" s="606"/>
      <c r="AO25" s="607"/>
      <c r="AP25" s="607"/>
      <c r="AQ25" s="607">
        <f t="shared" si="16"/>
        <v>0</v>
      </c>
      <c r="AR25" s="613"/>
      <c r="AS25" s="606"/>
      <c r="AT25" s="606"/>
      <c r="AU25" s="606"/>
      <c r="AV25" s="607"/>
      <c r="AW25" s="607"/>
      <c r="AX25" s="607"/>
      <c r="AY25" s="608"/>
      <c r="AZ25" s="607"/>
      <c r="BA25" s="606"/>
      <c r="BB25" s="606"/>
      <c r="BC25" s="607"/>
      <c r="BD25" s="607"/>
      <c r="BE25" s="607"/>
      <c r="BF25" s="608"/>
      <c r="BG25" s="606"/>
      <c r="BH25" s="606"/>
      <c r="BI25" s="607"/>
      <c r="BJ25" s="607"/>
      <c r="BK25" s="607"/>
      <c r="BL25" s="684"/>
      <c r="BM25" s="618"/>
      <c r="BN25" s="616">
        <v>0</v>
      </c>
      <c r="BO25" s="616"/>
      <c r="BP25" s="615"/>
      <c r="BQ25" s="615"/>
      <c r="BR25" s="615"/>
    </row>
    <row r="26" spans="1:70" s="617" customFormat="1" ht="23.15" customHeight="1" x14ac:dyDescent="0.35">
      <c r="A26" s="948"/>
      <c r="B26" s="623">
        <f t="shared" si="8"/>
        <v>642497.85599999991</v>
      </c>
      <c r="C26" s="623">
        <f t="shared" si="9"/>
        <v>87613.343999999997</v>
      </c>
      <c r="D26" s="623">
        <f t="shared" si="10"/>
        <v>730111.2</v>
      </c>
      <c r="E26" s="623">
        <f t="shared" si="11"/>
        <v>0</v>
      </c>
      <c r="F26" s="623">
        <f t="shared" si="12"/>
        <v>0</v>
      </c>
      <c r="G26" s="623">
        <f t="shared" si="13"/>
        <v>0</v>
      </c>
      <c r="H26" s="623">
        <f t="shared" si="14"/>
        <v>730111.2</v>
      </c>
      <c r="I26" s="606"/>
      <c r="J26" s="606"/>
      <c r="K26" s="606"/>
      <c r="L26" s="606"/>
      <c r="M26" s="607"/>
      <c r="N26" s="607"/>
      <c r="O26" s="607"/>
      <c r="P26" s="607"/>
      <c r="Q26" s="607"/>
      <c r="R26" s="607"/>
      <c r="S26" s="607"/>
      <c r="T26" s="607"/>
      <c r="U26" s="607"/>
      <c r="V26" s="607"/>
      <c r="W26" s="613"/>
      <c r="X26" s="606"/>
      <c r="Y26" s="606"/>
      <c r="Z26" s="606"/>
      <c r="AA26" s="607"/>
      <c r="AB26" s="607"/>
      <c r="AC26" s="607"/>
      <c r="AD26" s="624" t="s">
        <v>62</v>
      </c>
      <c r="AE26" s="606"/>
      <c r="AF26" s="606"/>
      <c r="AG26" s="606"/>
      <c r="AH26" s="607">
        <v>642497.85599999991</v>
      </c>
      <c r="AI26" s="607">
        <v>87613.343999999997</v>
      </c>
      <c r="AJ26" s="607">
        <f t="shared" ref="AJ26:AJ37" si="17">+AI26+AH26</f>
        <v>730111.2</v>
      </c>
      <c r="AK26" s="624" t="s">
        <v>63</v>
      </c>
      <c r="AL26" s="606" t="s">
        <v>50</v>
      </c>
      <c r="AM26" s="606"/>
      <c r="AN26" s="606"/>
      <c r="AO26" s="607"/>
      <c r="AP26" s="607"/>
      <c r="AQ26" s="607">
        <f t="shared" si="16"/>
        <v>0</v>
      </c>
      <c r="AR26" s="613"/>
      <c r="AS26" s="606"/>
      <c r="AT26" s="606"/>
      <c r="AU26" s="606"/>
      <c r="AV26" s="607"/>
      <c r="AW26" s="607"/>
      <c r="AX26" s="607"/>
      <c r="AY26" s="608"/>
      <c r="AZ26" s="607"/>
      <c r="BA26" s="606"/>
      <c r="BB26" s="606"/>
      <c r="BC26" s="607"/>
      <c r="BD26" s="607"/>
      <c r="BE26" s="607"/>
      <c r="BF26" s="608"/>
      <c r="BG26" s="606"/>
      <c r="BH26" s="606"/>
      <c r="BI26" s="607"/>
      <c r="BJ26" s="607"/>
      <c r="BK26" s="607"/>
      <c r="BL26" s="684"/>
      <c r="BM26" s="618"/>
      <c r="BN26" s="616"/>
      <c r="BO26" s="616"/>
      <c r="BP26" s="615"/>
      <c r="BQ26" s="615"/>
      <c r="BR26" s="615"/>
    </row>
    <row r="27" spans="1:70" s="617" customFormat="1" ht="23.15" customHeight="1" x14ac:dyDescent="0.35">
      <c r="A27" s="948"/>
      <c r="B27" s="623">
        <f t="shared" ref="B27:B32" si="18">+M27+AA27+AH27+AV27+BC27+BJ27</f>
        <v>1503040</v>
      </c>
      <c r="C27" s="623">
        <f t="shared" ref="C27:C32" si="19">+N27+AB27+AI27+AW27+BD27+BK27</f>
        <v>204960</v>
      </c>
      <c r="D27" s="623">
        <f t="shared" ref="D27:D32" si="20">+O27+AC27+AJ27+AX27+BE27+BL27</f>
        <v>1708000</v>
      </c>
      <c r="E27" s="623">
        <f t="shared" si="11"/>
        <v>0</v>
      </c>
      <c r="F27" s="623">
        <f t="shared" si="12"/>
        <v>0</v>
      </c>
      <c r="G27" s="623">
        <f t="shared" si="13"/>
        <v>0</v>
      </c>
      <c r="H27" s="623">
        <f t="shared" si="14"/>
        <v>1708000</v>
      </c>
      <c r="I27" s="606"/>
      <c r="J27" s="606"/>
      <c r="K27" s="606"/>
      <c r="L27" s="606"/>
      <c r="M27" s="607"/>
      <c r="N27" s="607"/>
      <c r="O27" s="607"/>
      <c r="P27" s="607"/>
      <c r="Q27" s="607"/>
      <c r="R27" s="607"/>
      <c r="S27" s="607"/>
      <c r="T27" s="607"/>
      <c r="U27" s="607"/>
      <c r="V27" s="607"/>
      <c r="W27" s="613"/>
      <c r="X27" s="606"/>
      <c r="Y27" s="606"/>
      <c r="Z27" s="606"/>
      <c r="AA27" s="607"/>
      <c r="AB27" s="607"/>
      <c r="AC27" s="607"/>
      <c r="AD27" s="624" t="s">
        <v>64</v>
      </c>
      <c r="AE27" s="606"/>
      <c r="AF27" s="606"/>
      <c r="AG27" s="606"/>
      <c r="AH27" s="607">
        <v>1503040</v>
      </c>
      <c r="AI27" s="607">
        <v>204960</v>
      </c>
      <c r="AJ27" s="607">
        <f t="shared" si="17"/>
        <v>1708000</v>
      </c>
      <c r="AK27" s="624" t="s">
        <v>65</v>
      </c>
      <c r="AL27" s="606" t="s">
        <v>50</v>
      </c>
      <c r="AM27" s="606"/>
      <c r="AN27" s="606"/>
      <c r="AO27" s="607"/>
      <c r="AP27" s="607"/>
      <c r="AQ27" s="607">
        <f t="shared" si="16"/>
        <v>0</v>
      </c>
      <c r="AR27" s="613"/>
      <c r="AS27" s="606"/>
      <c r="AT27" s="606"/>
      <c r="AU27" s="606"/>
      <c r="AV27" s="607"/>
      <c r="AW27" s="607"/>
      <c r="AX27" s="607"/>
      <c r="AY27" s="608"/>
      <c r="AZ27" s="607"/>
      <c r="BA27" s="606"/>
      <c r="BB27" s="606"/>
      <c r="BC27" s="607"/>
      <c r="BD27" s="607"/>
      <c r="BE27" s="607"/>
      <c r="BF27" s="608"/>
      <c r="BG27" s="606"/>
      <c r="BH27" s="606"/>
      <c r="BI27" s="607"/>
      <c r="BJ27" s="607"/>
      <c r="BK27" s="607"/>
      <c r="BL27" s="684"/>
      <c r="BM27" s="618"/>
      <c r="BN27" s="616"/>
      <c r="BO27" s="616"/>
      <c r="BP27" s="615"/>
      <c r="BQ27" s="615"/>
      <c r="BR27" s="615"/>
    </row>
    <row r="28" spans="1:70" s="617" customFormat="1" ht="23.15" customHeight="1" x14ac:dyDescent="0.35">
      <c r="A28" s="948"/>
      <c r="B28" s="623">
        <f t="shared" si="18"/>
        <v>198000</v>
      </c>
      <c r="C28" s="623">
        <f t="shared" si="19"/>
        <v>27000</v>
      </c>
      <c r="D28" s="623">
        <f t="shared" si="20"/>
        <v>225000</v>
      </c>
      <c r="E28" s="623">
        <f t="shared" si="11"/>
        <v>0</v>
      </c>
      <c r="F28" s="623">
        <f t="shared" si="12"/>
        <v>0</v>
      </c>
      <c r="G28" s="623">
        <f t="shared" si="13"/>
        <v>0</v>
      </c>
      <c r="H28" s="623">
        <f t="shared" si="14"/>
        <v>225000</v>
      </c>
      <c r="I28" s="606"/>
      <c r="J28" s="606"/>
      <c r="K28" s="606"/>
      <c r="L28" s="606"/>
      <c r="M28" s="607"/>
      <c r="N28" s="607"/>
      <c r="O28" s="607"/>
      <c r="P28" s="607"/>
      <c r="Q28" s="607"/>
      <c r="R28" s="607"/>
      <c r="S28" s="607"/>
      <c r="T28" s="607"/>
      <c r="U28" s="607"/>
      <c r="V28" s="607"/>
      <c r="W28" s="613"/>
      <c r="X28" s="606"/>
      <c r="Y28" s="606"/>
      <c r="Z28" s="606"/>
      <c r="AA28" s="607"/>
      <c r="AB28" s="607"/>
      <c r="AC28" s="607"/>
      <c r="AD28" s="624" t="s">
        <v>66</v>
      </c>
      <c r="AE28" s="606"/>
      <c r="AF28" s="606"/>
      <c r="AG28" s="606"/>
      <c r="AH28" s="607">
        <v>198000</v>
      </c>
      <c r="AI28" s="607">
        <v>27000</v>
      </c>
      <c r="AJ28" s="607">
        <f t="shared" si="17"/>
        <v>225000</v>
      </c>
      <c r="AK28" s="624" t="s">
        <v>67</v>
      </c>
      <c r="AL28" s="606" t="s">
        <v>50</v>
      </c>
      <c r="AM28" s="606"/>
      <c r="AN28" s="606"/>
      <c r="AO28" s="607"/>
      <c r="AP28" s="607"/>
      <c r="AQ28" s="607">
        <f t="shared" si="16"/>
        <v>0</v>
      </c>
      <c r="AR28" s="613"/>
      <c r="AS28" s="606"/>
      <c r="AT28" s="606"/>
      <c r="AU28" s="606"/>
      <c r="AV28" s="607"/>
      <c r="AW28" s="607"/>
      <c r="AX28" s="607"/>
      <c r="AY28" s="608"/>
      <c r="AZ28" s="607"/>
      <c r="BA28" s="606"/>
      <c r="BB28" s="606"/>
      <c r="BC28" s="607"/>
      <c r="BD28" s="607"/>
      <c r="BE28" s="607"/>
      <c r="BF28" s="608"/>
      <c r="BG28" s="606"/>
      <c r="BH28" s="606"/>
      <c r="BI28" s="607"/>
      <c r="BJ28" s="607"/>
      <c r="BK28" s="607"/>
      <c r="BL28" s="684"/>
      <c r="BM28" s="618"/>
      <c r="BN28" s="616"/>
      <c r="BO28" s="616"/>
      <c r="BP28" s="615"/>
      <c r="BQ28" s="615"/>
      <c r="BR28" s="615"/>
    </row>
    <row r="29" spans="1:70" s="617" customFormat="1" ht="23.15" customHeight="1" x14ac:dyDescent="0.35">
      <c r="A29" s="948"/>
      <c r="B29" s="623">
        <f t="shared" si="18"/>
        <v>1760000</v>
      </c>
      <c r="C29" s="623">
        <f t="shared" si="19"/>
        <v>240000</v>
      </c>
      <c r="D29" s="623">
        <f t="shared" si="20"/>
        <v>2000000</v>
      </c>
      <c r="E29" s="623">
        <f t="shared" si="11"/>
        <v>0</v>
      </c>
      <c r="F29" s="623">
        <f t="shared" si="12"/>
        <v>0</v>
      </c>
      <c r="G29" s="623">
        <f t="shared" si="13"/>
        <v>0</v>
      </c>
      <c r="H29" s="623">
        <f t="shared" si="14"/>
        <v>2000000</v>
      </c>
      <c r="I29" s="606"/>
      <c r="J29" s="606"/>
      <c r="K29" s="606"/>
      <c r="L29" s="606"/>
      <c r="M29" s="607"/>
      <c r="N29" s="607"/>
      <c r="O29" s="607"/>
      <c r="P29" s="607"/>
      <c r="Q29" s="607"/>
      <c r="R29" s="607"/>
      <c r="S29" s="607"/>
      <c r="T29" s="607"/>
      <c r="U29" s="607"/>
      <c r="V29" s="607"/>
      <c r="W29" s="613"/>
      <c r="X29" s="606"/>
      <c r="Y29" s="606"/>
      <c r="Z29" s="606"/>
      <c r="AA29" s="607"/>
      <c r="AB29" s="607"/>
      <c r="AC29" s="607"/>
      <c r="AD29" s="624" t="s">
        <v>68</v>
      </c>
      <c r="AE29" s="606"/>
      <c r="AF29" s="606"/>
      <c r="AG29" s="606"/>
      <c r="AH29" s="607">
        <v>1760000</v>
      </c>
      <c r="AI29" s="607">
        <v>240000</v>
      </c>
      <c r="AJ29" s="607">
        <f t="shared" si="17"/>
        <v>2000000</v>
      </c>
      <c r="AK29" s="624" t="s">
        <v>69</v>
      </c>
      <c r="AL29" s="606" t="s">
        <v>50</v>
      </c>
      <c r="AM29" s="606"/>
      <c r="AN29" s="606"/>
      <c r="AO29" s="607"/>
      <c r="AP29" s="607"/>
      <c r="AQ29" s="607">
        <f t="shared" si="16"/>
        <v>0</v>
      </c>
      <c r="AR29" s="613"/>
      <c r="AS29" s="606"/>
      <c r="AT29" s="606"/>
      <c r="AU29" s="606"/>
      <c r="AV29" s="607"/>
      <c r="AW29" s="607"/>
      <c r="AX29" s="607"/>
      <c r="AY29" s="608"/>
      <c r="AZ29" s="607"/>
      <c r="BA29" s="606"/>
      <c r="BB29" s="606"/>
      <c r="BC29" s="607"/>
      <c r="BD29" s="607"/>
      <c r="BE29" s="607"/>
      <c r="BF29" s="608"/>
      <c r="BG29" s="606"/>
      <c r="BH29" s="606"/>
      <c r="BI29" s="607"/>
      <c r="BJ29" s="607"/>
      <c r="BK29" s="607"/>
      <c r="BL29" s="684"/>
      <c r="BM29" s="618"/>
      <c r="BN29" s="616"/>
      <c r="BO29" s="616"/>
      <c r="BP29" s="615"/>
      <c r="BQ29" s="615"/>
      <c r="BR29" s="615"/>
    </row>
    <row r="30" spans="1:70" s="617" customFormat="1" ht="23.15" customHeight="1" x14ac:dyDescent="0.35">
      <c r="A30" s="948"/>
      <c r="B30" s="623">
        <f t="shared" si="18"/>
        <v>684000.24</v>
      </c>
      <c r="C30" s="623">
        <f t="shared" si="19"/>
        <v>93272.76</v>
      </c>
      <c r="D30" s="623">
        <f t="shared" si="20"/>
        <v>777273</v>
      </c>
      <c r="E30" s="623">
        <f t="shared" si="11"/>
        <v>0</v>
      </c>
      <c r="F30" s="623">
        <f t="shared" si="12"/>
        <v>0</v>
      </c>
      <c r="G30" s="623">
        <f t="shared" si="13"/>
        <v>0</v>
      </c>
      <c r="H30" s="623">
        <f t="shared" si="14"/>
        <v>777273</v>
      </c>
      <c r="I30" s="606"/>
      <c r="J30" s="606"/>
      <c r="K30" s="606"/>
      <c r="L30" s="606"/>
      <c r="M30" s="607"/>
      <c r="N30" s="607"/>
      <c r="O30" s="607"/>
      <c r="P30" s="607"/>
      <c r="Q30" s="607"/>
      <c r="R30" s="607"/>
      <c r="S30" s="607"/>
      <c r="T30" s="607"/>
      <c r="U30" s="607"/>
      <c r="V30" s="607"/>
      <c r="W30" s="613"/>
      <c r="X30" s="606"/>
      <c r="Y30" s="606"/>
      <c r="Z30" s="606"/>
      <c r="AA30" s="607"/>
      <c r="AB30" s="607"/>
      <c r="AC30" s="607"/>
      <c r="AD30" s="624" t="s">
        <v>70</v>
      </c>
      <c r="AE30" s="606"/>
      <c r="AF30" s="606"/>
      <c r="AG30" s="606"/>
      <c r="AH30" s="607">
        <v>684000.24</v>
      </c>
      <c r="AI30" s="607">
        <v>93272.76</v>
      </c>
      <c r="AJ30" s="607">
        <f t="shared" si="17"/>
        <v>777273</v>
      </c>
      <c r="AK30" s="624" t="s">
        <v>71</v>
      </c>
      <c r="AL30" s="606" t="s">
        <v>50</v>
      </c>
      <c r="AM30" s="606"/>
      <c r="AN30" s="606"/>
      <c r="AO30" s="607"/>
      <c r="AP30" s="607"/>
      <c r="AQ30" s="607">
        <f t="shared" si="16"/>
        <v>0</v>
      </c>
      <c r="AR30" s="613"/>
      <c r="AS30" s="606"/>
      <c r="AT30" s="606"/>
      <c r="AU30" s="606"/>
      <c r="AV30" s="607"/>
      <c r="AW30" s="607"/>
      <c r="AX30" s="607"/>
      <c r="AY30" s="608"/>
      <c r="AZ30" s="607"/>
      <c r="BA30" s="606"/>
      <c r="BB30" s="606"/>
      <c r="BC30" s="607"/>
      <c r="BD30" s="607"/>
      <c r="BE30" s="607"/>
      <c r="BF30" s="608"/>
      <c r="BG30" s="606"/>
      <c r="BH30" s="606"/>
      <c r="BI30" s="607"/>
      <c r="BJ30" s="607"/>
      <c r="BK30" s="607"/>
      <c r="BL30" s="684"/>
      <c r="BM30" s="618"/>
      <c r="BN30" s="616"/>
      <c r="BO30" s="616"/>
      <c r="BP30" s="615"/>
      <c r="BQ30" s="615"/>
      <c r="BR30" s="615"/>
    </row>
    <row r="31" spans="1:70" s="617" customFormat="1" ht="23.15" customHeight="1" x14ac:dyDescent="0.35">
      <c r="A31" s="948"/>
      <c r="B31" s="623">
        <f t="shared" si="18"/>
        <v>528000</v>
      </c>
      <c r="C31" s="623">
        <f t="shared" si="19"/>
        <v>72000</v>
      </c>
      <c r="D31" s="623">
        <f t="shared" si="20"/>
        <v>600000</v>
      </c>
      <c r="E31" s="623">
        <f t="shared" si="11"/>
        <v>0</v>
      </c>
      <c r="F31" s="623">
        <f t="shared" si="12"/>
        <v>0</v>
      </c>
      <c r="G31" s="623">
        <f t="shared" si="13"/>
        <v>0</v>
      </c>
      <c r="H31" s="623">
        <f t="shared" si="14"/>
        <v>600000</v>
      </c>
      <c r="I31" s="606"/>
      <c r="J31" s="606"/>
      <c r="K31" s="606"/>
      <c r="L31" s="606"/>
      <c r="M31" s="607"/>
      <c r="N31" s="607"/>
      <c r="O31" s="607"/>
      <c r="P31" s="607"/>
      <c r="Q31" s="607"/>
      <c r="R31" s="607"/>
      <c r="S31" s="607"/>
      <c r="T31" s="607"/>
      <c r="U31" s="607"/>
      <c r="V31" s="607"/>
      <c r="W31" s="613"/>
      <c r="X31" s="606"/>
      <c r="Y31" s="606"/>
      <c r="Z31" s="606"/>
      <c r="AA31" s="607"/>
      <c r="AB31" s="607"/>
      <c r="AC31" s="607"/>
      <c r="AD31" s="624" t="s">
        <v>72</v>
      </c>
      <c r="AE31" s="606"/>
      <c r="AF31" s="606"/>
      <c r="AG31" s="606"/>
      <c r="AH31" s="607">
        <v>528000</v>
      </c>
      <c r="AI31" s="607">
        <v>72000</v>
      </c>
      <c r="AJ31" s="607">
        <f t="shared" si="17"/>
        <v>600000</v>
      </c>
      <c r="AK31" s="624"/>
      <c r="AL31" s="606"/>
      <c r="AM31" s="606"/>
      <c r="AN31" s="606"/>
      <c r="AO31" s="607"/>
      <c r="AP31" s="607"/>
      <c r="AQ31" s="607"/>
      <c r="AR31" s="607"/>
      <c r="AS31" s="606"/>
      <c r="AT31" s="606"/>
      <c r="AU31" s="606"/>
      <c r="AV31" s="607"/>
      <c r="AW31" s="607"/>
      <c r="AX31" s="607"/>
      <c r="AY31" s="608"/>
      <c r="AZ31" s="607"/>
      <c r="BA31" s="606"/>
      <c r="BB31" s="606"/>
      <c r="BC31" s="607"/>
      <c r="BD31" s="607"/>
      <c r="BE31" s="607"/>
      <c r="BF31" s="608"/>
      <c r="BG31" s="606"/>
      <c r="BH31" s="606"/>
      <c r="BI31" s="607"/>
      <c r="BJ31" s="607"/>
      <c r="BK31" s="607"/>
      <c r="BL31" s="684"/>
      <c r="BM31" s="618"/>
      <c r="BN31" s="616"/>
      <c r="BO31" s="616"/>
      <c r="BP31" s="615"/>
      <c r="BQ31" s="615"/>
      <c r="BR31" s="615"/>
    </row>
    <row r="32" spans="1:70" s="617" customFormat="1" ht="23.15" customHeight="1" x14ac:dyDescent="0.35">
      <c r="A32" s="948"/>
      <c r="B32" s="623">
        <f t="shared" si="18"/>
        <v>1349927.04</v>
      </c>
      <c r="C32" s="623">
        <f t="shared" si="19"/>
        <v>184080.96</v>
      </c>
      <c r="D32" s="623">
        <f t="shared" si="20"/>
        <v>1534008</v>
      </c>
      <c r="E32" s="623">
        <f t="shared" si="11"/>
        <v>0</v>
      </c>
      <c r="F32" s="623">
        <f t="shared" si="12"/>
        <v>0</v>
      </c>
      <c r="G32" s="623">
        <f t="shared" si="13"/>
        <v>0</v>
      </c>
      <c r="H32" s="623">
        <f t="shared" si="14"/>
        <v>1534008</v>
      </c>
      <c r="I32" s="606"/>
      <c r="J32" s="606"/>
      <c r="K32" s="606"/>
      <c r="L32" s="606"/>
      <c r="M32" s="607"/>
      <c r="N32" s="607"/>
      <c r="O32" s="607"/>
      <c r="P32" s="607"/>
      <c r="Q32" s="607"/>
      <c r="R32" s="607"/>
      <c r="S32" s="607"/>
      <c r="T32" s="607"/>
      <c r="U32" s="607"/>
      <c r="V32" s="607"/>
      <c r="W32" s="613"/>
      <c r="X32" s="606"/>
      <c r="Y32" s="606"/>
      <c r="Z32" s="606"/>
      <c r="AA32" s="607"/>
      <c r="AB32" s="607"/>
      <c r="AC32" s="607"/>
      <c r="AD32" s="624" t="s">
        <v>73</v>
      </c>
      <c r="AE32" s="606"/>
      <c r="AF32" s="606"/>
      <c r="AG32" s="606"/>
      <c r="AH32" s="607">
        <v>1349927.04</v>
      </c>
      <c r="AI32" s="607">
        <v>184080.96</v>
      </c>
      <c r="AJ32" s="607">
        <f t="shared" si="17"/>
        <v>1534008</v>
      </c>
      <c r="AK32" s="624" t="s">
        <v>74</v>
      </c>
      <c r="AL32" s="606" t="s">
        <v>50</v>
      </c>
      <c r="AM32" s="606"/>
      <c r="AN32" s="606"/>
      <c r="AO32" s="607"/>
      <c r="AP32" s="607"/>
      <c r="AQ32" s="607">
        <f t="shared" si="16"/>
        <v>0</v>
      </c>
      <c r="AR32" s="607"/>
      <c r="AS32" s="606"/>
      <c r="AT32" s="606"/>
      <c r="AU32" s="606"/>
      <c r="AV32" s="607"/>
      <c r="AW32" s="607"/>
      <c r="AX32" s="607"/>
      <c r="AY32" s="608"/>
      <c r="AZ32" s="607"/>
      <c r="BA32" s="606"/>
      <c r="BB32" s="606"/>
      <c r="BC32" s="607"/>
      <c r="BD32" s="607"/>
      <c r="BE32" s="607"/>
      <c r="BF32" s="608"/>
      <c r="BG32" s="606"/>
      <c r="BH32" s="606"/>
      <c r="BI32" s="607"/>
      <c r="BJ32" s="607"/>
      <c r="BK32" s="607"/>
      <c r="BL32" s="684"/>
      <c r="BM32" s="618"/>
      <c r="BN32" s="616"/>
      <c r="BO32" s="616"/>
      <c r="BP32" s="615"/>
      <c r="BQ32" s="615"/>
      <c r="BR32" s="615"/>
    </row>
    <row r="33" spans="1:70" s="617" customFormat="1" ht="23.15" customHeight="1" x14ac:dyDescent="0.35">
      <c r="A33" s="948"/>
      <c r="B33" s="623">
        <f t="shared" si="8"/>
        <v>2380224</v>
      </c>
      <c r="C33" s="623">
        <f t="shared" si="9"/>
        <v>324576</v>
      </c>
      <c r="D33" s="623">
        <f t="shared" si="10"/>
        <v>2704800</v>
      </c>
      <c r="E33" s="623">
        <f t="shared" si="11"/>
        <v>0</v>
      </c>
      <c r="F33" s="623">
        <f t="shared" si="12"/>
        <v>0</v>
      </c>
      <c r="G33" s="623">
        <f t="shared" si="13"/>
        <v>0</v>
      </c>
      <c r="H33" s="623">
        <f t="shared" si="14"/>
        <v>2704800</v>
      </c>
      <c r="I33" s="606"/>
      <c r="J33" s="606"/>
      <c r="K33" s="606"/>
      <c r="L33" s="606"/>
      <c r="M33" s="607"/>
      <c r="N33" s="607"/>
      <c r="O33" s="607"/>
      <c r="P33" s="607"/>
      <c r="Q33" s="607"/>
      <c r="R33" s="607"/>
      <c r="S33" s="607"/>
      <c r="T33" s="607"/>
      <c r="U33" s="607"/>
      <c r="V33" s="607"/>
      <c r="W33" s="613"/>
      <c r="X33" s="606"/>
      <c r="Y33" s="606"/>
      <c r="Z33" s="606"/>
      <c r="AA33" s="607"/>
      <c r="AB33" s="607"/>
      <c r="AC33" s="607"/>
      <c r="AD33" s="624" t="s">
        <v>75</v>
      </c>
      <c r="AE33" s="606"/>
      <c r="AF33" s="606"/>
      <c r="AG33" s="606"/>
      <c r="AH33" s="607">
        <v>2380224</v>
      </c>
      <c r="AI33" s="607">
        <v>324576</v>
      </c>
      <c r="AJ33" s="607">
        <f t="shared" si="17"/>
        <v>2704800</v>
      </c>
      <c r="AK33" s="624" t="s">
        <v>76</v>
      </c>
      <c r="AL33" s="606" t="s">
        <v>50</v>
      </c>
      <c r="AM33" s="606"/>
      <c r="AN33" s="606"/>
      <c r="AO33" s="607"/>
      <c r="AP33" s="607"/>
      <c r="AQ33" s="607">
        <v>0</v>
      </c>
      <c r="AR33" s="613"/>
      <c r="AS33" s="606"/>
      <c r="AT33" s="606"/>
      <c r="AU33" s="606"/>
      <c r="AV33" s="607"/>
      <c r="AW33" s="607"/>
      <c r="AX33" s="607"/>
      <c r="AY33" s="608"/>
      <c r="AZ33" s="607"/>
      <c r="BA33" s="606"/>
      <c r="BB33" s="606"/>
      <c r="BC33" s="607"/>
      <c r="BD33" s="607"/>
      <c r="BE33" s="607"/>
      <c r="BF33" s="608"/>
      <c r="BG33" s="606"/>
      <c r="BH33" s="606"/>
      <c r="BI33" s="607"/>
      <c r="BJ33" s="607"/>
      <c r="BK33" s="607"/>
      <c r="BL33" s="684"/>
      <c r="BM33" s="618"/>
      <c r="BN33" s="616"/>
      <c r="BO33" s="616"/>
      <c r="BP33" s="615"/>
      <c r="BQ33" s="615"/>
      <c r="BR33" s="615"/>
    </row>
    <row r="34" spans="1:70" s="617" customFormat="1" ht="23.15" customHeight="1" x14ac:dyDescent="0.35">
      <c r="A34" s="948"/>
      <c r="B34" s="623">
        <f t="shared" si="8"/>
        <v>1700357.1200000001</v>
      </c>
      <c r="C34" s="623">
        <f t="shared" si="9"/>
        <v>231866.88</v>
      </c>
      <c r="D34" s="623">
        <f t="shared" si="10"/>
        <v>1932224</v>
      </c>
      <c r="E34" s="623">
        <f t="shared" si="11"/>
        <v>0</v>
      </c>
      <c r="F34" s="623">
        <f t="shared" si="12"/>
        <v>0</v>
      </c>
      <c r="G34" s="623">
        <f t="shared" si="13"/>
        <v>0</v>
      </c>
      <c r="H34" s="623">
        <f t="shared" si="14"/>
        <v>1932224</v>
      </c>
      <c r="I34" s="606"/>
      <c r="J34" s="606"/>
      <c r="K34" s="606"/>
      <c r="L34" s="606"/>
      <c r="M34" s="607"/>
      <c r="N34" s="607"/>
      <c r="O34" s="607"/>
      <c r="P34" s="607"/>
      <c r="Q34" s="607"/>
      <c r="R34" s="607"/>
      <c r="S34" s="607"/>
      <c r="T34" s="607"/>
      <c r="U34" s="607"/>
      <c r="V34" s="607"/>
      <c r="W34" s="613"/>
      <c r="X34" s="606"/>
      <c r="Y34" s="606"/>
      <c r="Z34" s="606"/>
      <c r="AA34" s="607"/>
      <c r="AB34" s="607"/>
      <c r="AC34" s="607"/>
      <c r="AD34" s="624" t="s">
        <v>77</v>
      </c>
      <c r="AE34" s="606"/>
      <c r="AF34" s="606"/>
      <c r="AG34" s="606"/>
      <c r="AH34" s="607">
        <v>1700357.1200000001</v>
      </c>
      <c r="AI34" s="607">
        <v>231866.88</v>
      </c>
      <c r="AJ34" s="607">
        <f t="shared" si="17"/>
        <v>1932224</v>
      </c>
      <c r="AK34" s="624" t="s">
        <v>78</v>
      </c>
      <c r="AL34" s="606" t="s">
        <v>50</v>
      </c>
      <c r="AM34" s="606"/>
      <c r="AN34" s="606"/>
      <c r="AO34" s="607"/>
      <c r="AP34" s="607"/>
      <c r="AQ34" s="607">
        <f t="shared" si="16"/>
        <v>0</v>
      </c>
      <c r="AR34" s="606"/>
      <c r="AS34" s="606"/>
      <c r="AT34" s="606"/>
      <c r="AU34" s="606"/>
      <c r="AV34" s="607"/>
      <c r="AW34" s="607"/>
      <c r="AX34" s="607"/>
      <c r="AY34" s="608"/>
      <c r="AZ34" s="607"/>
      <c r="BA34" s="606"/>
      <c r="BB34" s="606"/>
      <c r="BC34" s="607"/>
      <c r="BD34" s="607"/>
      <c r="BE34" s="607"/>
      <c r="BF34" s="608"/>
      <c r="BG34" s="606"/>
      <c r="BH34" s="606"/>
      <c r="BI34" s="607"/>
      <c r="BJ34" s="607"/>
      <c r="BK34" s="607"/>
      <c r="BL34" s="684"/>
      <c r="BM34" s="618"/>
      <c r="BN34" s="616"/>
      <c r="BO34" s="616"/>
      <c r="BP34" s="615"/>
      <c r="BQ34" s="615"/>
      <c r="BR34" s="615"/>
    </row>
    <row r="35" spans="1:70" s="617" customFormat="1" ht="23.15" customHeight="1" x14ac:dyDescent="0.35">
      <c r="A35" s="948"/>
      <c r="B35" s="623">
        <f t="shared" si="8"/>
        <v>164003.84</v>
      </c>
      <c r="C35" s="623">
        <f t="shared" si="9"/>
        <v>22364.16</v>
      </c>
      <c r="D35" s="623">
        <f t="shared" si="10"/>
        <v>186368</v>
      </c>
      <c r="E35" s="623">
        <f t="shared" si="11"/>
        <v>0</v>
      </c>
      <c r="F35" s="623">
        <f t="shared" si="12"/>
        <v>0</v>
      </c>
      <c r="G35" s="623">
        <f t="shared" si="13"/>
        <v>0</v>
      </c>
      <c r="H35" s="623">
        <f t="shared" si="14"/>
        <v>186368</v>
      </c>
      <c r="I35" s="606"/>
      <c r="J35" s="606"/>
      <c r="K35" s="606"/>
      <c r="L35" s="606"/>
      <c r="M35" s="607"/>
      <c r="N35" s="607"/>
      <c r="O35" s="607"/>
      <c r="P35" s="607"/>
      <c r="Q35" s="607"/>
      <c r="R35" s="607"/>
      <c r="S35" s="607"/>
      <c r="T35" s="607"/>
      <c r="U35" s="607"/>
      <c r="V35" s="607"/>
      <c r="W35" s="613"/>
      <c r="X35" s="606"/>
      <c r="Y35" s="606"/>
      <c r="Z35" s="606"/>
      <c r="AA35" s="607"/>
      <c r="AB35" s="607"/>
      <c r="AC35" s="607"/>
      <c r="AD35" s="624" t="s">
        <v>79</v>
      </c>
      <c r="AE35" s="606"/>
      <c r="AF35" s="606"/>
      <c r="AG35" s="606"/>
      <c r="AH35" s="607">
        <v>164003.84</v>
      </c>
      <c r="AI35" s="607">
        <v>22364.16</v>
      </c>
      <c r="AJ35" s="607">
        <f t="shared" si="17"/>
        <v>186368</v>
      </c>
      <c r="AK35" s="624" t="s">
        <v>80</v>
      </c>
      <c r="AL35" s="606" t="s">
        <v>50</v>
      </c>
      <c r="AM35" s="606"/>
      <c r="AN35" s="606"/>
      <c r="AO35" s="607"/>
      <c r="AP35" s="607"/>
      <c r="AQ35" s="607">
        <f t="shared" si="16"/>
        <v>0</v>
      </c>
      <c r="AR35" s="613"/>
      <c r="AS35" s="606"/>
      <c r="AT35" s="606"/>
      <c r="AU35" s="606"/>
      <c r="AV35" s="607"/>
      <c r="AW35" s="607"/>
      <c r="AX35" s="607"/>
      <c r="AY35" s="608"/>
      <c r="AZ35" s="607"/>
      <c r="BA35" s="606"/>
      <c r="BB35" s="606"/>
      <c r="BC35" s="607"/>
      <c r="BD35" s="607"/>
      <c r="BE35" s="607"/>
      <c r="BF35" s="608"/>
      <c r="BG35" s="606"/>
      <c r="BH35" s="606"/>
      <c r="BI35" s="607"/>
      <c r="BJ35" s="607"/>
      <c r="BK35" s="607"/>
      <c r="BL35" s="684"/>
      <c r="BM35" s="618"/>
      <c r="BN35" s="616"/>
      <c r="BO35" s="616"/>
      <c r="BP35" s="615"/>
      <c r="BQ35" s="615"/>
      <c r="BR35" s="615"/>
    </row>
    <row r="36" spans="1:70" s="617" customFormat="1" ht="23.15" customHeight="1" x14ac:dyDescent="0.35">
      <c r="A36" s="948"/>
      <c r="B36" s="623">
        <f t="shared" si="8"/>
        <v>1652982.2611455999</v>
      </c>
      <c r="C36" s="623">
        <f t="shared" si="9"/>
        <v>225406.67197439997</v>
      </c>
      <c r="D36" s="623">
        <f t="shared" si="10"/>
        <v>1878388.9331199999</v>
      </c>
      <c r="E36" s="623">
        <f t="shared" si="11"/>
        <v>0</v>
      </c>
      <c r="F36" s="623">
        <f t="shared" si="12"/>
        <v>0</v>
      </c>
      <c r="G36" s="623">
        <f t="shared" si="13"/>
        <v>0</v>
      </c>
      <c r="H36" s="623">
        <f t="shared" si="14"/>
        <v>1878388.9331199999</v>
      </c>
      <c r="I36" s="606"/>
      <c r="J36" s="606"/>
      <c r="K36" s="606"/>
      <c r="L36" s="606"/>
      <c r="M36" s="607"/>
      <c r="N36" s="607"/>
      <c r="O36" s="607"/>
      <c r="P36" s="607"/>
      <c r="Q36" s="607"/>
      <c r="R36" s="607"/>
      <c r="S36" s="607"/>
      <c r="T36" s="607"/>
      <c r="U36" s="607"/>
      <c r="V36" s="607"/>
      <c r="W36" s="613"/>
      <c r="X36" s="606"/>
      <c r="Y36" s="606"/>
      <c r="Z36" s="606"/>
      <c r="AA36" s="607"/>
      <c r="AB36" s="607"/>
      <c r="AC36" s="607"/>
      <c r="AD36" s="624" t="s">
        <v>81</v>
      </c>
      <c r="AE36" s="606"/>
      <c r="AF36" s="606"/>
      <c r="AG36" s="606"/>
      <c r="AH36" s="607">
        <v>1652982.2611455999</v>
      </c>
      <c r="AI36" s="607">
        <v>225406.67197439997</v>
      </c>
      <c r="AJ36" s="607">
        <f t="shared" si="17"/>
        <v>1878388.9331199999</v>
      </c>
      <c r="AK36" s="624" t="s">
        <v>82</v>
      </c>
      <c r="AL36" s="606" t="s">
        <v>50</v>
      </c>
      <c r="AM36" s="606"/>
      <c r="AN36" s="606"/>
      <c r="AO36" s="607"/>
      <c r="AP36" s="607"/>
      <c r="AQ36" s="607">
        <f t="shared" si="16"/>
        <v>0</v>
      </c>
      <c r="AR36" s="613"/>
      <c r="AS36" s="606"/>
      <c r="AT36" s="606"/>
      <c r="AU36" s="606"/>
      <c r="AV36" s="607"/>
      <c r="AW36" s="607"/>
      <c r="AX36" s="607"/>
      <c r="AY36" s="608"/>
      <c r="AZ36" s="607"/>
      <c r="BA36" s="606"/>
      <c r="BB36" s="606"/>
      <c r="BC36" s="607"/>
      <c r="BD36" s="607"/>
      <c r="BE36" s="607"/>
      <c r="BF36" s="608"/>
      <c r="BG36" s="606"/>
      <c r="BH36" s="606"/>
      <c r="BI36" s="607"/>
      <c r="BJ36" s="607"/>
      <c r="BK36" s="607"/>
      <c r="BL36" s="684"/>
      <c r="BM36" s="618"/>
      <c r="BN36" s="616"/>
      <c r="BO36" s="616"/>
      <c r="BP36" s="615"/>
      <c r="BQ36" s="615"/>
      <c r="BR36" s="615"/>
    </row>
    <row r="37" spans="1:70" s="617" customFormat="1" ht="23.15" customHeight="1" x14ac:dyDescent="0.35">
      <c r="A37" s="949"/>
      <c r="B37" s="623">
        <f t="shared" si="8"/>
        <v>1285152.5091328002</v>
      </c>
      <c r="C37" s="623">
        <f t="shared" si="9"/>
        <v>175248.06942720004</v>
      </c>
      <c r="D37" s="623">
        <f t="shared" si="10"/>
        <v>1460400.5785600003</v>
      </c>
      <c r="E37" s="623">
        <f t="shared" si="11"/>
        <v>0</v>
      </c>
      <c r="F37" s="623">
        <f t="shared" si="12"/>
        <v>0</v>
      </c>
      <c r="G37" s="623">
        <f t="shared" si="13"/>
        <v>0</v>
      </c>
      <c r="H37" s="623">
        <f t="shared" si="14"/>
        <v>1460400.5785600003</v>
      </c>
      <c r="I37" s="606"/>
      <c r="J37" s="606"/>
      <c r="K37" s="606"/>
      <c r="L37" s="606"/>
      <c r="M37" s="607"/>
      <c r="N37" s="607"/>
      <c r="O37" s="607"/>
      <c r="P37" s="607"/>
      <c r="Q37" s="607"/>
      <c r="R37" s="607"/>
      <c r="S37" s="607"/>
      <c r="T37" s="607"/>
      <c r="U37" s="607"/>
      <c r="V37" s="607"/>
      <c r="W37" s="613"/>
      <c r="X37" s="606"/>
      <c r="Y37" s="606"/>
      <c r="Z37" s="606"/>
      <c r="AA37" s="607"/>
      <c r="AB37" s="607"/>
      <c r="AC37" s="607"/>
      <c r="AD37" s="624" t="s">
        <v>83</v>
      </c>
      <c r="AE37" s="606"/>
      <c r="AF37" s="606"/>
      <c r="AG37" s="606"/>
      <c r="AH37" s="607">
        <v>1285152.5091328002</v>
      </c>
      <c r="AI37" s="607">
        <v>175248.06942720004</v>
      </c>
      <c r="AJ37" s="607">
        <f t="shared" si="17"/>
        <v>1460400.5785600003</v>
      </c>
      <c r="AK37" s="624" t="s">
        <v>84</v>
      </c>
      <c r="AL37" s="606" t="s">
        <v>50</v>
      </c>
      <c r="AM37" s="606"/>
      <c r="AN37" s="606"/>
      <c r="AO37" s="607"/>
      <c r="AP37" s="607"/>
      <c r="AQ37" s="607">
        <f t="shared" si="16"/>
        <v>0</v>
      </c>
      <c r="AR37" s="613"/>
      <c r="AS37" s="606"/>
      <c r="AT37" s="606"/>
      <c r="AU37" s="606"/>
      <c r="AV37" s="607"/>
      <c r="AW37" s="607"/>
      <c r="AX37" s="607"/>
      <c r="AY37" s="608"/>
      <c r="AZ37" s="607"/>
      <c r="BA37" s="606"/>
      <c r="BB37" s="606"/>
      <c r="BC37" s="607"/>
      <c r="BD37" s="607"/>
      <c r="BE37" s="607"/>
      <c r="BF37" s="608"/>
      <c r="BG37" s="606"/>
      <c r="BH37" s="606"/>
      <c r="BI37" s="607"/>
      <c r="BJ37" s="607"/>
      <c r="BK37" s="607"/>
      <c r="BL37" s="684"/>
      <c r="BM37" s="618"/>
      <c r="BN37" s="616"/>
      <c r="BO37" s="616"/>
      <c r="BP37" s="615"/>
      <c r="BQ37" s="615"/>
      <c r="BR37" s="615"/>
    </row>
    <row r="38" spans="1:70" s="617" customFormat="1" ht="23.15" customHeight="1" x14ac:dyDescent="0.35">
      <c r="A38" s="950" t="s">
        <v>85</v>
      </c>
      <c r="B38" s="469">
        <f>SUM(B39:B43)</f>
        <v>6427868.9119999986</v>
      </c>
      <c r="C38" s="469">
        <f t="shared" ref="C38:G38" si="21">SUM(C39:C43)</f>
        <v>180643.20000000001</v>
      </c>
      <c r="D38" s="469">
        <f t="shared" si="21"/>
        <v>6608512.1119999988</v>
      </c>
      <c r="E38" s="469">
        <f t="shared" si="21"/>
        <v>0</v>
      </c>
      <c r="F38" s="469">
        <f t="shared" si="21"/>
        <v>0</v>
      </c>
      <c r="G38" s="469">
        <f t="shared" si="21"/>
        <v>0</v>
      </c>
      <c r="H38" s="469">
        <f t="shared" ref="H38:H43" si="22">D38</f>
        <v>6608512.1119999988</v>
      </c>
      <c r="I38" s="475"/>
      <c r="J38" s="475"/>
      <c r="K38" s="475"/>
      <c r="L38" s="475"/>
      <c r="M38" s="476"/>
      <c r="N38" s="476"/>
      <c r="O38" s="476"/>
      <c r="P38" s="476"/>
      <c r="Q38" s="476"/>
      <c r="R38" s="476"/>
      <c r="S38" s="476"/>
      <c r="T38" s="476"/>
      <c r="U38" s="476"/>
      <c r="V38" s="476"/>
      <c r="W38" s="477"/>
      <c r="X38" s="475"/>
      <c r="Y38" s="475"/>
      <c r="Z38" s="475"/>
      <c r="AA38" s="476"/>
      <c r="AB38" s="476"/>
      <c r="AC38" s="476"/>
      <c r="AD38" s="588"/>
      <c r="AE38" s="475"/>
      <c r="AF38" s="475"/>
      <c r="AG38" s="475"/>
      <c r="AH38" s="476"/>
      <c r="AI38" s="476"/>
      <c r="AJ38" s="476"/>
      <c r="AK38" s="588"/>
      <c r="AL38" s="475"/>
      <c r="AM38" s="475"/>
      <c r="AN38" s="475"/>
      <c r="AO38" s="476"/>
      <c r="AP38" s="476"/>
      <c r="AQ38" s="476"/>
      <c r="AR38" s="477"/>
      <c r="AS38" s="475"/>
      <c r="AT38" s="475"/>
      <c r="AU38" s="475"/>
      <c r="AV38" s="476"/>
      <c r="AW38" s="476"/>
      <c r="AX38" s="476"/>
      <c r="AY38" s="478"/>
      <c r="AZ38" s="476"/>
      <c r="BA38" s="475"/>
      <c r="BB38" s="475"/>
      <c r="BC38" s="476"/>
      <c r="BD38" s="476"/>
      <c r="BE38" s="476"/>
      <c r="BF38" s="478"/>
      <c r="BG38" s="475"/>
      <c r="BH38" s="475"/>
      <c r="BI38" s="476"/>
      <c r="BJ38" s="476"/>
      <c r="BK38" s="476"/>
      <c r="BL38" s="503"/>
      <c r="BM38" s="618"/>
      <c r="BN38" s="616"/>
      <c r="BO38" s="616"/>
      <c r="BP38" s="615"/>
      <c r="BQ38" s="615"/>
      <c r="BR38" s="615"/>
    </row>
    <row r="39" spans="1:70" s="617" customFormat="1" ht="23.15" customHeight="1" x14ac:dyDescent="0.35">
      <c r="A39" s="951"/>
      <c r="B39" s="590">
        <f>M39</f>
        <v>5103152.1119999988</v>
      </c>
      <c r="C39" s="590">
        <f>N39</f>
        <v>0</v>
      </c>
      <c r="D39" s="590">
        <f>O39</f>
        <v>5103152.1119999988</v>
      </c>
      <c r="E39" s="590">
        <f t="shared" ref="E39:G39" si="23">SUM(E40:E43)</f>
        <v>0</v>
      </c>
      <c r="F39" s="590">
        <f t="shared" si="23"/>
        <v>0</v>
      </c>
      <c r="G39" s="590">
        <f t="shared" si="23"/>
        <v>0</v>
      </c>
      <c r="H39" s="590">
        <f t="shared" si="22"/>
        <v>5103152.1119999988</v>
      </c>
      <c r="I39" s="470" t="s">
        <v>86</v>
      </c>
      <c r="J39" s="479">
        <v>1792.8232444444448</v>
      </c>
      <c r="K39" s="471"/>
      <c r="L39" s="471"/>
      <c r="M39" s="479">
        <v>5103152.1119999988</v>
      </c>
      <c r="N39" s="479"/>
      <c r="O39" s="479">
        <f>M39</f>
        <v>5103152.1119999988</v>
      </c>
      <c r="P39" s="472"/>
      <c r="Q39" s="472"/>
      <c r="R39" s="472"/>
      <c r="S39" s="472"/>
      <c r="T39" s="472"/>
      <c r="U39" s="472"/>
      <c r="V39" s="472">
        <f>T39</f>
        <v>0</v>
      </c>
      <c r="W39" s="473"/>
      <c r="X39" s="471"/>
      <c r="Y39" s="471"/>
      <c r="Z39" s="471"/>
      <c r="AA39" s="472"/>
      <c r="AB39" s="472"/>
      <c r="AC39" s="472"/>
      <c r="AD39" s="474"/>
      <c r="AE39" s="471"/>
      <c r="AF39" s="471"/>
      <c r="AG39" s="471"/>
      <c r="AH39" s="472"/>
      <c r="AI39" s="472"/>
      <c r="AJ39" s="472"/>
      <c r="AK39" s="474"/>
      <c r="AL39" s="471"/>
      <c r="AM39" s="471"/>
      <c r="AN39" s="471"/>
      <c r="AO39" s="472"/>
      <c r="AP39" s="472"/>
      <c r="AQ39" s="472"/>
      <c r="AR39" s="474"/>
      <c r="AS39" s="471"/>
      <c r="AT39" s="471"/>
      <c r="AU39" s="471"/>
      <c r="AV39" s="472"/>
      <c r="AW39" s="472"/>
      <c r="AX39" s="472"/>
      <c r="AY39" s="472"/>
      <c r="AZ39" s="472"/>
      <c r="BA39" s="472"/>
      <c r="BB39" s="472"/>
      <c r="BC39" s="472"/>
      <c r="BD39" s="472"/>
      <c r="BE39" s="472"/>
      <c r="BF39" s="472"/>
      <c r="BG39" s="472"/>
      <c r="BH39" s="472"/>
      <c r="BI39" s="472"/>
      <c r="BJ39" s="472"/>
      <c r="BK39" s="472"/>
      <c r="BL39" s="502"/>
      <c r="BM39" s="615"/>
      <c r="BN39" s="616"/>
      <c r="BO39" s="615"/>
      <c r="BP39" s="615"/>
      <c r="BQ39" s="615"/>
      <c r="BR39" s="615"/>
    </row>
    <row r="40" spans="1:70" s="617" customFormat="1" ht="23.15" customHeight="1" x14ac:dyDescent="0.35">
      <c r="A40" s="951"/>
      <c r="B40" s="590">
        <f t="shared" ref="B40:D43" si="24">AH40</f>
        <v>660000</v>
      </c>
      <c r="C40" s="590">
        <f t="shared" si="24"/>
        <v>90000</v>
      </c>
      <c r="D40" s="590">
        <f t="shared" si="24"/>
        <v>750000</v>
      </c>
      <c r="E40" s="469"/>
      <c r="F40" s="469"/>
      <c r="G40" s="469"/>
      <c r="H40" s="590">
        <f t="shared" si="22"/>
        <v>750000</v>
      </c>
      <c r="I40" s="470"/>
      <c r="J40" s="479"/>
      <c r="K40" s="471"/>
      <c r="L40" s="471"/>
      <c r="M40" s="479"/>
      <c r="N40" s="479"/>
      <c r="O40" s="479"/>
      <c r="P40" s="472"/>
      <c r="Q40" s="472"/>
      <c r="R40" s="472"/>
      <c r="S40" s="472"/>
      <c r="T40" s="472"/>
      <c r="U40" s="472"/>
      <c r="V40" s="472"/>
      <c r="W40" s="473"/>
      <c r="X40" s="471"/>
      <c r="Y40" s="471"/>
      <c r="Z40" s="471"/>
      <c r="AA40" s="472"/>
      <c r="AB40" s="472"/>
      <c r="AC40" s="472"/>
      <c r="AD40" s="589" t="s">
        <v>87</v>
      </c>
      <c r="AE40" s="471"/>
      <c r="AF40" s="471"/>
      <c r="AG40" s="471"/>
      <c r="AH40" s="472">
        <v>660000</v>
      </c>
      <c r="AI40" s="472">
        <v>90000</v>
      </c>
      <c r="AJ40" s="476">
        <f>+AI40+AH40</f>
        <v>750000</v>
      </c>
      <c r="AK40" s="474"/>
      <c r="AL40" s="471"/>
      <c r="AM40" s="471"/>
      <c r="AN40" s="471"/>
      <c r="AO40" s="472"/>
      <c r="AP40" s="472"/>
      <c r="AQ40" s="472"/>
      <c r="AR40" s="474"/>
      <c r="AS40" s="471"/>
      <c r="AT40" s="471"/>
      <c r="AU40" s="471"/>
      <c r="AV40" s="472"/>
      <c r="AW40" s="472"/>
      <c r="AX40" s="472"/>
      <c r="AY40" s="472"/>
      <c r="AZ40" s="472"/>
      <c r="BA40" s="472"/>
      <c r="BB40" s="472"/>
      <c r="BC40" s="472"/>
      <c r="BD40" s="472"/>
      <c r="BE40" s="472"/>
      <c r="BF40" s="472"/>
      <c r="BG40" s="472"/>
      <c r="BH40" s="472"/>
      <c r="BI40" s="472"/>
      <c r="BJ40" s="472"/>
      <c r="BK40" s="472"/>
      <c r="BL40" s="502"/>
      <c r="BM40" s="615"/>
      <c r="BN40" s="616"/>
      <c r="BO40" s="615"/>
      <c r="BP40" s="615"/>
      <c r="BQ40" s="615"/>
      <c r="BR40" s="615"/>
    </row>
    <row r="41" spans="1:70" s="617" customFormat="1" ht="23.15" customHeight="1" x14ac:dyDescent="0.35">
      <c r="A41" s="951"/>
      <c r="B41" s="590">
        <f t="shared" si="24"/>
        <v>176000</v>
      </c>
      <c r="C41" s="590">
        <f t="shared" si="24"/>
        <v>24000</v>
      </c>
      <c r="D41" s="590">
        <f t="shared" si="24"/>
        <v>200000</v>
      </c>
      <c r="E41" s="469"/>
      <c r="F41" s="469"/>
      <c r="G41" s="469"/>
      <c r="H41" s="590">
        <f t="shared" si="22"/>
        <v>200000</v>
      </c>
      <c r="I41" s="470"/>
      <c r="J41" s="479"/>
      <c r="K41" s="471"/>
      <c r="L41" s="471"/>
      <c r="M41" s="479"/>
      <c r="N41" s="479"/>
      <c r="O41" s="479"/>
      <c r="P41" s="472"/>
      <c r="Q41" s="472"/>
      <c r="R41" s="472"/>
      <c r="S41" s="472"/>
      <c r="T41" s="472"/>
      <c r="U41" s="472"/>
      <c r="V41" s="472"/>
      <c r="W41" s="473"/>
      <c r="X41" s="471"/>
      <c r="Y41" s="471"/>
      <c r="Z41" s="471"/>
      <c r="AA41" s="472"/>
      <c r="AB41" s="472"/>
      <c r="AC41" s="472"/>
      <c r="AD41" s="589" t="s">
        <v>88</v>
      </c>
      <c r="AE41" s="471"/>
      <c r="AF41" s="471"/>
      <c r="AG41" s="471"/>
      <c r="AH41" s="472">
        <v>176000</v>
      </c>
      <c r="AI41" s="472">
        <v>24000</v>
      </c>
      <c r="AJ41" s="476">
        <f>+AI41+AH41</f>
        <v>200000</v>
      </c>
      <c r="AK41" s="474"/>
      <c r="AL41" s="471"/>
      <c r="AM41" s="471"/>
      <c r="AN41" s="471"/>
      <c r="AO41" s="472"/>
      <c r="AP41" s="472"/>
      <c r="AQ41" s="472"/>
      <c r="AR41" s="474"/>
      <c r="AS41" s="471"/>
      <c r="AT41" s="471"/>
      <c r="AU41" s="471"/>
      <c r="AV41" s="472"/>
      <c r="AW41" s="472"/>
      <c r="AX41" s="472"/>
      <c r="AY41" s="472"/>
      <c r="AZ41" s="472"/>
      <c r="BA41" s="472"/>
      <c r="BB41" s="472"/>
      <c r="BC41" s="472"/>
      <c r="BD41" s="472"/>
      <c r="BE41" s="472"/>
      <c r="BF41" s="472"/>
      <c r="BG41" s="472"/>
      <c r="BH41" s="472"/>
      <c r="BI41" s="472"/>
      <c r="BJ41" s="472"/>
      <c r="BK41" s="472"/>
      <c r="BL41" s="502"/>
      <c r="BM41" s="615"/>
      <c r="BN41" s="616"/>
      <c r="BO41" s="615"/>
      <c r="BP41" s="615"/>
      <c r="BQ41" s="615"/>
      <c r="BR41" s="615"/>
    </row>
    <row r="42" spans="1:70" s="617" customFormat="1" ht="23.15" customHeight="1" x14ac:dyDescent="0.35">
      <c r="A42" s="951"/>
      <c r="B42" s="590">
        <f t="shared" si="24"/>
        <v>224716.79999999999</v>
      </c>
      <c r="C42" s="590">
        <f t="shared" si="24"/>
        <v>30643.199999999997</v>
      </c>
      <c r="D42" s="590">
        <f t="shared" si="24"/>
        <v>255360</v>
      </c>
      <c r="E42" s="469"/>
      <c r="F42" s="469"/>
      <c r="G42" s="469"/>
      <c r="H42" s="590">
        <f t="shared" si="22"/>
        <v>255360</v>
      </c>
      <c r="I42" s="470"/>
      <c r="J42" s="479"/>
      <c r="K42" s="471"/>
      <c r="L42" s="471"/>
      <c r="M42" s="479"/>
      <c r="N42" s="479"/>
      <c r="O42" s="479"/>
      <c r="P42" s="472"/>
      <c r="Q42" s="472"/>
      <c r="R42" s="472"/>
      <c r="S42" s="472"/>
      <c r="T42" s="472"/>
      <c r="U42" s="472"/>
      <c r="V42" s="472"/>
      <c r="W42" s="473"/>
      <c r="X42" s="471"/>
      <c r="Y42" s="471"/>
      <c r="Z42" s="471"/>
      <c r="AA42" s="472"/>
      <c r="AB42" s="472"/>
      <c r="AC42" s="472"/>
      <c r="AD42" s="589" t="s">
        <v>89</v>
      </c>
      <c r="AE42" s="471"/>
      <c r="AF42" s="471"/>
      <c r="AG42" s="471"/>
      <c r="AH42" s="472">
        <v>224716.79999999999</v>
      </c>
      <c r="AI42" s="472">
        <v>30643.199999999997</v>
      </c>
      <c r="AJ42" s="476">
        <f>+AI42+AH42</f>
        <v>255360</v>
      </c>
      <c r="AK42" s="474"/>
      <c r="AL42" s="471"/>
      <c r="AM42" s="471"/>
      <c r="AN42" s="471"/>
      <c r="AO42" s="472"/>
      <c r="AP42" s="472"/>
      <c r="AQ42" s="472"/>
      <c r="AR42" s="474"/>
      <c r="AS42" s="471"/>
      <c r="AT42" s="471"/>
      <c r="AU42" s="471"/>
      <c r="AV42" s="472"/>
      <c r="AW42" s="472"/>
      <c r="AX42" s="472"/>
      <c r="AY42" s="472"/>
      <c r="AZ42" s="472"/>
      <c r="BA42" s="472"/>
      <c r="BB42" s="472"/>
      <c r="BC42" s="472"/>
      <c r="BD42" s="472"/>
      <c r="BE42" s="472"/>
      <c r="BF42" s="472"/>
      <c r="BG42" s="472"/>
      <c r="BH42" s="472"/>
      <c r="BI42" s="472"/>
      <c r="BJ42" s="472"/>
      <c r="BK42" s="472"/>
      <c r="BL42" s="502"/>
      <c r="BM42" s="615"/>
      <c r="BN42" s="616"/>
      <c r="BO42" s="615"/>
      <c r="BP42" s="615"/>
      <c r="BQ42" s="615"/>
      <c r="BR42" s="615"/>
    </row>
    <row r="43" spans="1:70" s="617" customFormat="1" ht="23.15" customHeight="1" x14ac:dyDescent="0.35">
      <c r="A43" s="952"/>
      <c r="B43" s="590">
        <f t="shared" si="24"/>
        <v>264000</v>
      </c>
      <c r="C43" s="590">
        <f t="shared" si="24"/>
        <v>36000</v>
      </c>
      <c r="D43" s="590">
        <f t="shared" si="24"/>
        <v>300000</v>
      </c>
      <c r="E43" s="469"/>
      <c r="F43" s="469"/>
      <c r="G43" s="469"/>
      <c r="H43" s="590">
        <f t="shared" si="22"/>
        <v>300000</v>
      </c>
      <c r="I43" s="470"/>
      <c r="J43" s="479"/>
      <c r="K43" s="471"/>
      <c r="L43" s="471"/>
      <c r="M43" s="479"/>
      <c r="N43" s="479"/>
      <c r="O43" s="479"/>
      <c r="P43" s="472"/>
      <c r="Q43" s="472"/>
      <c r="R43" s="472"/>
      <c r="S43" s="472"/>
      <c r="T43" s="472"/>
      <c r="U43" s="472"/>
      <c r="V43" s="472"/>
      <c r="W43" s="473"/>
      <c r="X43" s="471"/>
      <c r="Y43" s="471"/>
      <c r="Z43" s="471"/>
      <c r="AA43" s="472"/>
      <c r="AB43" s="472"/>
      <c r="AC43" s="472"/>
      <c r="AD43" s="589" t="s">
        <v>90</v>
      </c>
      <c r="AE43" s="471"/>
      <c r="AF43" s="471"/>
      <c r="AG43" s="471"/>
      <c r="AH43" s="472">
        <v>264000</v>
      </c>
      <c r="AI43" s="472">
        <v>36000</v>
      </c>
      <c r="AJ43" s="476">
        <f>+AI43+AH43</f>
        <v>300000</v>
      </c>
      <c r="AK43" s="474"/>
      <c r="AL43" s="471"/>
      <c r="AM43" s="471"/>
      <c r="AN43" s="471"/>
      <c r="AO43" s="472"/>
      <c r="AP43" s="472"/>
      <c r="AQ43" s="472"/>
      <c r="AR43" s="474"/>
      <c r="AS43" s="471"/>
      <c r="AT43" s="471"/>
      <c r="AU43" s="471"/>
      <c r="AV43" s="472"/>
      <c r="AW43" s="472"/>
      <c r="AX43" s="472"/>
      <c r="AY43" s="472"/>
      <c r="AZ43" s="472"/>
      <c r="BA43" s="472"/>
      <c r="BB43" s="472"/>
      <c r="BC43" s="472"/>
      <c r="BD43" s="472"/>
      <c r="BE43" s="472"/>
      <c r="BF43" s="472"/>
      <c r="BG43" s="472"/>
      <c r="BH43" s="472"/>
      <c r="BI43" s="472"/>
      <c r="BJ43" s="472"/>
      <c r="BK43" s="472"/>
      <c r="BL43" s="502"/>
      <c r="BM43" s="615"/>
      <c r="BN43" s="616"/>
      <c r="BO43" s="615"/>
      <c r="BP43" s="615"/>
      <c r="BQ43" s="615"/>
      <c r="BR43" s="615"/>
    </row>
    <row r="44" spans="1:70" s="614" customFormat="1" ht="33.65" customHeight="1" x14ac:dyDescent="0.35">
      <c r="A44" s="702" t="s">
        <v>91</v>
      </c>
      <c r="B44" s="468">
        <f t="shared" ref="B44:H44" si="25">SUM(B45:B63)</f>
        <v>18841379.989232138</v>
      </c>
      <c r="C44" s="468">
        <f t="shared" si="25"/>
        <v>419134.01076786401</v>
      </c>
      <c r="D44" s="468">
        <f t="shared" si="25"/>
        <v>19260514</v>
      </c>
      <c r="E44" s="468">
        <f t="shared" si="25"/>
        <v>0</v>
      </c>
      <c r="F44" s="468">
        <f t="shared" si="25"/>
        <v>0</v>
      </c>
      <c r="G44" s="468">
        <f t="shared" si="25"/>
        <v>0</v>
      </c>
      <c r="H44" s="468">
        <f t="shared" si="25"/>
        <v>19260514.199999999</v>
      </c>
      <c r="I44" s="941" t="s">
        <v>92</v>
      </c>
      <c r="J44" s="941"/>
      <c r="K44" s="941"/>
      <c r="L44" s="941"/>
      <c r="M44" s="941"/>
      <c r="N44" s="941"/>
      <c r="O44" s="941"/>
      <c r="P44" s="941"/>
      <c r="Q44" s="941"/>
      <c r="R44" s="941"/>
      <c r="S44" s="941"/>
      <c r="T44" s="941"/>
      <c r="U44" s="941"/>
      <c r="V44" s="941"/>
      <c r="W44" s="941"/>
      <c r="X44" s="941"/>
      <c r="Y44" s="941"/>
      <c r="Z44" s="941"/>
      <c r="AA44" s="941"/>
      <c r="AB44" s="941"/>
      <c r="AC44" s="941"/>
      <c r="AD44" s="941"/>
      <c r="AE44" s="941"/>
      <c r="AF44" s="941"/>
      <c r="AG44" s="941"/>
      <c r="AH44" s="941"/>
      <c r="AI44" s="941"/>
      <c r="AJ44" s="941"/>
      <c r="AK44" s="941"/>
      <c r="AL44" s="941"/>
      <c r="AM44" s="941"/>
      <c r="AN44" s="941"/>
      <c r="AO44" s="941"/>
      <c r="AP44" s="941"/>
      <c r="AQ44" s="941"/>
      <c r="AR44" s="941"/>
      <c r="AS44" s="941"/>
      <c r="AT44" s="941"/>
      <c r="AU44" s="941"/>
      <c r="AV44" s="941"/>
      <c r="AW44" s="941"/>
      <c r="AX44" s="941"/>
      <c r="AY44" s="941"/>
      <c r="AZ44" s="941"/>
      <c r="BA44" s="941"/>
      <c r="BB44" s="941"/>
      <c r="BC44" s="941"/>
      <c r="BD44" s="941"/>
      <c r="BE44" s="941"/>
      <c r="BF44" s="941"/>
      <c r="BG44" s="941"/>
      <c r="BH44" s="941"/>
      <c r="BI44" s="941"/>
      <c r="BJ44" s="941"/>
      <c r="BK44" s="941"/>
      <c r="BL44" s="942"/>
    </row>
    <row r="45" spans="1:70" s="614" customFormat="1" ht="23.15" customHeight="1" x14ac:dyDescent="0.35">
      <c r="A45" s="935" t="s">
        <v>93</v>
      </c>
      <c r="B45" s="604">
        <f t="shared" ref="B45:B63" si="26">+O45+AH45+AV45</f>
        <v>216849.72480000003</v>
      </c>
      <c r="C45" s="604">
        <v>0</v>
      </c>
      <c r="D45" s="604">
        <f t="shared" ref="D45:D63" si="27">+C45+B45</f>
        <v>216849.72480000003</v>
      </c>
      <c r="E45" s="604">
        <v>0</v>
      </c>
      <c r="F45" s="604">
        <v>0</v>
      </c>
      <c r="G45" s="604">
        <v>0</v>
      </c>
      <c r="H45" s="604">
        <v>216849.92480000001</v>
      </c>
      <c r="I45" s="612" t="s">
        <v>94</v>
      </c>
      <c r="J45" s="606"/>
      <c r="K45" s="606">
        <v>24</v>
      </c>
      <c r="L45" s="626">
        <v>6.5</v>
      </c>
      <c r="M45" s="606">
        <v>216849.72480000003</v>
      </c>
      <c r="N45" s="606"/>
      <c r="O45" s="606">
        <v>216849.72480000003</v>
      </c>
      <c r="P45" s="613"/>
      <c r="Q45" s="606"/>
      <c r="R45" s="606"/>
      <c r="S45" s="613"/>
      <c r="T45" s="606"/>
      <c r="U45" s="606"/>
      <c r="V45" s="606"/>
      <c r="W45" s="613"/>
      <c r="X45" s="607"/>
      <c r="Y45" s="607"/>
      <c r="Z45" s="607"/>
      <c r="AA45" s="607"/>
      <c r="AB45" s="607"/>
      <c r="AC45" s="607"/>
      <c r="AD45" s="613"/>
      <c r="AE45" s="606"/>
      <c r="AF45" s="606"/>
      <c r="AG45" s="606"/>
      <c r="AH45" s="607"/>
      <c r="AI45" s="607"/>
      <c r="AJ45" s="607"/>
      <c r="AK45" s="613"/>
      <c r="AL45" s="606"/>
      <c r="AM45" s="606"/>
      <c r="AN45" s="606"/>
      <c r="AO45" s="607"/>
      <c r="AP45" s="607"/>
      <c r="AQ45" s="607"/>
      <c r="AR45" s="608"/>
      <c r="AS45" s="607"/>
      <c r="AT45" s="606"/>
      <c r="AU45" s="606"/>
      <c r="AV45" s="607"/>
      <c r="AW45" s="607"/>
      <c r="AX45" s="607"/>
      <c r="AY45" s="608"/>
      <c r="AZ45" s="607"/>
      <c r="BA45" s="606"/>
      <c r="BB45" s="606"/>
      <c r="BC45" s="607"/>
      <c r="BD45" s="607"/>
      <c r="BE45" s="607"/>
      <c r="BF45" s="608"/>
      <c r="BG45" s="606"/>
      <c r="BH45" s="607"/>
      <c r="BI45" s="607"/>
      <c r="BJ45" s="607"/>
      <c r="BK45" s="607"/>
      <c r="BL45" s="684"/>
      <c r="BN45" s="616"/>
    </row>
    <row r="46" spans="1:70" s="614" customFormat="1" ht="23.15" customHeight="1" x14ac:dyDescent="0.35">
      <c r="A46" s="935"/>
      <c r="B46" s="604">
        <f t="shared" si="26"/>
        <v>437750.91200000007</v>
      </c>
      <c r="C46" s="604">
        <v>0</v>
      </c>
      <c r="D46" s="604">
        <f t="shared" si="27"/>
        <v>437750.91200000007</v>
      </c>
      <c r="E46" s="604">
        <v>0</v>
      </c>
      <c r="F46" s="604">
        <v>0</v>
      </c>
      <c r="G46" s="604">
        <v>0</v>
      </c>
      <c r="H46" s="604">
        <v>437750.91200000007</v>
      </c>
      <c r="I46" s="612" t="s">
        <v>23</v>
      </c>
      <c r="J46" s="606"/>
      <c r="K46" s="606">
        <v>24</v>
      </c>
      <c r="L46" s="626">
        <v>12</v>
      </c>
      <c r="M46" s="606">
        <v>437750.91200000007</v>
      </c>
      <c r="N46" s="606"/>
      <c r="O46" s="606">
        <v>437750.91200000007</v>
      </c>
      <c r="P46" s="613"/>
      <c r="Q46" s="606"/>
      <c r="R46" s="606"/>
      <c r="S46" s="613"/>
      <c r="T46" s="606"/>
      <c r="U46" s="606"/>
      <c r="V46" s="606"/>
      <c r="W46" s="613"/>
      <c r="X46" s="607"/>
      <c r="Y46" s="607"/>
      <c r="Z46" s="607"/>
      <c r="AA46" s="607"/>
      <c r="AB46" s="607"/>
      <c r="AC46" s="607"/>
      <c r="AD46" s="613"/>
      <c r="AE46" s="606"/>
      <c r="AF46" s="606"/>
      <c r="AG46" s="606"/>
      <c r="AH46" s="607"/>
      <c r="AI46" s="607"/>
      <c r="AJ46" s="607"/>
      <c r="AK46" s="613"/>
      <c r="AL46" s="606"/>
      <c r="AM46" s="606"/>
      <c r="AN46" s="606"/>
      <c r="AO46" s="607"/>
      <c r="AP46" s="607"/>
      <c r="AQ46" s="607"/>
      <c r="AR46" s="608"/>
      <c r="AS46" s="607"/>
      <c r="AT46" s="606"/>
      <c r="AU46" s="606"/>
      <c r="AV46" s="607"/>
      <c r="AW46" s="607"/>
      <c r="AX46" s="607"/>
      <c r="AY46" s="608"/>
      <c r="AZ46" s="607"/>
      <c r="BA46" s="606"/>
      <c r="BB46" s="606"/>
      <c r="BC46" s="607"/>
      <c r="BD46" s="607"/>
      <c r="BE46" s="607"/>
      <c r="BF46" s="608"/>
      <c r="BG46" s="606"/>
      <c r="BH46" s="607"/>
      <c r="BI46" s="607"/>
      <c r="BJ46" s="607"/>
      <c r="BK46" s="607"/>
      <c r="BL46" s="684"/>
      <c r="BN46" s="616"/>
    </row>
    <row r="47" spans="1:70" s="614" customFormat="1" ht="23.15" customHeight="1" x14ac:dyDescent="0.35">
      <c r="A47" s="938" t="s">
        <v>95</v>
      </c>
      <c r="B47" s="469">
        <f t="shared" si="26"/>
        <v>329792.28980000003</v>
      </c>
      <c r="C47" s="469">
        <v>0</v>
      </c>
      <c r="D47" s="469">
        <f t="shared" si="27"/>
        <v>329792.28980000003</v>
      </c>
      <c r="E47" s="469">
        <v>0</v>
      </c>
      <c r="F47" s="469">
        <v>0</v>
      </c>
      <c r="G47" s="469">
        <v>0</v>
      </c>
      <c r="H47" s="469">
        <v>329792.28980000003</v>
      </c>
      <c r="I47" s="470" t="s">
        <v>94</v>
      </c>
      <c r="J47" s="471"/>
      <c r="K47" s="471">
        <v>33</v>
      </c>
      <c r="L47" s="603">
        <v>8.5</v>
      </c>
      <c r="M47" s="471">
        <v>329792.28980000003</v>
      </c>
      <c r="N47" s="471"/>
      <c r="O47" s="471">
        <v>329792.28980000003</v>
      </c>
      <c r="P47" s="474"/>
      <c r="Q47" s="471"/>
      <c r="R47" s="471"/>
      <c r="S47" s="474"/>
      <c r="T47" s="471"/>
      <c r="U47" s="471"/>
      <c r="V47" s="471"/>
      <c r="W47" s="474"/>
      <c r="X47" s="472"/>
      <c r="Y47" s="472"/>
      <c r="Z47" s="472"/>
      <c r="AA47" s="472"/>
      <c r="AB47" s="472"/>
      <c r="AC47" s="472"/>
      <c r="AD47" s="474"/>
      <c r="AE47" s="471"/>
      <c r="AF47" s="471"/>
      <c r="AG47" s="471"/>
      <c r="AH47" s="472"/>
      <c r="AI47" s="472"/>
      <c r="AJ47" s="472"/>
      <c r="AK47" s="474"/>
      <c r="AL47" s="471"/>
      <c r="AM47" s="471"/>
      <c r="AN47" s="471"/>
      <c r="AO47" s="472"/>
      <c r="AP47" s="472"/>
      <c r="AQ47" s="472"/>
      <c r="AR47" s="473"/>
      <c r="AS47" s="472"/>
      <c r="AT47" s="471"/>
      <c r="AU47" s="471"/>
      <c r="AV47" s="472"/>
      <c r="AW47" s="472"/>
      <c r="AX47" s="472"/>
      <c r="AY47" s="473"/>
      <c r="AZ47" s="472"/>
      <c r="BA47" s="471"/>
      <c r="BB47" s="471"/>
      <c r="BC47" s="472"/>
      <c r="BD47" s="472"/>
      <c r="BE47" s="472"/>
      <c r="BF47" s="473"/>
      <c r="BG47" s="471"/>
      <c r="BH47" s="472"/>
      <c r="BI47" s="472"/>
      <c r="BJ47" s="472"/>
      <c r="BK47" s="472"/>
      <c r="BL47" s="502"/>
      <c r="BN47" s="616"/>
    </row>
    <row r="48" spans="1:70" s="614" customFormat="1" ht="23.15" customHeight="1" x14ac:dyDescent="0.35">
      <c r="A48" s="938"/>
      <c r="B48" s="469">
        <f t="shared" si="26"/>
        <v>785243.9040000001</v>
      </c>
      <c r="C48" s="469">
        <v>0</v>
      </c>
      <c r="D48" s="469">
        <f t="shared" si="27"/>
        <v>785243.9040000001</v>
      </c>
      <c r="E48" s="469">
        <v>0</v>
      </c>
      <c r="F48" s="469">
        <v>0</v>
      </c>
      <c r="G48" s="469">
        <v>0</v>
      </c>
      <c r="H48" s="469">
        <v>785243.9040000001</v>
      </c>
      <c r="I48" s="470" t="s">
        <v>23</v>
      </c>
      <c r="J48" s="471"/>
      <c r="K48" s="471">
        <v>33</v>
      </c>
      <c r="L48" s="603">
        <v>16</v>
      </c>
      <c r="M48" s="471">
        <v>785243.9040000001</v>
      </c>
      <c r="N48" s="471"/>
      <c r="O48" s="471">
        <v>785243.9040000001</v>
      </c>
      <c r="P48" s="474"/>
      <c r="Q48" s="471"/>
      <c r="R48" s="471"/>
      <c r="S48" s="474"/>
      <c r="T48" s="471"/>
      <c r="U48" s="471"/>
      <c r="V48" s="471"/>
      <c r="W48" s="474"/>
      <c r="X48" s="472"/>
      <c r="Y48" s="472"/>
      <c r="Z48" s="472"/>
      <c r="AA48" s="472"/>
      <c r="AB48" s="472"/>
      <c r="AC48" s="472"/>
      <c r="AD48" s="474"/>
      <c r="AE48" s="471"/>
      <c r="AF48" s="471"/>
      <c r="AG48" s="471"/>
      <c r="AH48" s="472"/>
      <c r="AI48" s="472"/>
      <c r="AJ48" s="472"/>
      <c r="AK48" s="474"/>
      <c r="AL48" s="471"/>
      <c r="AM48" s="471"/>
      <c r="AN48" s="471"/>
      <c r="AO48" s="472"/>
      <c r="AP48" s="472"/>
      <c r="AQ48" s="472"/>
      <c r="AR48" s="473"/>
      <c r="AS48" s="472"/>
      <c r="AT48" s="471"/>
      <c r="AU48" s="471"/>
      <c r="AV48" s="472"/>
      <c r="AW48" s="472"/>
      <c r="AX48" s="472"/>
      <c r="AY48" s="473"/>
      <c r="AZ48" s="472"/>
      <c r="BA48" s="471"/>
      <c r="BB48" s="471"/>
      <c r="BC48" s="472"/>
      <c r="BD48" s="472"/>
      <c r="BE48" s="472"/>
      <c r="BF48" s="473"/>
      <c r="BG48" s="471"/>
      <c r="BH48" s="472"/>
      <c r="BI48" s="472"/>
      <c r="BJ48" s="472"/>
      <c r="BK48" s="472"/>
      <c r="BL48" s="502"/>
      <c r="BN48" s="616"/>
    </row>
    <row r="49" spans="1:66" s="614" customFormat="1" ht="23.15" customHeight="1" x14ac:dyDescent="0.35">
      <c r="A49" s="936" t="s">
        <v>96</v>
      </c>
      <c r="B49" s="604">
        <f t="shared" si="26"/>
        <v>790597.95500000007</v>
      </c>
      <c r="C49" s="604">
        <v>0</v>
      </c>
      <c r="D49" s="604">
        <f t="shared" si="27"/>
        <v>790597.95500000007</v>
      </c>
      <c r="E49" s="604">
        <v>0</v>
      </c>
      <c r="F49" s="604">
        <v>0</v>
      </c>
      <c r="G49" s="604">
        <v>0</v>
      </c>
      <c r="H49" s="604">
        <v>790597.95500000007</v>
      </c>
      <c r="I49" s="605" t="s">
        <v>94</v>
      </c>
      <c r="J49" s="606"/>
      <c r="K49" s="606">
        <v>52</v>
      </c>
      <c r="L49" s="606">
        <v>9.5</v>
      </c>
      <c r="M49" s="607">
        <v>790597.95500000007</v>
      </c>
      <c r="N49" s="607"/>
      <c r="O49" s="606">
        <v>790597.95500000007</v>
      </c>
      <c r="P49" s="608"/>
      <c r="Q49" s="606"/>
      <c r="R49" s="606"/>
      <c r="S49" s="606"/>
      <c r="T49" s="607"/>
      <c r="U49" s="607"/>
      <c r="V49" s="606"/>
      <c r="W49" s="607"/>
      <c r="X49" s="609"/>
      <c r="Y49" s="609"/>
      <c r="Z49" s="609"/>
      <c r="AA49" s="609"/>
      <c r="AB49" s="609"/>
      <c r="AC49" s="607"/>
      <c r="AD49" s="610"/>
      <c r="AE49" s="610"/>
      <c r="AF49" s="610"/>
      <c r="AG49" s="610"/>
      <c r="AH49" s="610"/>
      <c r="AI49" s="610"/>
      <c r="AJ49" s="607"/>
      <c r="AK49" s="610"/>
      <c r="AL49" s="610"/>
      <c r="AM49" s="610"/>
      <c r="AN49" s="610"/>
      <c r="AO49" s="610"/>
      <c r="AP49" s="610"/>
      <c r="AQ49" s="607"/>
      <c r="AR49" s="607"/>
      <c r="AS49" s="607"/>
      <c r="AT49" s="606"/>
      <c r="AU49" s="606"/>
      <c r="AV49" s="607"/>
      <c r="AW49" s="607"/>
      <c r="AX49" s="607"/>
      <c r="AY49" s="607"/>
      <c r="AZ49" s="607"/>
      <c r="BA49" s="606"/>
      <c r="BB49" s="606"/>
      <c r="BC49" s="607"/>
      <c r="BD49" s="607"/>
      <c r="BE49" s="607"/>
      <c r="BF49" s="608"/>
      <c r="BG49" s="606"/>
      <c r="BH49" s="607"/>
      <c r="BI49" s="607"/>
      <c r="BJ49" s="607"/>
      <c r="BK49" s="607"/>
      <c r="BL49" s="684"/>
      <c r="BN49" s="616"/>
    </row>
    <row r="50" spans="1:66" s="614" customFormat="1" ht="23.15" customHeight="1" x14ac:dyDescent="0.35">
      <c r="A50" s="937"/>
      <c r="B50" s="604">
        <f t="shared" si="26"/>
        <v>2279337.1938672336</v>
      </c>
      <c r="C50" s="604">
        <v>0</v>
      </c>
      <c r="D50" s="604">
        <f t="shared" si="27"/>
        <v>2279337.1938672336</v>
      </c>
      <c r="E50" s="604">
        <v>0</v>
      </c>
      <c r="F50" s="604">
        <v>0</v>
      </c>
      <c r="G50" s="604">
        <v>0</v>
      </c>
      <c r="H50" s="604">
        <f>D50</f>
        <v>2279337.1938672336</v>
      </c>
      <c r="I50" s="605" t="s">
        <v>23</v>
      </c>
      <c r="J50" s="606"/>
      <c r="K50" s="606">
        <v>52</v>
      </c>
      <c r="L50" s="606">
        <v>20</v>
      </c>
      <c r="M50" s="607">
        <f>1737464.96+S2</f>
        <v>2279337.1938672336</v>
      </c>
      <c r="N50" s="607"/>
      <c r="O50" s="606">
        <f>M50</f>
        <v>2279337.1938672336</v>
      </c>
      <c r="P50" s="606"/>
      <c r="Q50" s="606"/>
      <c r="R50" s="606"/>
      <c r="S50" s="606"/>
      <c r="T50" s="607"/>
      <c r="U50" s="607"/>
      <c r="V50" s="606"/>
      <c r="W50" s="608"/>
      <c r="X50" s="609"/>
      <c r="Y50" s="609"/>
      <c r="Z50" s="609"/>
      <c r="AA50" s="609"/>
      <c r="AB50" s="609"/>
      <c r="AC50" s="607"/>
      <c r="AD50" s="610"/>
      <c r="AE50" s="610"/>
      <c r="AF50" s="610"/>
      <c r="AG50" s="610"/>
      <c r="AH50" s="610"/>
      <c r="AI50" s="610"/>
      <c r="AJ50" s="607"/>
      <c r="AK50" s="610"/>
      <c r="AL50" s="610"/>
      <c r="AM50" s="610"/>
      <c r="AN50" s="610"/>
      <c r="AO50" s="610"/>
      <c r="AP50" s="610"/>
      <c r="AQ50" s="607"/>
      <c r="AR50" s="607"/>
      <c r="AS50" s="607"/>
      <c r="AT50" s="606"/>
      <c r="AU50" s="606"/>
      <c r="AV50" s="607"/>
      <c r="AW50" s="607"/>
      <c r="AX50" s="607"/>
      <c r="AY50" s="607"/>
      <c r="AZ50" s="607"/>
      <c r="BA50" s="606"/>
      <c r="BB50" s="606"/>
      <c r="BC50" s="607"/>
      <c r="BD50" s="607"/>
      <c r="BE50" s="607"/>
      <c r="BF50" s="608"/>
      <c r="BG50" s="606"/>
      <c r="BH50" s="607"/>
      <c r="BI50" s="607"/>
      <c r="BJ50" s="607"/>
      <c r="BK50" s="607"/>
      <c r="BL50" s="684"/>
      <c r="BN50" s="616"/>
    </row>
    <row r="51" spans="1:66" s="614" customFormat="1" ht="23.15" customHeight="1" x14ac:dyDescent="0.35">
      <c r="A51" s="938" t="s">
        <v>97</v>
      </c>
      <c r="B51" s="469">
        <f t="shared" si="26"/>
        <v>799633.36020000011</v>
      </c>
      <c r="C51" s="469">
        <v>0</v>
      </c>
      <c r="D51" s="469">
        <f t="shared" si="27"/>
        <v>799633.36020000011</v>
      </c>
      <c r="E51" s="469">
        <v>0</v>
      </c>
      <c r="F51" s="469">
        <v>0</v>
      </c>
      <c r="G51" s="469">
        <v>0</v>
      </c>
      <c r="H51" s="469">
        <v>799633.36020000011</v>
      </c>
      <c r="I51" s="470" t="s">
        <v>94</v>
      </c>
      <c r="J51" s="471"/>
      <c r="K51" s="471">
        <v>51</v>
      </c>
      <c r="L51" s="603">
        <v>10.5</v>
      </c>
      <c r="M51" s="471">
        <v>799633.36020000011</v>
      </c>
      <c r="N51" s="471"/>
      <c r="O51" s="471">
        <v>799633.36020000011</v>
      </c>
      <c r="P51" s="474"/>
      <c r="Q51" s="471"/>
      <c r="R51" s="471"/>
      <c r="S51" s="474"/>
      <c r="T51" s="471"/>
      <c r="U51" s="471"/>
      <c r="V51" s="471"/>
      <c r="W51" s="474"/>
      <c r="X51" s="472"/>
      <c r="Y51" s="472"/>
      <c r="Z51" s="472"/>
      <c r="AA51" s="472"/>
      <c r="AB51" s="472"/>
      <c r="AC51" s="472"/>
      <c r="AD51" s="474"/>
      <c r="AE51" s="471"/>
      <c r="AF51" s="471"/>
      <c r="AG51" s="471"/>
      <c r="AH51" s="472"/>
      <c r="AI51" s="472"/>
      <c r="AJ51" s="472"/>
      <c r="AK51" s="474"/>
      <c r="AL51" s="471"/>
      <c r="AM51" s="471"/>
      <c r="AN51" s="471"/>
      <c r="AO51" s="472"/>
      <c r="AP51" s="472"/>
      <c r="AQ51" s="472"/>
      <c r="AR51" s="473"/>
      <c r="AS51" s="472"/>
      <c r="AT51" s="471"/>
      <c r="AU51" s="471"/>
      <c r="AV51" s="472"/>
      <c r="AW51" s="472"/>
      <c r="AX51" s="472"/>
      <c r="AY51" s="473"/>
      <c r="AZ51" s="472"/>
      <c r="BA51" s="471"/>
      <c r="BB51" s="471"/>
      <c r="BC51" s="472"/>
      <c r="BD51" s="472"/>
      <c r="BE51" s="472"/>
      <c r="BF51" s="473"/>
      <c r="BG51" s="471"/>
      <c r="BH51" s="472"/>
      <c r="BI51" s="472"/>
      <c r="BJ51" s="472"/>
      <c r="BK51" s="472"/>
      <c r="BL51" s="502"/>
      <c r="BN51" s="616"/>
    </row>
    <row r="52" spans="1:66" s="614" customFormat="1" ht="23.15" customHeight="1" x14ac:dyDescent="0.35">
      <c r="A52" s="938"/>
      <c r="B52" s="469">
        <f t="shared" si="26"/>
        <v>1547923.328</v>
      </c>
      <c r="C52" s="469">
        <v>0</v>
      </c>
      <c r="D52" s="469">
        <f t="shared" si="27"/>
        <v>1547923.328</v>
      </c>
      <c r="E52" s="469">
        <v>0</v>
      </c>
      <c r="F52" s="469">
        <v>0</v>
      </c>
      <c r="G52" s="469">
        <v>0</v>
      </c>
      <c r="H52" s="469">
        <v>1547923.328</v>
      </c>
      <c r="I52" s="470" t="s">
        <v>23</v>
      </c>
      <c r="J52" s="471"/>
      <c r="K52" s="471">
        <v>51</v>
      </c>
      <c r="L52" s="603">
        <v>18</v>
      </c>
      <c r="M52" s="471">
        <v>1547923.328</v>
      </c>
      <c r="N52" s="471"/>
      <c r="O52" s="471">
        <v>1547923.328</v>
      </c>
      <c r="P52" s="474"/>
      <c r="Q52" s="471"/>
      <c r="R52" s="471"/>
      <c r="S52" s="474"/>
      <c r="T52" s="471"/>
      <c r="U52" s="471"/>
      <c r="V52" s="471"/>
      <c r="W52" s="474"/>
      <c r="X52" s="472"/>
      <c r="Y52" s="472"/>
      <c r="Z52" s="472"/>
      <c r="AA52" s="472"/>
      <c r="AB52" s="472"/>
      <c r="AC52" s="472"/>
      <c r="AD52" s="474"/>
      <c r="AE52" s="471"/>
      <c r="AF52" s="471"/>
      <c r="AG52" s="471"/>
      <c r="AH52" s="472"/>
      <c r="AI52" s="472"/>
      <c r="AJ52" s="472"/>
      <c r="AK52" s="474"/>
      <c r="AL52" s="471"/>
      <c r="AM52" s="471"/>
      <c r="AN52" s="471"/>
      <c r="AO52" s="472"/>
      <c r="AP52" s="472"/>
      <c r="AQ52" s="472"/>
      <c r="AR52" s="473"/>
      <c r="AS52" s="472"/>
      <c r="AT52" s="471"/>
      <c r="AU52" s="471"/>
      <c r="AV52" s="472"/>
      <c r="AW52" s="472"/>
      <c r="AX52" s="472"/>
      <c r="AY52" s="473"/>
      <c r="AZ52" s="472"/>
      <c r="BA52" s="471"/>
      <c r="BB52" s="471"/>
      <c r="BC52" s="472"/>
      <c r="BD52" s="472"/>
      <c r="BE52" s="472"/>
      <c r="BF52" s="473"/>
      <c r="BG52" s="471"/>
      <c r="BH52" s="472"/>
      <c r="BI52" s="472"/>
      <c r="BJ52" s="472"/>
      <c r="BK52" s="472"/>
      <c r="BL52" s="502"/>
      <c r="BN52" s="616"/>
    </row>
    <row r="53" spans="1:66" s="614" customFormat="1" ht="23.15" customHeight="1" x14ac:dyDescent="0.35">
      <c r="A53" s="935" t="s">
        <v>98</v>
      </c>
      <c r="B53" s="604">
        <f t="shared" si="26"/>
        <v>799633.36020000011</v>
      </c>
      <c r="C53" s="604">
        <v>0</v>
      </c>
      <c r="D53" s="604">
        <f t="shared" si="27"/>
        <v>799633.36020000011</v>
      </c>
      <c r="E53" s="604">
        <v>0</v>
      </c>
      <c r="F53" s="604">
        <v>0</v>
      </c>
      <c r="G53" s="604">
        <v>0</v>
      </c>
      <c r="H53" s="604">
        <v>799633.36020000011</v>
      </c>
      <c r="I53" s="612" t="s">
        <v>94</v>
      </c>
      <c r="J53" s="606"/>
      <c r="K53" s="606">
        <v>48</v>
      </c>
      <c r="L53" s="626">
        <v>10.5</v>
      </c>
      <c r="M53" s="606">
        <v>799633.36020000011</v>
      </c>
      <c r="N53" s="606"/>
      <c r="O53" s="606">
        <v>799633.36020000011</v>
      </c>
      <c r="P53" s="613"/>
      <c r="Q53" s="606"/>
      <c r="R53" s="606"/>
      <c r="S53" s="613"/>
      <c r="T53" s="606"/>
      <c r="U53" s="606"/>
      <c r="V53" s="606"/>
      <c r="W53" s="613"/>
      <c r="X53" s="607"/>
      <c r="Y53" s="607"/>
      <c r="Z53" s="607"/>
      <c r="AA53" s="607"/>
      <c r="AB53" s="607"/>
      <c r="AC53" s="607"/>
      <c r="AD53" s="613"/>
      <c r="AE53" s="606"/>
      <c r="AF53" s="606"/>
      <c r="AG53" s="606"/>
      <c r="AH53" s="607"/>
      <c r="AI53" s="607"/>
      <c r="AJ53" s="607"/>
      <c r="AK53" s="613"/>
      <c r="AL53" s="606"/>
      <c r="AM53" s="606"/>
      <c r="AN53" s="606"/>
      <c r="AO53" s="607"/>
      <c r="AP53" s="607"/>
      <c r="AQ53" s="607"/>
      <c r="AR53" s="608"/>
      <c r="AS53" s="607"/>
      <c r="AT53" s="606"/>
      <c r="AU53" s="606"/>
      <c r="AV53" s="607"/>
      <c r="AW53" s="607"/>
      <c r="AX53" s="607"/>
      <c r="AY53" s="608"/>
      <c r="AZ53" s="607"/>
      <c r="BA53" s="606"/>
      <c r="BB53" s="606"/>
      <c r="BC53" s="607"/>
      <c r="BD53" s="607"/>
      <c r="BE53" s="607"/>
      <c r="BF53" s="608"/>
      <c r="BG53" s="606"/>
      <c r="BH53" s="607"/>
      <c r="BI53" s="607"/>
      <c r="BJ53" s="607"/>
      <c r="BK53" s="607"/>
      <c r="BL53" s="684"/>
      <c r="BN53" s="616"/>
    </row>
    <row r="54" spans="1:66" s="614" customFormat="1" ht="23.15" customHeight="1" x14ac:dyDescent="0.35">
      <c r="A54" s="935"/>
      <c r="B54" s="604">
        <f t="shared" si="26"/>
        <v>1439613.8240000003</v>
      </c>
      <c r="C54" s="604">
        <v>0</v>
      </c>
      <c r="D54" s="604">
        <f t="shared" si="27"/>
        <v>1439613.8240000003</v>
      </c>
      <c r="E54" s="604">
        <v>0</v>
      </c>
      <c r="F54" s="604">
        <v>0</v>
      </c>
      <c r="G54" s="604">
        <v>0</v>
      </c>
      <c r="H54" s="604">
        <v>1439613.8240000003</v>
      </c>
      <c r="I54" s="612" t="s">
        <v>23</v>
      </c>
      <c r="J54" s="606"/>
      <c r="K54" s="606">
        <v>48</v>
      </c>
      <c r="L54" s="626">
        <v>17</v>
      </c>
      <c r="M54" s="606">
        <v>1439613.8240000003</v>
      </c>
      <c r="N54" s="606"/>
      <c r="O54" s="606">
        <v>1439613.8240000003</v>
      </c>
      <c r="P54" s="613"/>
      <c r="Q54" s="606"/>
      <c r="R54" s="606"/>
      <c r="S54" s="613"/>
      <c r="T54" s="606"/>
      <c r="U54" s="606"/>
      <c r="V54" s="606"/>
      <c r="W54" s="613"/>
      <c r="X54" s="607"/>
      <c r="Y54" s="607"/>
      <c r="Z54" s="607"/>
      <c r="AA54" s="607"/>
      <c r="AB54" s="607"/>
      <c r="AC54" s="607"/>
      <c r="AD54" s="613"/>
      <c r="AE54" s="606"/>
      <c r="AF54" s="606"/>
      <c r="AG54" s="606"/>
      <c r="AH54" s="607"/>
      <c r="AI54" s="607"/>
      <c r="AJ54" s="607"/>
      <c r="AK54" s="613"/>
      <c r="AL54" s="606"/>
      <c r="AM54" s="606"/>
      <c r="AN54" s="606"/>
      <c r="AO54" s="607"/>
      <c r="AP54" s="607"/>
      <c r="AQ54" s="607"/>
      <c r="AR54" s="608"/>
      <c r="AS54" s="607"/>
      <c r="AT54" s="606"/>
      <c r="AU54" s="606"/>
      <c r="AV54" s="607"/>
      <c r="AW54" s="607"/>
      <c r="AX54" s="607"/>
      <c r="AY54" s="608"/>
      <c r="AZ54" s="607"/>
      <c r="BA54" s="606"/>
      <c r="BB54" s="606"/>
      <c r="BC54" s="607"/>
      <c r="BD54" s="607"/>
      <c r="BE54" s="607"/>
      <c r="BF54" s="608"/>
      <c r="BG54" s="606"/>
      <c r="BH54" s="607"/>
      <c r="BI54" s="607"/>
      <c r="BJ54" s="607"/>
      <c r="BK54" s="607"/>
      <c r="BL54" s="684"/>
      <c r="BN54" s="616"/>
    </row>
    <row r="55" spans="1:66" s="614" customFormat="1" ht="23.15" customHeight="1" x14ac:dyDescent="0.35">
      <c r="A55" s="938" t="s">
        <v>99</v>
      </c>
      <c r="B55" s="469">
        <f t="shared" si="26"/>
        <v>216849.72480000003</v>
      </c>
      <c r="C55" s="469">
        <v>0</v>
      </c>
      <c r="D55" s="469">
        <f t="shared" si="27"/>
        <v>216849.72480000003</v>
      </c>
      <c r="E55" s="469">
        <v>0</v>
      </c>
      <c r="F55" s="469">
        <v>0</v>
      </c>
      <c r="G55" s="469">
        <v>0</v>
      </c>
      <c r="H55" s="469">
        <v>216849.72480000003</v>
      </c>
      <c r="I55" s="470" t="s">
        <v>94</v>
      </c>
      <c r="J55" s="471"/>
      <c r="K55" s="471">
        <v>24</v>
      </c>
      <c r="L55" s="603">
        <v>6.5</v>
      </c>
      <c r="M55" s="471">
        <v>216849.72480000003</v>
      </c>
      <c r="N55" s="471"/>
      <c r="O55" s="471">
        <v>216849.72480000003</v>
      </c>
      <c r="P55" s="474"/>
      <c r="Q55" s="471"/>
      <c r="R55" s="471"/>
      <c r="S55" s="474"/>
      <c r="T55" s="471"/>
      <c r="U55" s="471"/>
      <c r="V55" s="471"/>
      <c r="W55" s="474"/>
      <c r="X55" s="472"/>
      <c r="Y55" s="472"/>
      <c r="Z55" s="472"/>
      <c r="AA55" s="472"/>
      <c r="AB55" s="472"/>
      <c r="AC55" s="472"/>
      <c r="AD55" s="474"/>
      <c r="AE55" s="471"/>
      <c r="AF55" s="471"/>
      <c r="AG55" s="471"/>
      <c r="AH55" s="472"/>
      <c r="AI55" s="472"/>
      <c r="AJ55" s="472"/>
      <c r="AK55" s="474"/>
      <c r="AL55" s="471"/>
      <c r="AM55" s="471"/>
      <c r="AN55" s="471"/>
      <c r="AO55" s="472"/>
      <c r="AP55" s="472"/>
      <c r="AQ55" s="472"/>
      <c r="AR55" s="473"/>
      <c r="AS55" s="472"/>
      <c r="AT55" s="471"/>
      <c r="AU55" s="471"/>
      <c r="AV55" s="472"/>
      <c r="AW55" s="472"/>
      <c r="AX55" s="472"/>
      <c r="AY55" s="473"/>
      <c r="AZ55" s="472"/>
      <c r="BA55" s="471"/>
      <c r="BB55" s="471"/>
      <c r="BC55" s="472"/>
      <c r="BD55" s="472"/>
      <c r="BE55" s="472"/>
      <c r="BF55" s="473"/>
      <c r="BG55" s="471"/>
      <c r="BH55" s="472"/>
      <c r="BI55" s="472"/>
      <c r="BJ55" s="472"/>
      <c r="BK55" s="472"/>
      <c r="BL55" s="502"/>
      <c r="BN55" s="616"/>
    </row>
    <row r="56" spans="1:66" s="614" customFormat="1" ht="23.15" customHeight="1" x14ac:dyDescent="0.35">
      <c r="A56" s="938"/>
      <c r="B56" s="469">
        <f t="shared" si="26"/>
        <v>482879.87200000015</v>
      </c>
      <c r="C56" s="469">
        <v>0</v>
      </c>
      <c r="D56" s="469">
        <f t="shared" si="27"/>
        <v>482879.87200000015</v>
      </c>
      <c r="E56" s="469">
        <v>0</v>
      </c>
      <c r="F56" s="469">
        <v>0</v>
      </c>
      <c r="G56" s="469">
        <v>0</v>
      </c>
      <c r="H56" s="469">
        <v>482879.87200000015</v>
      </c>
      <c r="I56" s="470" t="s">
        <v>23</v>
      </c>
      <c r="J56" s="471"/>
      <c r="K56" s="471">
        <v>24</v>
      </c>
      <c r="L56" s="603">
        <v>13.333333333333334</v>
      </c>
      <c r="M56" s="471">
        <v>482879.87200000015</v>
      </c>
      <c r="N56" s="471"/>
      <c r="O56" s="471">
        <v>482879.87200000015</v>
      </c>
      <c r="P56" s="474"/>
      <c r="Q56" s="471"/>
      <c r="R56" s="471"/>
      <c r="S56" s="474"/>
      <c r="T56" s="471"/>
      <c r="U56" s="471"/>
      <c r="V56" s="471"/>
      <c r="W56" s="474"/>
      <c r="X56" s="472"/>
      <c r="Y56" s="472"/>
      <c r="Z56" s="472"/>
      <c r="AA56" s="472"/>
      <c r="AB56" s="472"/>
      <c r="AC56" s="472"/>
      <c r="AD56" s="474"/>
      <c r="AE56" s="471"/>
      <c r="AF56" s="471"/>
      <c r="AG56" s="471"/>
      <c r="AH56" s="472"/>
      <c r="AI56" s="472"/>
      <c r="AJ56" s="472"/>
      <c r="AK56" s="474"/>
      <c r="AL56" s="471"/>
      <c r="AM56" s="471"/>
      <c r="AN56" s="471"/>
      <c r="AO56" s="472"/>
      <c r="AP56" s="472"/>
      <c r="AQ56" s="472"/>
      <c r="AR56" s="473"/>
      <c r="AS56" s="472"/>
      <c r="AT56" s="471"/>
      <c r="AU56" s="471"/>
      <c r="AV56" s="472"/>
      <c r="AW56" s="472"/>
      <c r="AX56" s="472"/>
      <c r="AY56" s="473"/>
      <c r="AZ56" s="472"/>
      <c r="BA56" s="471"/>
      <c r="BB56" s="471"/>
      <c r="BC56" s="472"/>
      <c r="BD56" s="472"/>
      <c r="BE56" s="472"/>
      <c r="BF56" s="473"/>
      <c r="BG56" s="471"/>
      <c r="BH56" s="472"/>
      <c r="BI56" s="472"/>
      <c r="BJ56" s="472"/>
      <c r="BK56" s="472"/>
      <c r="BL56" s="502"/>
      <c r="BN56" s="616"/>
    </row>
    <row r="57" spans="1:66" s="614" customFormat="1" ht="23.15" customHeight="1" x14ac:dyDescent="0.35">
      <c r="A57" s="935" t="s">
        <v>100</v>
      </c>
      <c r="B57" s="604">
        <f t="shared" si="26"/>
        <v>799633.36020000011</v>
      </c>
      <c r="C57" s="604">
        <v>0</v>
      </c>
      <c r="D57" s="604">
        <f t="shared" si="27"/>
        <v>799633.36020000011</v>
      </c>
      <c r="E57" s="604">
        <v>0</v>
      </c>
      <c r="F57" s="604">
        <v>0</v>
      </c>
      <c r="G57" s="604">
        <v>0</v>
      </c>
      <c r="H57" s="604">
        <v>799633.36020000011</v>
      </c>
      <c r="I57" s="605" t="s">
        <v>94</v>
      </c>
      <c r="J57" s="606"/>
      <c r="K57" s="606">
        <v>51</v>
      </c>
      <c r="L57" s="606">
        <v>10.5</v>
      </c>
      <c r="M57" s="607">
        <v>799633.36020000011</v>
      </c>
      <c r="N57" s="607"/>
      <c r="O57" s="606">
        <v>799633.36020000011</v>
      </c>
      <c r="P57" s="608"/>
      <c r="Q57" s="606"/>
      <c r="R57" s="606"/>
      <c r="S57" s="606"/>
      <c r="T57" s="607"/>
      <c r="U57" s="607"/>
      <c r="V57" s="606"/>
      <c r="W57" s="607"/>
      <c r="X57" s="609"/>
      <c r="Y57" s="609"/>
      <c r="Z57" s="609"/>
      <c r="AA57" s="609"/>
      <c r="AB57" s="609"/>
      <c r="AC57" s="607"/>
      <c r="AD57" s="610"/>
      <c r="AE57" s="610"/>
      <c r="AF57" s="610"/>
      <c r="AG57" s="610"/>
      <c r="AH57" s="610"/>
      <c r="AI57" s="610"/>
      <c r="AJ57" s="607"/>
      <c r="AK57" s="610"/>
      <c r="AL57" s="610"/>
      <c r="AM57" s="610"/>
      <c r="AN57" s="610"/>
      <c r="AO57" s="610"/>
      <c r="AP57" s="610"/>
      <c r="AQ57" s="607"/>
      <c r="AR57" s="607"/>
      <c r="AS57" s="607"/>
      <c r="AT57" s="606"/>
      <c r="AU57" s="606"/>
      <c r="AV57" s="607"/>
      <c r="AW57" s="607"/>
      <c r="AX57" s="607"/>
      <c r="AY57" s="607"/>
      <c r="AZ57" s="607"/>
      <c r="BA57" s="606"/>
      <c r="BB57" s="606"/>
      <c r="BC57" s="607"/>
      <c r="BD57" s="607"/>
      <c r="BE57" s="607"/>
      <c r="BF57" s="608"/>
      <c r="BG57" s="606"/>
      <c r="BH57" s="607"/>
      <c r="BI57" s="607"/>
      <c r="BJ57" s="607"/>
      <c r="BK57" s="607"/>
      <c r="BL57" s="684"/>
      <c r="BN57" s="616"/>
    </row>
    <row r="58" spans="1:66" s="614" customFormat="1" ht="23.15" customHeight="1" x14ac:dyDescent="0.35">
      <c r="A58" s="935"/>
      <c r="B58" s="604">
        <f t="shared" si="26"/>
        <v>2911142.6338672335</v>
      </c>
      <c r="C58" s="604">
        <v>0</v>
      </c>
      <c r="D58" s="604">
        <f t="shared" si="27"/>
        <v>2911142.6338672335</v>
      </c>
      <c r="E58" s="604">
        <v>0</v>
      </c>
      <c r="F58" s="604">
        <v>0</v>
      </c>
      <c r="G58" s="604">
        <v>0</v>
      </c>
      <c r="H58" s="604">
        <f>D58</f>
        <v>2911142.6338672335</v>
      </c>
      <c r="I58" s="605" t="s">
        <v>23</v>
      </c>
      <c r="J58" s="606"/>
      <c r="K58" s="606">
        <v>51</v>
      </c>
      <c r="L58" s="606">
        <v>26.666666666666668</v>
      </c>
      <c r="M58" s="607">
        <f>2369270.4+S2</f>
        <v>2911142.6338672335</v>
      </c>
      <c r="N58" s="607"/>
      <c r="O58" s="606">
        <f>M58</f>
        <v>2911142.6338672335</v>
      </c>
      <c r="P58" s="606"/>
      <c r="Q58" s="606"/>
      <c r="R58" s="606"/>
      <c r="S58" s="606"/>
      <c r="T58" s="607"/>
      <c r="U58" s="607"/>
      <c r="V58" s="606"/>
      <c r="W58" s="608"/>
      <c r="X58" s="609"/>
      <c r="Y58" s="609"/>
      <c r="Z58" s="609"/>
      <c r="AA58" s="609"/>
      <c r="AB58" s="609"/>
      <c r="AC58" s="607"/>
      <c r="AD58" s="610"/>
      <c r="AE58" s="610"/>
      <c r="AF58" s="610"/>
      <c r="AG58" s="610"/>
      <c r="AH58" s="610"/>
      <c r="AI58" s="610"/>
      <c r="AJ58" s="607"/>
      <c r="AK58" s="610"/>
      <c r="AL58" s="610"/>
      <c r="AM58" s="610"/>
      <c r="AN58" s="610"/>
      <c r="AO58" s="610"/>
      <c r="AP58" s="610"/>
      <c r="AQ58" s="607"/>
      <c r="AR58" s="607"/>
      <c r="AS58" s="607"/>
      <c r="AT58" s="606"/>
      <c r="AU58" s="606"/>
      <c r="AV58" s="607"/>
      <c r="AW58" s="607"/>
      <c r="AX58" s="607"/>
      <c r="AY58" s="607"/>
      <c r="AZ58" s="607"/>
      <c r="BA58" s="606"/>
      <c r="BB58" s="606"/>
      <c r="BC58" s="607"/>
      <c r="BD58" s="607"/>
      <c r="BE58" s="607"/>
      <c r="BF58" s="608"/>
      <c r="BG58" s="606"/>
      <c r="BH58" s="607"/>
      <c r="BI58" s="607"/>
      <c r="BJ58" s="607"/>
      <c r="BK58" s="607"/>
      <c r="BL58" s="684"/>
      <c r="BN58" s="616"/>
    </row>
    <row r="59" spans="1:66" s="614" customFormat="1" ht="23.15" customHeight="1" x14ac:dyDescent="0.35">
      <c r="A59" s="938" t="s">
        <v>101</v>
      </c>
      <c r="B59" s="469">
        <f t="shared" si="26"/>
        <v>1802279.957113666</v>
      </c>
      <c r="C59" s="469">
        <f>+AI59</f>
        <v>212498.729551864</v>
      </c>
      <c r="D59" s="469">
        <f t="shared" si="27"/>
        <v>2014778.6866655301</v>
      </c>
      <c r="E59" s="469">
        <v>0</v>
      </c>
      <c r="F59" s="469">
        <v>0</v>
      </c>
      <c r="G59" s="469">
        <v>0</v>
      </c>
      <c r="H59" s="469">
        <f>D59+G59</f>
        <v>2014778.6866655301</v>
      </c>
      <c r="I59" s="480" t="s">
        <v>94</v>
      </c>
      <c r="J59" s="471"/>
      <c r="K59" s="471">
        <v>24</v>
      </c>
      <c r="L59" s="471">
        <v>7</v>
      </c>
      <c r="M59" s="472">
        <v>243955.94040000002</v>
      </c>
      <c r="N59" s="472"/>
      <c r="O59" s="472">
        <v>243955.94040000002</v>
      </c>
      <c r="P59" s="472"/>
      <c r="Q59" s="472"/>
      <c r="R59" s="472"/>
      <c r="S59" s="472"/>
      <c r="T59" s="472"/>
      <c r="U59" s="472"/>
      <c r="V59" s="472"/>
      <c r="W59" s="474"/>
      <c r="X59" s="471"/>
      <c r="Y59" s="471"/>
      <c r="Z59" s="471"/>
      <c r="AA59" s="472"/>
      <c r="AB59" s="472"/>
      <c r="AC59" s="472"/>
      <c r="AD59" s="483" t="s">
        <v>102</v>
      </c>
      <c r="AE59" s="471"/>
      <c r="AF59" s="471">
        <v>2</v>
      </c>
      <c r="AG59" s="471">
        <v>7</v>
      </c>
      <c r="AH59" s="472">
        <v>1558324.016713666</v>
      </c>
      <c r="AI59" s="472">
        <v>212498.729551864</v>
      </c>
      <c r="AJ59" s="472">
        <f>+AH59+AI59</f>
        <v>1770822.7462655301</v>
      </c>
      <c r="AK59" s="474"/>
      <c r="AL59" s="471"/>
      <c r="AM59" s="471"/>
      <c r="AN59" s="471"/>
      <c r="AO59" s="472"/>
      <c r="AP59" s="472"/>
      <c r="AQ59" s="472"/>
      <c r="AR59" s="474"/>
      <c r="AS59" s="471"/>
      <c r="AT59" s="471"/>
      <c r="AU59" s="471"/>
      <c r="AV59" s="472"/>
      <c r="AW59" s="472"/>
      <c r="AX59" s="472"/>
      <c r="AY59" s="471"/>
      <c r="AZ59" s="472"/>
      <c r="BA59" s="471"/>
      <c r="BB59" s="471"/>
      <c r="BC59" s="472"/>
      <c r="BD59" s="472"/>
      <c r="BE59" s="472"/>
      <c r="BF59" s="473"/>
      <c r="BG59" s="471"/>
      <c r="BH59" s="471"/>
      <c r="BI59" s="472"/>
      <c r="BJ59" s="472"/>
      <c r="BK59" s="472"/>
      <c r="BL59" s="502"/>
      <c r="BN59" s="616"/>
    </row>
    <row r="60" spans="1:66" s="614" customFormat="1" ht="23.15" customHeight="1" x14ac:dyDescent="0.35">
      <c r="A60" s="938"/>
      <c r="B60" s="469">
        <f>+O60+AH60+AV60</f>
        <v>64571</v>
      </c>
      <c r="C60" s="469">
        <f>+AI60</f>
        <v>7749</v>
      </c>
      <c r="D60" s="469">
        <f t="shared" si="27"/>
        <v>72320</v>
      </c>
      <c r="E60" s="469">
        <v>0</v>
      </c>
      <c r="F60" s="469">
        <v>0</v>
      </c>
      <c r="G60" s="469">
        <v>0</v>
      </c>
      <c r="H60" s="469">
        <v>72320</v>
      </c>
      <c r="I60" s="480"/>
      <c r="J60" s="471"/>
      <c r="K60" s="471"/>
      <c r="L60" s="471"/>
      <c r="M60" s="472"/>
      <c r="N60" s="472"/>
      <c r="O60" s="472"/>
      <c r="P60" s="472"/>
      <c r="Q60" s="472"/>
      <c r="R60" s="472"/>
      <c r="S60" s="472"/>
      <c r="T60" s="472"/>
      <c r="U60" s="472"/>
      <c r="V60" s="472"/>
      <c r="W60" s="474"/>
      <c r="X60" s="471"/>
      <c r="Y60" s="471"/>
      <c r="Z60" s="471"/>
      <c r="AA60" s="472"/>
      <c r="AB60" s="472"/>
      <c r="AC60" s="472"/>
      <c r="AD60" s="483" t="s">
        <v>103</v>
      </c>
      <c r="AE60" s="471"/>
      <c r="AF60" s="471">
        <v>2</v>
      </c>
      <c r="AG60" s="471">
        <v>7</v>
      </c>
      <c r="AH60" s="472">
        <v>64571</v>
      </c>
      <c r="AI60" s="472">
        <v>7749</v>
      </c>
      <c r="AJ60" s="472">
        <v>72319</v>
      </c>
      <c r="AK60" s="474"/>
      <c r="AL60" s="471"/>
      <c r="AM60" s="471"/>
      <c r="AN60" s="471"/>
      <c r="AO60" s="472"/>
      <c r="AP60" s="472"/>
      <c r="AQ60" s="472"/>
      <c r="AR60" s="474"/>
      <c r="AS60" s="471"/>
      <c r="AT60" s="471"/>
      <c r="AU60" s="471"/>
      <c r="AV60" s="472"/>
      <c r="AW60" s="472"/>
      <c r="AX60" s="472"/>
      <c r="AY60" s="471"/>
      <c r="AZ60" s="472"/>
      <c r="BA60" s="471"/>
      <c r="BB60" s="471"/>
      <c r="BC60" s="472"/>
      <c r="BD60" s="472"/>
      <c r="BE60" s="472"/>
      <c r="BF60" s="473"/>
      <c r="BG60" s="471"/>
      <c r="BH60" s="471"/>
      <c r="BI60" s="472"/>
      <c r="BJ60" s="472"/>
      <c r="BK60" s="472"/>
      <c r="BL60" s="502"/>
      <c r="BN60" s="616"/>
    </row>
    <row r="61" spans="1:66" s="614" customFormat="1" ht="23.15" customHeight="1" x14ac:dyDescent="0.35">
      <c r="A61" s="938"/>
      <c r="B61" s="469">
        <f t="shared" si="26"/>
        <v>2090304.8355840002</v>
      </c>
      <c r="C61" s="469">
        <f>+AW61</f>
        <v>198886.281216</v>
      </c>
      <c r="D61" s="469">
        <f t="shared" si="27"/>
        <v>2289191.1168000004</v>
      </c>
      <c r="E61" s="469">
        <v>0</v>
      </c>
      <c r="F61" s="469">
        <v>0</v>
      </c>
      <c r="G61" s="469">
        <v>0</v>
      </c>
      <c r="H61" s="469">
        <f>D61+G61</f>
        <v>2289191.1168000004</v>
      </c>
      <c r="I61" s="480" t="s">
        <v>23</v>
      </c>
      <c r="J61" s="471"/>
      <c r="K61" s="471">
        <v>24</v>
      </c>
      <c r="L61" s="471">
        <v>17</v>
      </c>
      <c r="M61" s="472">
        <v>631805.44000000006</v>
      </c>
      <c r="N61" s="472"/>
      <c r="O61" s="472">
        <v>631805.44000000006</v>
      </c>
      <c r="P61" s="472"/>
      <c r="Q61" s="472"/>
      <c r="R61" s="472"/>
      <c r="S61" s="472"/>
      <c r="T61" s="472"/>
      <c r="U61" s="472"/>
      <c r="V61" s="472"/>
      <c r="W61" s="474"/>
      <c r="X61" s="471"/>
      <c r="Y61" s="471"/>
      <c r="Z61" s="471"/>
      <c r="AA61" s="472"/>
      <c r="AB61" s="472"/>
      <c r="AC61" s="472"/>
      <c r="AD61" s="481"/>
      <c r="AE61" s="471"/>
      <c r="AF61" s="471"/>
      <c r="AG61" s="471"/>
      <c r="AH61" s="472"/>
      <c r="AI61" s="472"/>
      <c r="AJ61" s="472"/>
      <c r="AK61" s="481"/>
      <c r="AL61" s="471"/>
      <c r="AM61" s="471"/>
      <c r="AN61" s="471"/>
      <c r="AO61" s="472"/>
      <c r="AP61" s="472"/>
      <c r="AQ61" s="472"/>
      <c r="AR61" s="470" t="s">
        <v>104</v>
      </c>
      <c r="AS61" s="471"/>
      <c r="AT61" s="471"/>
      <c r="AU61" s="471"/>
      <c r="AV61" s="472">
        <v>1458499.395584</v>
      </c>
      <c r="AW61" s="472">
        <v>198886.281216</v>
      </c>
      <c r="AX61" s="472">
        <f>+AV61+AW61</f>
        <v>1657385.6768</v>
      </c>
      <c r="AY61" s="471"/>
      <c r="AZ61" s="472"/>
      <c r="BA61" s="471"/>
      <c r="BB61" s="471"/>
      <c r="BC61" s="472"/>
      <c r="BD61" s="472"/>
      <c r="BE61" s="472"/>
      <c r="BF61" s="473"/>
      <c r="BG61" s="471"/>
      <c r="BH61" s="471"/>
      <c r="BI61" s="472"/>
      <c r="BJ61" s="472"/>
      <c r="BK61" s="472"/>
      <c r="BL61" s="502"/>
      <c r="BM61" s="619"/>
      <c r="BN61" s="616"/>
    </row>
    <row r="62" spans="1:66" s="614" customFormat="1" ht="23.15" customHeight="1" x14ac:dyDescent="0.35">
      <c r="A62" s="935" t="s">
        <v>105</v>
      </c>
      <c r="B62" s="604">
        <f t="shared" si="26"/>
        <v>329792.28980000003</v>
      </c>
      <c r="C62" s="604">
        <v>0</v>
      </c>
      <c r="D62" s="604">
        <f t="shared" si="27"/>
        <v>329792.28980000003</v>
      </c>
      <c r="E62" s="604">
        <v>0</v>
      </c>
      <c r="F62" s="604">
        <v>0</v>
      </c>
      <c r="G62" s="604">
        <v>0</v>
      </c>
      <c r="H62" s="604">
        <v>329792.28980000003</v>
      </c>
      <c r="I62" s="605" t="s">
        <v>94</v>
      </c>
      <c r="J62" s="606"/>
      <c r="K62" s="606">
        <v>33</v>
      </c>
      <c r="L62" s="606">
        <v>8.5</v>
      </c>
      <c r="M62" s="607">
        <v>329792.28980000003</v>
      </c>
      <c r="N62" s="607"/>
      <c r="O62" s="606">
        <v>329792.28980000003</v>
      </c>
      <c r="P62" s="608"/>
      <c r="Q62" s="606"/>
      <c r="R62" s="606"/>
      <c r="S62" s="606"/>
      <c r="T62" s="607"/>
      <c r="U62" s="607"/>
      <c r="V62" s="606"/>
      <c r="W62" s="607"/>
      <c r="X62" s="609"/>
      <c r="Y62" s="609"/>
      <c r="Z62" s="609"/>
      <c r="AA62" s="609"/>
      <c r="AB62" s="609"/>
      <c r="AC62" s="607"/>
      <c r="AD62" s="610"/>
      <c r="AE62" s="610"/>
      <c r="AF62" s="610"/>
      <c r="AG62" s="610"/>
      <c r="AH62" s="610"/>
      <c r="AI62" s="610"/>
      <c r="AJ62" s="607"/>
      <c r="AK62" s="610"/>
      <c r="AL62" s="610"/>
      <c r="AM62" s="610"/>
      <c r="AN62" s="610"/>
      <c r="AO62" s="610"/>
      <c r="AP62" s="610"/>
      <c r="AQ62" s="607"/>
      <c r="AR62" s="607"/>
      <c r="AS62" s="607"/>
      <c r="AT62" s="606"/>
      <c r="AU62" s="606"/>
      <c r="AV62" s="607"/>
      <c r="AW62" s="607"/>
      <c r="AX62" s="607"/>
      <c r="AY62" s="607"/>
      <c r="AZ62" s="607"/>
      <c r="BA62" s="606"/>
      <c r="BB62" s="606"/>
      <c r="BC62" s="607"/>
      <c r="BD62" s="607"/>
      <c r="BE62" s="607"/>
      <c r="BF62" s="608"/>
      <c r="BG62" s="606"/>
      <c r="BH62" s="607"/>
      <c r="BI62" s="607"/>
      <c r="BJ62" s="607"/>
      <c r="BK62" s="607"/>
      <c r="BL62" s="684"/>
      <c r="BN62" s="616"/>
    </row>
    <row r="63" spans="1:66" s="614" customFormat="1" ht="23.15" customHeight="1" thickBot="1" x14ac:dyDescent="0.4">
      <c r="A63" s="935"/>
      <c r="B63" s="604">
        <f t="shared" si="26"/>
        <v>717550.46400000015</v>
      </c>
      <c r="C63" s="604">
        <v>0</v>
      </c>
      <c r="D63" s="604">
        <f t="shared" si="27"/>
        <v>717550.46400000015</v>
      </c>
      <c r="E63" s="604">
        <v>0</v>
      </c>
      <c r="F63" s="604">
        <v>0</v>
      </c>
      <c r="G63" s="604">
        <v>0</v>
      </c>
      <c r="H63" s="604">
        <v>717550.46400000015</v>
      </c>
      <c r="I63" s="611" t="s">
        <v>23</v>
      </c>
      <c r="J63" s="606"/>
      <c r="K63" s="606">
        <v>33</v>
      </c>
      <c r="L63" s="606">
        <v>14.666666666666666</v>
      </c>
      <c r="M63" s="607">
        <v>717550.46400000015</v>
      </c>
      <c r="N63" s="607"/>
      <c r="O63" s="606">
        <v>717550.46400000015</v>
      </c>
      <c r="P63" s="606"/>
      <c r="Q63" s="606"/>
      <c r="R63" s="606"/>
      <c r="S63" s="606"/>
      <c r="T63" s="607"/>
      <c r="U63" s="607"/>
      <c r="V63" s="606"/>
      <c r="W63" s="608"/>
      <c r="X63" s="609"/>
      <c r="Y63" s="609"/>
      <c r="Z63" s="609"/>
      <c r="AA63" s="609"/>
      <c r="AB63" s="609"/>
      <c r="AC63" s="607"/>
      <c r="AD63" s="610"/>
      <c r="AE63" s="610"/>
      <c r="AF63" s="610"/>
      <c r="AG63" s="610"/>
      <c r="AH63" s="610"/>
      <c r="AI63" s="610"/>
      <c r="AJ63" s="607"/>
      <c r="AK63" s="610"/>
      <c r="AL63" s="610"/>
      <c r="AM63" s="610"/>
      <c r="AN63" s="610"/>
      <c r="AO63" s="610"/>
      <c r="AP63" s="610"/>
      <c r="AQ63" s="607"/>
      <c r="AR63" s="607"/>
      <c r="AS63" s="607"/>
      <c r="AT63" s="606"/>
      <c r="AU63" s="606"/>
      <c r="AV63" s="607"/>
      <c r="AW63" s="607"/>
      <c r="AX63" s="607"/>
      <c r="AY63" s="607"/>
      <c r="AZ63" s="607"/>
      <c r="BA63" s="606"/>
      <c r="BB63" s="606"/>
      <c r="BC63" s="607"/>
      <c r="BD63" s="607"/>
      <c r="BE63" s="607"/>
      <c r="BF63" s="608"/>
      <c r="BG63" s="606"/>
      <c r="BH63" s="607"/>
      <c r="BI63" s="607"/>
      <c r="BJ63" s="607"/>
      <c r="BK63" s="607"/>
      <c r="BL63" s="684"/>
      <c r="BN63" s="616"/>
    </row>
    <row r="64" spans="1:66" s="614" customFormat="1" ht="29.5" customHeight="1" thickBot="1" x14ac:dyDescent="0.4">
      <c r="A64" s="489" t="s">
        <v>106</v>
      </c>
      <c r="B64" s="763">
        <f>+B66+B76+B89</f>
        <v>23902826.25</v>
      </c>
      <c r="C64" s="763">
        <f t="shared" ref="C64:H64" si="28">+C66+C76+C89</f>
        <v>2868339.1516</v>
      </c>
      <c r="D64" s="763">
        <f t="shared" si="28"/>
        <v>26257817.401600003</v>
      </c>
      <c r="E64" s="763">
        <f t="shared" si="28"/>
        <v>1827540.3585701867</v>
      </c>
      <c r="F64" s="763">
        <f t="shared" si="28"/>
        <v>197621.5270284224</v>
      </c>
      <c r="G64" s="763">
        <f t="shared" si="28"/>
        <v>2025161.885598609</v>
      </c>
      <c r="H64" s="763">
        <f t="shared" si="28"/>
        <v>28282980.187198609</v>
      </c>
      <c r="I64" s="932" t="s">
        <v>107</v>
      </c>
      <c r="J64" s="933"/>
      <c r="K64" s="933"/>
      <c r="L64" s="933"/>
      <c r="M64" s="933"/>
      <c r="N64" s="933"/>
      <c r="O64" s="933"/>
      <c r="P64" s="933" t="s">
        <v>107</v>
      </c>
      <c r="Q64" s="933"/>
      <c r="R64" s="933"/>
      <c r="S64" s="933"/>
      <c r="T64" s="933"/>
      <c r="U64" s="933"/>
      <c r="V64" s="933"/>
      <c r="W64" s="933"/>
      <c r="X64" s="933"/>
      <c r="Y64" s="933"/>
      <c r="Z64" s="933"/>
      <c r="AA64" s="933"/>
      <c r="AB64" s="933"/>
      <c r="AC64" s="933"/>
      <c r="AD64" s="933"/>
      <c r="AE64" s="933"/>
      <c r="AF64" s="933"/>
      <c r="AG64" s="933"/>
      <c r="AH64" s="933"/>
      <c r="AI64" s="933"/>
      <c r="AJ64" s="933"/>
      <c r="AK64" s="933"/>
      <c r="AL64" s="933"/>
      <c r="AM64" s="933"/>
      <c r="AN64" s="933"/>
      <c r="AO64" s="933"/>
      <c r="AP64" s="933"/>
      <c r="AQ64" s="933"/>
      <c r="AR64" s="933"/>
      <c r="AS64" s="933"/>
      <c r="AT64" s="933"/>
      <c r="AU64" s="933"/>
      <c r="AV64" s="933"/>
      <c r="AW64" s="933"/>
      <c r="AX64" s="933"/>
      <c r="AY64" s="933"/>
      <c r="AZ64" s="933"/>
      <c r="BA64" s="933"/>
      <c r="BB64" s="933"/>
      <c r="BC64" s="933"/>
      <c r="BD64" s="933"/>
      <c r="BE64" s="933"/>
      <c r="BF64" s="933"/>
      <c r="BG64" s="933"/>
      <c r="BH64" s="933"/>
      <c r="BI64" s="933"/>
      <c r="BJ64" s="933"/>
      <c r="BK64" s="933"/>
      <c r="BL64" s="934"/>
    </row>
    <row r="65" spans="1:66" s="614" customFormat="1" ht="32.5" customHeight="1" x14ac:dyDescent="0.35">
      <c r="A65" s="682" t="s">
        <v>108</v>
      </c>
      <c r="B65" s="464">
        <f>B64+B102+B112+B115+B117</f>
        <v>25532359.478</v>
      </c>
      <c r="C65" s="464">
        <f>C64+C102+C112+C115+C117</f>
        <v>3063883.1389599997</v>
      </c>
      <c r="D65" s="464">
        <f>D64+D102+D112+D115+D117</f>
        <v>28082894.61696</v>
      </c>
      <c r="E65" s="464">
        <f t="shared" ref="E65:G65" si="29">E64+E102+E112+E115</f>
        <v>2543710.3585701864</v>
      </c>
      <c r="F65" s="464">
        <f t="shared" si="29"/>
        <v>197621.5270284224</v>
      </c>
      <c r="G65" s="495">
        <f t="shared" si="29"/>
        <v>2741331.8855986092</v>
      </c>
      <c r="H65" s="464">
        <f>H64+H102+H112+H115+H117</f>
        <v>30824227.502558608</v>
      </c>
      <c r="I65" s="465"/>
      <c r="J65" s="466"/>
      <c r="K65" s="466"/>
      <c r="L65" s="466"/>
      <c r="M65" s="466"/>
      <c r="N65" s="466"/>
      <c r="O65" s="466"/>
      <c r="P65" s="465"/>
      <c r="Q65" s="466"/>
      <c r="R65" s="466"/>
      <c r="S65" s="466"/>
      <c r="T65" s="466"/>
      <c r="U65" s="466"/>
      <c r="V65" s="466"/>
      <c r="W65" s="466"/>
      <c r="X65" s="466"/>
      <c r="Y65" s="466"/>
      <c r="Z65" s="466"/>
      <c r="AA65" s="466"/>
      <c r="AB65" s="466"/>
      <c r="AC65" s="466"/>
      <c r="AD65" s="466"/>
      <c r="AE65" s="466"/>
      <c r="AF65" s="467"/>
      <c r="AG65" s="467"/>
      <c r="AH65" s="466"/>
      <c r="AI65" s="466"/>
      <c r="AJ65" s="466"/>
      <c r="AK65" s="466"/>
      <c r="AL65" s="466"/>
      <c r="AM65" s="467"/>
      <c r="AN65" s="467"/>
      <c r="AO65" s="466"/>
      <c r="AP65" s="466"/>
      <c r="AQ65" s="466"/>
      <c r="AR65" s="466"/>
      <c r="AS65" s="466"/>
      <c r="AT65" s="466"/>
      <c r="AU65" s="466"/>
      <c r="AV65" s="466"/>
      <c r="AW65" s="466"/>
      <c r="AX65" s="466"/>
      <c r="AY65" s="466"/>
      <c r="AZ65" s="466"/>
      <c r="BA65" s="466"/>
      <c r="BB65" s="466"/>
      <c r="BC65" s="466"/>
      <c r="BD65" s="466"/>
      <c r="BE65" s="466"/>
      <c r="BF65" s="466"/>
      <c r="BG65" s="466"/>
      <c r="BH65" s="466"/>
      <c r="BI65" s="466"/>
      <c r="BJ65" s="466"/>
      <c r="BK65" s="466"/>
      <c r="BL65" s="683"/>
      <c r="BN65" s="616"/>
    </row>
    <row r="66" spans="1:66" s="614" customFormat="1" ht="33.65" customHeight="1" thickBot="1" x14ac:dyDescent="0.4">
      <c r="A66" s="702" t="s">
        <v>109</v>
      </c>
      <c r="B66" s="468">
        <f t="shared" ref="B66:G66" si="30">SUM(B67:B75)</f>
        <v>19953826.25</v>
      </c>
      <c r="C66" s="468">
        <f t="shared" si="30"/>
        <v>2394459.1516</v>
      </c>
      <c r="D66" s="468">
        <f t="shared" si="30"/>
        <v>21834937.401600003</v>
      </c>
      <c r="E66" s="468">
        <f t="shared" si="30"/>
        <v>1827540.3585701867</v>
      </c>
      <c r="F66" s="468">
        <f t="shared" si="30"/>
        <v>197621.5270284224</v>
      </c>
      <c r="G66" s="468">
        <f t="shared" si="30"/>
        <v>2025161.885598609</v>
      </c>
      <c r="H66" s="468">
        <f>SUM(H67:H75)</f>
        <v>23860100.187198609</v>
      </c>
      <c r="I66" s="941" t="s">
        <v>110</v>
      </c>
      <c r="J66" s="941"/>
      <c r="K66" s="941"/>
      <c r="L66" s="941"/>
      <c r="M66" s="941"/>
      <c r="N66" s="941"/>
      <c r="O66" s="941"/>
      <c r="P66" s="941" t="s">
        <v>111</v>
      </c>
      <c r="Q66" s="941"/>
      <c r="R66" s="941"/>
      <c r="S66" s="941"/>
      <c r="T66" s="941"/>
      <c r="U66" s="941"/>
      <c r="V66" s="941"/>
      <c r="W66" s="941"/>
      <c r="X66" s="941"/>
      <c r="Y66" s="941"/>
      <c r="Z66" s="941"/>
      <c r="AA66" s="941"/>
      <c r="AB66" s="941"/>
      <c r="AC66" s="941"/>
      <c r="AD66" s="941"/>
      <c r="AE66" s="941"/>
      <c r="AF66" s="941"/>
      <c r="AG66" s="941"/>
      <c r="AH66" s="941"/>
      <c r="AI66" s="941"/>
      <c r="AJ66" s="941"/>
      <c r="AK66" s="941"/>
      <c r="AL66" s="941"/>
      <c r="AM66" s="941"/>
      <c r="AN66" s="941"/>
      <c r="AO66" s="941"/>
      <c r="AP66" s="941"/>
      <c r="AQ66" s="941"/>
      <c r="AR66" s="941"/>
      <c r="AS66" s="941"/>
      <c r="AT66" s="941"/>
      <c r="AU66" s="941"/>
      <c r="AV66" s="941"/>
      <c r="AW66" s="941"/>
      <c r="AX66" s="941"/>
      <c r="AY66" s="941"/>
      <c r="AZ66" s="941"/>
      <c r="BA66" s="941"/>
      <c r="BB66" s="941"/>
      <c r="BC66" s="941"/>
      <c r="BD66" s="941"/>
      <c r="BE66" s="941"/>
      <c r="BF66" s="941"/>
      <c r="BG66" s="941"/>
      <c r="BH66" s="941"/>
      <c r="BI66" s="941"/>
      <c r="BJ66" s="941"/>
      <c r="BK66" s="941"/>
      <c r="BL66" s="942"/>
    </row>
    <row r="67" spans="1:66" s="614" customFormat="1" ht="72.5" x14ac:dyDescent="0.35">
      <c r="A67" s="956" t="s">
        <v>112</v>
      </c>
      <c r="B67" s="704">
        <f t="shared" ref="B67:D75" si="31">+M67+AA67+AH67+AV67+BC67+BJ67</f>
        <v>13651393.57</v>
      </c>
      <c r="C67" s="704">
        <f t="shared" si="31"/>
        <v>1638167.23</v>
      </c>
      <c r="D67" s="704">
        <f t="shared" si="31"/>
        <v>14776212.800000001</v>
      </c>
      <c r="E67" s="704">
        <f t="shared" ref="E67:G75" si="32">T67+AO67</f>
        <v>0</v>
      </c>
      <c r="F67" s="704">
        <f t="shared" si="32"/>
        <v>0</v>
      </c>
      <c r="G67" s="704">
        <f t="shared" si="32"/>
        <v>0</v>
      </c>
      <c r="H67" s="704">
        <f>D67+G67+0.9</f>
        <v>14776213.700000001</v>
      </c>
      <c r="I67" s="605" t="s">
        <v>113</v>
      </c>
      <c r="J67" s="606">
        <v>5000</v>
      </c>
      <c r="K67" s="607">
        <v>36</v>
      </c>
      <c r="L67" s="705">
        <v>1</v>
      </c>
      <c r="M67" s="705">
        <f>+J67*K67*L67</f>
        <v>180000</v>
      </c>
      <c r="N67" s="706">
        <f>+M67*0.12</f>
        <v>21600</v>
      </c>
      <c r="O67" s="706">
        <f>M67+N67</f>
        <v>201600</v>
      </c>
      <c r="P67" s="705"/>
      <c r="Q67" s="705"/>
      <c r="R67" s="705"/>
      <c r="S67" s="705"/>
      <c r="T67" s="706"/>
      <c r="U67" s="706"/>
      <c r="V67" s="705">
        <f t="shared" ref="V67:V75" si="33">T67+U67</f>
        <v>0</v>
      </c>
      <c r="W67" s="612" t="s">
        <v>114</v>
      </c>
      <c r="X67" s="705">
        <f>13561393.57-90000</f>
        <v>13471393.57</v>
      </c>
      <c r="Y67" s="705">
        <v>1</v>
      </c>
      <c r="Z67" s="705">
        <v>1</v>
      </c>
      <c r="AA67" s="706">
        <f t="shared" ref="AA67:AA72" si="34">X67*Y67*Z67</f>
        <v>13471393.57</v>
      </c>
      <c r="AB67" s="706">
        <f>1627367.23-10800</f>
        <v>1616567.23</v>
      </c>
      <c r="AC67" s="706">
        <f>15188760.8-100800-513348</f>
        <v>14574612.800000001</v>
      </c>
      <c r="AD67" s="707"/>
      <c r="AE67" s="705"/>
      <c r="AF67" s="705"/>
      <c r="AG67" s="705"/>
      <c r="AH67" s="706"/>
      <c r="AI67" s="706"/>
      <c r="AJ67" s="706">
        <f t="shared" ref="AJ67:AJ75" si="35">AH67+AI67</f>
        <v>0</v>
      </c>
      <c r="AK67" s="707"/>
      <c r="AL67" s="705"/>
      <c r="AM67" s="705"/>
      <c r="AN67" s="705"/>
      <c r="AO67" s="706"/>
      <c r="AP67" s="706"/>
      <c r="AQ67" s="706"/>
      <c r="AR67" s="706"/>
      <c r="AS67" s="706"/>
      <c r="AT67" s="705"/>
      <c r="AU67" s="705"/>
      <c r="AV67" s="706"/>
      <c r="AW67" s="706"/>
      <c r="AX67" s="706">
        <f t="shared" ref="AX67:AX75" si="36">AV67+AW67</f>
        <v>0</v>
      </c>
      <c r="AY67" s="706"/>
      <c r="AZ67" s="706"/>
      <c r="BA67" s="705"/>
      <c r="BB67" s="705"/>
      <c r="BC67" s="706"/>
      <c r="BD67" s="706"/>
      <c r="BE67" s="706">
        <f t="shared" ref="BE67:BE75" si="37">BC67+BD67</f>
        <v>0</v>
      </c>
      <c r="BF67" s="708"/>
      <c r="BG67" s="705"/>
      <c r="BH67" s="706"/>
      <c r="BI67" s="706"/>
      <c r="BJ67" s="706"/>
      <c r="BK67" s="706"/>
      <c r="BL67" s="712">
        <f t="shared" ref="BL67:BL75" si="38">BJ67+BK67</f>
        <v>0</v>
      </c>
      <c r="BN67" s="616"/>
    </row>
    <row r="68" spans="1:66" s="614" customFormat="1" ht="23.15" customHeight="1" x14ac:dyDescent="0.35">
      <c r="A68" s="957"/>
      <c r="B68" s="604">
        <f t="shared" si="31"/>
        <v>0</v>
      </c>
      <c r="C68" s="604">
        <f t="shared" si="31"/>
        <v>0</v>
      </c>
      <c r="D68" s="604">
        <f t="shared" si="31"/>
        <v>0</v>
      </c>
      <c r="E68" s="604">
        <f t="shared" si="32"/>
        <v>0</v>
      </c>
      <c r="F68" s="604">
        <f t="shared" si="32"/>
        <v>0</v>
      </c>
      <c r="G68" s="604">
        <f t="shared" si="32"/>
        <v>0</v>
      </c>
      <c r="H68" s="604">
        <f t="shared" ref="H68:H75" si="39">D68+G68</f>
        <v>0</v>
      </c>
      <c r="I68" s="605"/>
      <c r="J68" s="606"/>
      <c r="K68" s="606"/>
      <c r="L68" s="705"/>
      <c r="M68" s="705">
        <f t="shared" ref="M68:M75" si="40">+J68*K68*L68</f>
        <v>0</v>
      </c>
      <c r="N68" s="706">
        <f t="shared" ref="N68:N75" si="41">+M68*0.12</f>
        <v>0</v>
      </c>
      <c r="O68" s="706">
        <f t="shared" ref="O68:O73" si="42">M68+N68</f>
        <v>0</v>
      </c>
      <c r="P68" s="608"/>
      <c r="Q68" s="606"/>
      <c r="R68" s="607"/>
      <c r="S68" s="607"/>
      <c r="T68" s="607"/>
      <c r="U68" s="607"/>
      <c r="V68" s="606">
        <f t="shared" si="33"/>
        <v>0</v>
      </c>
      <c r="W68" s="612"/>
      <c r="X68" s="606"/>
      <c r="Y68" s="606"/>
      <c r="Z68" s="606"/>
      <c r="AA68" s="607"/>
      <c r="AB68" s="607"/>
      <c r="AC68" s="607"/>
      <c r="AD68" s="613"/>
      <c r="AE68" s="606"/>
      <c r="AF68" s="606"/>
      <c r="AG68" s="606"/>
      <c r="AH68" s="607"/>
      <c r="AI68" s="607"/>
      <c r="AJ68" s="607">
        <f t="shared" si="35"/>
        <v>0</v>
      </c>
      <c r="AK68" s="613"/>
      <c r="AL68" s="606"/>
      <c r="AM68" s="606"/>
      <c r="AN68" s="606"/>
      <c r="AO68" s="607"/>
      <c r="AP68" s="607"/>
      <c r="AQ68" s="607"/>
      <c r="AR68" s="607"/>
      <c r="AS68" s="607"/>
      <c r="AT68" s="606"/>
      <c r="AU68" s="606"/>
      <c r="AV68" s="607"/>
      <c r="AW68" s="607"/>
      <c r="AX68" s="607">
        <f t="shared" si="36"/>
        <v>0</v>
      </c>
      <c r="AY68" s="607"/>
      <c r="AZ68" s="607"/>
      <c r="BA68" s="606"/>
      <c r="BB68" s="606"/>
      <c r="BC68" s="607"/>
      <c r="BD68" s="607"/>
      <c r="BE68" s="607">
        <f t="shared" si="37"/>
        <v>0</v>
      </c>
      <c r="BF68" s="608"/>
      <c r="BG68" s="606"/>
      <c r="BH68" s="607"/>
      <c r="BI68" s="607"/>
      <c r="BJ68" s="607"/>
      <c r="BK68" s="607"/>
      <c r="BL68" s="684">
        <f t="shared" si="38"/>
        <v>0</v>
      </c>
      <c r="BN68" s="616"/>
    </row>
    <row r="69" spans="1:66" s="614" customFormat="1" ht="87" x14ac:dyDescent="0.35">
      <c r="A69" s="938" t="s">
        <v>115</v>
      </c>
      <c r="B69" s="469">
        <f>+M69+AA69+AH69+AV69+BC69+BJ69</f>
        <v>2288545.6800000002</v>
      </c>
      <c r="C69" s="469">
        <f t="shared" si="31"/>
        <v>274625.4816</v>
      </c>
      <c r="D69" s="469">
        <f t="shared" si="31"/>
        <v>2563171.1616000002</v>
      </c>
      <c r="E69" s="469">
        <f t="shared" si="32"/>
        <v>0</v>
      </c>
      <c r="F69" s="469">
        <f t="shared" si="32"/>
        <v>0</v>
      </c>
      <c r="G69" s="469">
        <f>V69+AQ69</f>
        <v>0</v>
      </c>
      <c r="H69" s="469">
        <f t="shared" si="39"/>
        <v>2563171.1616000002</v>
      </c>
      <c r="I69" s="482"/>
      <c r="J69" s="471"/>
      <c r="K69" s="471"/>
      <c r="L69" s="500"/>
      <c r="M69" s="500">
        <f t="shared" si="40"/>
        <v>0</v>
      </c>
      <c r="N69" s="501">
        <f t="shared" si="41"/>
        <v>0</v>
      </c>
      <c r="O69" s="501">
        <f t="shared" si="42"/>
        <v>0</v>
      </c>
      <c r="P69" s="473"/>
      <c r="Q69" s="471"/>
      <c r="R69" s="471"/>
      <c r="S69" s="471"/>
      <c r="T69" s="472"/>
      <c r="U69" s="472"/>
      <c r="V69" s="471">
        <f t="shared" si="33"/>
        <v>0</v>
      </c>
      <c r="W69" s="470" t="s">
        <v>116</v>
      </c>
      <c r="X69" s="825">
        <v>2288546</v>
      </c>
      <c r="Y69" s="709">
        <v>1</v>
      </c>
      <c r="Z69" s="709">
        <v>1</v>
      </c>
      <c r="AA69" s="824">
        <v>2288545.6800000002</v>
      </c>
      <c r="AB69" s="825">
        <v>274625.4816</v>
      </c>
      <c r="AC69" s="823">
        <f t="shared" ref="AC69:AC75" si="43">AA69+AB69</f>
        <v>2563171.1616000002</v>
      </c>
      <c r="AD69" s="484"/>
      <c r="AE69" s="484"/>
      <c r="AF69" s="484"/>
      <c r="AG69" s="484"/>
      <c r="AH69" s="484"/>
      <c r="AI69" s="484"/>
      <c r="AJ69" s="472">
        <f t="shared" si="35"/>
        <v>0</v>
      </c>
      <c r="AK69" s="484"/>
      <c r="AL69" s="484"/>
      <c r="AM69" s="484"/>
      <c r="AN69" s="484"/>
      <c r="AO69" s="484"/>
      <c r="AP69" s="484"/>
      <c r="AQ69" s="472"/>
      <c r="AR69" s="710"/>
      <c r="AS69" s="472"/>
      <c r="AT69" s="471"/>
      <c r="AU69" s="471"/>
      <c r="AV69" s="472">
        <f>+AS69*AT69*AU69</f>
        <v>0</v>
      </c>
      <c r="AW69" s="472">
        <f>+AV69*0.12</f>
        <v>0</v>
      </c>
      <c r="AX69" s="472">
        <f t="shared" si="36"/>
        <v>0</v>
      </c>
      <c r="AY69" s="710"/>
      <c r="AZ69" s="472"/>
      <c r="BA69" s="471"/>
      <c r="BB69" s="471"/>
      <c r="BC69" s="472">
        <f>AZ69*BA69</f>
        <v>0</v>
      </c>
      <c r="BD69" s="472">
        <f>BC69*0.12</f>
        <v>0</v>
      </c>
      <c r="BE69" s="472">
        <f t="shared" si="37"/>
        <v>0</v>
      </c>
      <c r="BF69" s="473"/>
      <c r="BG69" s="471"/>
      <c r="BH69" s="472"/>
      <c r="BI69" s="472"/>
      <c r="BJ69" s="472"/>
      <c r="BK69" s="472"/>
      <c r="BL69" s="502">
        <f t="shared" si="38"/>
        <v>0</v>
      </c>
      <c r="BN69" s="616"/>
    </row>
    <row r="70" spans="1:66" s="614" customFormat="1" ht="23.15" customHeight="1" x14ac:dyDescent="0.35">
      <c r="A70" s="938"/>
      <c r="B70" s="469">
        <f>+M70+AA70+AH70+AV70+BC70+BJ70</f>
        <v>0</v>
      </c>
      <c r="C70" s="469">
        <f t="shared" si="31"/>
        <v>0</v>
      </c>
      <c r="D70" s="469">
        <f t="shared" si="31"/>
        <v>0</v>
      </c>
      <c r="E70" s="469">
        <f t="shared" si="32"/>
        <v>0</v>
      </c>
      <c r="F70" s="469">
        <f t="shared" si="32"/>
        <v>0</v>
      </c>
      <c r="G70" s="469">
        <f t="shared" si="32"/>
        <v>0</v>
      </c>
      <c r="H70" s="469">
        <f t="shared" si="39"/>
        <v>0</v>
      </c>
      <c r="I70" s="480"/>
      <c r="J70" s="471"/>
      <c r="K70" s="471"/>
      <c r="L70" s="500"/>
      <c r="M70" s="500">
        <f t="shared" si="40"/>
        <v>0</v>
      </c>
      <c r="N70" s="501">
        <f t="shared" si="41"/>
        <v>0</v>
      </c>
      <c r="O70" s="501">
        <f t="shared" si="42"/>
        <v>0</v>
      </c>
      <c r="P70" s="471"/>
      <c r="Q70" s="471"/>
      <c r="R70" s="471"/>
      <c r="S70" s="471"/>
      <c r="T70" s="472"/>
      <c r="U70" s="472"/>
      <c r="V70" s="471">
        <f t="shared" si="33"/>
        <v>0</v>
      </c>
      <c r="W70" s="470"/>
      <c r="X70" s="709"/>
      <c r="Y70" s="709"/>
      <c r="Z70" s="709"/>
      <c r="AA70" s="501">
        <f t="shared" si="34"/>
        <v>0</v>
      </c>
      <c r="AB70" s="709">
        <f>AA70*0.12</f>
        <v>0</v>
      </c>
      <c r="AC70" s="472">
        <f t="shared" si="43"/>
        <v>0</v>
      </c>
      <c r="AD70" s="484"/>
      <c r="AE70" s="484"/>
      <c r="AF70" s="484"/>
      <c r="AG70" s="484"/>
      <c r="AH70" s="484"/>
      <c r="AI70" s="484"/>
      <c r="AJ70" s="472">
        <f t="shared" si="35"/>
        <v>0</v>
      </c>
      <c r="AK70" s="484"/>
      <c r="AL70" s="484"/>
      <c r="AM70" s="484"/>
      <c r="AN70" s="484"/>
      <c r="AO70" s="484"/>
      <c r="AP70" s="484"/>
      <c r="AQ70" s="472"/>
      <c r="AR70" s="710"/>
      <c r="AS70" s="472"/>
      <c r="AT70" s="471"/>
      <c r="AU70" s="471"/>
      <c r="AV70" s="472">
        <f>+AS70*AT70*AU70</f>
        <v>0</v>
      </c>
      <c r="AW70" s="472">
        <f>+AV70*0.12</f>
        <v>0</v>
      </c>
      <c r="AX70" s="472">
        <f t="shared" si="36"/>
        <v>0</v>
      </c>
      <c r="AY70" s="472"/>
      <c r="AZ70" s="472"/>
      <c r="BA70" s="471"/>
      <c r="BB70" s="471"/>
      <c r="BC70" s="472"/>
      <c r="BD70" s="472"/>
      <c r="BE70" s="472">
        <f t="shared" si="37"/>
        <v>0</v>
      </c>
      <c r="BF70" s="473"/>
      <c r="BG70" s="471"/>
      <c r="BH70" s="472"/>
      <c r="BI70" s="472"/>
      <c r="BJ70" s="472"/>
      <c r="BK70" s="472"/>
      <c r="BL70" s="502">
        <f t="shared" si="38"/>
        <v>0</v>
      </c>
      <c r="BN70" s="616"/>
    </row>
    <row r="71" spans="1:66" s="614" customFormat="1" ht="72.5" x14ac:dyDescent="0.35">
      <c r="A71" s="935" t="s">
        <v>117</v>
      </c>
      <c r="B71" s="604">
        <f t="shared" si="31"/>
        <v>750061</v>
      </c>
      <c r="C71" s="604">
        <f t="shared" si="31"/>
        <v>90007.319999999992</v>
      </c>
      <c r="D71" s="604">
        <f t="shared" si="31"/>
        <v>840068.32</v>
      </c>
      <c r="E71" s="604">
        <f t="shared" si="32"/>
        <v>0</v>
      </c>
      <c r="F71" s="604">
        <f t="shared" si="32"/>
        <v>0</v>
      </c>
      <c r="G71" s="604">
        <f t="shared" si="32"/>
        <v>0</v>
      </c>
      <c r="H71" s="604">
        <f t="shared" si="39"/>
        <v>840068.32</v>
      </c>
      <c r="I71" s="605"/>
      <c r="J71" s="606"/>
      <c r="K71" s="606"/>
      <c r="L71" s="705"/>
      <c r="M71" s="705">
        <f t="shared" si="40"/>
        <v>0</v>
      </c>
      <c r="N71" s="706">
        <f t="shared" si="41"/>
        <v>0</v>
      </c>
      <c r="O71" s="706">
        <f t="shared" si="42"/>
        <v>0</v>
      </c>
      <c r="P71" s="608"/>
      <c r="Q71" s="606"/>
      <c r="R71" s="606"/>
      <c r="S71" s="606"/>
      <c r="T71" s="607"/>
      <c r="U71" s="607"/>
      <c r="V71" s="606">
        <f t="shared" si="33"/>
        <v>0</v>
      </c>
      <c r="W71" s="612" t="s">
        <v>118</v>
      </c>
      <c r="X71" s="609">
        <v>750061</v>
      </c>
      <c r="Y71" s="609">
        <v>1</v>
      </c>
      <c r="Z71" s="609">
        <v>1</v>
      </c>
      <c r="AA71" s="706">
        <f t="shared" si="34"/>
        <v>750061</v>
      </c>
      <c r="AB71" s="609">
        <f t="shared" ref="AB71:AB72" si="44">AA71*0.12</f>
        <v>90007.319999999992</v>
      </c>
      <c r="AC71" s="607">
        <f t="shared" si="43"/>
        <v>840068.32</v>
      </c>
      <c r="AD71" s="610"/>
      <c r="AE71" s="610"/>
      <c r="AF71" s="610"/>
      <c r="AG71" s="610"/>
      <c r="AH71" s="610"/>
      <c r="AI71" s="610"/>
      <c r="AJ71" s="607">
        <f t="shared" si="35"/>
        <v>0</v>
      </c>
      <c r="AK71" s="610"/>
      <c r="AL71" s="610"/>
      <c r="AM71" s="610"/>
      <c r="AN71" s="610"/>
      <c r="AO71" s="610"/>
      <c r="AP71" s="610"/>
      <c r="AQ71" s="607"/>
      <c r="AR71" s="711"/>
      <c r="AS71" s="607"/>
      <c r="AT71" s="606"/>
      <c r="AU71" s="606"/>
      <c r="AV71" s="607">
        <f>+AS71*AT71*AU71</f>
        <v>0</v>
      </c>
      <c r="AW71" s="607">
        <f>+AV71*0.12</f>
        <v>0</v>
      </c>
      <c r="AX71" s="607">
        <f t="shared" si="36"/>
        <v>0</v>
      </c>
      <c r="AY71" s="711"/>
      <c r="AZ71" s="607"/>
      <c r="BA71" s="606"/>
      <c r="BB71" s="606"/>
      <c r="BC71" s="607">
        <f>AZ71*BA71</f>
        <v>0</v>
      </c>
      <c r="BD71" s="607">
        <f>BC71*0.12</f>
        <v>0</v>
      </c>
      <c r="BE71" s="607">
        <f t="shared" si="37"/>
        <v>0</v>
      </c>
      <c r="BF71" s="608"/>
      <c r="BG71" s="606"/>
      <c r="BH71" s="607"/>
      <c r="BI71" s="607"/>
      <c r="BJ71" s="607"/>
      <c r="BK71" s="607"/>
      <c r="BL71" s="684">
        <f t="shared" si="38"/>
        <v>0</v>
      </c>
      <c r="BN71" s="616"/>
    </row>
    <row r="72" spans="1:66" s="614" customFormat="1" ht="23.15" customHeight="1" x14ac:dyDescent="0.35">
      <c r="A72" s="935"/>
      <c r="B72" s="604">
        <f t="shared" si="31"/>
        <v>0</v>
      </c>
      <c r="C72" s="604">
        <f t="shared" si="31"/>
        <v>0</v>
      </c>
      <c r="D72" s="604">
        <f t="shared" si="31"/>
        <v>0</v>
      </c>
      <c r="E72" s="604">
        <f t="shared" si="32"/>
        <v>0</v>
      </c>
      <c r="F72" s="604">
        <f t="shared" si="32"/>
        <v>0</v>
      </c>
      <c r="G72" s="604">
        <f t="shared" si="32"/>
        <v>0</v>
      </c>
      <c r="H72" s="604">
        <f t="shared" si="39"/>
        <v>0</v>
      </c>
      <c r="I72" s="611"/>
      <c r="J72" s="606"/>
      <c r="K72" s="606"/>
      <c r="L72" s="705"/>
      <c r="M72" s="705">
        <f t="shared" si="40"/>
        <v>0</v>
      </c>
      <c r="N72" s="706">
        <f t="shared" si="41"/>
        <v>0</v>
      </c>
      <c r="O72" s="706">
        <f t="shared" si="42"/>
        <v>0</v>
      </c>
      <c r="P72" s="606"/>
      <c r="Q72" s="606"/>
      <c r="R72" s="606"/>
      <c r="S72" s="606"/>
      <c r="T72" s="607"/>
      <c r="U72" s="607"/>
      <c r="V72" s="606">
        <f t="shared" si="33"/>
        <v>0</v>
      </c>
      <c r="W72" s="612"/>
      <c r="X72" s="609"/>
      <c r="Y72" s="609"/>
      <c r="Z72" s="609"/>
      <c r="AA72" s="706">
        <f t="shared" si="34"/>
        <v>0</v>
      </c>
      <c r="AB72" s="609">
        <f t="shared" si="44"/>
        <v>0</v>
      </c>
      <c r="AC72" s="607">
        <f t="shared" si="43"/>
        <v>0</v>
      </c>
      <c r="AD72" s="610"/>
      <c r="AE72" s="610"/>
      <c r="AF72" s="610"/>
      <c r="AG72" s="610"/>
      <c r="AH72" s="610"/>
      <c r="AI72" s="610"/>
      <c r="AJ72" s="607">
        <f t="shared" si="35"/>
        <v>0</v>
      </c>
      <c r="AK72" s="610"/>
      <c r="AL72" s="610"/>
      <c r="AM72" s="610"/>
      <c r="AN72" s="610"/>
      <c r="AO72" s="610"/>
      <c r="AP72" s="610"/>
      <c r="AQ72" s="607"/>
      <c r="AR72" s="711"/>
      <c r="AS72" s="607"/>
      <c r="AT72" s="606"/>
      <c r="AU72" s="606"/>
      <c r="AV72" s="607">
        <f>+AS72*AT72*AU72</f>
        <v>0</v>
      </c>
      <c r="AW72" s="607">
        <f>+AV72*0.12</f>
        <v>0</v>
      </c>
      <c r="AX72" s="607">
        <f t="shared" si="36"/>
        <v>0</v>
      </c>
      <c r="AY72" s="607"/>
      <c r="AZ72" s="607"/>
      <c r="BA72" s="606"/>
      <c r="BB72" s="606"/>
      <c r="BC72" s="607"/>
      <c r="BD72" s="607"/>
      <c r="BE72" s="607">
        <f t="shared" si="37"/>
        <v>0</v>
      </c>
      <c r="BF72" s="608"/>
      <c r="BG72" s="606"/>
      <c r="BH72" s="607"/>
      <c r="BI72" s="607"/>
      <c r="BJ72" s="607"/>
      <c r="BK72" s="607"/>
      <c r="BL72" s="684">
        <f t="shared" si="38"/>
        <v>0</v>
      </c>
      <c r="BN72" s="616"/>
    </row>
    <row r="73" spans="1:66" s="614" customFormat="1" ht="51" customHeight="1" x14ac:dyDescent="0.35">
      <c r="A73" s="938" t="s">
        <v>119</v>
      </c>
      <c r="B73" s="469">
        <f>+M73+AA73+AH73+AV73+BC73+BJ73</f>
        <v>3233826</v>
      </c>
      <c r="C73" s="469">
        <f t="shared" si="31"/>
        <v>388059.12</v>
      </c>
      <c r="D73" s="469">
        <f t="shared" si="31"/>
        <v>3621885.12</v>
      </c>
      <c r="E73" s="469">
        <f>T73+AO73+C127</f>
        <v>1827540.3585701867</v>
      </c>
      <c r="F73" s="469">
        <f>+U73+AP73+C128</f>
        <v>197621.5270284224</v>
      </c>
      <c r="G73" s="469">
        <f>+E73+F73</f>
        <v>2025161.885598609</v>
      </c>
      <c r="H73" s="469">
        <f t="shared" si="39"/>
        <v>5647047.0055986093</v>
      </c>
      <c r="I73" s="470"/>
      <c r="J73" s="471"/>
      <c r="K73" s="471"/>
      <c r="L73" s="474"/>
      <c r="M73" s="500">
        <f t="shared" si="40"/>
        <v>0</v>
      </c>
      <c r="N73" s="501">
        <f t="shared" si="41"/>
        <v>0</v>
      </c>
      <c r="O73" s="501">
        <f t="shared" si="42"/>
        <v>0</v>
      </c>
      <c r="P73" s="474" t="s">
        <v>120</v>
      </c>
      <c r="Q73" s="471">
        <v>180694.30000000005</v>
      </c>
      <c r="R73" s="471"/>
      <c r="S73" s="474" t="s">
        <v>50</v>
      </c>
      <c r="T73" s="471">
        <f>Q73</f>
        <v>180694.30000000005</v>
      </c>
      <c r="U73" s="471"/>
      <c r="V73" s="471">
        <f>T73</f>
        <v>180694.30000000005</v>
      </c>
      <c r="W73" s="470"/>
      <c r="X73" s="472"/>
      <c r="Y73" s="472"/>
      <c r="Z73" s="472"/>
      <c r="AA73" s="472"/>
      <c r="AB73" s="472"/>
      <c r="AC73" s="472">
        <f t="shared" si="43"/>
        <v>0</v>
      </c>
      <c r="AD73" s="483" t="s">
        <v>121</v>
      </c>
      <c r="AE73" s="471">
        <v>3233826</v>
      </c>
      <c r="AF73" s="471">
        <v>1</v>
      </c>
      <c r="AG73" s="471">
        <v>1</v>
      </c>
      <c r="AH73" s="472">
        <f>+AE73*AF73</f>
        <v>3233826</v>
      </c>
      <c r="AI73" s="472">
        <f>+AH73*0.12</f>
        <v>388059.12</v>
      </c>
      <c r="AJ73" s="472">
        <f t="shared" si="35"/>
        <v>3621885.12</v>
      </c>
      <c r="AK73" s="483" t="s">
        <v>122</v>
      </c>
      <c r="AL73" s="471"/>
      <c r="AM73" s="471"/>
      <c r="AN73" s="471"/>
      <c r="AO73" s="472">
        <v>1342577.0585701866</v>
      </c>
      <c r="AP73" s="472">
        <v>161109.2470284224</v>
      </c>
      <c r="AQ73" s="472">
        <v>1503686.3055986091</v>
      </c>
      <c r="AR73" s="472"/>
      <c r="AS73" s="472"/>
      <c r="AT73" s="471"/>
      <c r="AU73" s="471"/>
      <c r="AV73" s="472"/>
      <c r="AW73" s="472"/>
      <c r="AX73" s="472">
        <f t="shared" si="36"/>
        <v>0</v>
      </c>
      <c r="AY73" s="472"/>
      <c r="AZ73" s="472"/>
      <c r="BA73" s="471"/>
      <c r="BB73" s="471"/>
      <c r="BC73" s="472"/>
      <c r="BD73" s="472"/>
      <c r="BE73" s="472">
        <f t="shared" si="37"/>
        <v>0</v>
      </c>
      <c r="BF73" s="473"/>
      <c r="BG73" s="471"/>
      <c r="BH73" s="472"/>
      <c r="BI73" s="472"/>
      <c r="BJ73" s="472"/>
      <c r="BK73" s="472"/>
      <c r="BL73" s="502">
        <f t="shared" si="38"/>
        <v>0</v>
      </c>
      <c r="BN73" s="616"/>
    </row>
    <row r="74" spans="1:66" s="614" customFormat="1" ht="30.75" customHeight="1" x14ac:dyDescent="0.35">
      <c r="A74" s="938"/>
      <c r="B74" s="469">
        <f t="shared" si="31"/>
        <v>0</v>
      </c>
      <c r="C74" s="469">
        <f t="shared" si="31"/>
        <v>0</v>
      </c>
      <c r="D74" s="469">
        <f t="shared" si="31"/>
        <v>0</v>
      </c>
      <c r="E74" s="469">
        <f t="shared" si="32"/>
        <v>0</v>
      </c>
      <c r="F74" s="469">
        <f t="shared" si="32"/>
        <v>0</v>
      </c>
      <c r="G74" s="469">
        <f t="shared" si="32"/>
        <v>0</v>
      </c>
      <c r="H74" s="469">
        <f t="shared" si="39"/>
        <v>0</v>
      </c>
      <c r="I74" s="470"/>
      <c r="J74" s="471"/>
      <c r="K74" s="471"/>
      <c r="L74" s="474"/>
      <c r="M74" s="500">
        <f t="shared" si="40"/>
        <v>0</v>
      </c>
      <c r="N74" s="501">
        <f t="shared" si="41"/>
        <v>0</v>
      </c>
      <c r="O74" s="471">
        <f>M74+N74</f>
        <v>0</v>
      </c>
      <c r="P74" s="474"/>
      <c r="Q74" s="471"/>
      <c r="R74" s="471"/>
      <c r="S74" s="474"/>
      <c r="T74" s="471"/>
      <c r="U74" s="471"/>
      <c r="V74" s="471">
        <f t="shared" si="33"/>
        <v>0</v>
      </c>
      <c r="W74" s="470"/>
      <c r="X74" s="474"/>
      <c r="Y74" s="474"/>
      <c r="Z74" s="474"/>
      <c r="AA74" s="474"/>
      <c r="AB74" s="472"/>
      <c r="AC74" s="472">
        <f t="shared" si="43"/>
        <v>0</v>
      </c>
      <c r="AD74" s="483"/>
      <c r="AE74" s="471"/>
      <c r="AF74" s="471"/>
      <c r="AG74" s="471"/>
      <c r="AH74" s="472">
        <f>+AE74*AF74</f>
        <v>0</v>
      </c>
      <c r="AI74" s="472">
        <f>+AH74*0.12</f>
        <v>0</v>
      </c>
      <c r="AJ74" s="472">
        <f t="shared" si="35"/>
        <v>0</v>
      </c>
      <c r="AK74" s="483"/>
      <c r="AL74" s="471"/>
      <c r="AM74" s="471"/>
      <c r="AN74" s="471"/>
      <c r="AO74" s="472"/>
      <c r="AP74" s="472"/>
      <c r="AQ74" s="472"/>
      <c r="AR74" s="474"/>
      <c r="AS74" s="472"/>
      <c r="AT74" s="471"/>
      <c r="AU74" s="471"/>
      <c r="AV74" s="472"/>
      <c r="AW74" s="472"/>
      <c r="AX74" s="472">
        <f t="shared" si="36"/>
        <v>0</v>
      </c>
      <c r="AY74" s="474"/>
      <c r="AZ74" s="472"/>
      <c r="BA74" s="471"/>
      <c r="BB74" s="471"/>
      <c r="BC74" s="472"/>
      <c r="BD74" s="472"/>
      <c r="BE74" s="472">
        <f t="shared" si="37"/>
        <v>0</v>
      </c>
      <c r="BF74" s="473"/>
      <c r="BG74" s="471"/>
      <c r="BH74" s="472"/>
      <c r="BI74" s="472"/>
      <c r="BJ74" s="472"/>
      <c r="BK74" s="472"/>
      <c r="BL74" s="502">
        <f t="shared" si="38"/>
        <v>0</v>
      </c>
      <c r="BN74" s="616"/>
    </row>
    <row r="75" spans="1:66" s="614" customFormat="1" ht="43.5" x14ac:dyDescent="0.35">
      <c r="A75" s="703" t="s">
        <v>123</v>
      </c>
      <c r="B75" s="469">
        <f t="shared" si="31"/>
        <v>30000</v>
      </c>
      <c r="C75" s="469">
        <f t="shared" si="31"/>
        <v>3600</v>
      </c>
      <c r="D75" s="469">
        <f t="shared" si="31"/>
        <v>33600</v>
      </c>
      <c r="E75" s="469">
        <f t="shared" si="32"/>
        <v>0</v>
      </c>
      <c r="F75" s="469">
        <f t="shared" si="32"/>
        <v>0</v>
      </c>
      <c r="G75" s="469">
        <f t="shared" si="32"/>
        <v>0</v>
      </c>
      <c r="H75" s="469">
        <f t="shared" si="39"/>
        <v>33600</v>
      </c>
      <c r="I75" s="470" t="s">
        <v>124</v>
      </c>
      <c r="J75" s="471">
        <v>5000</v>
      </c>
      <c r="K75" s="471">
        <v>6</v>
      </c>
      <c r="L75" s="474">
        <v>1</v>
      </c>
      <c r="M75" s="500">
        <f t="shared" si="40"/>
        <v>30000</v>
      </c>
      <c r="N75" s="501">
        <f t="shared" si="41"/>
        <v>3600</v>
      </c>
      <c r="O75" s="471">
        <f>M75+N75</f>
        <v>33600</v>
      </c>
      <c r="P75" s="474"/>
      <c r="Q75" s="471"/>
      <c r="R75" s="471"/>
      <c r="S75" s="474"/>
      <c r="T75" s="471"/>
      <c r="U75" s="471"/>
      <c r="V75" s="471">
        <f t="shared" si="33"/>
        <v>0</v>
      </c>
      <c r="W75" s="470"/>
      <c r="X75" s="472"/>
      <c r="Y75" s="472"/>
      <c r="Z75" s="472"/>
      <c r="AA75" s="472">
        <f>+X75*Y75*Z75</f>
        <v>0</v>
      </c>
      <c r="AB75" s="472">
        <f>+AA75*0.12</f>
        <v>0</v>
      </c>
      <c r="AC75" s="472">
        <f t="shared" si="43"/>
        <v>0</v>
      </c>
      <c r="AD75" s="483"/>
      <c r="AE75" s="471"/>
      <c r="AF75" s="471"/>
      <c r="AG75" s="471"/>
      <c r="AH75" s="472">
        <f>+AE75*AF75</f>
        <v>0</v>
      </c>
      <c r="AI75" s="472">
        <f>+AH75*0.12</f>
        <v>0</v>
      </c>
      <c r="AJ75" s="472">
        <f t="shared" si="35"/>
        <v>0</v>
      </c>
      <c r="AK75" s="483"/>
      <c r="AL75" s="471"/>
      <c r="AM75" s="471"/>
      <c r="AN75" s="471"/>
      <c r="AO75" s="472"/>
      <c r="AP75" s="472"/>
      <c r="AQ75" s="472"/>
      <c r="AR75" s="473"/>
      <c r="AS75" s="472"/>
      <c r="AT75" s="471"/>
      <c r="AU75" s="471"/>
      <c r="AV75" s="472"/>
      <c r="AW75" s="472"/>
      <c r="AX75" s="472">
        <f t="shared" si="36"/>
        <v>0</v>
      </c>
      <c r="AY75" s="473"/>
      <c r="AZ75" s="472"/>
      <c r="BA75" s="471"/>
      <c r="BB75" s="471"/>
      <c r="BC75" s="472"/>
      <c r="BD75" s="472"/>
      <c r="BE75" s="472">
        <f t="shared" si="37"/>
        <v>0</v>
      </c>
      <c r="BF75" s="473"/>
      <c r="BG75" s="471"/>
      <c r="BH75" s="472"/>
      <c r="BI75" s="472"/>
      <c r="BJ75" s="472"/>
      <c r="BK75" s="472"/>
      <c r="BL75" s="502">
        <f t="shared" si="38"/>
        <v>0</v>
      </c>
      <c r="BN75" s="616"/>
    </row>
    <row r="76" spans="1:66" s="614" customFormat="1" ht="33.65" customHeight="1" x14ac:dyDescent="0.35">
      <c r="A76" s="702" t="s">
        <v>125</v>
      </c>
      <c r="B76" s="468">
        <f t="shared" ref="B76:H76" si="45">SUM(B77:B88)</f>
        <v>3306500</v>
      </c>
      <c r="C76" s="468">
        <f t="shared" si="45"/>
        <v>396780</v>
      </c>
      <c r="D76" s="468">
        <f t="shared" si="45"/>
        <v>3703280</v>
      </c>
      <c r="E76" s="468">
        <f t="shared" si="45"/>
        <v>0</v>
      </c>
      <c r="F76" s="468">
        <f t="shared" si="45"/>
        <v>0</v>
      </c>
      <c r="G76" s="468">
        <f t="shared" si="45"/>
        <v>0</v>
      </c>
      <c r="H76" s="468">
        <f t="shared" si="45"/>
        <v>3703280</v>
      </c>
      <c r="I76" s="941" t="s">
        <v>126</v>
      </c>
      <c r="J76" s="941"/>
      <c r="K76" s="941"/>
      <c r="L76" s="941"/>
      <c r="M76" s="941"/>
      <c r="N76" s="941"/>
      <c r="O76" s="941"/>
      <c r="P76" s="941" t="s">
        <v>127</v>
      </c>
      <c r="Q76" s="941"/>
      <c r="R76" s="941"/>
      <c r="S76" s="941"/>
      <c r="T76" s="941"/>
      <c r="U76" s="941"/>
      <c r="V76" s="941"/>
      <c r="W76" s="941"/>
      <c r="X76" s="941"/>
      <c r="Y76" s="941"/>
      <c r="Z76" s="941"/>
      <c r="AA76" s="941"/>
      <c r="AB76" s="941"/>
      <c r="AC76" s="941"/>
      <c r="AD76" s="941"/>
      <c r="AE76" s="941"/>
      <c r="AF76" s="941"/>
      <c r="AG76" s="941"/>
      <c r="AH76" s="941"/>
      <c r="AI76" s="941"/>
      <c r="AJ76" s="941"/>
      <c r="AK76" s="941"/>
      <c r="AL76" s="941"/>
      <c r="AM76" s="941"/>
      <c r="AN76" s="941"/>
      <c r="AO76" s="941"/>
      <c r="AP76" s="941"/>
      <c r="AQ76" s="941"/>
      <c r="AR76" s="941"/>
      <c r="AS76" s="941"/>
      <c r="AT76" s="941"/>
      <c r="AU76" s="941"/>
      <c r="AV76" s="941"/>
      <c r="AW76" s="941"/>
      <c r="AX76" s="941"/>
      <c r="AY76" s="941"/>
      <c r="AZ76" s="941"/>
      <c r="BA76" s="941"/>
      <c r="BB76" s="941"/>
      <c r="BC76" s="941"/>
      <c r="BD76" s="941"/>
      <c r="BE76" s="941"/>
      <c r="BF76" s="941"/>
      <c r="BG76" s="941"/>
      <c r="BH76" s="941"/>
      <c r="BI76" s="941"/>
      <c r="BJ76" s="941"/>
      <c r="BK76" s="941"/>
      <c r="BL76" s="942"/>
    </row>
    <row r="77" spans="1:66" s="614" customFormat="1" ht="23.15" hidden="1" customHeight="1" x14ac:dyDescent="0.35">
      <c r="A77" s="953"/>
      <c r="B77" s="504"/>
      <c r="C77" s="504"/>
      <c r="D77" s="504"/>
      <c r="E77" s="504"/>
      <c r="F77" s="504"/>
      <c r="G77" s="504"/>
      <c r="H77" s="504"/>
      <c r="I77" s="505"/>
      <c r="J77" s="500"/>
      <c r="K77" s="500"/>
      <c r="L77" s="506"/>
      <c r="M77" s="500"/>
      <c r="N77" s="500"/>
      <c r="O77" s="500"/>
      <c r="P77" s="506"/>
      <c r="Q77" s="500"/>
      <c r="R77" s="500"/>
      <c r="S77" s="506"/>
      <c r="T77" s="500"/>
      <c r="U77" s="500"/>
      <c r="V77" s="500"/>
      <c r="W77" s="505"/>
      <c r="X77" s="501"/>
      <c r="Y77" s="501"/>
      <c r="Z77" s="501"/>
      <c r="AA77" s="501"/>
      <c r="AB77" s="501"/>
      <c r="AC77" s="501"/>
      <c r="AD77" s="505"/>
      <c r="AE77" s="500"/>
      <c r="AF77" s="500"/>
      <c r="AG77" s="500"/>
      <c r="AH77" s="501"/>
      <c r="AI77" s="501"/>
      <c r="AJ77" s="501"/>
      <c r="AK77" s="506"/>
      <c r="AL77" s="500"/>
      <c r="AM77" s="500"/>
      <c r="AN77" s="500"/>
      <c r="AO77" s="501"/>
      <c r="AP77" s="501"/>
      <c r="AQ77" s="501"/>
      <c r="AR77" s="507"/>
      <c r="AS77" s="501"/>
      <c r="AT77" s="500"/>
      <c r="AU77" s="500"/>
      <c r="AV77" s="476"/>
      <c r="AW77" s="476"/>
      <c r="AX77" s="476"/>
      <c r="AY77" s="507"/>
      <c r="AZ77" s="508"/>
      <c r="BA77" s="500"/>
      <c r="BB77" s="500"/>
      <c r="BC77" s="476"/>
      <c r="BD77" s="476"/>
      <c r="BE77" s="476"/>
      <c r="BF77" s="509"/>
      <c r="BG77" s="500"/>
      <c r="BH77" s="501"/>
      <c r="BI77" s="501"/>
      <c r="BJ77" s="501"/>
      <c r="BK77" s="501"/>
      <c r="BL77" s="510"/>
      <c r="BN77" s="616"/>
    </row>
    <row r="78" spans="1:66" s="614" customFormat="1" ht="23.15" hidden="1" customHeight="1" x14ac:dyDescent="0.35">
      <c r="A78" s="954"/>
      <c r="B78" s="511"/>
      <c r="C78" s="511"/>
      <c r="D78" s="511"/>
      <c r="E78" s="511"/>
      <c r="F78" s="511"/>
      <c r="G78" s="511"/>
      <c r="H78" s="511"/>
      <c r="I78" s="512"/>
      <c r="J78" s="513"/>
      <c r="K78" s="513"/>
      <c r="L78" s="514"/>
      <c r="M78" s="513"/>
      <c r="N78" s="513"/>
      <c r="O78" s="513"/>
      <c r="P78" s="514"/>
      <c r="Q78" s="513"/>
      <c r="R78" s="513"/>
      <c r="S78" s="514"/>
      <c r="T78" s="513"/>
      <c r="U78" s="513"/>
      <c r="V78" s="513"/>
      <c r="W78" s="512"/>
      <c r="X78" s="515"/>
      <c r="Y78" s="515"/>
      <c r="Z78" s="515"/>
      <c r="AA78" s="515"/>
      <c r="AB78" s="515"/>
      <c r="AC78" s="515"/>
      <c r="AD78" s="512"/>
      <c r="AE78" s="513"/>
      <c r="AF78" s="513"/>
      <c r="AG78" s="513"/>
      <c r="AH78" s="501"/>
      <c r="AI78" s="501"/>
      <c r="AJ78" s="515"/>
      <c r="AK78" s="514"/>
      <c r="AL78" s="513"/>
      <c r="AM78" s="513"/>
      <c r="AN78" s="513"/>
      <c r="AO78" s="515"/>
      <c r="AP78" s="515"/>
      <c r="AQ78" s="515"/>
      <c r="AR78" s="516"/>
      <c r="AS78" s="501"/>
      <c r="AT78" s="500"/>
      <c r="AU78" s="500"/>
      <c r="AV78" s="476"/>
      <c r="AW78" s="476"/>
      <c r="AX78" s="476"/>
      <c r="AY78" s="516"/>
      <c r="AZ78" s="501"/>
      <c r="BA78" s="500"/>
      <c r="BB78" s="500"/>
      <c r="BC78" s="476"/>
      <c r="BD78" s="476"/>
      <c r="BE78" s="476"/>
      <c r="BF78" s="517"/>
      <c r="BG78" s="513"/>
      <c r="BH78" s="515"/>
      <c r="BI78" s="515"/>
      <c r="BJ78" s="515"/>
      <c r="BK78" s="515"/>
      <c r="BL78" s="518"/>
      <c r="BN78" s="616"/>
    </row>
    <row r="79" spans="1:66" s="614" customFormat="1" ht="23.15" customHeight="1" x14ac:dyDescent="0.35">
      <c r="A79" s="955" t="s">
        <v>128</v>
      </c>
      <c r="B79" s="604">
        <f t="shared" ref="B79:D88" si="46">+M79+AA79+AH79+AV79+BC79+BJ79</f>
        <v>1400000</v>
      </c>
      <c r="C79" s="604">
        <f t="shared" si="46"/>
        <v>168000</v>
      </c>
      <c r="D79" s="604">
        <f t="shared" si="46"/>
        <v>1568000</v>
      </c>
      <c r="E79" s="604">
        <f t="shared" ref="E79:G88" si="47">T79+AO79</f>
        <v>0</v>
      </c>
      <c r="F79" s="604">
        <f t="shared" si="47"/>
        <v>0</v>
      </c>
      <c r="G79" s="604">
        <f t="shared" si="47"/>
        <v>0</v>
      </c>
      <c r="H79" s="604">
        <f t="shared" ref="H79:H88" si="48">D79+G79</f>
        <v>1568000</v>
      </c>
      <c r="I79" s="611"/>
      <c r="J79" s="606"/>
      <c r="K79" s="606"/>
      <c r="L79" s="606"/>
      <c r="M79" s="607">
        <f>+J79*K79*L79</f>
        <v>0</v>
      </c>
      <c r="N79" s="607">
        <f>+M79*0.12</f>
        <v>0</v>
      </c>
      <c r="O79" s="606">
        <f t="shared" ref="O79:O88" si="49">M79+N79</f>
        <v>0</v>
      </c>
      <c r="P79" s="606"/>
      <c r="Q79" s="606"/>
      <c r="R79" s="606"/>
      <c r="S79" s="606"/>
      <c r="T79" s="607"/>
      <c r="U79" s="607"/>
      <c r="V79" s="606">
        <f t="shared" ref="V79:V88" si="50">T79+U79</f>
        <v>0</v>
      </c>
      <c r="W79" s="711"/>
      <c r="X79" s="609"/>
      <c r="Y79" s="609"/>
      <c r="Z79" s="609"/>
      <c r="AA79" s="609"/>
      <c r="AB79" s="609"/>
      <c r="AC79" s="607">
        <f t="shared" ref="AC79:AC88" si="51">AA79+AB79</f>
        <v>0</v>
      </c>
      <c r="AD79" s="713" t="s">
        <v>129</v>
      </c>
      <c r="AE79" s="606">
        <v>40000</v>
      </c>
      <c r="AF79" s="606">
        <v>35</v>
      </c>
      <c r="AG79" s="606">
        <v>1</v>
      </c>
      <c r="AH79" s="706">
        <f>+AE79*AF79*AG79</f>
        <v>1400000</v>
      </c>
      <c r="AI79" s="706">
        <f t="shared" ref="AI79:AI88" si="52">+AH79*0.12</f>
        <v>168000</v>
      </c>
      <c r="AJ79" s="607">
        <f t="shared" ref="AJ79:AJ88" si="53">AH79+AI79</f>
        <v>1568000</v>
      </c>
      <c r="AK79" s="714"/>
      <c r="AL79" s="715"/>
      <c r="AM79" s="715"/>
      <c r="AN79" s="715"/>
      <c r="AO79" s="607">
        <f>+AL79*AM79*AN79</f>
        <v>0</v>
      </c>
      <c r="AP79" s="607">
        <f>+AO79*0.12</f>
        <v>0</v>
      </c>
      <c r="AQ79" s="607">
        <f>AO79+AP79</f>
        <v>0</v>
      </c>
      <c r="AR79" s="607"/>
      <c r="AS79" s="607"/>
      <c r="AT79" s="606"/>
      <c r="AU79" s="606"/>
      <c r="AV79" s="607">
        <f>+AS79*AT79*AU79</f>
        <v>0</v>
      </c>
      <c r="AW79" s="607">
        <f>+AV79*0.12</f>
        <v>0</v>
      </c>
      <c r="AX79" s="607">
        <f t="shared" ref="AX79:AX88" si="54">AV79+AW79</f>
        <v>0</v>
      </c>
      <c r="AY79" s="607"/>
      <c r="AZ79" s="607"/>
      <c r="BA79" s="606"/>
      <c r="BB79" s="606"/>
      <c r="BC79" s="607"/>
      <c r="BD79" s="607"/>
      <c r="BE79" s="607">
        <f t="shared" ref="BE79:BE88" si="55">BC79+BD79</f>
        <v>0</v>
      </c>
      <c r="BF79" s="608"/>
      <c r="BG79" s="606"/>
      <c r="BH79" s="607"/>
      <c r="BI79" s="607"/>
      <c r="BJ79" s="607"/>
      <c r="BK79" s="607"/>
      <c r="BL79" s="684">
        <f t="shared" ref="BL79:BL88" si="56">BJ79+BK79</f>
        <v>0</v>
      </c>
      <c r="BN79" s="616"/>
    </row>
    <row r="80" spans="1:66" s="614" customFormat="1" ht="23.15" customHeight="1" x14ac:dyDescent="0.35">
      <c r="A80" s="955"/>
      <c r="B80" s="604">
        <f t="shared" si="46"/>
        <v>200000</v>
      </c>
      <c r="C80" s="604">
        <f t="shared" si="46"/>
        <v>24000</v>
      </c>
      <c r="D80" s="604">
        <f t="shared" si="46"/>
        <v>224000</v>
      </c>
      <c r="E80" s="604">
        <f t="shared" si="47"/>
        <v>0</v>
      </c>
      <c r="F80" s="604">
        <f t="shared" si="47"/>
        <v>0</v>
      </c>
      <c r="G80" s="604">
        <f t="shared" si="47"/>
        <v>0</v>
      </c>
      <c r="H80" s="604">
        <f t="shared" si="48"/>
        <v>224000</v>
      </c>
      <c r="I80" s="605"/>
      <c r="J80" s="606"/>
      <c r="K80" s="607"/>
      <c r="L80" s="607"/>
      <c r="M80" s="607">
        <f>+J80*K80*L80</f>
        <v>0</v>
      </c>
      <c r="N80" s="607">
        <f>+M80*0.12</f>
        <v>0</v>
      </c>
      <c r="O80" s="606">
        <f t="shared" si="49"/>
        <v>0</v>
      </c>
      <c r="P80" s="608"/>
      <c r="Q80" s="606"/>
      <c r="R80" s="607"/>
      <c r="S80" s="607"/>
      <c r="T80" s="607"/>
      <c r="U80" s="607"/>
      <c r="V80" s="606">
        <f t="shared" si="50"/>
        <v>0</v>
      </c>
      <c r="W80" s="605"/>
      <c r="X80" s="606"/>
      <c r="Y80" s="606"/>
      <c r="Z80" s="606"/>
      <c r="AA80" s="607">
        <f>X80*Y80*Z80</f>
        <v>0</v>
      </c>
      <c r="AB80" s="607">
        <f>AA80*0.12</f>
        <v>0</v>
      </c>
      <c r="AC80" s="607">
        <f t="shared" si="51"/>
        <v>0</v>
      </c>
      <c r="AD80" s="713" t="s">
        <v>130</v>
      </c>
      <c r="AE80" s="606">
        <v>50000</v>
      </c>
      <c r="AF80" s="606">
        <v>4</v>
      </c>
      <c r="AG80" s="606">
        <v>1</v>
      </c>
      <c r="AH80" s="706">
        <f>+AE80*AF80*AG80</f>
        <v>200000</v>
      </c>
      <c r="AI80" s="706">
        <f t="shared" si="52"/>
        <v>24000</v>
      </c>
      <c r="AJ80" s="607">
        <f t="shared" si="53"/>
        <v>224000</v>
      </c>
      <c r="AK80" s="714"/>
      <c r="AL80" s="715"/>
      <c r="AM80" s="715"/>
      <c r="AN80" s="715"/>
      <c r="AO80" s="607">
        <f>+AL80*AM80*AN80</f>
        <v>0</v>
      </c>
      <c r="AP80" s="607">
        <f>+AO80*0.12</f>
        <v>0</v>
      </c>
      <c r="AQ80" s="607">
        <f>AO80+AP80</f>
        <v>0</v>
      </c>
      <c r="AR80" s="607"/>
      <c r="AS80" s="607"/>
      <c r="AT80" s="606"/>
      <c r="AU80" s="606"/>
      <c r="AV80" s="607"/>
      <c r="AW80" s="607"/>
      <c r="AX80" s="607">
        <f t="shared" si="54"/>
        <v>0</v>
      </c>
      <c r="AY80" s="607"/>
      <c r="AZ80" s="607"/>
      <c r="BA80" s="606"/>
      <c r="BB80" s="606"/>
      <c r="BC80" s="607"/>
      <c r="BD80" s="607"/>
      <c r="BE80" s="607">
        <f t="shared" si="55"/>
        <v>0</v>
      </c>
      <c r="BF80" s="608"/>
      <c r="BG80" s="606"/>
      <c r="BH80" s="607"/>
      <c r="BI80" s="607"/>
      <c r="BJ80" s="607"/>
      <c r="BK80" s="607"/>
      <c r="BL80" s="684">
        <f t="shared" si="56"/>
        <v>0</v>
      </c>
      <c r="BN80" s="616"/>
    </row>
    <row r="81" spans="1:70" s="614" customFormat="1" ht="23.15" customHeight="1" x14ac:dyDescent="0.35">
      <c r="A81" s="938" t="s">
        <v>131</v>
      </c>
      <c r="B81" s="469">
        <f t="shared" si="46"/>
        <v>1118600</v>
      </c>
      <c r="C81" s="469">
        <f t="shared" si="46"/>
        <v>134232</v>
      </c>
      <c r="D81" s="469">
        <f t="shared" si="46"/>
        <v>1252832</v>
      </c>
      <c r="E81" s="469">
        <f t="shared" si="47"/>
        <v>0</v>
      </c>
      <c r="F81" s="469">
        <f t="shared" si="47"/>
        <v>0</v>
      </c>
      <c r="G81" s="469">
        <f t="shared" si="47"/>
        <v>0</v>
      </c>
      <c r="H81" s="469">
        <f t="shared" si="48"/>
        <v>1252832</v>
      </c>
      <c r="I81" s="480"/>
      <c r="J81" s="471"/>
      <c r="K81" s="471"/>
      <c r="L81" s="471"/>
      <c r="M81" s="472"/>
      <c r="N81" s="472"/>
      <c r="O81" s="471">
        <f t="shared" si="49"/>
        <v>0</v>
      </c>
      <c r="P81" s="471"/>
      <c r="Q81" s="471"/>
      <c r="R81" s="471"/>
      <c r="S81" s="471"/>
      <c r="T81" s="472"/>
      <c r="U81" s="472"/>
      <c r="V81" s="471">
        <f t="shared" si="50"/>
        <v>0</v>
      </c>
      <c r="W81" s="470"/>
      <c r="X81" s="471"/>
      <c r="Y81" s="471"/>
      <c r="Z81" s="471"/>
      <c r="AA81" s="472">
        <f>(X81*Y81*Z81)</f>
        <v>0</v>
      </c>
      <c r="AB81" s="472">
        <f>AA81*0.12</f>
        <v>0</v>
      </c>
      <c r="AC81" s="472">
        <f t="shared" si="51"/>
        <v>0</v>
      </c>
      <c r="AD81" s="483" t="s">
        <v>132</v>
      </c>
      <c r="AE81" s="471">
        <v>1150600</v>
      </c>
      <c r="AF81" s="471">
        <v>1</v>
      </c>
      <c r="AG81" s="471">
        <v>1</v>
      </c>
      <c r="AH81" s="472">
        <v>1118600</v>
      </c>
      <c r="AI81" s="472">
        <f t="shared" si="52"/>
        <v>134232</v>
      </c>
      <c r="AJ81" s="472">
        <f t="shared" si="53"/>
        <v>1252832</v>
      </c>
      <c r="AK81" s="474"/>
      <c r="AL81" s="471"/>
      <c r="AM81" s="471"/>
      <c r="AN81" s="471"/>
      <c r="AO81" s="472"/>
      <c r="AP81" s="472"/>
      <c r="AQ81" s="472"/>
      <c r="AR81" s="472"/>
      <c r="AS81" s="472"/>
      <c r="AT81" s="471"/>
      <c r="AU81" s="471"/>
      <c r="AV81" s="472"/>
      <c r="AW81" s="472"/>
      <c r="AX81" s="472">
        <f t="shared" si="54"/>
        <v>0</v>
      </c>
      <c r="AY81" s="472"/>
      <c r="AZ81" s="472"/>
      <c r="BA81" s="471"/>
      <c r="BB81" s="471"/>
      <c r="BC81" s="472"/>
      <c r="BD81" s="472"/>
      <c r="BE81" s="472">
        <f t="shared" si="55"/>
        <v>0</v>
      </c>
      <c r="BF81" s="473"/>
      <c r="BG81" s="471"/>
      <c r="BH81" s="472"/>
      <c r="BI81" s="472"/>
      <c r="BJ81" s="472"/>
      <c r="BK81" s="472"/>
      <c r="BL81" s="502">
        <f t="shared" si="56"/>
        <v>0</v>
      </c>
      <c r="BN81" s="616"/>
    </row>
    <row r="82" spans="1:70" s="614" customFormat="1" ht="23.15" customHeight="1" x14ac:dyDescent="0.35">
      <c r="A82" s="938"/>
      <c r="B82" s="469">
        <f t="shared" si="46"/>
        <v>90000</v>
      </c>
      <c r="C82" s="469">
        <f t="shared" si="46"/>
        <v>10800</v>
      </c>
      <c r="D82" s="469">
        <f t="shared" si="46"/>
        <v>100800</v>
      </c>
      <c r="E82" s="469">
        <f t="shared" si="47"/>
        <v>0</v>
      </c>
      <c r="F82" s="469">
        <f t="shared" si="47"/>
        <v>0</v>
      </c>
      <c r="G82" s="469">
        <f t="shared" si="47"/>
        <v>0</v>
      </c>
      <c r="H82" s="469">
        <f t="shared" si="48"/>
        <v>100800</v>
      </c>
      <c r="I82" s="480"/>
      <c r="J82" s="471"/>
      <c r="K82" s="471"/>
      <c r="L82" s="471"/>
      <c r="M82" s="472"/>
      <c r="N82" s="472"/>
      <c r="O82" s="471">
        <f t="shared" si="49"/>
        <v>0</v>
      </c>
      <c r="P82" s="471"/>
      <c r="Q82" s="471"/>
      <c r="R82" s="471"/>
      <c r="S82" s="471"/>
      <c r="T82" s="472"/>
      <c r="U82" s="472"/>
      <c r="V82" s="471">
        <f t="shared" si="50"/>
        <v>0</v>
      </c>
      <c r="W82" s="470"/>
      <c r="X82" s="471"/>
      <c r="Y82" s="471"/>
      <c r="Z82" s="471"/>
      <c r="AA82" s="472">
        <f>(X82*Y82*Z82)</f>
        <v>0</v>
      </c>
      <c r="AB82" s="472">
        <f>AA82*0.12</f>
        <v>0</v>
      </c>
      <c r="AC82" s="472">
        <f t="shared" si="51"/>
        <v>0</v>
      </c>
      <c r="AD82" s="483" t="s">
        <v>133</v>
      </c>
      <c r="AE82" s="471">
        <v>9000</v>
      </c>
      <c r="AF82" s="471">
        <v>10</v>
      </c>
      <c r="AG82" s="471">
        <v>1</v>
      </c>
      <c r="AH82" s="472">
        <f t="shared" ref="AH82:AH88" si="57">+AE82*AF82</f>
        <v>90000</v>
      </c>
      <c r="AI82" s="472">
        <f t="shared" si="52"/>
        <v>10800</v>
      </c>
      <c r="AJ82" s="472">
        <f t="shared" si="53"/>
        <v>100800</v>
      </c>
      <c r="AK82" s="474"/>
      <c r="AL82" s="471"/>
      <c r="AM82" s="471"/>
      <c r="AN82" s="471"/>
      <c r="AO82" s="472"/>
      <c r="AP82" s="472"/>
      <c r="AQ82" s="472"/>
      <c r="AR82" s="472"/>
      <c r="AS82" s="472"/>
      <c r="AT82" s="471"/>
      <c r="AU82" s="471"/>
      <c r="AV82" s="472"/>
      <c r="AW82" s="472"/>
      <c r="AX82" s="472">
        <f t="shared" si="54"/>
        <v>0</v>
      </c>
      <c r="AY82" s="472"/>
      <c r="AZ82" s="472"/>
      <c r="BA82" s="471"/>
      <c r="BB82" s="471"/>
      <c r="BC82" s="472"/>
      <c r="BD82" s="472"/>
      <c r="BE82" s="472">
        <f t="shared" si="55"/>
        <v>0</v>
      </c>
      <c r="BF82" s="473"/>
      <c r="BG82" s="471"/>
      <c r="BH82" s="472"/>
      <c r="BI82" s="472"/>
      <c r="BJ82" s="472"/>
      <c r="BK82" s="472"/>
      <c r="BL82" s="502">
        <f t="shared" si="56"/>
        <v>0</v>
      </c>
      <c r="BN82" s="616"/>
    </row>
    <row r="83" spans="1:70" s="614" customFormat="1" ht="23.15" customHeight="1" x14ac:dyDescent="0.35">
      <c r="A83" s="938"/>
      <c r="B83" s="469">
        <f t="shared" si="46"/>
        <v>80000</v>
      </c>
      <c r="C83" s="469">
        <f t="shared" si="46"/>
        <v>9600</v>
      </c>
      <c r="D83" s="469">
        <f t="shared" si="46"/>
        <v>89600</v>
      </c>
      <c r="E83" s="469">
        <f t="shared" si="47"/>
        <v>0</v>
      </c>
      <c r="F83" s="469">
        <f t="shared" si="47"/>
        <v>0</v>
      </c>
      <c r="G83" s="469">
        <f t="shared" si="47"/>
        <v>0</v>
      </c>
      <c r="H83" s="469">
        <f t="shared" si="48"/>
        <v>89600</v>
      </c>
      <c r="I83" s="480"/>
      <c r="J83" s="471"/>
      <c r="K83" s="471"/>
      <c r="L83" s="471"/>
      <c r="M83" s="472"/>
      <c r="N83" s="472"/>
      <c r="O83" s="471">
        <f t="shared" si="49"/>
        <v>0</v>
      </c>
      <c r="P83" s="471"/>
      <c r="Q83" s="471"/>
      <c r="R83" s="471"/>
      <c r="S83" s="471"/>
      <c r="T83" s="472"/>
      <c r="U83" s="472"/>
      <c r="V83" s="471">
        <f t="shared" si="50"/>
        <v>0</v>
      </c>
      <c r="W83" s="470"/>
      <c r="X83" s="471"/>
      <c r="Y83" s="471"/>
      <c r="Z83" s="471"/>
      <c r="AA83" s="472">
        <f>(X83*Y83*Z83)</f>
        <v>0</v>
      </c>
      <c r="AB83" s="472">
        <f>AA83*0.12</f>
        <v>0</v>
      </c>
      <c r="AC83" s="472">
        <f t="shared" si="51"/>
        <v>0</v>
      </c>
      <c r="AD83" s="483" t="s">
        <v>134</v>
      </c>
      <c r="AE83" s="471">
        <v>8000</v>
      </c>
      <c r="AF83" s="471">
        <v>10</v>
      </c>
      <c r="AG83" s="471">
        <v>1</v>
      </c>
      <c r="AH83" s="472">
        <f t="shared" si="57"/>
        <v>80000</v>
      </c>
      <c r="AI83" s="472">
        <f t="shared" si="52"/>
        <v>9600</v>
      </c>
      <c r="AJ83" s="472">
        <f t="shared" si="53"/>
        <v>89600</v>
      </c>
      <c r="AK83" s="474"/>
      <c r="AL83" s="471"/>
      <c r="AM83" s="471"/>
      <c r="AN83" s="471"/>
      <c r="AO83" s="472"/>
      <c r="AP83" s="472"/>
      <c r="AQ83" s="472"/>
      <c r="AR83" s="472"/>
      <c r="AS83" s="472"/>
      <c r="AT83" s="471"/>
      <c r="AU83" s="471"/>
      <c r="AV83" s="472"/>
      <c r="AW83" s="472"/>
      <c r="AX83" s="472">
        <f t="shared" si="54"/>
        <v>0</v>
      </c>
      <c r="AY83" s="472"/>
      <c r="AZ83" s="472"/>
      <c r="BA83" s="471"/>
      <c r="BB83" s="471"/>
      <c r="BC83" s="472"/>
      <c r="BD83" s="472"/>
      <c r="BE83" s="472">
        <f t="shared" si="55"/>
        <v>0</v>
      </c>
      <c r="BF83" s="473"/>
      <c r="BG83" s="471"/>
      <c r="BH83" s="472"/>
      <c r="BI83" s="472"/>
      <c r="BJ83" s="472"/>
      <c r="BK83" s="472"/>
      <c r="BL83" s="502">
        <f t="shared" si="56"/>
        <v>0</v>
      </c>
      <c r="BN83" s="616"/>
    </row>
    <row r="84" spans="1:70" s="614" customFormat="1" ht="23.15" customHeight="1" x14ac:dyDescent="0.35">
      <c r="A84" s="938"/>
      <c r="B84" s="469">
        <f t="shared" si="46"/>
        <v>0</v>
      </c>
      <c r="C84" s="469">
        <f t="shared" si="46"/>
        <v>0</v>
      </c>
      <c r="D84" s="469">
        <f t="shared" si="46"/>
        <v>0</v>
      </c>
      <c r="E84" s="469">
        <f t="shared" si="47"/>
        <v>0</v>
      </c>
      <c r="F84" s="469">
        <f t="shared" si="47"/>
        <v>0</v>
      </c>
      <c r="G84" s="469">
        <f t="shared" si="47"/>
        <v>0</v>
      </c>
      <c r="H84" s="469">
        <f t="shared" si="48"/>
        <v>0</v>
      </c>
      <c r="I84" s="480"/>
      <c r="J84" s="471"/>
      <c r="K84" s="471"/>
      <c r="L84" s="471"/>
      <c r="M84" s="472"/>
      <c r="N84" s="472"/>
      <c r="O84" s="471">
        <f t="shared" si="49"/>
        <v>0</v>
      </c>
      <c r="P84" s="471"/>
      <c r="Q84" s="471"/>
      <c r="R84" s="471"/>
      <c r="S84" s="471"/>
      <c r="T84" s="472"/>
      <c r="U84" s="472"/>
      <c r="V84" s="471">
        <f t="shared" si="50"/>
        <v>0</v>
      </c>
      <c r="W84" s="470"/>
      <c r="X84" s="471"/>
      <c r="Y84" s="471"/>
      <c r="Z84" s="471"/>
      <c r="AA84" s="472">
        <f>(X84*Y84*Z84)</f>
        <v>0</v>
      </c>
      <c r="AB84" s="472">
        <f>AA84*0.12</f>
        <v>0</v>
      </c>
      <c r="AC84" s="472">
        <f t="shared" si="51"/>
        <v>0</v>
      </c>
      <c r="AD84" s="483"/>
      <c r="AE84" s="471"/>
      <c r="AF84" s="471"/>
      <c r="AG84" s="471"/>
      <c r="AH84" s="472">
        <f t="shared" si="57"/>
        <v>0</v>
      </c>
      <c r="AI84" s="472">
        <f t="shared" si="52"/>
        <v>0</v>
      </c>
      <c r="AJ84" s="472">
        <f t="shared" si="53"/>
        <v>0</v>
      </c>
      <c r="AK84" s="474"/>
      <c r="AL84" s="471"/>
      <c r="AM84" s="471"/>
      <c r="AN84" s="471"/>
      <c r="AO84" s="472"/>
      <c r="AP84" s="472"/>
      <c r="AQ84" s="472"/>
      <c r="AR84" s="472"/>
      <c r="AS84" s="472"/>
      <c r="AT84" s="471"/>
      <c r="AU84" s="471"/>
      <c r="AV84" s="472"/>
      <c r="AW84" s="472"/>
      <c r="AX84" s="472">
        <f t="shared" si="54"/>
        <v>0</v>
      </c>
      <c r="AY84" s="472"/>
      <c r="AZ84" s="472"/>
      <c r="BA84" s="471"/>
      <c r="BB84" s="471"/>
      <c r="BC84" s="472"/>
      <c r="BD84" s="472"/>
      <c r="BE84" s="472">
        <f t="shared" si="55"/>
        <v>0</v>
      </c>
      <c r="BF84" s="473"/>
      <c r="BG84" s="471"/>
      <c r="BH84" s="472"/>
      <c r="BI84" s="472"/>
      <c r="BJ84" s="472"/>
      <c r="BK84" s="472"/>
      <c r="BL84" s="502">
        <f t="shared" si="56"/>
        <v>0</v>
      </c>
      <c r="BN84" s="616"/>
    </row>
    <row r="85" spans="1:70" s="614" customFormat="1" ht="23.15" customHeight="1" x14ac:dyDescent="0.35">
      <c r="A85" s="955" t="s">
        <v>135</v>
      </c>
      <c r="B85" s="604">
        <f t="shared" si="46"/>
        <v>93000</v>
      </c>
      <c r="C85" s="604">
        <f t="shared" si="46"/>
        <v>11160</v>
      </c>
      <c r="D85" s="604">
        <f t="shared" si="46"/>
        <v>104160</v>
      </c>
      <c r="E85" s="604">
        <f t="shared" si="47"/>
        <v>0</v>
      </c>
      <c r="F85" s="604">
        <f t="shared" si="47"/>
        <v>0</v>
      </c>
      <c r="G85" s="604">
        <f t="shared" si="47"/>
        <v>0</v>
      </c>
      <c r="H85" s="604">
        <f t="shared" si="48"/>
        <v>104160</v>
      </c>
      <c r="I85" s="611"/>
      <c r="J85" s="606"/>
      <c r="K85" s="606"/>
      <c r="L85" s="606"/>
      <c r="M85" s="607">
        <f>+J85*K85*L85</f>
        <v>0</v>
      </c>
      <c r="N85" s="607">
        <f>+M85*0.12</f>
        <v>0</v>
      </c>
      <c r="O85" s="606">
        <f t="shared" si="49"/>
        <v>0</v>
      </c>
      <c r="P85" s="606"/>
      <c r="Q85" s="606"/>
      <c r="R85" s="606"/>
      <c r="S85" s="606"/>
      <c r="T85" s="607"/>
      <c r="U85" s="607"/>
      <c r="V85" s="606">
        <f t="shared" si="50"/>
        <v>0</v>
      </c>
      <c r="W85" s="711"/>
      <c r="X85" s="609"/>
      <c r="Y85" s="609"/>
      <c r="Z85" s="609"/>
      <c r="AA85" s="609"/>
      <c r="AB85" s="609"/>
      <c r="AC85" s="607">
        <f t="shared" si="51"/>
        <v>0</v>
      </c>
      <c r="AD85" s="713" t="s">
        <v>136</v>
      </c>
      <c r="AE85" s="606">
        <v>93000</v>
      </c>
      <c r="AF85" s="606">
        <v>1</v>
      </c>
      <c r="AG85" s="606">
        <v>1</v>
      </c>
      <c r="AH85" s="607">
        <f t="shared" si="57"/>
        <v>93000</v>
      </c>
      <c r="AI85" s="607">
        <f t="shared" si="52"/>
        <v>11160</v>
      </c>
      <c r="AJ85" s="607">
        <f t="shared" si="53"/>
        <v>104160</v>
      </c>
      <c r="AK85" s="613"/>
      <c r="AL85" s="606"/>
      <c r="AM85" s="606"/>
      <c r="AN85" s="606"/>
      <c r="AO85" s="607">
        <f>+AL85*AM85*AN85</f>
        <v>0</v>
      </c>
      <c r="AP85" s="607">
        <f>+AO85*0.12</f>
        <v>0</v>
      </c>
      <c r="AQ85" s="607">
        <f>AO85+AP85</f>
        <v>0</v>
      </c>
      <c r="AR85" s="607"/>
      <c r="AS85" s="607"/>
      <c r="AT85" s="606"/>
      <c r="AU85" s="606"/>
      <c r="AV85" s="607"/>
      <c r="AW85" s="607"/>
      <c r="AX85" s="607"/>
      <c r="AY85" s="607"/>
      <c r="AZ85" s="607"/>
      <c r="BA85" s="606"/>
      <c r="BB85" s="606"/>
      <c r="BC85" s="607"/>
      <c r="BD85" s="607"/>
      <c r="BE85" s="607">
        <f t="shared" si="55"/>
        <v>0</v>
      </c>
      <c r="BF85" s="608"/>
      <c r="BG85" s="606"/>
      <c r="BH85" s="607"/>
      <c r="BI85" s="607"/>
      <c r="BJ85" s="607"/>
      <c r="BK85" s="607"/>
      <c r="BL85" s="684">
        <f t="shared" si="56"/>
        <v>0</v>
      </c>
      <c r="BN85" s="616"/>
    </row>
    <row r="86" spans="1:70" s="614" customFormat="1" ht="23.15" customHeight="1" x14ac:dyDescent="0.35">
      <c r="A86" s="955"/>
      <c r="B86" s="604">
        <f t="shared" si="46"/>
        <v>0</v>
      </c>
      <c r="C86" s="604">
        <f t="shared" si="46"/>
        <v>0</v>
      </c>
      <c r="D86" s="604">
        <f t="shared" si="46"/>
        <v>0</v>
      </c>
      <c r="E86" s="604">
        <f t="shared" si="47"/>
        <v>0</v>
      </c>
      <c r="F86" s="604">
        <f t="shared" si="47"/>
        <v>0</v>
      </c>
      <c r="G86" s="604">
        <f t="shared" si="47"/>
        <v>0</v>
      </c>
      <c r="H86" s="604">
        <f t="shared" si="48"/>
        <v>0</v>
      </c>
      <c r="I86" s="605"/>
      <c r="J86" s="606"/>
      <c r="K86" s="607"/>
      <c r="L86" s="607"/>
      <c r="M86" s="607">
        <f>+J86*K86*L86</f>
        <v>0</v>
      </c>
      <c r="N86" s="607">
        <f>+M86*0.12</f>
        <v>0</v>
      </c>
      <c r="O86" s="606">
        <f t="shared" si="49"/>
        <v>0</v>
      </c>
      <c r="P86" s="608"/>
      <c r="Q86" s="606"/>
      <c r="R86" s="607"/>
      <c r="S86" s="607"/>
      <c r="T86" s="607"/>
      <c r="U86" s="607"/>
      <c r="V86" s="606">
        <f t="shared" si="50"/>
        <v>0</v>
      </c>
      <c r="W86" s="605"/>
      <c r="X86" s="606"/>
      <c r="Y86" s="606"/>
      <c r="Z86" s="606"/>
      <c r="AA86" s="607">
        <f>X86*Y86*Z86</f>
        <v>0</v>
      </c>
      <c r="AB86" s="607">
        <f>AA86*0.12</f>
        <v>0</v>
      </c>
      <c r="AC86" s="607">
        <f t="shared" si="51"/>
        <v>0</v>
      </c>
      <c r="AD86" s="713"/>
      <c r="AE86" s="606"/>
      <c r="AF86" s="606"/>
      <c r="AG86" s="606"/>
      <c r="AH86" s="607">
        <f t="shared" si="57"/>
        <v>0</v>
      </c>
      <c r="AI86" s="607">
        <f t="shared" si="52"/>
        <v>0</v>
      </c>
      <c r="AJ86" s="607">
        <f t="shared" si="53"/>
        <v>0</v>
      </c>
      <c r="AK86" s="613"/>
      <c r="AL86" s="606"/>
      <c r="AM86" s="606"/>
      <c r="AN86" s="606"/>
      <c r="AO86" s="607">
        <f>+AL86*AM86*AN86</f>
        <v>0</v>
      </c>
      <c r="AP86" s="607">
        <f>+AO86*0.12</f>
        <v>0</v>
      </c>
      <c r="AQ86" s="607">
        <f>AO86+AP86</f>
        <v>0</v>
      </c>
      <c r="AR86" s="607"/>
      <c r="AS86" s="607"/>
      <c r="AT86" s="606"/>
      <c r="AU86" s="606"/>
      <c r="AV86" s="607"/>
      <c r="AW86" s="607"/>
      <c r="AX86" s="607">
        <f t="shared" si="54"/>
        <v>0</v>
      </c>
      <c r="AY86" s="607"/>
      <c r="AZ86" s="607"/>
      <c r="BA86" s="606"/>
      <c r="BB86" s="606"/>
      <c r="BC86" s="607"/>
      <c r="BD86" s="607"/>
      <c r="BE86" s="607">
        <f t="shared" si="55"/>
        <v>0</v>
      </c>
      <c r="BF86" s="608"/>
      <c r="BG86" s="606"/>
      <c r="BH86" s="607"/>
      <c r="BI86" s="607"/>
      <c r="BJ86" s="607"/>
      <c r="BK86" s="607"/>
      <c r="BL86" s="684">
        <f t="shared" si="56"/>
        <v>0</v>
      </c>
      <c r="BN86" s="616"/>
    </row>
    <row r="87" spans="1:70" s="614" customFormat="1" ht="23.15" customHeight="1" x14ac:dyDescent="0.35">
      <c r="A87" s="946" t="s">
        <v>137</v>
      </c>
      <c r="B87" s="469">
        <f t="shared" si="46"/>
        <v>90000</v>
      </c>
      <c r="C87" s="469">
        <f t="shared" si="46"/>
        <v>10800</v>
      </c>
      <c r="D87" s="469">
        <f t="shared" si="46"/>
        <v>100800</v>
      </c>
      <c r="E87" s="469">
        <f t="shared" si="47"/>
        <v>0</v>
      </c>
      <c r="F87" s="469">
        <f t="shared" si="47"/>
        <v>0</v>
      </c>
      <c r="G87" s="469">
        <f t="shared" si="47"/>
        <v>0</v>
      </c>
      <c r="H87" s="469">
        <f t="shared" si="48"/>
        <v>100800</v>
      </c>
      <c r="I87" s="482"/>
      <c r="J87" s="471"/>
      <c r="K87" s="471"/>
      <c r="L87" s="471"/>
      <c r="M87" s="472">
        <f>+J87*K87*L87</f>
        <v>0</v>
      </c>
      <c r="N87" s="472">
        <f>+M87*0.12</f>
        <v>0</v>
      </c>
      <c r="O87" s="471">
        <f t="shared" si="49"/>
        <v>0</v>
      </c>
      <c r="P87" s="716"/>
      <c r="Q87" s="471"/>
      <c r="R87" s="471"/>
      <c r="S87" s="471"/>
      <c r="T87" s="472"/>
      <c r="U87" s="472"/>
      <c r="V87" s="471">
        <f t="shared" si="50"/>
        <v>0</v>
      </c>
      <c r="W87" s="710"/>
      <c r="X87" s="709"/>
      <c r="Y87" s="709"/>
      <c r="Z87" s="709"/>
      <c r="AA87" s="709"/>
      <c r="AB87" s="709"/>
      <c r="AC87" s="472">
        <f t="shared" si="51"/>
        <v>0</v>
      </c>
      <c r="AD87" s="483"/>
      <c r="AE87" s="471"/>
      <c r="AF87" s="471"/>
      <c r="AG87" s="471"/>
      <c r="AH87" s="472">
        <f t="shared" si="57"/>
        <v>0</v>
      </c>
      <c r="AI87" s="472">
        <f t="shared" si="52"/>
        <v>0</v>
      </c>
      <c r="AJ87" s="472">
        <f t="shared" si="53"/>
        <v>0</v>
      </c>
      <c r="AK87" s="474"/>
      <c r="AL87" s="471"/>
      <c r="AM87" s="471"/>
      <c r="AN87" s="471"/>
      <c r="AO87" s="472">
        <f>+AL87*AM87*AN87</f>
        <v>0</v>
      </c>
      <c r="AP87" s="472">
        <f>+AO87*0.12</f>
        <v>0</v>
      </c>
      <c r="AQ87" s="472">
        <f>AO87+AP87</f>
        <v>0</v>
      </c>
      <c r="AR87" s="482" t="s">
        <v>138</v>
      </c>
      <c r="AS87" s="471">
        <f>90000/12</f>
        <v>7500</v>
      </c>
      <c r="AT87" s="471">
        <v>12</v>
      </c>
      <c r="AU87" s="471">
        <v>1</v>
      </c>
      <c r="AV87" s="472">
        <f>+AS87*AT87*AU87</f>
        <v>90000</v>
      </c>
      <c r="AW87" s="472">
        <f>+AV87*0.12</f>
        <v>10800</v>
      </c>
      <c r="AX87" s="472">
        <f t="shared" si="54"/>
        <v>100800</v>
      </c>
      <c r="AY87" s="472"/>
      <c r="AZ87" s="472"/>
      <c r="BA87" s="471"/>
      <c r="BB87" s="471"/>
      <c r="BC87" s="472"/>
      <c r="BD87" s="472"/>
      <c r="BE87" s="472">
        <f t="shared" si="55"/>
        <v>0</v>
      </c>
      <c r="BF87" s="473"/>
      <c r="BG87" s="471"/>
      <c r="BH87" s="472"/>
      <c r="BI87" s="472"/>
      <c r="BJ87" s="472"/>
      <c r="BK87" s="472"/>
      <c r="BL87" s="502">
        <f t="shared" si="56"/>
        <v>0</v>
      </c>
      <c r="BN87" s="616"/>
    </row>
    <row r="88" spans="1:70" s="614" customFormat="1" ht="23.15" customHeight="1" x14ac:dyDescent="0.35">
      <c r="A88" s="946"/>
      <c r="B88" s="469">
        <f t="shared" si="46"/>
        <v>234900</v>
      </c>
      <c r="C88" s="469">
        <f t="shared" si="46"/>
        <v>28188</v>
      </c>
      <c r="D88" s="469">
        <f t="shared" si="46"/>
        <v>263088</v>
      </c>
      <c r="E88" s="469">
        <f t="shared" si="47"/>
        <v>0</v>
      </c>
      <c r="F88" s="469">
        <f t="shared" si="47"/>
        <v>0</v>
      </c>
      <c r="G88" s="469">
        <f t="shared" si="47"/>
        <v>0</v>
      </c>
      <c r="H88" s="469">
        <f t="shared" si="48"/>
        <v>263088</v>
      </c>
      <c r="I88" s="482" t="s">
        <v>139</v>
      </c>
      <c r="J88" s="471">
        <v>3000</v>
      </c>
      <c r="K88" s="472">
        <v>6</v>
      </c>
      <c r="L88" s="472">
        <v>1</v>
      </c>
      <c r="M88" s="472">
        <f>+J88*K88*L88</f>
        <v>18000</v>
      </c>
      <c r="N88" s="472">
        <f>+M88*0.12</f>
        <v>2160</v>
      </c>
      <c r="O88" s="471">
        <f t="shared" si="49"/>
        <v>20160</v>
      </c>
      <c r="P88" s="716"/>
      <c r="Q88" s="471"/>
      <c r="R88" s="471"/>
      <c r="S88" s="471"/>
      <c r="T88" s="472"/>
      <c r="U88" s="472"/>
      <c r="V88" s="471">
        <f t="shared" si="50"/>
        <v>0</v>
      </c>
      <c r="W88" s="710"/>
      <c r="X88" s="709"/>
      <c r="Y88" s="709"/>
      <c r="Z88" s="709"/>
      <c r="AA88" s="709"/>
      <c r="AB88" s="709"/>
      <c r="AC88" s="472">
        <f t="shared" si="51"/>
        <v>0</v>
      </c>
      <c r="AD88" s="483" t="s">
        <v>140</v>
      </c>
      <c r="AE88" s="471">
        <v>216900</v>
      </c>
      <c r="AF88" s="471">
        <v>1</v>
      </c>
      <c r="AG88" s="471">
        <v>1</v>
      </c>
      <c r="AH88" s="472">
        <f t="shared" si="57"/>
        <v>216900</v>
      </c>
      <c r="AI88" s="472">
        <f t="shared" si="52"/>
        <v>26028</v>
      </c>
      <c r="AJ88" s="472">
        <f t="shared" si="53"/>
        <v>242928</v>
      </c>
      <c r="AK88" s="474"/>
      <c r="AL88" s="471"/>
      <c r="AM88" s="471"/>
      <c r="AN88" s="471"/>
      <c r="AO88" s="472">
        <f>+AL88*AM88*AN88</f>
        <v>0</v>
      </c>
      <c r="AP88" s="472">
        <f>+AO88*0.12</f>
        <v>0</v>
      </c>
      <c r="AQ88" s="472">
        <f>AO88+AP88</f>
        <v>0</v>
      </c>
      <c r="AR88" s="472"/>
      <c r="AS88" s="472"/>
      <c r="AT88" s="471"/>
      <c r="AU88" s="471"/>
      <c r="AV88" s="472">
        <f>+AS88*AT88*AU88</f>
        <v>0</v>
      </c>
      <c r="AW88" s="472">
        <f>+AV88*0.12</f>
        <v>0</v>
      </c>
      <c r="AX88" s="472">
        <f t="shared" si="54"/>
        <v>0</v>
      </c>
      <c r="AY88" s="472"/>
      <c r="AZ88" s="472"/>
      <c r="BA88" s="471"/>
      <c r="BB88" s="471"/>
      <c r="BC88" s="472"/>
      <c r="BD88" s="472"/>
      <c r="BE88" s="472">
        <f t="shared" si="55"/>
        <v>0</v>
      </c>
      <c r="BF88" s="473"/>
      <c r="BG88" s="471"/>
      <c r="BH88" s="472"/>
      <c r="BI88" s="472"/>
      <c r="BJ88" s="472"/>
      <c r="BK88" s="472"/>
      <c r="BL88" s="502">
        <f t="shared" si="56"/>
        <v>0</v>
      </c>
      <c r="BN88" s="616"/>
    </row>
    <row r="89" spans="1:70" s="614" customFormat="1" ht="33.65" customHeight="1" x14ac:dyDescent="0.35">
      <c r="A89" s="702" t="s">
        <v>141</v>
      </c>
      <c r="B89" s="468">
        <f>SUM(B90:B93)</f>
        <v>642500</v>
      </c>
      <c r="C89" s="468">
        <f t="shared" ref="C89:H89" si="58">SUM(C90:C93)</f>
        <v>77100</v>
      </c>
      <c r="D89" s="468">
        <f t="shared" si="58"/>
        <v>719600</v>
      </c>
      <c r="E89" s="468">
        <f t="shared" si="58"/>
        <v>0</v>
      </c>
      <c r="F89" s="468">
        <f t="shared" si="58"/>
        <v>0</v>
      </c>
      <c r="G89" s="468">
        <f t="shared" si="58"/>
        <v>0</v>
      </c>
      <c r="H89" s="468">
        <f t="shared" si="58"/>
        <v>719600</v>
      </c>
      <c r="I89" s="941" t="s">
        <v>126</v>
      </c>
      <c r="J89" s="941"/>
      <c r="K89" s="941"/>
      <c r="L89" s="941"/>
      <c r="M89" s="941"/>
      <c r="N89" s="941"/>
      <c r="O89" s="941"/>
      <c r="P89" s="941" t="s">
        <v>127</v>
      </c>
      <c r="Q89" s="941"/>
      <c r="R89" s="941"/>
      <c r="S89" s="941"/>
      <c r="T89" s="941"/>
      <c r="U89" s="941"/>
      <c r="V89" s="941"/>
      <c r="W89" s="941"/>
      <c r="X89" s="941"/>
      <c r="Y89" s="941"/>
      <c r="Z89" s="941"/>
      <c r="AA89" s="941"/>
      <c r="AB89" s="941"/>
      <c r="AC89" s="941"/>
      <c r="AD89" s="941"/>
      <c r="AE89" s="941"/>
      <c r="AF89" s="941"/>
      <c r="AG89" s="941"/>
      <c r="AH89" s="941"/>
      <c r="AI89" s="941"/>
      <c r="AJ89" s="941"/>
      <c r="AK89" s="941"/>
      <c r="AL89" s="941"/>
      <c r="AM89" s="941"/>
      <c r="AN89" s="941"/>
      <c r="AO89" s="941"/>
      <c r="AP89" s="941"/>
      <c r="AQ89" s="941"/>
      <c r="AR89" s="941"/>
      <c r="AS89" s="941"/>
      <c r="AT89" s="941"/>
      <c r="AU89" s="941"/>
      <c r="AV89" s="941"/>
      <c r="AW89" s="941"/>
      <c r="AX89" s="941"/>
      <c r="AY89" s="941"/>
      <c r="AZ89" s="941"/>
      <c r="BA89" s="941"/>
      <c r="BB89" s="941"/>
      <c r="BC89" s="941"/>
      <c r="BD89" s="941"/>
      <c r="BE89" s="941"/>
      <c r="BF89" s="941"/>
      <c r="BG89" s="941"/>
      <c r="BH89" s="941"/>
      <c r="BI89" s="941"/>
      <c r="BJ89" s="941"/>
      <c r="BK89" s="941"/>
      <c r="BL89" s="942"/>
    </row>
    <row r="90" spans="1:70" s="614" customFormat="1" ht="23.15" customHeight="1" x14ac:dyDescent="0.35">
      <c r="A90" s="937" t="s">
        <v>142</v>
      </c>
      <c r="B90" s="704">
        <f t="shared" ref="B90:D93" si="59">+M90+AA90+AH90+AV90+BC90+BJ90</f>
        <v>30000</v>
      </c>
      <c r="C90" s="704">
        <f t="shared" si="59"/>
        <v>3600</v>
      </c>
      <c r="D90" s="704">
        <f t="shared" si="59"/>
        <v>33600</v>
      </c>
      <c r="E90" s="704">
        <f t="shared" ref="E90:G93" si="60">T90+AO90</f>
        <v>0</v>
      </c>
      <c r="F90" s="704">
        <f t="shared" si="60"/>
        <v>0</v>
      </c>
      <c r="G90" s="704">
        <f t="shared" si="60"/>
        <v>0</v>
      </c>
      <c r="H90" s="704">
        <f>D90+G90</f>
        <v>33600</v>
      </c>
      <c r="I90" s="717" t="s">
        <v>143</v>
      </c>
      <c r="J90" s="705">
        <v>5000</v>
      </c>
      <c r="K90" s="705">
        <v>6</v>
      </c>
      <c r="L90" s="707">
        <v>1</v>
      </c>
      <c r="M90" s="607">
        <f>+J90*K90*L90</f>
        <v>30000</v>
      </c>
      <c r="N90" s="607">
        <f>+M90*0.12</f>
        <v>3600</v>
      </c>
      <c r="O90" s="705">
        <f>M90+N90</f>
        <v>33600</v>
      </c>
      <c r="P90" s="707"/>
      <c r="Q90" s="705"/>
      <c r="R90" s="705"/>
      <c r="S90" s="707"/>
      <c r="T90" s="705"/>
      <c r="U90" s="705"/>
      <c r="V90" s="705">
        <f>T90+U90</f>
        <v>0</v>
      </c>
      <c r="W90" s="717"/>
      <c r="X90" s="706"/>
      <c r="Y90" s="706"/>
      <c r="Z90" s="706"/>
      <c r="AA90" s="706">
        <f>+X90*Y90*Z90</f>
        <v>0</v>
      </c>
      <c r="AB90" s="706">
        <f>+AA90*0.12</f>
        <v>0</v>
      </c>
      <c r="AC90" s="706">
        <f>AA90+AB90</f>
        <v>0</v>
      </c>
      <c r="AD90" s="718"/>
      <c r="AE90" s="705"/>
      <c r="AF90" s="705"/>
      <c r="AG90" s="705"/>
      <c r="AH90" s="706"/>
      <c r="AI90" s="706"/>
      <c r="AJ90" s="706"/>
      <c r="AK90" s="707"/>
      <c r="AL90" s="705"/>
      <c r="AM90" s="705"/>
      <c r="AN90" s="705"/>
      <c r="AO90" s="607">
        <f>+AL90*AM90*AN90</f>
        <v>0</v>
      </c>
      <c r="AP90" s="607">
        <f>+AO90*0.12</f>
        <v>0</v>
      </c>
      <c r="AQ90" s="607">
        <f>AO90+AP90</f>
        <v>0</v>
      </c>
      <c r="AR90" s="717"/>
      <c r="AS90" s="706"/>
      <c r="AT90" s="706"/>
      <c r="AU90" s="706"/>
      <c r="AV90" s="607"/>
      <c r="AW90" s="607"/>
      <c r="AX90" s="607"/>
      <c r="AY90" s="708"/>
      <c r="AZ90" s="706"/>
      <c r="BA90" s="705"/>
      <c r="BB90" s="705"/>
      <c r="BC90" s="706"/>
      <c r="BD90" s="706"/>
      <c r="BE90" s="706">
        <f>BC90+BD90</f>
        <v>0</v>
      </c>
      <c r="BF90" s="708"/>
      <c r="BG90" s="705"/>
      <c r="BH90" s="706"/>
      <c r="BI90" s="706"/>
      <c r="BJ90" s="706"/>
      <c r="BK90" s="706"/>
      <c r="BL90" s="712">
        <f>BJ90+BK90</f>
        <v>0</v>
      </c>
      <c r="BN90" s="616"/>
    </row>
    <row r="91" spans="1:70" s="614" customFormat="1" ht="28.5" customHeight="1" x14ac:dyDescent="0.35">
      <c r="A91" s="957"/>
      <c r="B91" s="719">
        <f t="shared" si="59"/>
        <v>231000</v>
      </c>
      <c r="C91" s="719">
        <f t="shared" si="59"/>
        <v>27720</v>
      </c>
      <c r="D91" s="719">
        <f t="shared" si="59"/>
        <v>258720</v>
      </c>
      <c r="E91" s="719">
        <f t="shared" si="60"/>
        <v>0</v>
      </c>
      <c r="F91" s="719">
        <f t="shared" si="60"/>
        <v>0</v>
      </c>
      <c r="G91" s="719">
        <f t="shared" si="60"/>
        <v>0</v>
      </c>
      <c r="H91" s="719">
        <f>D91+G91</f>
        <v>258720</v>
      </c>
      <c r="I91" s="717"/>
      <c r="J91" s="715"/>
      <c r="K91" s="715"/>
      <c r="L91" s="714"/>
      <c r="M91" s="607">
        <f>+J91*K91*L91</f>
        <v>0</v>
      </c>
      <c r="N91" s="607">
        <f>+M91*0.12</f>
        <v>0</v>
      </c>
      <c r="O91" s="715">
        <f>M91+N91</f>
        <v>0</v>
      </c>
      <c r="P91" s="714"/>
      <c r="Q91" s="715"/>
      <c r="R91" s="715"/>
      <c r="S91" s="714"/>
      <c r="T91" s="715"/>
      <c r="U91" s="715"/>
      <c r="V91" s="715">
        <f>T91+U91</f>
        <v>0</v>
      </c>
      <c r="W91" s="717"/>
      <c r="X91" s="720"/>
      <c r="Y91" s="720"/>
      <c r="Z91" s="720"/>
      <c r="AA91" s="720">
        <f>+X91*Y91*Z91</f>
        <v>0</v>
      </c>
      <c r="AB91" s="720">
        <f>+AA91*0.12</f>
        <v>0</v>
      </c>
      <c r="AC91" s="720">
        <f>AA91+AB91</f>
        <v>0</v>
      </c>
      <c r="AD91" s="713" t="s">
        <v>144</v>
      </c>
      <c r="AE91" s="705">
        <v>231000</v>
      </c>
      <c r="AF91" s="705">
        <v>1</v>
      </c>
      <c r="AG91" s="705">
        <v>1</v>
      </c>
      <c r="AH91" s="706">
        <f>+AE91*AF91</f>
        <v>231000</v>
      </c>
      <c r="AI91" s="706">
        <f>+AH91*0.12</f>
        <v>27720</v>
      </c>
      <c r="AJ91" s="706">
        <f>AH91+AI91</f>
        <v>258720</v>
      </c>
      <c r="AK91" s="714"/>
      <c r="AL91" s="715"/>
      <c r="AM91" s="715"/>
      <c r="AN91" s="715"/>
      <c r="AO91" s="607">
        <f>+AL91*AM91*AN91</f>
        <v>0</v>
      </c>
      <c r="AP91" s="607">
        <f>+AO91*0.12</f>
        <v>0</v>
      </c>
      <c r="AQ91" s="607">
        <f>AO91+AP91</f>
        <v>0</v>
      </c>
      <c r="AR91" s="607"/>
      <c r="AS91" s="607"/>
      <c r="AT91" s="606"/>
      <c r="AU91" s="606"/>
      <c r="AV91" s="607">
        <f>+AS91*AT91*AU91</f>
        <v>0</v>
      </c>
      <c r="AW91" s="607">
        <f>+AV91*0.12</f>
        <v>0</v>
      </c>
      <c r="AX91" s="607">
        <f>AV91+AW91</f>
        <v>0</v>
      </c>
      <c r="AY91" s="721"/>
      <c r="AZ91" s="720"/>
      <c r="BA91" s="715"/>
      <c r="BB91" s="715"/>
      <c r="BC91" s="720"/>
      <c r="BD91" s="720"/>
      <c r="BE91" s="720">
        <f>BC91+BD91</f>
        <v>0</v>
      </c>
      <c r="BF91" s="721"/>
      <c r="BG91" s="715"/>
      <c r="BH91" s="720"/>
      <c r="BI91" s="720"/>
      <c r="BJ91" s="720"/>
      <c r="BK91" s="720"/>
      <c r="BL91" s="722">
        <f>BJ91+BK91</f>
        <v>0</v>
      </c>
      <c r="BN91" s="616"/>
    </row>
    <row r="92" spans="1:70" s="614" customFormat="1" ht="23.15" customHeight="1" x14ac:dyDescent="0.35">
      <c r="A92" s="946" t="s">
        <v>145</v>
      </c>
      <c r="B92" s="469">
        <f t="shared" si="59"/>
        <v>140000</v>
      </c>
      <c r="C92" s="469">
        <f t="shared" si="59"/>
        <v>16800</v>
      </c>
      <c r="D92" s="469">
        <f t="shared" si="59"/>
        <v>156800</v>
      </c>
      <c r="E92" s="469">
        <f t="shared" si="60"/>
        <v>0</v>
      </c>
      <c r="F92" s="469">
        <f t="shared" si="60"/>
        <v>0</v>
      </c>
      <c r="G92" s="469">
        <f t="shared" si="60"/>
        <v>0</v>
      </c>
      <c r="H92" s="469">
        <f>D92+G92</f>
        <v>156800</v>
      </c>
      <c r="I92" s="480" t="s">
        <v>146</v>
      </c>
      <c r="J92" s="471">
        <v>1500</v>
      </c>
      <c r="K92" s="471">
        <v>6</v>
      </c>
      <c r="L92" s="471">
        <v>1</v>
      </c>
      <c r="M92" s="472">
        <v>20000</v>
      </c>
      <c r="N92" s="472">
        <f>+M92*0.12</f>
        <v>2400</v>
      </c>
      <c r="O92" s="471">
        <f>M92+N92</f>
        <v>22400</v>
      </c>
      <c r="P92" s="471"/>
      <c r="Q92" s="471"/>
      <c r="R92" s="471"/>
      <c r="S92" s="471"/>
      <c r="T92" s="472"/>
      <c r="U92" s="472"/>
      <c r="V92" s="471">
        <f>T92+U92</f>
        <v>0</v>
      </c>
      <c r="W92" s="710"/>
      <c r="X92" s="709"/>
      <c r="Y92" s="709"/>
      <c r="Z92" s="709"/>
      <c r="AA92" s="515">
        <f>+X92*Y92*Z92</f>
        <v>0</v>
      </c>
      <c r="AB92" s="515">
        <f>+AA92*0.12</f>
        <v>0</v>
      </c>
      <c r="AC92" s="472">
        <f>AA92+AB92</f>
        <v>0</v>
      </c>
      <c r="AD92" s="483" t="s">
        <v>147</v>
      </c>
      <c r="AE92" s="471">
        <v>50000</v>
      </c>
      <c r="AF92" s="471">
        <v>1</v>
      </c>
      <c r="AG92" s="471">
        <v>1</v>
      </c>
      <c r="AH92" s="515">
        <f>+AE92*AF92</f>
        <v>50000</v>
      </c>
      <c r="AI92" s="515">
        <f>+AH92*0.12</f>
        <v>6000</v>
      </c>
      <c r="AJ92" s="472">
        <f>AH92+AI92</f>
        <v>56000</v>
      </c>
      <c r="AK92" s="514"/>
      <c r="AL92" s="513"/>
      <c r="AM92" s="513"/>
      <c r="AN92" s="513"/>
      <c r="AO92" s="472">
        <f>+AL92*AM92*AN92</f>
        <v>0</v>
      </c>
      <c r="AP92" s="472">
        <f>+AO92*0.12</f>
        <v>0</v>
      </c>
      <c r="AQ92" s="472">
        <f>AO92+AP92</f>
        <v>0</v>
      </c>
      <c r="AR92" s="710" t="s">
        <v>148</v>
      </c>
      <c r="AS92" s="709">
        <v>70000</v>
      </c>
      <c r="AT92" s="709">
        <v>1</v>
      </c>
      <c r="AU92" s="709">
        <v>1</v>
      </c>
      <c r="AV92" s="472">
        <f>+AS92*AT92*AU92</f>
        <v>70000</v>
      </c>
      <c r="AW92" s="472">
        <f>+AV92*0.12</f>
        <v>8400</v>
      </c>
      <c r="AX92" s="472">
        <f>AV92+AW92</f>
        <v>78400</v>
      </c>
      <c r="AY92" s="472"/>
      <c r="AZ92" s="472"/>
      <c r="BA92" s="471"/>
      <c r="BB92" s="471"/>
      <c r="BC92" s="472"/>
      <c r="BD92" s="472"/>
      <c r="BE92" s="472">
        <f>BC92+BD92</f>
        <v>0</v>
      </c>
      <c r="BF92" s="473"/>
      <c r="BG92" s="471"/>
      <c r="BH92" s="472"/>
      <c r="BI92" s="472"/>
      <c r="BJ92" s="472"/>
      <c r="BK92" s="472"/>
      <c r="BL92" s="502">
        <f>BJ92+BK92</f>
        <v>0</v>
      </c>
      <c r="BN92" s="616"/>
    </row>
    <row r="93" spans="1:70" s="614" customFormat="1" ht="23.15" customHeight="1" x14ac:dyDescent="0.35">
      <c r="A93" s="946"/>
      <c r="B93" s="469">
        <f t="shared" si="59"/>
        <v>241500</v>
      </c>
      <c r="C93" s="469">
        <f t="shared" si="59"/>
        <v>28980</v>
      </c>
      <c r="D93" s="469">
        <f t="shared" si="59"/>
        <v>270480</v>
      </c>
      <c r="E93" s="469">
        <f t="shared" si="60"/>
        <v>0</v>
      </c>
      <c r="F93" s="469">
        <f t="shared" si="60"/>
        <v>0</v>
      </c>
      <c r="G93" s="469">
        <f t="shared" si="60"/>
        <v>0</v>
      </c>
      <c r="H93" s="469">
        <f>D93+G93</f>
        <v>270480</v>
      </c>
      <c r="I93" s="482" t="s">
        <v>149</v>
      </c>
      <c r="J93" s="471">
        <f>M93/K93</f>
        <v>5031.25</v>
      </c>
      <c r="K93" s="472">
        <v>48</v>
      </c>
      <c r="L93" s="472">
        <v>1</v>
      </c>
      <c r="M93" s="472">
        <f>300000-47500-11000</f>
        <v>241500</v>
      </c>
      <c r="N93" s="472">
        <f>+M93*0.12</f>
        <v>28980</v>
      </c>
      <c r="O93" s="471">
        <f>M93+N93</f>
        <v>270480</v>
      </c>
      <c r="P93" s="473"/>
      <c r="Q93" s="471"/>
      <c r="R93" s="472"/>
      <c r="S93" s="472"/>
      <c r="T93" s="472"/>
      <c r="U93" s="472"/>
      <c r="V93" s="471">
        <f>T93+U93</f>
        <v>0</v>
      </c>
      <c r="W93" s="482"/>
      <c r="X93" s="471"/>
      <c r="Y93" s="471"/>
      <c r="Z93" s="471"/>
      <c r="AA93" s="472">
        <f>X93*Y93*Z93</f>
        <v>0</v>
      </c>
      <c r="AB93" s="472">
        <f>AA93*0.12</f>
        <v>0</v>
      </c>
      <c r="AC93" s="472">
        <f>AA93+AB93</f>
        <v>0</v>
      </c>
      <c r="AD93" s="474"/>
      <c r="AE93" s="471"/>
      <c r="AF93" s="471"/>
      <c r="AG93" s="471"/>
      <c r="AH93" s="472"/>
      <c r="AI93" s="472"/>
      <c r="AJ93" s="472">
        <f>AH93+AI93</f>
        <v>0</v>
      </c>
      <c r="AK93" s="514"/>
      <c r="AL93" s="513"/>
      <c r="AM93" s="513"/>
      <c r="AN93" s="513"/>
      <c r="AO93" s="472">
        <f>+AL93*AM93*AN93</f>
        <v>0</v>
      </c>
      <c r="AP93" s="472">
        <f>+AO93*0.12</f>
        <v>0</v>
      </c>
      <c r="AQ93" s="472">
        <f>AO93+AP93</f>
        <v>0</v>
      </c>
      <c r="AR93" s="472"/>
      <c r="AS93" s="472"/>
      <c r="AT93" s="471"/>
      <c r="AU93" s="471"/>
      <c r="AV93" s="472">
        <f>+AS93*AT93*AU93</f>
        <v>0</v>
      </c>
      <c r="AW93" s="472">
        <f>+AV93*0.12</f>
        <v>0</v>
      </c>
      <c r="AX93" s="472">
        <f>AV93+AW93</f>
        <v>0</v>
      </c>
      <c r="AY93" s="472"/>
      <c r="AZ93" s="472"/>
      <c r="BA93" s="471"/>
      <c r="BB93" s="471"/>
      <c r="BC93" s="472"/>
      <c r="BD93" s="472"/>
      <c r="BE93" s="472">
        <f>BC93+BD93</f>
        <v>0</v>
      </c>
      <c r="BF93" s="473"/>
      <c r="BG93" s="471"/>
      <c r="BH93" s="472"/>
      <c r="BI93" s="472"/>
      <c r="BJ93" s="472"/>
      <c r="BK93" s="472"/>
      <c r="BL93" s="502">
        <f>BJ93+BK93</f>
        <v>0</v>
      </c>
      <c r="BN93" s="616"/>
    </row>
    <row r="94" spans="1:70" s="614" customFormat="1" ht="36" customHeight="1" x14ac:dyDescent="0.35">
      <c r="A94" s="681" t="s">
        <v>150</v>
      </c>
      <c r="B94" s="496">
        <f t="shared" ref="B94:G94" si="61">B95+B102+B110+B113+B116+B117</f>
        <v>2089788.0699999998</v>
      </c>
      <c r="C94" s="496">
        <f t="shared" si="61"/>
        <v>251494.96840000004</v>
      </c>
      <c r="D94" s="496">
        <f t="shared" si="61"/>
        <v>2341283.0384</v>
      </c>
      <c r="E94" s="496">
        <f t="shared" si="61"/>
        <v>2505805.9999999995</v>
      </c>
      <c r="F94" s="496">
        <f t="shared" si="61"/>
        <v>0</v>
      </c>
      <c r="G94" s="496">
        <f t="shared" si="61"/>
        <v>2505805.9999999995</v>
      </c>
      <c r="H94" s="496">
        <f>H95+H102+H110+H113+H116+H117</f>
        <v>4847089.3383999998</v>
      </c>
      <c r="I94" s="485"/>
      <c r="J94" s="486"/>
      <c r="K94" s="486"/>
      <c r="L94" s="486"/>
      <c r="M94" s="486"/>
      <c r="N94" s="486"/>
      <c r="O94" s="486"/>
      <c r="P94" s="485"/>
      <c r="Q94" s="486"/>
      <c r="R94" s="486"/>
      <c r="S94" s="826"/>
      <c r="T94" s="826"/>
      <c r="U94" s="486"/>
      <c r="V94" s="486"/>
      <c r="W94" s="486"/>
      <c r="X94" s="486"/>
      <c r="Y94" s="486"/>
      <c r="Z94" s="826">
        <f>SUM(Z97:Z101)</f>
        <v>0</v>
      </c>
      <c r="AA94" s="486"/>
      <c r="AB94" s="486"/>
      <c r="AC94" s="486"/>
      <c r="AD94" s="486"/>
      <c r="AE94" s="486"/>
      <c r="AF94" s="487"/>
      <c r="AG94" s="487"/>
      <c r="AH94" s="486"/>
      <c r="AI94" s="486"/>
      <c r="AJ94" s="486"/>
      <c r="AK94" s="486"/>
      <c r="AL94" s="486"/>
      <c r="AM94" s="487"/>
      <c r="AN94" s="487"/>
      <c r="AO94" s="486"/>
      <c r="AP94" s="486"/>
      <c r="AQ94" s="486"/>
      <c r="AR94" s="486"/>
      <c r="AS94" s="486"/>
      <c r="AT94" s="486"/>
      <c r="AU94" s="486"/>
      <c r="AV94" s="486"/>
      <c r="AW94" s="486"/>
      <c r="AX94" s="486"/>
      <c r="AY94" s="486"/>
      <c r="AZ94" s="486"/>
      <c r="BA94" s="486"/>
      <c r="BB94" s="486"/>
      <c r="BC94" s="486"/>
      <c r="BD94" s="486"/>
      <c r="BE94" s="486"/>
      <c r="BF94" s="486"/>
      <c r="BG94" s="486"/>
      <c r="BH94" s="486"/>
      <c r="BI94" s="486"/>
      <c r="BJ94" s="486"/>
      <c r="BK94" s="486"/>
      <c r="BL94" s="685"/>
      <c r="BN94" s="616"/>
    </row>
    <row r="95" spans="1:70" s="614" customFormat="1" ht="33.65" customHeight="1" x14ac:dyDescent="0.35">
      <c r="A95" s="702" t="s">
        <v>151</v>
      </c>
      <c r="B95" s="468">
        <f>SUM(B96:B101)</f>
        <v>49235</v>
      </c>
      <c r="C95" s="468">
        <f t="shared" ref="C95:I95" si="62">SUM(C96:C101)</f>
        <v>6628.6</v>
      </c>
      <c r="D95" s="468">
        <f t="shared" si="62"/>
        <v>55863.6</v>
      </c>
      <c r="E95" s="468">
        <f t="shared" si="62"/>
        <v>1789635.9999999995</v>
      </c>
      <c r="F95" s="468">
        <f t="shared" si="62"/>
        <v>0</v>
      </c>
      <c r="G95" s="468">
        <f t="shared" si="62"/>
        <v>1789635.9999999995</v>
      </c>
      <c r="H95" s="468">
        <f t="shared" si="62"/>
        <v>1845499.6999999997</v>
      </c>
      <c r="I95" s="941">
        <f t="shared" si="62"/>
        <v>0</v>
      </c>
      <c r="J95" s="941">
        <f t="shared" ref="J95:AO95" si="63">SUM(J96:J101)</f>
        <v>0</v>
      </c>
      <c r="K95" s="941">
        <f t="shared" si="63"/>
        <v>0</v>
      </c>
      <c r="L95" s="941">
        <f t="shared" si="63"/>
        <v>0</v>
      </c>
      <c r="M95" s="941">
        <f t="shared" si="63"/>
        <v>0</v>
      </c>
      <c r="N95" s="941">
        <f t="shared" si="63"/>
        <v>0</v>
      </c>
      <c r="O95" s="941">
        <f t="shared" si="63"/>
        <v>0</v>
      </c>
      <c r="P95" s="941">
        <f t="shared" si="63"/>
        <v>0</v>
      </c>
      <c r="Q95" s="941">
        <f t="shared" si="63"/>
        <v>0</v>
      </c>
      <c r="R95" s="941">
        <f t="shared" si="63"/>
        <v>280</v>
      </c>
      <c r="S95" s="941">
        <f t="shared" si="63"/>
        <v>14</v>
      </c>
      <c r="T95" s="941">
        <f t="shared" si="63"/>
        <v>1789635.9999999995</v>
      </c>
      <c r="U95" s="941">
        <f t="shared" si="63"/>
        <v>0</v>
      </c>
      <c r="V95" s="941">
        <f t="shared" si="63"/>
        <v>1789635.9999999995</v>
      </c>
      <c r="W95" s="941">
        <f t="shared" si="63"/>
        <v>0</v>
      </c>
      <c r="X95" s="941">
        <f t="shared" si="63"/>
        <v>0</v>
      </c>
      <c r="Y95" s="941">
        <f t="shared" si="63"/>
        <v>0</v>
      </c>
      <c r="Z95" s="941">
        <f t="shared" si="63"/>
        <v>0</v>
      </c>
      <c r="AA95" s="941">
        <f t="shared" si="63"/>
        <v>0</v>
      </c>
      <c r="AB95" s="941">
        <f t="shared" si="63"/>
        <v>0</v>
      </c>
      <c r="AC95" s="941">
        <f t="shared" si="63"/>
        <v>0</v>
      </c>
      <c r="AD95" s="941">
        <f t="shared" si="63"/>
        <v>0</v>
      </c>
      <c r="AE95" s="941">
        <f t="shared" si="63"/>
        <v>0</v>
      </c>
      <c r="AF95" s="941">
        <f t="shared" si="63"/>
        <v>0</v>
      </c>
      <c r="AG95" s="941">
        <f t="shared" si="63"/>
        <v>0</v>
      </c>
      <c r="AH95" s="941">
        <f t="shared" si="63"/>
        <v>0</v>
      </c>
      <c r="AI95" s="941">
        <f t="shared" si="63"/>
        <v>0</v>
      </c>
      <c r="AJ95" s="941">
        <f t="shared" si="63"/>
        <v>0</v>
      </c>
      <c r="AK95" s="941">
        <f t="shared" si="63"/>
        <v>0</v>
      </c>
      <c r="AL95" s="941">
        <f t="shared" si="63"/>
        <v>0</v>
      </c>
      <c r="AM95" s="941">
        <f t="shared" si="63"/>
        <v>0</v>
      </c>
      <c r="AN95" s="941">
        <f t="shared" si="63"/>
        <v>0</v>
      </c>
      <c r="AO95" s="941">
        <f t="shared" si="63"/>
        <v>0</v>
      </c>
      <c r="AP95" s="941">
        <f t="shared" ref="AP95:BL95" si="64">SUM(AP96:AP101)</f>
        <v>0</v>
      </c>
      <c r="AQ95" s="941">
        <f t="shared" si="64"/>
        <v>0</v>
      </c>
      <c r="AR95" s="941">
        <f t="shared" si="64"/>
        <v>0</v>
      </c>
      <c r="AS95" s="941">
        <f t="shared" si="64"/>
        <v>0</v>
      </c>
      <c r="AT95" s="941">
        <f t="shared" si="64"/>
        <v>0</v>
      </c>
      <c r="AU95" s="941">
        <f t="shared" si="64"/>
        <v>0</v>
      </c>
      <c r="AV95" s="941">
        <f t="shared" si="64"/>
        <v>0</v>
      </c>
      <c r="AW95" s="941">
        <f t="shared" si="64"/>
        <v>0</v>
      </c>
      <c r="AX95" s="941">
        <f t="shared" si="64"/>
        <v>0</v>
      </c>
      <c r="AY95" s="941">
        <f t="shared" si="64"/>
        <v>0</v>
      </c>
      <c r="AZ95" s="941">
        <f t="shared" si="64"/>
        <v>0</v>
      </c>
      <c r="BA95" s="941">
        <f t="shared" si="64"/>
        <v>0</v>
      </c>
      <c r="BB95" s="941">
        <f t="shared" si="64"/>
        <v>0</v>
      </c>
      <c r="BC95" s="941">
        <f t="shared" si="64"/>
        <v>0</v>
      </c>
      <c r="BD95" s="941">
        <f t="shared" si="64"/>
        <v>0</v>
      </c>
      <c r="BE95" s="941">
        <f t="shared" si="64"/>
        <v>0</v>
      </c>
      <c r="BF95" s="941">
        <f t="shared" si="64"/>
        <v>0</v>
      </c>
      <c r="BG95" s="941">
        <f t="shared" si="64"/>
        <v>0</v>
      </c>
      <c r="BH95" s="941">
        <f t="shared" si="64"/>
        <v>0</v>
      </c>
      <c r="BI95" s="941">
        <f t="shared" si="64"/>
        <v>0</v>
      </c>
      <c r="BJ95" s="941">
        <f t="shared" si="64"/>
        <v>0</v>
      </c>
      <c r="BK95" s="941">
        <f t="shared" si="64"/>
        <v>0</v>
      </c>
      <c r="BL95" s="942">
        <f t="shared" si="64"/>
        <v>0</v>
      </c>
    </row>
    <row r="96" spans="1:70" s="617" customFormat="1" ht="23.15" customHeight="1" x14ac:dyDescent="0.35">
      <c r="A96" s="687" t="s">
        <v>152</v>
      </c>
      <c r="B96" s="469">
        <v>49235</v>
      </c>
      <c r="C96" s="469">
        <v>6628.6</v>
      </c>
      <c r="D96" s="469">
        <v>55863.6</v>
      </c>
      <c r="E96" s="469">
        <f t="shared" ref="E96:E101" si="65">T96+AO96</f>
        <v>0</v>
      </c>
      <c r="F96" s="469">
        <f t="shared" ref="F96:F101" si="66">U96+AP96</f>
        <v>0</v>
      </c>
      <c r="G96" s="469">
        <f t="shared" ref="G96:G101" si="67">V96+AQ96</f>
        <v>0</v>
      </c>
      <c r="H96" s="469">
        <f>D96+G96</f>
        <v>55863.6</v>
      </c>
      <c r="I96" s="470"/>
      <c r="J96" s="471"/>
      <c r="K96" s="471"/>
      <c r="L96" s="471"/>
      <c r="M96" s="472"/>
      <c r="N96" s="472"/>
      <c r="O96" s="472"/>
      <c r="P96" s="472"/>
      <c r="Q96" s="472"/>
      <c r="R96" s="472"/>
      <c r="S96" s="472"/>
      <c r="T96" s="472"/>
      <c r="U96" s="472"/>
      <c r="V96" s="472">
        <f t="shared" ref="V96" si="68">T96</f>
        <v>0</v>
      </c>
      <c r="W96" s="473"/>
      <c r="X96" s="471"/>
      <c r="Y96" s="471"/>
      <c r="Z96" s="471"/>
      <c r="AA96" s="472"/>
      <c r="AB96" s="472"/>
      <c r="AC96" s="472"/>
      <c r="AD96" s="827" t="s">
        <v>153</v>
      </c>
      <c r="AE96" s="828"/>
      <c r="AF96" s="828"/>
      <c r="AG96" s="828"/>
      <c r="AH96" s="823"/>
      <c r="AI96" s="823"/>
      <c r="AJ96" s="823">
        <f>+AH96+AI96</f>
        <v>0</v>
      </c>
      <c r="AK96" s="474"/>
      <c r="AL96" s="471"/>
      <c r="AM96" s="471"/>
      <c r="AN96" s="471"/>
      <c r="AO96" s="472"/>
      <c r="AP96" s="472"/>
      <c r="AQ96" s="472"/>
      <c r="AR96" s="829" t="s">
        <v>154</v>
      </c>
      <c r="AS96" s="828"/>
      <c r="AT96" s="828">
        <v>0</v>
      </c>
      <c r="AU96" s="828"/>
      <c r="AV96" s="823"/>
      <c r="AW96" s="823"/>
      <c r="AX96" s="823">
        <f>+AV96+AW96</f>
        <v>0</v>
      </c>
      <c r="AY96" s="472"/>
      <c r="AZ96" s="472"/>
      <c r="BA96" s="472"/>
      <c r="BB96" s="472"/>
      <c r="BC96" s="472"/>
      <c r="BD96" s="472"/>
      <c r="BE96" s="472"/>
      <c r="BF96" s="472"/>
      <c r="BG96" s="472"/>
      <c r="BH96" s="472"/>
      <c r="BI96" s="472"/>
      <c r="BJ96" s="472"/>
      <c r="BK96" s="472"/>
      <c r="BL96" s="502"/>
      <c r="BM96" s="615"/>
      <c r="BN96" s="616"/>
      <c r="BO96" s="615"/>
      <c r="BP96" s="615"/>
      <c r="BQ96" s="615"/>
      <c r="BR96" s="615"/>
    </row>
    <row r="97" spans="1:70" s="617" customFormat="1" ht="23.15" customHeight="1" x14ac:dyDescent="0.35">
      <c r="A97" s="687" t="s">
        <v>155</v>
      </c>
      <c r="B97" s="469">
        <f t="shared" ref="B97:B101" si="69">+M97+AA97+AH97+AV97+BC97+BJ97</f>
        <v>0</v>
      </c>
      <c r="C97" s="469">
        <f t="shared" ref="C97:D101" si="70">+N97+AB97+AI97+AW97+BD97+BK97</f>
        <v>0</v>
      </c>
      <c r="D97" s="469">
        <f t="shared" si="70"/>
        <v>0</v>
      </c>
      <c r="E97" s="469">
        <f t="shared" si="65"/>
        <v>204513.75402478175</v>
      </c>
      <c r="F97" s="469">
        <f t="shared" si="66"/>
        <v>0</v>
      </c>
      <c r="G97" s="469">
        <f t="shared" si="67"/>
        <v>204513.75402478175</v>
      </c>
      <c r="H97" s="469">
        <f t="shared" ref="H97:H108" si="71">D97+G97</f>
        <v>204513.75402478175</v>
      </c>
      <c r="I97" s="470" t="s">
        <v>155</v>
      </c>
      <c r="J97" s="471"/>
      <c r="K97" s="471"/>
      <c r="L97" s="471"/>
      <c r="M97" s="472"/>
      <c r="N97" s="472"/>
      <c r="O97" s="472"/>
      <c r="P97" s="472" t="s">
        <v>715</v>
      </c>
      <c r="Q97" s="472"/>
      <c r="R97" s="472">
        <v>60</v>
      </c>
      <c r="S97" s="472">
        <v>1</v>
      </c>
      <c r="T97" s="472">
        <v>204513.75402478175</v>
      </c>
      <c r="U97" s="472"/>
      <c r="V97" s="472">
        <f>T97</f>
        <v>204513.75402478175</v>
      </c>
      <c r="W97" s="830"/>
      <c r="X97" s="471"/>
      <c r="Y97" s="471"/>
      <c r="Z97" s="471"/>
      <c r="AA97" s="472"/>
      <c r="AB97" s="472"/>
      <c r="AC97" s="472"/>
      <c r="AD97" s="474"/>
      <c r="AE97" s="471"/>
      <c r="AF97" s="471"/>
      <c r="AG97" s="471"/>
      <c r="AH97" s="472"/>
      <c r="AI97" s="472"/>
      <c r="AJ97" s="472"/>
      <c r="AK97" s="474"/>
      <c r="AL97" s="471"/>
      <c r="AM97" s="471"/>
      <c r="AN97" s="471"/>
      <c r="AO97" s="472"/>
      <c r="AP97" s="472"/>
      <c r="AQ97" s="472"/>
      <c r="AR97" s="470"/>
      <c r="AS97" s="471"/>
      <c r="AT97" s="471"/>
      <c r="AU97" s="471"/>
      <c r="AV97" s="472"/>
      <c r="AW97" s="472"/>
      <c r="AX97" s="472"/>
      <c r="AY97" s="472"/>
      <c r="AZ97" s="472"/>
      <c r="BA97" s="472"/>
      <c r="BB97" s="472"/>
      <c r="BC97" s="472"/>
      <c r="BD97" s="472"/>
      <c r="BE97" s="472"/>
      <c r="BF97" s="472"/>
      <c r="BG97" s="472"/>
      <c r="BH97" s="472"/>
      <c r="BI97" s="472"/>
      <c r="BJ97" s="472"/>
      <c r="BK97" s="472"/>
      <c r="BL97" s="502"/>
      <c r="BM97" s="615"/>
      <c r="BN97" s="616"/>
      <c r="BO97" s="615"/>
      <c r="BP97" s="615"/>
      <c r="BQ97" s="615"/>
      <c r="BR97" s="615"/>
    </row>
    <row r="98" spans="1:70" s="617" customFormat="1" ht="23.15" customHeight="1" x14ac:dyDescent="0.35">
      <c r="A98" s="687" t="s">
        <v>156</v>
      </c>
      <c r="B98" s="469">
        <f t="shared" si="69"/>
        <v>0</v>
      </c>
      <c r="C98" s="469">
        <f t="shared" si="70"/>
        <v>0</v>
      </c>
      <c r="D98" s="469">
        <f t="shared" si="70"/>
        <v>0</v>
      </c>
      <c r="E98" s="469">
        <f t="shared" si="65"/>
        <v>204513.75402478175</v>
      </c>
      <c r="F98" s="469">
        <f t="shared" si="66"/>
        <v>0</v>
      </c>
      <c r="G98" s="469">
        <f t="shared" si="67"/>
        <v>204513.75402478175</v>
      </c>
      <c r="H98" s="469">
        <f t="shared" si="71"/>
        <v>204513.75402478175</v>
      </c>
      <c r="I98" s="470" t="s">
        <v>156</v>
      </c>
      <c r="J98" s="471"/>
      <c r="K98" s="471"/>
      <c r="L98" s="471"/>
      <c r="M98" s="472"/>
      <c r="N98" s="472"/>
      <c r="O98" s="472"/>
      <c r="P98" s="472" t="s">
        <v>715</v>
      </c>
      <c r="Q98" s="472"/>
      <c r="R98" s="472">
        <v>60</v>
      </c>
      <c r="S98" s="472">
        <v>1</v>
      </c>
      <c r="T98" s="472">
        <v>204513.75402478175</v>
      </c>
      <c r="U98" s="472"/>
      <c r="V98" s="472">
        <f t="shared" ref="V98:V101" si="72">T98</f>
        <v>204513.75402478175</v>
      </c>
      <c r="W98" s="830"/>
      <c r="X98" s="471"/>
      <c r="Y98" s="471"/>
      <c r="Z98" s="471"/>
      <c r="AA98" s="472"/>
      <c r="AB98" s="472"/>
      <c r="AC98" s="472"/>
      <c r="AD98" s="474"/>
      <c r="AE98" s="471"/>
      <c r="AF98" s="471"/>
      <c r="AG98" s="471"/>
      <c r="AH98" s="472"/>
      <c r="AI98" s="472"/>
      <c r="AJ98" s="472"/>
      <c r="AK98" s="474"/>
      <c r="AL98" s="471"/>
      <c r="AM98" s="471"/>
      <c r="AN98" s="471"/>
      <c r="AO98" s="472"/>
      <c r="AP98" s="472"/>
      <c r="AQ98" s="472"/>
      <c r="AR98" s="470"/>
      <c r="AS98" s="471"/>
      <c r="AT98" s="471"/>
      <c r="AU98" s="471"/>
      <c r="AV98" s="472"/>
      <c r="AW98" s="472"/>
      <c r="AX98" s="472"/>
      <c r="AY98" s="472"/>
      <c r="AZ98" s="472"/>
      <c r="BA98" s="472"/>
      <c r="BB98" s="472"/>
      <c r="BC98" s="472"/>
      <c r="BD98" s="472"/>
      <c r="BE98" s="472"/>
      <c r="BF98" s="472"/>
      <c r="BG98" s="472"/>
      <c r="BH98" s="472"/>
      <c r="BI98" s="472"/>
      <c r="BJ98" s="472"/>
      <c r="BK98" s="472"/>
      <c r="BL98" s="502"/>
      <c r="BM98" s="615"/>
      <c r="BN98" s="616"/>
      <c r="BO98" s="615"/>
      <c r="BP98" s="615"/>
      <c r="BQ98" s="615"/>
      <c r="BR98" s="615"/>
    </row>
    <row r="99" spans="1:70" s="617" customFormat="1" ht="23.15" customHeight="1" x14ac:dyDescent="0.35">
      <c r="A99" s="687" t="s">
        <v>157</v>
      </c>
      <c r="B99" s="469">
        <f t="shared" si="69"/>
        <v>0</v>
      </c>
      <c r="C99" s="469">
        <f t="shared" si="70"/>
        <v>0</v>
      </c>
      <c r="D99" s="469">
        <f t="shared" si="70"/>
        <v>0</v>
      </c>
      <c r="E99" s="469">
        <f t="shared" si="65"/>
        <v>94290.446982591209</v>
      </c>
      <c r="F99" s="469">
        <f t="shared" si="66"/>
        <v>0</v>
      </c>
      <c r="G99" s="469">
        <f t="shared" si="67"/>
        <v>94290.446982591209</v>
      </c>
      <c r="H99" s="469">
        <f t="shared" si="71"/>
        <v>94290.446982591209</v>
      </c>
      <c r="I99" s="470" t="s">
        <v>157</v>
      </c>
      <c r="J99" s="471"/>
      <c r="K99" s="471"/>
      <c r="L99" s="471"/>
      <c r="M99" s="472"/>
      <c r="N99" s="472"/>
      <c r="O99" s="472"/>
      <c r="P99" s="472" t="s">
        <v>715</v>
      </c>
      <c r="Q99" s="472"/>
      <c r="R99" s="472">
        <v>60</v>
      </c>
      <c r="S99" s="472">
        <v>2</v>
      </c>
      <c r="T99" s="472">
        <v>94290.446982591209</v>
      </c>
      <c r="U99" s="472"/>
      <c r="V99" s="472">
        <f t="shared" si="72"/>
        <v>94290.446982591209</v>
      </c>
      <c r="W99" s="830"/>
      <c r="X99" s="471"/>
      <c r="Y99" s="471"/>
      <c r="Z99" s="471"/>
      <c r="AA99" s="472"/>
      <c r="AB99" s="472"/>
      <c r="AC99" s="472"/>
      <c r="AD99" s="474"/>
      <c r="AE99" s="471"/>
      <c r="AF99" s="471"/>
      <c r="AG99" s="471"/>
      <c r="AH99" s="472"/>
      <c r="AI99" s="472"/>
      <c r="AJ99" s="472"/>
      <c r="AK99" s="474"/>
      <c r="AL99" s="471"/>
      <c r="AM99" s="471"/>
      <c r="AN99" s="471"/>
      <c r="AO99" s="472"/>
      <c r="AP99" s="472"/>
      <c r="AQ99" s="472"/>
      <c r="AR99" s="470"/>
      <c r="AS99" s="471"/>
      <c r="AT99" s="471"/>
      <c r="AU99" s="471"/>
      <c r="AV99" s="472"/>
      <c r="AW99" s="472"/>
      <c r="AX99" s="472"/>
      <c r="AY99" s="472"/>
      <c r="AZ99" s="472"/>
      <c r="BA99" s="472"/>
      <c r="BB99" s="472"/>
      <c r="BC99" s="472"/>
      <c r="BD99" s="472"/>
      <c r="BE99" s="472"/>
      <c r="BF99" s="472"/>
      <c r="BG99" s="472"/>
      <c r="BH99" s="472"/>
      <c r="BI99" s="472"/>
      <c r="BJ99" s="472"/>
      <c r="BK99" s="472"/>
      <c r="BL99" s="502"/>
      <c r="BM99" s="615"/>
      <c r="BN99" s="616"/>
      <c r="BO99" s="615"/>
      <c r="BP99" s="615"/>
      <c r="BQ99" s="615"/>
      <c r="BR99" s="615"/>
    </row>
    <row r="100" spans="1:70" s="617" customFormat="1" ht="23.15" customHeight="1" x14ac:dyDescent="0.35">
      <c r="A100" s="687" t="s">
        <v>158</v>
      </c>
      <c r="B100" s="469">
        <f t="shared" si="69"/>
        <v>0</v>
      </c>
      <c r="C100" s="469">
        <f t="shared" si="70"/>
        <v>0</v>
      </c>
      <c r="D100" s="469">
        <f t="shared" si="70"/>
        <v>0</v>
      </c>
      <c r="E100" s="469">
        <f t="shared" si="65"/>
        <v>735284.77905934199</v>
      </c>
      <c r="F100" s="469">
        <f t="shared" si="66"/>
        <v>0</v>
      </c>
      <c r="G100" s="469">
        <f t="shared" si="67"/>
        <v>735284.77905934199</v>
      </c>
      <c r="H100" s="469">
        <f t="shared" si="71"/>
        <v>735284.77905934199</v>
      </c>
      <c r="I100" s="470" t="s">
        <v>159</v>
      </c>
      <c r="J100" s="471"/>
      <c r="K100" s="471"/>
      <c r="L100" s="471"/>
      <c r="M100" s="472"/>
      <c r="N100" s="472"/>
      <c r="O100" s="472"/>
      <c r="P100" s="472" t="s">
        <v>715</v>
      </c>
      <c r="Q100" s="472"/>
      <c r="R100" s="472">
        <v>50</v>
      </c>
      <c r="S100" s="472">
        <v>5</v>
      </c>
      <c r="T100" s="472">
        <f>735284.779059342</f>
        <v>735284.77905934199</v>
      </c>
      <c r="U100" s="472"/>
      <c r="V100" s="472">
        <f t="shared" si="72"/>
        <v>735284.77905934199</v>
      </c>
      <c r="W100" s="830"/>
      <c r="X100" s="471"/>
      <c r="Y100" s="471"/>
      <c r="Z100" s="471"/>
      <c r="AA100" s="472"/>
      <c r="AB100" s="472"/>
      <c r="AC100" s="472"/>
      <c r="AD100" s="474"/>
      <c r="AE100" s="471"/>
      <c r="AF100" s="471"/>
      <c r="AG100" s="471"/>
      <c r="AH100" s="472"/>
      <c r="AI100" s="472"/>
      <c r="AJ100" s="472"/>
      <c r="AK100" s="474"/>
      <c r="AL100" s="471"/>
      <c r="AM100" s="471"/>
      <c r="AN100" s="471"/>
      <c r="AO100" s="472"/>
      <c r="AP100" s="472"/>
      <c r="AQ100" s="472"/>
      <c r="AR100" s="470"/>
      <c r="AS100" s="471"/>
      <c r="AT100" s="471"/>
      <c r="AU100" s="471"/>
      <c r="AV100" s="472"/>
      <c r="AW100" s="472"/>
      <c r="AX100" s="472"/>
      <c r="AY100" s="472"/>
      <c r="AZ100" s="472"/>
      <c r="BA100" s="472"/>
      <c r="BB100" s="472"/>
      <c r="BC100" s="472"/>
      <c r="BD100" s="472"/>
      <c r="BE100" s="472"/>
      <c r="BF100" s="472"/>
      <c r="BG100" s="472"/>
      <c r="BH100" s="472"/>
      <c r="BI100" s="472"/>
      <c r="BJ100" s="472"/>
      <c r="BK100" s="472"/>
      <c r="BL100" s="502"/>
      <c r="BM100" s="615"/>
      <c r="BN100" s="616"/>
      <c r="BO100" s="615"/>
      <c r="BP100" s="615"/>
      <c r="BQ100" s="615"/>
      <c r="BR100" s="615"/>
    </row>
    <row r="101" spans="1:70" s="617" customFormat="1" ht="23.15" customHeight="1" x14ac:dyDescent="0.35">
      <c r="A101" s="687" t="s">
        <v>160</v>
      </c>
      <c r="B101" s="469">
        <f t="shared" si="69"/>
        <v>0</v>
      </c>
      <c r="C101" s="469">
        <f t="shared" si="70"/>
        <v>0</v>
      </c>
      <c r="D101" s="469">
        <f t="shared" si="70"/>
        <v>0</v>
      </c>
      <c r="E101" s="469">
        <f t="shared" si="65"/>
        <v>551033.26590850297</v>
      </c>
      <c r="F101" s="469">
        <f t="shared" si="66"/>
        <v>0</v>
      </c>
      <c r="G101" s="469">
        <f t="shared" si="67"/>
        <v>551033.26590850297</v>
      </c>
      <c r="H101" s="469">
        <f>D101+G101+0.1</f>
        <v>551033.36590850295</v>
      </c>
      <c r="I101" s="470" t="s">
        <v>32</v>
      </c>
      <c r="J101" s="471"/>
      <c r="K101" s="471"/>
      <c r="L101" s="471"/>
      <c r="M101" s="472"/>
      <c r="N101" s="472"/>
      <c r="O101" s="472"/>
      <c r="P101" s="472" t="s">
        <v>715</v>
      </c>
      <c r="Q101" s="472"/>
      <c r="R101" s="472">
        <v>50</v>
      </c>
      <c r="S101" s="472">
        <v>5</v>
      </c>
      <c r="T101" s="472">
        <v>551033.26590850297</v>
      </c>
      <c r="U101" s="472"/>
      <c r="V101" s="472">
        <f t="shared" si="72"/>
        <v>551033.26590850297</v>
      </c>
      <c r="W101" s="830"/>
      <c r="X101" s="471"/>
      <c r="Y101" s="471"/>
      <c r="Z101" s="471"/>
      <c r="AA101" s="472"/>
      <c r="AB101" s="472"/>
      <c r="AC101" s="472"/>
      <c r="AD101" s="474"/>
      <c r="AE101" s="471"/>
      <c r="AF101" s="471"/>
      <c r="AG101" s="471"/>
      <c r="AH101" s="472"/>
      <c r="AI101" s="472"/>
      <c r="AJ101" s="472"/>
      <c r="AK101" s="474"/>
      <c r="AL101" s="471"/>
      <c r="AM101" s="471"/>
      <c r="AN101" s="471"/>
      <c r="AO101" s="472"/>
      <c r="AP101" s="472"/>
      <c r="AQ101" s="472"/>
      <c r="AR101" s="470"/>
      <c r="AS101" s="471"/>
      <c r="AT101" s="471"/>
      <c r="AU101" s="471"/>
      <c r="AV101" s="472"/>
      <c r="AW101" s="472"/>
      <c r="AX101" s="472"/>
      <c r="AY101" s="472"/>
      <c r="AZ101" s="472"/>
      <c r="BA101" s="472"/>
      <c r="BB101" s="472"/>
      <c r="BC101" s="472"/>
      <c r="BD101" s="472"/>
      <c r="BE101" s="472"/>
      <c r="BF101" s="472"/>
      <c r="BG101" s="472"/>
      <c r="BH101" s="472"/>
      <c r="BI101" s="472"/>
      <c r="BJ101" s="472"/>
      <c r="BK101" s="472"/>
      <c r="BL101" s="502"/>
      <c r="BM101" s="615"/>
      <c r="BN101" s="616"/>
      <c r="BO101" s="615"/>
      <c r="BP101" s="615"/>
      <c r="BQ101" s="615"/>
      <c r="BR101" s="615"/>
    </row>
    <row r="102" spans="1:70" s="614" customFormat="1" ht="33.65" customHeight="1" x14ac:dyDescent="0.35">
      <c r="A102" s="702" t="s">
        <v>161</v>
      </c>
      <c r="B102" s="468">
        <f t="shared" ref="B102:H102" si="73">SUM(B103:B108)</f>
        <v>1355520</v>
      </c>
      <c r="C102" s="468">
        <f t="shared" si="73"/>
        <v>162662.40000000002</v>
      </c>
      <c r="D102" s="468">
        <f t="shared" si="73"/>
        <v>1518182.3999999999</v>
      </c>
      <c r="E102" s="468">
        <f t="shared" si="73"/>
        <v>716170</v>
      </c>
      <c r="F102" s="468">
        <f t="shared" si="73"/>
        <v>0</v>
      </c>
      <c r="G102" s="468">
        <f t="shared" si="73"/>
        <v>716170</v>
      </c>
      <c r="H102" s="468">
        <f t="shared" si="73"/>
        <v>2234352.4</v>
      </c>
      <c r="I102" s="941"/>
      <c r="J102" s="941"/>
      <c r="K102" s="941"/>
      <c r="L102" s="941"/>
      <c r="M102" s="941"/>
      <c r="N102" s="941"/>
      <c r="O102" s="941"/>
      <c r="P102" s="941"/>
      <c r="Q102" s="941"/>
      <c r="R102" s="941"/>
      <c r="S102" s="941"/>
      <c r="T102" s="941"/>
      <c r="U102" s="941"/>
      <c r="V102" s="941"/>
      <c r="W102" s="941"/>
      <c r="X102" s="941"/>
      <c r="Y102" s="941"/>
      <c r="Z102" s="941"/>
      <c r="AA102" s="941"/>
      <c r="AB102" s="941"/>
      <c r="AC102" s="941"/>
      <c r="AD102" s="941"/>
      <c r="AE102" s="941"/>
      <c r="AF102" s="941"/>
      <c r="AG102" s="941"/>
      <c r="AH102" s="941"/>
      <c r="AI102" s="941"/>
      <c r="AJ102" s="941"/>
      <c r="AK102" s="941"/>
      <c r="AL102" s="941"/>
      <c r="AM102" s="941"/>
      <c r="AN102" s="941"/>
      <c r="AO102" s="941"/>
      <c r="AP102" s="941"/>
      <c r="AQ102" s="941"/>
      <c r="AR102" s="941"/>
      <c r="AS102" s="941"/>
      <c r="AT102" s="941"/>
      <c r="AU102" s="941"/>
      <c r="AV102" s="941"/>
      <c r="AW102" s="941"/>
      <c r="AX102" s="941"/>
      <c r="AY102" s="941"/>
      <c r="AZ102" s="941"/>
      <c r="BA102" s="941"/>
      <c r="BB102" s="941"/>
      <c r="BC102" s="941"/>
      <c r="BD102" s="941"/>
      <c r="BE102" s="941"/>
      <c r="BF102" s="941"/>
      <c r="BG102" s="941"/>
      <c r="BH102" s="941"/>
      <c r="BI102" s="941"/>
      <c r="BJ102" s="941"/>
      <c r="BK102" s="941"/>
      <c r="BL102" s="942"/>
    </row>
    <row r="103" spans="1:70" s="617" customFormat="1" ht="23.15" customHeight="1" x14ac:dyDescent="0.35">
      <c r="A103" s="687" t="s">
        <v>162</v>
      </c>
      <c r="B103" s="469">
        <f t="shared" ref="B103:D108" si="74">+M103+AA103+AH103+AV103+BC103+BJ103</f>
        <v>264000</v>
      </c>
      <c r="C103" s="469">
        <f t="shared" si="74"/>
        <v>31680</v>
      </c>
      <c r="D103" s="469">
        <f t="shared" si="74"/>
        <v>295680</v>
      </c>
      <c r="E103" s="469">
        <f t="shared" ref="E103:G108" si="75">T103+AO103</f>
        <v>0</v>
      </c>
      <c r="F103" s="469">
        <f t="shared" si="75"/>
        <v>0</v>
      </c>
      <c r="G103" s="469">
        <f t="shared" si="75"/>
        <v>0</v>
      </c>
      <c r="H103" s="469">
        <f t="shared" si="71"/>
        <v>295680</v>
      </c>
      <c r="I103" s="470" t="s">
        <v>163</v>
      </c>
      <c r="J103" s="471">
        <v>5500</v>
      </c>
      <c r="K103" s="471">
        <v>48</v>
      </c>
      <c r="L103" s="471">
        <v>1</v>
      </c>
      <c r="M103" s="472">
        <f>J103*K103*L103</f>
        <v>264000</v>
      </c>
      <c r="N103" s="472">
        <f>M103*0.12</f>
        <v>31680</v>
      </c>
      <c r="O103" s="472">
        <f>M103+N103</f>
        <v>295680</v>
      </c>
      <c r="P103" s="472"/>
      <c r="Q103" s="472"/>
      <c r="R103" s="472"/>
      <c r="S103" s="472"/>
      <c r="T103" s="472"/>
      <c r="U103" s="472"/>
      <c r="V103" s="472">
        <f>T103+U103</f>
        <v>0</v>
      </c>
      <c r="W103" s="473"/>
      <c r="X103" s="471"/>
      <c r="Y103" s="471"/>
      <c r="Z103" s="471"/>
      <c r="AA103" s="472">
        <f>X103*Z103</f>
        <v>0</v>
      </c>
      <c r="AB103" s="472">
        <f>Y103*AA103</f>
        <v>0</v>
      </c>
      <c r="AC103" s="472">
        <f>AA103+AB103</f>
        <v>0</v>
      </c>
      <c r="AD103" s="474"/>
      <c r="AE103" s="471"/>
      <c r="AF103" s="471"/>
      <c r="AG103" s="471"/>
      <c r="AH103" s="472">
        <f>AE103*AF103</f>
        <v>0</v>
      </c>
      <c r="AI103" s="472">
        <f>AH103*0.12</f>
        <v>0</v>
      </c>
      <c r="AJ103" s="472">
        <f>AH103+AI103</f>
        <v>0</v>
      </c>
      <c r="AK103" s="474"/>
      <c r="AL103" s="471"/>
      <c r="AM103" s="471"/>
      <c r="AN103" s="471"/>
      <c r="AO103" s="472"/>
      <c r="AP103" s="472"/>
      <c r="AQ103" s="472"/>
      <c r="AR103" s="470"/>
      <c r="AS103" s="471"/>
      <c r="AT103" s="471"/>
      <c r="AU103" s="471"/>
      <c r="AV103" s="472"/>
      <c r="AW103" s="472"/>
      <c r="AX103" s="472">
        <f>AV103+AW103</f>
        <v>0</v>
      </c>
      <c r="AY103" s="472"/>
      <c r="AZ103" s="472"/>
      <c r="BA103" s="472"/>
      <c r="BB103" s="472"/>
      <c r="BC103" s="472">
        <f>AZ103*BA103</f>
        <v>0</v>
      </c>
      <c r="BD103" s="472">
        <f>BA103*BC103</f>
        <v>0</v>
      </c>
      <c r="BE103" s="472">
        <f>BC103+BD103</f>
        <v>0</v>
      </c>
      <c r="BF103" s="472"/>
      <c r="BG103" s="472"/>
      <c r="BH103" s="472"/>
      <c r="BI103" s="472"/>
      <c r="BJ103" s="472"/>
      <c r="BK103" s="472"/>
      <c r="BL103" s="502">
        <f>BJ103+BK103</f>
        <v>0</v>
      </c>
      <c r="BM103" s="615"/>
      <c r="BN103" s="616"/>
      <c r="BO103" s="615"/>
      <c r="BP103" s="615"/>
      <c r="BQ103" s="615"/>
      <c r="BR103" s="615"/>
    </row>
    <row r="104" spans="1:70" s="617" customFormat="1" ht="23.15" customHeight="1" x14ac:dyDescent="0.35">
      <c r="A104" s="687" t="s">
        <v>164</v>
      </c>
      <c r="B104" s="469">
        <f t="shared" si="74"/>
        <v>147840</v>
      </c>
      <c r="C104" s="469">
        <f t="shared" si="74"/>
        <v>17740.8</v>
      </c>
      <c r="D104" s="469">
        <f t="shared" si="74"/>
        <v>165580.79999999999</v>
      </c>
      <c r="E104" s="469">
        <f t="shared" si="75"/>
        <v>0</v>
      </c>
      <c r="F104" s="469">
        <f t="shared" si="75"/>
        <v>0</v>
      </c>
      <c r="G104" s="469">
        <f t="shared" si="75"/>
        <v>0</v>
      </c>
      <c r="H104" s="469">
        <f t="shared" si="71"/>
        <v>165580.79999999999</v>
      </c>
      <c r="I104" s="470" t="s">
        <v>164</v>
      </c>
      <c r="J104" s="471">
        <v>3080</v>
      </c>
      <c r="K104" s="471">
        <v>48</v>
      </c>
      <c r="L104" s="471">
        <v>1</v>
      </c>
      <c r="M104" s="472">
        <f>J104*K104*L104</f>
        <v>147840</v>
      </c>
      <c r="N104" s="472">
        <f>M104*0.12</f>
        <v>17740.8</v>
      </c>
      <c r="O104" s="472">
        <f>M104+N104</f>
        <v>165580.79999999999</v>
      </c>
      <c r="P104" s="472"/>
      <c r="Q104" s="472"/>
      <c r="R104" s="472"/>
      <c r="S104" s="472"/>
      <c r="T104" s="472"/>
      <c r="U104" s="472"/>
      <c r="V104" s="472">
        <f>T104+U104</f>
        <v>0</v>
      </c>
      <c r="W104" s="473"/>
      <c r="X104" s="471"/>
      <c r="Y104" s="471"/>
      <c r="Z104" s="471"/>
      <c r="AA104" s="472"/>
      <c r="AB104" s="472"/>
      <c r="AC104" s="472">
        <f>AA104+AB104</f>
        <v>0</v>
      </c>
      <c r="AD104" s="474"/>
      <c r="AE104" s="471"/>
      <c r="AF104" s="471"/>
      <c r="AG104" s="471"/>
      <c r="AH104" s="472"/>
      <c r="AI104" s="472">
        <f>AH104*0.12</f>
        <v>0</v>
      </c>
      <c r="AJ104" s="472">
        <f>AH104+AI104</f>
        <v>0</v>
      </c>
      <c r="AK104" s="474"/>
      <c r="AL104" s="471"/>
      <c r="AM104" s="471"/>
      <c r="AN104" s="471"/>
      <c r="AO104" s="472"/>
      <c r="AP104" s="472"/>
      <c r="AQ104" s="472"/>
      <c r="AR104" s="470"/>
      <c r="AS104" s="471"/>
      <c r="AT104" s="471"/>
      <c r="AU104" s="471"/>
      <c r="AV104" s="472"/>
      <c r="AW104" s="472"/>
      <c r="AX104" s="472">
        <f>AV104+AW104</f>
        <v>0</v>
      </c>
      <c r="AY104" s="472"/>
      <c r="AZ104" s="472"/>
      <c r="BA104" s="472"/>
      <c r="BB104" s="472"/>
      <c r="BC104" s="472"/>
      <c r="BD104" s="472"/>
      <c r="BE104" s="472">
        <f>BC104+BD104</f>
        <v>0</v>
      </c>
      <c r="BF104" s="472"/>
      <c r="BG104" s="472"/>
      <c r="BH104" s="472"/>
      <c r="BI104" s="472"/>
      <c r="BJ104" s="472"/>
      <c r="BK104" s="472"/>
      <c r="BL104" s="502">
        <f>BJ104+BK104</f>
        <v>0</v>
      </c>
      <c r="BM104" s="615"/>
      <c r="BN104" s="616"/>
      <c r="BO104" s="615"/>
      <c r="BP104" s="615"/>
      <c r="BQ104" s="615"/>
      <c r="BR104" s="615"/>
    </row>
    <row r="105" spans="1:70" s="617" customFormat="1" ht="23.15" customHeight="1" x14ac:dyDescent="0.35">
      <c r="A105" s="687" t="s">
        <v>165</v>
      </c>
      <c r="B105" s="469">
        <f t="shared" si="74"/>
        <v>147840</v>
      </c>
      <c r="C105" s="469">
        <f t="shared" si="74"/>
        <v>17740.8</v>
      </c>
      <c r="D105" s="469">
        <f t="shared" si="74"/>
        <v>165580.79999999999</v>
      </c>
      <c r="E105" s="469">
        <f t="shared" si="75"/>
        <v>0</v>
      </c>
      <c r="F105" s="469">
        <f t="shared" si="75"/>
        <v>0</v>
      </c>
      <c r="G105" s="469">
        <f t="shared" si="75"/>
        <v>0</v>
      </c>
      <c r="H105" s="469">
        <f t="shared" si="71"/>
        <v>165580.79999999999</v>
      </c>
      <c r="I105" s="470" t="s">
        <v>165</v>
      </c>
      <c r="J105" s="471">
        <v>3080</v>
      </c>
      <c r="K105" s="471">
        <v>48</v>
      </c>
      <c r="L105" s="471">
        <v>1</v>
      </c>
      <c r="M105" s="472">
        <f>J105*K105*L105</f>
        <v>147840</v>
      </c>
      <c r="N105" s="472">
        <f>M105*0.12</f>
        <v>17740.8</v>
      </c>
      <c r="O105" s="472">
        <f>M105+N105</f>
        <v>165580.79999999999</v>
      </c>
      <c r="P105" s="472"/>
      <c r="Q105" s="472"/>
      <c r="R105" s="472"/>
      <c r="S105" s="472"/>
      <c r="T105" s="472"/>
      <c r="U105" s="472"/>
      <c r="V105" s="472">
        <f>T105+U105</f>
        <v>0</v>
      </c>
      <c r="W105" s="473"/>
      <c r="X105" s="471"/>
      <c r="Y105" s="471"/>
      <c r="Z105" s="471"/>
      <c r="AA105" s="472">
        <f>X105*Z105</f>
        <v>0</v>
      </c>
      <c r="AB105" s="472">
        <f>Y105*AA105</f>
        <v>0</v>
      </c>
      <c r="AC105" s="472">
        <f>AA105+AB105</f>
        <v>0</v>
      </c>
      <c r="AD105" s="474"/>
      <c r="AE105" s="471"/>
      <c r="AF105" s="471"/>
      <c r="AG105" s="471"/>
      <c r="AH105" s="472">
        <f>AE105*AF105</f>
        <v>0</v>
      </c>
      <c r="AI105" s="472">
        <f>AH105*0.12</f>
        <v>0</v>
      </c>
      <c r="AJ105" s="472">
        <f>AH105+AI105</f>
        <v>0</v>
      </c>
      <c r="AK105" s="474"/>
      <c r="AL105" s="471"/>
      <c r="AM105" s="471"/>
      <c r="AN105" s="471"/>
      <c r="AO105" s="472"/>
      <c r="AP105" s="472"/>
      <c r="AQ105" s="472"/>
      <c r="AR105" s="470"/>
      <c r="AS105" s="471"/>
      <c r="AT105" s="471"/>
      <c r="AU105" s="471"/>
      <c r="AV105" s="472">
        <f>AS105*AT105</f>
        <v>0</v>
      </c>
      <c r="AW105" s="472">
        <f>AT105*AV105</f>
        <v>0</v>
      </c>
      <c r="AX105" s="472">
        <f>AV105+AW105</f>
        <v>0</v>
      </c>
      <c r="AY105" s="472"/>
      <c r="AZ105" s="472"/>
      <c r="BA105" s="472"/>
      <c r="BB105" s="472"/>
      <c r="BC105" s="472">
        <f>AZ105*BA105</f>
        <v>0</v>
      </c>
      <c r="BD105" s="472">
        <f>BA105*BC105</f>
        <v>0</v>
      </c>
      <c r="BE105" s="472">
        <f>BC105+BD105</f>
        <v>0</v>
      </c>
      <c r="BF105" s="472"/>
      <c r="BG105" s="472"/>
      <c r="BH105" s="472"/>
      <c r="BI105" s="472"/>
      <c r="BJ105" s="472"/>
      <c r="BK105" s="472"/>
      <c r="BL105" s="502">
        <f>BJ105+BK105</f>
        <v>0</v>
      </c>
      <c r="BM105" s="615"/>
      <c r="BN105" s="616"/>
      <c r="BO105" s="615"/>
      <c r="BP105" s="615"/>
      <c r="BQ105" s="615"/>
      <c r="BR105" s="615"/>
    </row>
    <row r="106" spans="1:70" s="617" customFormat="1" ht="23.15" customHeight="1" x14ac:dyDescent="0.35">
      <c r="A106" s="687" t="s">
        <v>166</v>
      </c>
      <c r="B106" s="469">
        <f t="shared" si="74"/>
        <v>147840</v>
      </c>
      <c r="C106" s="469">
        <f t="shared" si="74"/>
        <v>17740.8</v>
      </c>
      <c r="D106" s="469">
        <f t="shared" si="74"/>
        <v>165580.79999999999</v>
      </c>
      <c r="E106" s="469">
        <f t="shared" si="75"/>
        <v>0</v>
      </c>
      <c r="F106" s="469">
        <f t="shared" si="75"/>
        <v>0</v>
      </c>
      <c r="G106" s="469">
        <f t="shared" si="75"/>
        <v>0</v>
      </c>
      <c r="H106" s="469">
        <f t="shared" si="71"/>
        <v>165580.79999999999</v>
      </c>
      <c r="I106" s="470" t="s">
        <v>166</v>
      </c>
      <c r="J106" s="471">
        <v>3080</v>
      </c>
      <c r="K106" s="471">
        <v>48</v>
      </c>
      <c r="L106" s="471">
        <v>1</v>
      </c>
      <c r="M106" s="472">
        <f>J106*K106*L106</f>
        <v>147840</v>
      </c>
      <c r="N106" s="472">
        <f>M106*0.12</f>
        <v>17740.8</v>
      </c>
      <c r="O106" s="472">
        <f>M106+N106</f>
        <v>165580.79999999999</v>
      </c>
      <c r="P106" s="472"/>
      <c r="Q106" s="472"/>
      <c r="R106" s="472"/>
      <c r="S106" s="472"/>
      <c r="T106" s="472"/>
      <c r="U106" s="472"/>
      <c r="V106" s="472">
        <f>T106+U106</f>
        <v>0</v>
      </c>
      <c r="W106" s="473"/>
      <c r="X106" s="471"/>
      <c r="Y106" s="471"/>
      <c r="Z106" s="471"/>
      <c r="AA106" s="472"/>
      <c r="AB106" s="472"/>
      <c r="AC106" s="472">
        <f>AA106+AB106</f>
        <v>0</v>
      </c>
      <c r="AD106" s="474"/>
      <c r="AE106" s="471"/>
      <c r="AF106" s="471"/>
      <c r="AG106" s="471"/>
      <c r="AH106" s="472"/>
      <c r="AI106" s="472">
        <f>AH106*0.12</f>
        <v>0</v>
      </c>
      <c r="AJ106" s="472">
        <f>AH106+AI106</f>
        <v>0</v>
      </c>
      <c r="AK106" s="474"/>
      <c r="AL106" s="471"/>
      <c r="AM106" s="471"/>
      <c r="AN106" s="471"/>
      <c r="AO106" s="472"/>
      <c r="AP106" s="472"/>
      <c r="AQ106" s="472"/>
      <c r="AR106" s="470"/>
      <c r="AS106" s="471"/>
      <c r="AT106" s="471"/>
      <c r="AU106" s="471"/>
      <c r="AV106" s="472"/>
      <c r="AW106" s="472"/>
      <c r="AX106" s="472">
        <f>AV106+AW106</f>
        <v>0</v>
      </c>
      <c r="AY106" s="472"/>
      <c r="AZ106" s="472"/>
      <c r="BA106" s="472"/>
      <c r="BB106" s="472"/>
      <c r="BC106" s="472"/>
      <c r="BD106" s="472"/>
      <c r="BE106" s="472">
        <f>BC106+BD106</f>
        <v>0</v>
      </c>
      <c r="BF106" s="472"/>
      <c r="BG106" s="472"/>
      <c r="BH106" s="472"/>
      <c r="BI106" s="472"/>
      <c r="BJ106" s="472"/>
      <c r="BK106" s="472"/>
      <c r="BL106" s="502">
        <f>BJ106+BK106</f>
        <v>0</v>
      </c>
      <c r="BM106" s="615"/>
      <c r="BN106" s="616"/>
      <c r="BO106" s="615"/>
      <c r="BP106" s="615"/>
      <c r="BQ106" s="615"/>
      <c r="BR106" s="615"/>
    </row>
    <row r="107" spans="1:70" s="617" customFormat="1" ht="23.15" customHeight="1" x14ac:dyDescent="0.35">
      <c r="A107" s="687" t="s">
        <v>716</v>
      </c>
      <c r="B107" s="469"/>
      <c r="C107" s="469"/>
      <c r="D107" s="469"/>
      <c r="E107" s="469">
        <f>T107</f>
        <v>716170</v>
      </c>
      <c r="F107" s="469">
        <v>0</v>
      </c>
      <c r="G107" s="469">
        <f>E107+F107</f>
        <v>716170</v>
      </c>
      <c r="H107" s="469">
        <f t="shared" si="71"/>
        <v>716170</v>
      </c>
      <c r="I107" s="470"/>
      <c r="J107" s="471"/>
      <c r="K107" s="471"/>
      <c r="L107" s="471"/>
      <c r="M107" s="472"/>
      <c r="N107" s="472"/>
      <c r="O107" s="472"/>
      <c r="P107" s="472" t="s">
        <v>716</v>
      </c>
      <c r="Q107" s="472"/>
      <c r="R107" s="472">
        <v>48</v>
      </c>
      <c r="S107" s="472"/>
      <c r="T107" s="472">
        <v>716170</v>
      </c>
      <c r="U107" s="472"/>
      <c r="V107" s="472">
        <f>716170-0.3</f>
        <v>716169.7</v>
      </c>
      <c r="W107" s="473"/>
      <c r="X107" s="471"/>
      <c r="Y107" s="471"/>
      <c r="Z107" s="471"/>
      <c r="AA107" s="472"/>
      <c r="AB107" s="472"/>
      <c r="AC107" s="472"/>
      <c r="AD107" s="474"/>
      <c r="AE107" s="471"/>
      <c r="AF107" s="471"/>
      <c r="AG107" s="471"/>
      <c r="AH107" s="472"/>
      <c r="AI107" s="472"/>
      <c r="AJ107" s="472"/>
      <c r="AK107" s="474"/>
      <c r="AL107" s="471"/>
      <c r="AM107" s="471"/>
      <c r="AN107" s="471"/>
      <c r="AO107" s="472"/>
      <c r="AP107" s="472"/>
      <c r="AQ107" s="472"/>
      <c r="AR107" s="470"/>
      <c r="AS107" s="471"/>
      <c r="AT107" s="471"/>
      <c r="AU107" s="471"/>
      <c r="AV107" s="472"/>
      <c r="AW107" s="472"/>
      <c r="AX107" s="472"/>
      <c r="AY107" s="472"/>
      <c r="AZ107" s="472"/>
      <c r="BA107" s="472"/>
      <c r="BB107" s="472"/>
      <c r="BC107" s="472"/>
      <c r="BD107" s="472"/>
      <c r="BE107" s="472"/>
      <c r="BF107" s="472"/>
      <c r="BG107" s="472"/>
      <c r="BH107" s="472"/>
      <c r="BI107" s="472"/>
      <c r="BJ107" s="472"/>
      <c r="BK107" s="472"/>
      <c r="BL107" s="502"/>
      <c r="BM107" s="615"/>
      <c r="BN107" s="616"/>
      <c r="BO107" s="615"/>
      <c r="BP107" s="615"/>
      <c r="BQ107" s="615"/>
      <c r="BR107" s="615"/>
    </row>
    <row r="108" spans="1:70" s="617" customFormat="1" ht="23.15" customHeight="1" x14ac:dyDescent="0.35">
      <c r="A108" s="687" t="s">
        <v>167</v>
      </c>
      <c r="B108" s="469">
        <f t="shared" si="74"/>
        <v>648000</v>
      </c>
      <c r="C108" s="469">
        <f t="shared" si="74"/>
        <v>77760</v>
      </c>
      <c r="D108" s="469">
        <f t="shared" si="74"/>
        <v>725760</v>
      </c>
      <c r="E108" s="469">
        <f t="shared" si="75"/>
        <v>0</v>
      </c>
      <c r="F108" s="469">
        <f t="shared" si="75"/>
        <v>0</v>
      </c>
      <c r="G108" s="469">
        <f t="shared" si="75"/>
        <v>0</v>
      </c>
      <c r="H108" s="469">
        <f t="shared" si="71"/>
        <v>725760</v>
      </c>
      <c r="I108" s="470" t="s">
        <v>167</v>
      </c>
      <c r="J108" s="471">
        <v>4500</v>
      </c>
      <c r="K108" s="471">
        <v>48</v>
      </c>
      <c r="L108" s="471">
        <v>3</v>
      </c>
      <c r="M108" s="472">
        <f>J108*K108*L108</f>
        <v>648000</v>
      </c>
      <c r="N108" s="472">
        <f>M108*0.12</f>
        <v>77760</v>
      </c>
      <c r="O108" s="472">
        <f>M108+N108</f>
        <v>725760</v>
      </c>
      <c r="P108" s="472"/>
      <c r="Q108" s="472"/>
      <c r="R108" s="472"/>
      <c r="S108" s="472"/>
      <c r="T108" s="472"/>
      <c r="U108" s="472"/>
      <c r="V108" s="472">
        <f>T108+U108</f>
        <v>0</v>
      </c>
      <c r="W108" s="473"/>
      <c r="X108" s="471"/>
      <c r="Y108" s="471"/>
      <c r="Z108" s="471"/>
      <c r="AA108" s="472"/>
      <c r="AB108" s="472"/>
      <c r="AC108" s="472">
        <f>AA108+AB108</f>
        <v>0</v>
      </c>
      <c r="AD108" s="474"/>
      <c r="AE108" s="471"/>
      <c r="AF108" s="471"/>
      <c r="AG108" s="471"/>
      <c r="AH108" s="472"/>
      <c r="AI108" s="472">
        <f>AH108*0.12</f>
        <v>0</v>
      </c>
      <c r="AJ108" s="472">
        <f>AH108+AI108</f>
        <v>0</v>
      </c>
      <c r="AK108" s="474"/>
      <c r="AL108" s="471"/>
      <c r="AM108" s="471"/>
      <c r="AN108" s="471"/>
      <c r="AO108" s="472"/>
      <c r="AP108" s="472"/>
      <c r="AQ108" s="472"/>
      <c r="AR108" s="470"/>
      <c r="AS108" s="471"/>
      <c r="AT108" s="471"/>
      <c r="AU108" s="471"/>
      <c r="AV108" s="472"/>
      <c r="AW108" s="472"/>
      <c r="AX108" s="472">
        <f>AV108+AW108</f>
        <v>0</v>
      </c>
      <c r="AY108" s="472"/>
      <c r="AZ108" s="472"/>
      <c r="BA108" s="472"/>
      <c r="BB108" s="472"/>
      <c r="BC108" s="472"/>
      <c r="BD108" s="472"/>
      <c r="BE108" s="472">
        <f>BC108+BD108</f>
        <v>0</v>
      </c>
      <c r="BF108" s="472"/>
      <c r="BG108" s="472"/>
      <c r="BH108" s="472"/>
      <c r="BI108" s="472"/>
      <c r="BJ108" s="472"/>
      <c r="BK108" s="472"/>
      <c r="BL108" s="502">
        <f>BJ108+BK108</f>
        <v>0</v>
      </c>
      <c r="BM108" s="615"/>
      <c r="BN108" s="616"/>
      <c r="BO108" s="615"/>
      <c r="BP108" s="615"/>
      <c r="BQ108" s="615"/>
      <c r="BR108" s="615"/>
    </row>
    <row r="109" spans="1:70" s="614" customFormat="1" ht="29.5" customHeight="1" x14ac:dyDescent="0.35">
      <c r="A109" s="681" t="s">
        <v>168</v>
      </c>
      <c r="B109" s="463">
        <f>+B110+B113+B116+B117</f>
        <v>685033.07</v>
      </c>
      <c r="C109" s="463">
        <f t="shared" ref="C109:H109" si="76">+C110+C113+C116+C117</f>
        <v>82203.968400000012</v>
      </c>
      <c r="D109" s="463">
        <f t="shared" si="76"/>
        <v>767237.03840000008</v>
      </c>
      <c r="E109" s="463">
        <f t="shared" si="76"/>
        <v>0</v>
      </c>
      <c r="F109" s="463">
        <f t="shared" si="76"/>
        <v>0</v>
      </c>
      <c r="G109" s="463">
        <f t="shared" si="76"/>
        <v>0</v>
      </c>
      <c r="H109" s="463">
        <f t="shared" si="76"/>
        <v>767237.23840000003</v>
      </c>
      <c r="I109" s="485"/>
      <c r="J109" s="486"/>
      <c r="K109" s="486"/>
      <c r="L109" s="486"/>
      <c r="M109" s="486"/>
      <c r="N109" s="486"/>
      <c r="O109" s="486"/>
      <c r="P109" s="485"/>
      <c r="Q109" s="486"/>
      <c r="R109" s="486"/>
      <c r="S109" s="486"/>
      <c r="T109" s="486"/>
      <c r="U109" s="486"/>
      <c r="V109" s="486"/>
      <c r="W109" s="486"/>
      <c r="X109" s="486"/>
      <c r="Y109" s="486"/>
      <c r="Z109" s="486"/>
      <c r="AA109" s="486"/>
      <c r="AB109" s="486" t="e">
        <f>SUM(#REF!)</f>
        <v>#REF!</v>
      </c>
      <c r="AC109" s="486"/>
      <c r="AD109" s="486"/>
      <c r="AE109" s="486"/>
      <c r="AF109" s="487"/>
      <c r="AG109" s="487"/>
      <c r="AH109" s="486"/>
      <c r="AI109" s="486" t="e">
        <f>SUM(#REF!)</f>
        <v>#REF!</v>
      </c>
      <c r="AJ109" s="486"/>
      <c r="AK109" s="486"/>
      <c r="AL109" s="486"/>
      <c r="AM109" s="487"/>
      <c r="AN109" s="487"/>
      <c r="AO109" s="486"/>
      <c r="AP109" s="486"/>
      <c r="AQ109" s="486"/>
      <c r="AR109" s="486"/>
      <c r="AS109" s="486"/>
      <c r="AT109" s="486"/>
      <c r="AU109" s="486"/>
      <c r="AV109" s="486"/>
      <c r="AW109" s="486" t="e">
        <f>SUM(#REF!)</f>
        <v>#REF!</v>
      </c>
      <c r="AX109" s="486"/>
      <c r="AY109" s="486"/>
      <c r="AZ109" s="486"/>
      <c r="BA109" s="486"/>
      <c r="BB109" s="486"/>
      <c r="BC109" s="486"/>
      <c r="BD109" s="486" t="e">
        <f>SUM(#REF!)</f>
        <v>#REF!</v>
      </c>
      <c r="BE109" s="486"/>
      <c r="BF109" s="486"/>
      <c r="BG109" s="486"/>
      <c r="BH109" s="486"/>
      <c r="BI109" s="486"/>
      <c r="BJ109" s="486"/>
      <c r="BK109" s="486" t="e">
        <f>SUM(#REF!)</f>
        <v>#REF!</v>
      </c>
      <c r="BL109" s="685"/>
      <c r="BN109" s="616"/>
    </row>
    <row r="110" spans="1:70" s="89" customFormat="1" ht="23.15" customHeight="1" x14ac:dyDescent="0.35">
      <c r="A110" s="686" t="s">
        <v>169</v>
      </c>
      <c r="B110" s="469">
        <f t="shared" ref="B110:D113" si="77">+M110+AA110+AH110+AV110+BC110+BJ110</f>
        <v>300000</v>
      </c>
      <c r="C110" s="469">
        <f t="shared" si="77"/>
        <v>36000</v>
      </c>
      <c r="D110" s="469">
        <f t="shared" si="77"/>
        <v>336000</v>
      </c>
      <c r="E110" s="469">
        <f t="shared" ref="E110:G117" si="78">T110+AO110</f>
        <v>0</v>
      </c>
      <c r="F110" s="469">
        <f t="shared" si="78"/>
        <v>0</v>
      </c>
      <c r="G110" s="469">
        <f t="shared" si="78"/>
        <v>0</v>
      </c>
      <c r="H110" s="469">
        <f>D110+G110</f>
        <v>336000</v>
      </c>
      <c r="I110" s="474"/>
      <c r="J110" s="471"/>
      <c r="K110" s="471"/>
      <c r="L110" s="471"/>
      <c r="M110" s="472"/>
      <c r="N110" s="472"/>
      <c r="O110" s="471"/>
      <c r="P110" s="474"/>
      <c r="Q110" s="471"/>
      <c r="R110" s="471"/>
      <c r="S110" s="471"/>
      <c r="T110" s="472"/>
      <c r="U110" s="472"/>
      <c r="V110" s="471"/>
      <c r="W110" s="488" t="s">
        <v>169</v>
      </c>
      <c r="X110" s="471"/>
      <c r="Y110" s="471">
        <v>23</v>
      </c>
      <c r="Z110" s="471"/>
      <c r="AA110" s="472">
        <v>300000</v>
      </c>
      <c r="AB110" s="472">
        <f>AA110*0.12</f>
        <v>36000</v>
      </c>
      <c r="AC110" s="472">
        <f>+AA110+AB110</f>
        <v>336000</v>
      </c>
      <c r="AD110" s="474"/>
      <c r="AE110" s="471"/>
      <c r="AF110" s="471"/>
      <c r="AG110" s="471"/>
      <c r="AH110" s="472"/>
      <c r="AI110" s="472"/>
      <c r="AJ110" s="472"/>
      <c r="AK110" s="474"/>
      <c r="AL110" s="471"/>
      <c r="AM110" s="471"/>
      <c r="AN110" s="471"/>
      <c r="AO110" s="472"/>
      <c r="AP110" s="472"/>
      <c r="AQ110" s="472"/>
      <c r="AR110" s="472"/>
      <c r="AS110" s="472"/>
      <c r="AT110" s="472"/>
      <c r="AU110" s="472"/>
      <c r="AV110" s="472"/>
      <c r="AW110" s="472"/>
      <c r="AX110" s="472"/>
      <c r="AY110" s="472"/>
      <c r="AZ110" s="472"/>
      <c r="BA110" s="472"/>
      <c r="BB110" s="472"/>
      <c r="BC110" s="472"/>
      <c r="BD110" s="472"/>
      <c r="BE110" s="472"/>
      <c r="BF110" s="472"/>
      <c r="BG110" s="472"/>
      <c r="BH110" s="472"/>
      <c r="BI110" s="472"/>
      <c r="BJ110" s="472"/>
      <c r="BK110" s="472"/>
      <c r="BL110" s="502"/>
      <c r="BN110" s="616"/>
    </row>
    <row r="111" spans="1:70" s="89" customFormat="1" ht="23.15" customHeight="1" x14ac:dyDescent="0.35">
      <c r="A111" s="687" t="s">
        <v>170</v>
      </c>
      <c r="B111" s="590">
        <f>B110*0.6</f>
        <v>180000</v>
      </c>
      <c r="C111" s="590">
        <f t="shared" ref="C111:D111" si="79">C110*0.6</f>
        <v>21600</v>
      </c>
      <c r="D111" s="590">
        <f t="shared" si="79"/>
        <v>201600</v>
      </c>
      <c r="E111" s="590"/>
      <c r="F111" s="590"/>
      <c r="G111" s="590"/>
      <c r="H111" s="590">
        <f>H110*0.6</f>
        <v>201600</v>
      </c>
      <c r="I111" s="474"/>
      <c r="J111" s="471"/>
      <c r="K111" s="471"/>
      <c r="L111" s="471"/>
      <c r="M111" s="472"/>
      <c r="N111" s="472"/>
      <c r="O111" s="471"/>
      <c r="P111" s="474"/>
      <c r="Q111" s="471"/>
      <c r="R111" s="471"/>
      <c r="S111" s="471"/>
      <c r="T111" s="472"/>
      <c r="U111" s="472"/>
      <c r="V111" s="471"/>
      <c r="W111" s="488"/>
      <c r="X111" s="471"/>
      <c r="Y111" s="471"/>
      <c r="Z111" s="471"/>
      <c r="AA111" s="472"/>
      <c r="AB111" s="472"/>
      <c r="AC111" s="472"/>
      <c r="AD111" s="474"/>
      <c r="AE111" s="471"/>
      <c r="AF111" s="471"/>
      <c r="AG111" s="471"/>
      <c r="AH111" s="472"/>
      <c r="AI111" s="472"/>
      <c r="AJ111" s="472"/>
      <c r="AK111" s="474"/>
      <c r="AL111" s="471"/>
      <c r="AM111" s="471"/>
      <c r="AN111" s="471"/>
      <c r="AO111" s="472"/>
      <c r="AP111" s="472"/>
      <c r="AQ111" s="472"/>
      <c r="AR111" s="472"/>
      <c r="AS111" s="472"/>
      <c r="AT111" s="472"/>
      <c r="AU111" s="472"/>
      <c r="AV111" s="472"/>
      <c r="AW111" s="472"/>
      <c r="AX111" s="472"/>
      <c r="AY111" s="472"/>
      <c r="AZ111" s="472"/>
      <c r="BA111" s="472"/>
      <c r="BB111" s="472"/>
      <c r="BC111" s="472"/>
      <c r="BD111" s="472"/>
      <c r="BE111" s="472"/>
      <c r="BF111" s="472"/>
      <c r="BG111" s="472"/>
      <c r="BH111" s="472"/>
      <c r="BI111" s="472"/>
      <c r="BJ111" s="472"/>
      <c r="BK111" s="472"/>
      <c r="BL111" s="502"/>
      <c r="BN111" s="616"/>
    </row>
    <row r="112" spans="1:70" s="89" customFormat="1" ht="23.15" customHeight="1" x14ac:dyDescent="0.35">
      <c r="A112" s="687" t="s">
        <v>171</v>
      </c>
      <c r="B112" s="590">
        <f>B110*0.4</f>
        <v>120000</v>
      </c>
      <c r="C112" s="590">
        <f t="shared" ref="C112:D112" si="80">C110*0.4</f>
        <v>14400</v>
      </c>
      <c r="D112" s="590">
        <f t="shared" si="80"/>
        <v>134400</v>
      </c>
      <c r="E112" s="590"/>
      <c r="F112" s="590"/>
      <c r="G112" s="590"/>
      <c r="H112" s="590">
        <f>H110*0.4</f>
        <v>134400</v>
      </c>
      <c r="I112" s="474"/>
      <c r="J112" s="471"/>
      <c r="K112" s="471"/>
      <c r="L112" s="471"/>
      <c r="M112" s="472"/>
      <c r="N112" s="472"/>
      <c r="O112" s="471"/>
      <c r="P112" s="474"/>
      <c r="Q112" s="471"/>
      <c r="R112" s="471"/>
      <c r="S112" s="471"/>
      <c r="T112" s="472"/>
      <c r="U112" s="472"/>
      <c r="V112" s="471"/>
      <c r="W112" s="488"/>
      <c r="X112" s="471"/>
      <c r="Y112" s="471"/>
      <c r="Z112" s="471"/>
      <c r="AA112" s="472"/>
      <c r="AB112" s="472"/>
      <c r="AC112" s="472"/>
      <c r="AD112" s="474"/>
      <c r="AE112" s="471"/>
      <c r="AF112" s="471"/>
      <c r="AG112" s="471"/>
      <c r="AH112" s="472"/>
      <c r="AI112" s="472"/>
      <c r="AJ112" s="472"/>
      <c r="AK112" s="474"/>
      <c r="AL112" s="471"/>
      <c r="AM112" s="471"/>
      <c r="AN112" s="471"/>
      <c r="AO112" s="472"/>
      <c r="AP112" s="472"/>
      <c r="AQ112" s="472"/>
      <c r="AR112" s="472"/>
      <c r="AS112" s="472"/>
      <c r="AT112" s="472"/>
      <c r="AU112" s="472"/>
      <c r="AV112" s="472"/>
      <c r="AW112" s="472"/>
      <c r="AX112" s="472"/>
      <c r="AY112" s="472"/>
      <c r="AZ112" s="472"/>
      <c r="BA112" s="472"/>
      <c r="BB112" s="472"/>
      <c r="BC112" s="472"/>
      <c r="BD112" s="472"/>
      <c r="BE112" s="472"/>
      <c r="BF112" s="472"/>
      <c r="BG112" s="472"/>
      <c r="BH112" s="472"/>
      <c r="BI112" s="472"/>
      <c r="BJ112" s="472"/>
      <c r="BK112" s="472"/>
      <c r="BL112" s="502"/>
      <c r="BN112" s="616"/>
    </row>
    <row r="113" spans="1:68" s="89" customFormat="1" ht="29" x14ac:dyDescent="0.35">
      <c r="A113" s="723" t="s">
        <v>172</v>
      </c>
      <c r="B113" s="604">
        <f t="shared" si="77"/>
        <v>200000</v>
      </c>
      <c r="C113" s="604">
        <f t="shared" si="77"/>
        <v>24000</v>
      </c>
      <c r="D113" s="604">
        <f t="shared" si="77"/>
        <v>224000</v>
      </c>
      <c r="E113" s="604">
        <f t="shared" si="78"/>
        <v>0</v>
      </c>
      <c r="F113" s="604">
        <f t="shared" si="78"/>
        <v>0</v>
      </c>
      <c r="G113" s="604">
        <f t="shared" si="78"/>
        <v>0</v>
      </c>
      <c r="H113" s="604">
        <f>D113+G113</f>
        <v>224000</v>
      </c>
      <c r="I113" s="613"/>
      <c r="J113" s="606"/>
      <c r="K113" s="606"/>
      <c r="L113" s="606"/>
      <c r="M113" s="607"/>
      <c r="N113" s="607"/>
      <c r="O113" s="606"/>
      <c r="P113" s="613"/>
      <c r="Q113" s="606"/>
      <c r="R113" s="606"/>
      <c r="S113" s="606"/>
      <c r="T113" s="607"/>
      <c r="U113" s="607"/>
      <c r="V113" s="606"/>
      <c r="W113" s="724" t="s">
        <v>172</v>
      </c>
      <c r="X113" s="606" t="s">
        <v>50</v>
      </c>
      <c r="Y113" s="606"/>
      <c r="Z113" s="606"/>
      <c r="AA113" s="607">
        <v>200000</v>
      </c>
      <c r="AB113" s="607">
        <f>AA113*0.12</f>
        <v>24000</v>
      </c>
      <c r="AC113" s="607">
        <f>AA113+AB113</f>
        <v>224000</v>
      </c>
      <c r="AD113" s="613"/>
      <c r="AE113" s="606"/>
      <c r="AF113" s="606"/>
      <c r="AG113" s="606"/>
      <c r="AH113" s="607"/>
      <c r="AI113" s="607"/>
      <c r="AJ113" s="607"/>
      <c r="AK113" s="613"/>
      <c r="AL113" s="606"/>
      <c r="AM113" s="606"/>
      <c r="AN113" s="606"/>
      <c r="AO113" s="607"/>
      <c r="AP113" s="607"/>
      <c r="AQ113" s="607"/>
      <c r="AR113" s="607"/>
      <c r="AS113" s="607"/>
      <c r="AT113" s="607"/>
      <c r="AU113" s="607"/>
      <c r="AV113" s="607"/>
      <c r="AW113" s="607"/>
      <c r="AX113" s="607"/>
      <c r="AY113" s="607"/>
      <c r="AZ113" s="607"/>
      <c r="BA113" s="607"/>
      <c r="BB113" s="607"/>
      <c r="BC113" s="607"/>
      <c r="BD113" s="607"/>
      <c r="BE113" s="607"/>
      <c r="BF113" s="607"/>
      <c r="BG113" s="607"/>
      <c r="BH113" s="607"/>
      <c r="BI113" s="607"/>
      <c r="BJ113" s="607"/>
      <c r="BK113" s="607"/>
      <c r="BL113" s="684"/>
      <c r="BN113" s="616"/>
    </row>
    <row r="114" spans="1:68" s="89" customFormat="1" ht="23.15" customHeight="1" x14ac:dyDescent="0.35">
      <c r="A114" s="725" t="s">
        <v>170</v>
      </c>
      <c r="B114" s="623">
        <f>B113*0.6</f>
        <v>120000</v>
      </c>
      <c r="C114" s="623">
        <f t="shared" ref="C114" si="81">C113*0.6</f>
        <v>14400</v>
      </c>
      <c r="D114" s="623">
        <f t="shared" ref="D114" si="82">D113*0.6</f>
        <v>134400</v>
      </c>
      <c r="E114" s="623"/>
      <c r="F114" s="623"/>
      <c r="G114" s="623"/>
      <c r="H114" s="623">
        <f>H113*0.6</f>
        <v>134400</v>
      </c>
      <c r="I114" s="613"/>
      <c r="J114" s="606"/>
      <c r="K114" s="606"/>
      <c r="L114" s="606"/>
      <c r="M114" s="607"/>
      <c r="N114" s="607"/>
      <c r="O114" s="606"/>
      <c r="P114" s="613"/>
      <c r="Q114" s="606"/>
      <c r="R114" s="606"/>
      <c r="S114" s="606"/>
      <c r="T114" s="607"/>
      <c r="U114" s="607"/>
      <c r="V114" s="606"/>
      <c r="W114" s="724"/>
      <c r="X114" s="606"/>
      <c r="Y114" s="606"/>
      <c r="Z114" s="606"/>
      <c r="AA114" s="607"/>
      <c r="AB114" s="607"/>
      <c r="AC114" s="607"/>
      <c r="AD114" s="613"/>
      <c r="AE114" s="606"/>
      <c r="AF114" s="606"/>
      <c r="AG114" s="606"/>
      <c r="AH114" s="607"/>
      <c r="AI114" s="607"/>
      <c r="AJ114" s="607"/>
      <c r="AK114" s="613"/>
      <c r="AL114" s="606"/>
      <c r="AM114" s="606"/>
      <c r="AN114" s="606"/>
      <c r="AO114" s="607"/>
      <c r="AP114" s="607"/>
      <c r="AQ114" s="607"/>
      <c r="AR114" s="607"/>
      <c r="AS114" s="607"/>
      <c r="AT114" s="607"/>
      <c r="AU114" s="607"/>
      <c r="AV114" s="607"/>
      <c r="AW114" s="607"/>
      <c r="AX114" s="607"/>
      <c r="AY114" s="607"/>
      <c r="AZ114" s="607"/>
      <c r="BA114" s="607"/>
      <c r="BB114" s="607"/>
      <c r="BC114" s="607"/>
      <c r="BD114" s="607"/>
      <c r="BE114" s="607"/>
      <c r="BF114" s="607"/>
      <c r="BG114" s="607"/>
      <c r="BH114" s="607"/>
      <c r="BI114" s="607"/>
      <c r="BJ114" s="607"/>
      <c r="BK114" s="607"/>
      <c r="BL114" s="684"/>
      <c r="BN114" s="616"/>
    </row>
    <row r="115" spans="1:68" s="89" customFormat="1" ht="23.15" customHeight="1" x14ac:dyDescent="0.35">
      <c r="A115" s="725" t="s">
        <v>171</v>
      </c>
      <c r="B115" s="623">
        <f>B113*0.4</f>
        <v>80000</v>
      </c>
      <c r="C115" s="623">
        <f t="shared" ref="C115:D115" si="83">C113*0.4</f>
        <v>9600</v>
      </c>
      <c r="D115" s="623">
        <f t="shared" si="83"/>
        <v>89600</v>
      </c>
      <c r="E115" s="623"/>
      <c r="F115" s="623"/>
      <c r="G115" s="623"/>
      <c r="H115" s="623">
        <f>H113*0.4</f>
        <v>89600</v>
      </c>
      <c r="I115" s="613"/>
      <c r="J115" s="606"/>
      <c r="K115" s="606"/>
      <c r="L115" s="606"/>
      <c r="M115" s="607"/>
      <c r="N115" s="607"/>
      <c r="O115" s="606"/>
      <c r="P115" s="613"/>
      <c r="Q115" s="606"/>
      <c r="R115" s="606"/>
      <c r="S115" s="606"/>
      <c r="T115" s="607"/>
      <c r="U115" s="607"/>
      <c r="V115" s="606"/>
      <c r="W115" s="724"/>
      <c r="X115" s="606"/>
      <c r="Y115" s="606"/>
      <c r="Z115" s="606"/>
      <c r="AA115" s="607"/>
      <c r="AB115" s="607"/>
      <c r="AC115" s="607"/>
      <c r="AD115" s="613"/>
      <c r="AE115" s="606"/>
      <c r="AF115" s="606"/>
      <c r="AG115" s="606"/>
      <c r="AH115" s="607"/>
      <c r="AI115" s="607"/>
      <c r="AJ115" s="607"/>
      <c r="AK115" s="613"/>
      <c r="AL115" s="606"/>
      <c r="AM115" s="606"/>
      <c r="AN115" s="606"/>
      <c r="AO115" s="607"/>
      <c r="AP115" s="607"/>
      <c r="AQ115" s="607"/>
      <c r="AR115" s="607"/>
      <c r="AS115" s="607"/>
      <c r="AT115" s="607"/>
      <c r="AU115" s="607"/>
      <c r="AV115" s="607"/>
      <c r="AW115" s="607"/>
      <c r="AX115" s="607"/>
      <c r="AY115" s="607"/>
      <c r="AZ115" s="607"/>
      <c r="BA115" s="607"/>
      <c r="BB115" s="607"/>
      <c r="BC115" s="607"/>
      <c r="BD115" s="607"/>
      <c r="BE115" s="607"/>
      <c r="BF115" s="607"/>
      <c r="BG115" s="607"/>
      <c r="BH115" s="607"/>
      <c r="BI115" s="607"/>
      <c r="BJ115" s="607"/>
      <c r="BK115" s="607"/>
      <c r="BL115" s="684"/>
      <c r="BN115" s="616"/>
    </row>
    <row r="116" spans="1:68" s="89" customFormat="1" ht="23.15" customHeight="1" x14ac:dyDescent="0.35">
      <c r="A116" s="686" t="s">
        <v>173</v>
      </c>
      <c r="B116" s="602">
        <f>185033.07*0.6</f>
        <v>111019.842</v>
      </c>
      <c r="C116" s="602">
        <f>+B116*0.12</f>
        <v>13322.38104</v>
      </c>
      <c r="D116" s="469">
        <f>B116+C116</f>
        <v>124342.22304000001</v>
      </c>
      <c r="E116" s="469">
        <f t="shared" si="78"/>
        <v>0</v>
      </c>
      <c r="F116" s="469">
        <f t="shared" si="78"/>
        <v>0</v>
      </c>
      <c r="G116" s="469">
        <f t="shared" si="78"/>
        <v>0</v>
      </c>
      <c r="H116" s="469">
        <f>D116+G116+0.1</f>
        <v>124342.32304000002</v>
      </c>
      <c r="I116" s="474"/>
      <c r="J116" s="471"/>
      <c r="K116" s="471"/>
      <c r="L116" s="471"/>
      <c r="M116" s="472"/>
      <c r="N116" s="472"/>
      <c r="O116" s="471"/>
      <c r="P116" s="474"/>
      <c r="Q116" s="471"/>
      <c r="R116" s="471"/>
      <c r="S116" s="471"/>
      <c r="T116" s="472"/>
      <c r="U116" s="472"/>
      <c r="V116" s="471"/>
      <c r="W116" s="482"/>
      <c r="X116" s="471"/>
      <c r="Y116" s="471"/>
      <c r="Z116" s="471"/>
      <c r="AA116" s="472"/>
      <c r="AB116" s="472"/>
      <c r="AC116" s="472"/>
      <c r="AD116" s="474"/>
      <c r="AE116" s="471"/>
      <c r="AF116" s="471"/>
      <c r="AG116" s="471"/>
      <c r="AH116" s="472"/>
      <c r="AI116" s="472"/>
      <c r="AJ116" s="472"/>
      <c r="AK116" s="474"/>
      <c r="AL116" s="471"/>
      <c r="AM116" s="471"/>
      <c r="AN116" s="471"/>
      <c r="AO116" s="472"/>
      <c r="AP116" s="472"/>
      <c r="AQ116" s="472"/>
      <c r="AR116" s="472"/>
      <c r="AS116" s="472"/>
      <c r="AT116" s="472"/>
      <c r="AU116" s="472"/>
      <c r="AV116" s="472"/>
      <c r="AW116" s="472"/>
      <c r="AX116" s="472"/>
      <c r="AY116" s="472"/>
      <c r="AZ116" s="472"/>
      <c r="BA116" s="472"/>
      <c r="BB116" s="472"/>
      <c r="BC116" s="472"/>
      <c r="BD116" s="472"/>
      <c r="BE116" s="472"/>
      <c r="BF116" s="472"/>
      <c r="BG116" s="472"/>
      <c r="BH116" s="472"/>
      <c r="BI116" s="472"/>
      <c r="BJ116" s="472"/>
      <c r="BK116" s="472"/>
      <c r="BL116" s="502"/>
      <c r="BN116" s="616"/>
    </row>
    <row r="117" spans="1:68" s="89" customFormat="1" ht="23.15" customHeight="1" thickBot="1" x14ac:dyDescent="0.4">
      <c r="A117" s="526" t="s">
        <v>174</v>
      </c>
      <c r="B117" s="602">
        <f>185033.07*0.4</f>
        <v>74013.228000000003</v>
      </c>
      <c r="C117" s="602">
        <f>+B117*0.12</f>
        <v>8881.5873599999995</v>
      </c>
      <c r="D117" s="469">
        <f>B117+C117</f>
        <v>82894.815360000008</v>
      </c>
      <c r="E117" s="519">
        <f t="shared" si="78"/>
        <v>0</v>
      </c>
      <c r="F117" s="519">
        <f t="shared" si="78"/>
        <v>0</v>
      </c>
      <c r="G117" s="519">
        <f t="shared" si="78"/>
        <v>0</v>
      </c>
      <c r="H117" s="469">
        <f>D117+G117+0.1</f>
        <v>82894.915360000014</v>
      </c>
      <c r="I117" s="520"/>
      <c r="J117" s="521"/>
      <c r="K117" s="521"/>
      <c r="L117" s="521"/>
      <c r="M117" s="522"/>
      <c r="N117" s="522"/>
      <c r="O117" s="521"/>
      <c r="P117" s="520"/>
      <c r="Q117" s="521"/>
      <c r="R117" s="521"/>
      <c r="S117" s="521"/>
      <c r="T117" s="522"/>
      <c r="U117" s="522"/>
      <c r="V117" s="521"/>
      <c r="W117" s="523"/>
      <c r="X117" s="521"/>
      <c r="Y117" s="521"/>
      <c r="Z117" s="521"/>
      <c r="AA117" s="522"/>
      <c r="AB117" s="522"/>
      <c r="AC117" s="522"/>
      <c r="AD117" s="520"/>
      <c r="AE117" s="521"/>
      <c r="AF117" s="521"/>
      <c r="AG117" s="521"/>
      <c r="AH117" s="522"/>
      <c r="AI117" s="522"/>
      <c r="AJ117" s="522"/>
      <c r="AK117" s="520"/>
      <c r="AL117" s="521"/>
      <c r="AM117" s="521"/>
      <c r="AN117" s="521"/>
      <c r="AO117" s="522"/>
      <c r="AP117" s="522"/>
      <c r="AQ117" s="522"/>
      <c r="AR117" s="522"/>
      <c r="AS117" s="522"/>
      <c r="AT117" s="522"/>
      <c r="AU117" s="522"/>
      <c r="AV117" s="522"/>
      <c r="AW117" s="522"/>
      <c r="AX117" s="522"/>
      <c r="AY117" s="522"/>
      <c r="AZ117" s="522"/>
      <c r="BA117" s="522"/>
      <c r="BB117" s="522"/>
      <c r="BC117" s="522"/>
      <c r="BD117" s="522"/>
      <c r="BE117" s="522"/>
      <c r="BF117" s="522"/>
      <c r="BG117" s="522"/>
      <c r="BH117" s="522"/>
      <c r="BI117" s="522"/>
      <c r="BJ117" s="522"/>
      <c r="BK117" s="524"/>
      <c r="BL117" s="525"/>
      <c r="BN117" s="616"/>
    </row>
    <row r="118" spans="1:68" x14ac:dyDescent="0.35">
      <c r="B118" s="2"/>
      <c r="C118" s="2"/>
      <c r="D118" s="2"/>
      <c r="E118" s="2"/>
      <c r="F118" s="2"/>
      <c r="G118" s="2"/>
      <c r="H118" s="2"/>
      <c r="I118" s="4"/>
      <c r="P118" s="4"/>
      <c r="BL118" s="4"/>
      <c r="BM118" s="5"/>
      <c r="BP118" s="5"/>
    </row>
    <row r="119" spans="1:68" x14ac:dyDescent="0.35">
      <c r="B119" s="2"/>
      <c r="C119" s="2"/>
      <c r="D119" s="2"/>
      <c r="E119" s="2"/>
      <c r="F119" s="2"/>
      <c r="G119" s="2"/>
      <c r="H119" s="2"/>
      <c r="I119" s="4"/>
      <c r="P119" s="4"/>
      <c r="BJ119" s="4"/>
      <c r="BL119" s="490"/>
      <c r="BN119" s="620"/>
    </row>
    <row r="120" spans="1:68" ht="14.9" customHeight="1" x14ac:dyDescent="0.35">
      <c r="B120" s="4"/>
      <c r="C120" s="4"/>
      <c r="D120" s="5"/>
      <c r="E120" s="4"/>
      <c r="F120" s="4"/>
      <c r="G120" s="4"/>
      <c r="H120" s="4"/>
    </row>
    <row r="121" spans="1:68" s="729" customFormat="1" hidden="1" x14ac:dyDescent="0.35">
      <c r="A121" s="726"/>
      <c r="B121" s="732"/>
      <c r="C121" s="732"/>
      <c r="D121" s="732"/>
      <c r="E121" s="732"/>
      <c r="F121" s="732"/>
      <c r="G121" s="732"/>
      <c r="H121" s="732"/>
      <c r="AF121" s="730"/>
      <c r="AG121" s="730"/>
      <c r="AH121" s="860"/>
      <c r="AM121" s="730"/>
      <c r="AN121" s="730"/>
      <c r="AO121" s="860"/>
      <c r="BF121" s="731"/>
    </row>
    <row r="122" spans="1:68" s="729" customFormat="1" hidden="1" x14ac:dyDescent="0.35">
      <c r="A122" s="726"/>
      <c r="H122" s="733"/>
      <c r="AF122" s="730"/>
      <c r="AG122" s="730"/>
      <c r="AM122" s="730"/>
      <c r="AN122" s="730"/>
      <c r="BF122" s="731"/>
      <c r="BL122" s="732"/>
    </row>
    <row r="123" spans="1:68" s="729" customFormat="1" hidden="1" x14ac:dyDescent="0.35">
      <c r="A123" s="726"/>
      <c r="B123" s="727"/>
      <c r="C123" s="727">
        <v>885606</v>
      </c>
      <c r="D123" s="727"/>
      <c r="E123" s="727"/>
      <c r="F123" s="727"/>
      <c r="G123" s="727"/>
      <c r="H123" s="727"/>
      <c r="AF123" s="730"/>
      <c r="AG123" s="730"/>
      <c r="AM123" s="730"/>
      <c r="AN123" s="730"/>
      <c r="BF123" s="731"/>
    </row>
    <row r="124" spans="1:68" s="729" customFormat="1" hidden="1" x14ac:dyDescent="0.35">
      <c r="A124" s="726"/>
      <c r="B124" s="727"/>
      <c r="C124" s="728"/>
      <c r="D124" s="727"/>
      <c r="E124" s="727"/>
      <c r="F124" s="727"/>
      <c r="G124" s="727"/>
      <c r="H124" s="727"/>
      <c r="AF124" s="730"/>
      <c r="AG124" s="730"/>
      <c r="AM124" s="730"/>
      <c r="AN124" s="730"/>
      <c r="BF124" s="731"/>
      <c r="BJ124" s="732"/>
    </row>
    <row r="125" spans="1:68" s="729" customFormat="1" hidden="1" x14ac:dyDescent="0.35">
      <c r="A125" s="726"/>
      <c r="B125" s="727"/>
      <c r="D125" s="728"/>
      <c r="AF125" s="730"/>
      <c r="AG125" s="730"/>
      <c r="AM125" s="730"/>
      <c r="AN125" s="730"/>
      <c r="BF125" s="731"/>
      <c r="BJ125" s="732"/>
    </row>
    <row r="126" spans="1:68" s="729" customFormat="1" hidden="1" x14ac:dyDescent="0.35">
      <c r="A126" s="726"/>
      <c r="C126" s="728"/>
      <c r="D126" s="728"/>
      <c r="E126" s="728"/>
      <c r="F126" s="728"/>
      <c r="G126" s="728"/>
      <c r="H126" s="728"/>
      <c r="J126" s="732"/>
      <c r="Q126" s="732"/>
      <c r="AF126" s="730"/>
      <c r="AG126" s="730"/>
      <c r="AM126" s="730"/>
      <c r="AN126" s="730"/>
      <c r="BF126" s="731"/>
      <c r="BL126" s="733"/>
    </row>
    <row r="127" spans="1:68" s="729" customFormat="1" hidden="1" x14ac:dyDescent="0.35">
      <c r="A127" s="726" t="s">
        <v>175</v>
      </c>
      <c r="C127" s="727">
        <v>304269</v>
      </c>
      <c r="J127" s="732"/>
      <c r="Q127" s="732"/>
      <c r="W127" s="733"/>
      <c r="AF127" s="730"/>
      <c r="AG127" s="730"/>
      <c r="AM127" s="730"/>
      <c r="AN127" s="730"/>
      <c r="BF127" s="731"/>
    </row>
    <row r="128" spans="1:68" s="729" customFormat="1" hidden="1" x14ac:dyDescent="0.35">
      <c r="A128" s="734" t="s">
        <v>25</v>
      </c>
      <c r="C128" s="727">
        <f>+C127*0.12</f>
        <v>36512.28</v>
      </c>
      <c r="J128" s="732"/>
      <c r="Q128" s="732"/>
      <c r="AF128" s="730"/>
      <c r="AG128" s="730"/>
      <c r="AM128" s="730"/>
      <c r="AN128" s="730"/>
      <c r="BF128" s="731"/>
    </row>
    <row r="129" spans="1:58" s="729" customFormat="1" hidden="1" x14ac:dyDescent="0.35">
      <c r="A129" s="726" t="s">
        <v>26</v>
      </c>
      <c r="B129" s="732"/>
      <c r="C129" s="727">
        <f>+C127+C128</f>
        <v>340781.28</v>
      </c>
      <c r="J129" s="732"/>
      <c r="Q129" s="732"/>
      <c r="AF129" s="730"/>
      <c r="AG129" s="730"/>
      <c r="AM129" s="730"/>
      <c r="AN129" s="730"/>
      <c r="BF129" s="731"/>
    </row>
    <row r="130" spans="1:58" s="729" customFormat="1" hidden="1" x14ac:dyDescent="0.35">
      <c r="A130" s="726"/>
      <c r="B130" s="732"/>
      <c r="J130" s="732"/>
      <c r="Q130" s="732"/>
      <c r="AF130" s="730"/>
      <c r="AG130" s="730"/>
      <c r="AM130" s="730"/>
      <c r="AN130" s="730"/>
      <c r="BF130" s="731"/>
    </row>
    <row r="131" spans="1:58" s="729" customFormat="1" hidden="1" x14ac:dyDescent="0.35">
      <c r="A131" s="726"/>
      <c r="B131" s="732"/>
      <c r="C131" s="729">
        <v>632576</v>
      </c>
      <c r="D131" s="732"/>
      <c r="J131" s="732"/>
      <c r="Q131" s="732"/>
      <c r="AF131" s="730"/>
      <c r="AG131" s="730"/>
      <c r="AM131" s="730"/>
      <c r="AN131" s="730"/>
      <c r="BF131" s="731"/>
    </row>
    <row r="132" spans="1:58" s="729" customFormat="1" hidden="1" x14ac:dyDescent="0.35">
      <c r="A132" s="726"/>
      <c r="C132" s="727"/>
      <c r="D132" s="732"/>
      <c r="AF132" s="730"/>
      <c r="AG132" s="730"/>
      <c r="AM132" s="730"/>
      <c r="AN132" s="730"/>
      <c r="BF132" s="731"/>
    </row>
    <row r="133" spans="1:58" s="729" customFormat="1" hidden="1" x14ac:dyDescent="0.35">
      <c r="A133" s="726"/>
      <c r="B133" s="732"/>
      <c r="C133" s="728"/>
      <c r="D133" s="732"/>
      <c r="H133" s="727"/>
      <c r="AF133" s="730"/>
      <c r="AG133" s="730"/>
      <c r="AM133" s="730"/>
      <c r="AN133" s="730"/>
      <c r="BF133" s="731"/>
    </row>
    <row r="134" spans="1:58" x14ac:dyDescent="0.35">
      <c r="B134" s="529"/>
      <c r="H134" s="527"/>
      <c r="J134" s="4"/>
      <c r="Q134" s="4"/>
    </row>
    <row r="135" spans="1:58" x14ac:dyDescent="0.35">
      <c r="H135" s="527"/>
    </row>
    <row r="136" spans="1:58" x14ac:dyDescent="0.35">
      <c r="D136" s="527"/>
      <c r="E136" s="527"/>
      <c r="F136" s="527"/>
    </row>
    <row r="137" spans="1:58" x14ac:dyDescent="0.35">
      <c r="D137" s="527"/>
      <c r="E137" s="527"/>
      <c r="F137" s="527"/>
      <c r="H137" s="4"/>
    </row>
    <row r="138" spans="1:58" x14ac:dyDescent="0.35">
      <c r="D138" s="527"/>
      <c r="E138" s="527"/>
      <c r="F138" s="527"/>
      <c r="H138" s="4"/>
    </row>
    <row r="139" spans="1:58" x14ac:dyDescent="0.35">
      <c r="H139" s="4"/>
    </row>
    <row r="140" spans="1:58" x14ac:dyDescent="0.35">
      <c r="F140" s="2"/>
      <c r="H140" s="528"/>
    </row>
  </sheetData>
  <mergeCells count="41">
    <mergeCell ref="I102:BL102"/>
    <mergeCell ref="I89:BL89"/>
    <mergeCell ref="A90:A91"/>
    <mergeCell ref="A92:A93"/>
    <mergeCell ref="A45:A46"/>
    <mergeCell ref="A59:A61"/>
    <mergeCell ref="A73:A74"/>
    <mergeCell ref="I76:BL76"/>
    <mergeCell ref="I95:BL95"/>
    <mergeCell ref="AK4:AP4"/>
    <mergeCell ref="P4:U4"/>
    <mergeCell ref="I4:K4"/>
    <mergeCell ref="A87:A88"/>
    <mergeCell ref="A14:A37"/>
    <mergeCell ref="A38:A43"/>
    <mergeCell ref="AD4:AI4"/>
    <mergeCell ref="A77:A78"/>
    <mergeCell ref="A79:A80"/>
    <mergeCell ref="A81:A84"/>
    <mergeCell ref="A85:A86"/>
    <mergeCell ref="I66:BL66"/>
    <mergeCell ref="A67:A68"/>
    <mergeCell ref="A69:A70"/>
    <mergeCell ref="A71:A72"/>
    <mergeCell ref="A47:A48"/>
    <mergeCell ref="AR4:AW4"/>
    <mergeCell ref="AY4:BD4"/>
    <mergeCell ref="I64:BL64"/>
    <mergeCell ref="A62:A63"/>
    <mergeCell ref="A49:A50"/>
    <mergeCell ref="A51:A52"/>
    <mergeCell ref="A53:A54"/>
    <mergeCell ref="A55:A56"/>
    <mergeCell ref="A57:A58"/>
    <mergeCell ref="I6:BL6"/>
    <mergeCell ref="I8:BL8"/>
    <mergeCell ref="I13:BL13"/>
    <mergeCell ref="I44:BL44"/>
    <mergeCell ref="A9:A12"/>
    <mergeCell ref="BF4:BK4"/>
    <mergeCell ref="W4:AB4"/>
  </mergeCells>
  <pageMargins left="0.7" right="0.7" top="0.75" bottom="0.75" header="0.3" footer="0.3"/>
  <pageSetup scale="5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C2:F32"/>
  <sheetViews>
    <sheetView zoomScale="55" zoomScaleNormal="55" workbookViewId="0">
      <selection activeCell="C10" sqref="C10"/>
    </sheetView>
  </sheetViews>
  <sheetFormatPr defaultColWidth="9" defaultRowHeight="15.5" x14ac:dyDescent="0.35"/>
  <cols>
    <col min="1" max="2" width="9" customWidth="1"/>
    <col min="3" max="3" width="96.83203125" style="95" customWidth="1"/>
    <col min="4" max="4" width="11" customWidth="1"/>
  </cols>
  <sheetData>
    <row r="2" spans="3:6" x14ac:dyDescent="0.35">
      <c r="C2" s="94" t="s">
        <v>536</v>
      </c>
    </row>
    <row r="3" spans="3:6" x14ac:dyDescent="0.35">
      <c r="C3" s="95" t="s">
        <v>537</v>
      </c>
    </row>
    <row r="4" spans="3:6" x14ac:dyDescent="0.35">
      <c r="C4" s="96" t="s">
        <v>538</v>
      </c>
      <c r="E4" t="s">
        <v>539</v>
      </c>
      <c r="F4" t="s">
        <v>540</v>
      </c>
    </row>
    <row r="5" spans="3:6" ht="31" x14ac:dyDescent="0.35">
      <c r="C5" s="96" t="s">
        <v>541</v>
      </c>
      <c r="E5" t="s">
        <v>542</v>
      </c>
    </row>
    <row r="7" spans="3:6" x14ac:dyDescent="0.35">
      <c r="C7" s="95" t="s">
        <v>543</v>
      </c>
    </row>
    <row r="8" spans="3:6" ht="31" x14ac:dyDescent="0.35">
      <c r="C8" s="96" t="s">
        <v>544</v>
      </c>
      <c r="E8" t="s">
        <v>545</v>
      </c>
    </row>
    <row r="10" spans="3:6" x14ac:dyDescent="0.35">
      <c r="C10" s="95" t="s">
        <v>543</v>
      </c>
    </row>
    <row r="11" spans="3:6" x14ac:dyDescent="0.35">
      <c r="C11" s="96" t="s">
        <v>546</v>
      </c>
    </row>
    <row r="13" spans="3:6" x14ac:dyDescent="0.35">
      <c r="C13" s="95" t="s">
        <v>543</v>
      </c>
    </row>
    <row r="14" spans="3:6" x14ac:dyDescent="0.35">
      <c r="C14" s="96" t="s">
        <v>546</v>
      </c>
    </row>
    <row r="16" spans="3:6" ht="31" x14ac:dyDescent="0.35">
      <c r="C16" s="95" t="s">
        <v>547</v>
      </c>
    </row>
    <row r="17" spans="3:3" x14ac:dyDescent="0.35">
      <c r="C17" s="96" t="s">
        <v>548</v>
      </c>
    </row>
    <row r="19" spans="3:3" ht="46.5" x14ac:dyDescent="0.35">
      <c r="C19" s="95" t="s">
        <v>549</v>
      </c>
    </row>
    <row r="20" spans="3:3" x14ac:dyDescent="0.35">
      <c r="C20" s="96" t="s">
        <v>550</v>
      </c>
    </row>
    <row r="21" spans="3:3" x14ac:dyDescent="0.35">
      <c r="C21" s="96" t="s">
        <v>551</v>
      </c>
    </row>
    <row r="22" spans="3:3" x14ac:dyDescent="0.35">
      <c r="C22" s="96" t="s">
        <v>552</v>
      </c>
    </row>
    <row r="23" spans="3:3" x14ac:dyDescent="0.35">
      <c r="C23" s="96" t="s">
        <v>553</v>
      </c>
    </row>
    <row r="25" spans="3:3" x14ac:dyDescent="0.35">
      <c r="C25" s="95" t="s">
        <v>554</v>
      </c>
    </row>
    <row r="26" spans="3:3" ht="31" x14ac:dyDescent="0.35">
      <c r="C26" s="96" t="s">
        <v>555</v>
      </c>
    </row>
    <row r="27" spans="3:3" x14ac:dyDescent="0.35">
      <c r="C27" s="96" t="s">
        <v>556</v>
      </c>
    </row>
    <row r="28" spans="3:3" ht="31" x14ac:dyDescent="0.35">
      <c r="C28" s="96" t="s">
        <v>557</v>
      </c>
    </row>
    <row r="30" spans="3:3" x14ac:dyDescent="0.35">
      <c r="C30" s="95" t="s">
        <v>558</v>
      </c>
    </row>
    <row r="31" spans="3:3" x14ac:dyDescent="0.35">
      <c r="C31" s="96" t="s">
        <v>559</v>
      </c>
    </row>
    <row r="32" spans="3:3" x14ac:dyDescent="0.35">
      <c r="C32" s="96" t="s">
        <v>560</v>
      </c>
    </row>
  </sheetData>
  <pageMargins left="0.7" right="0.7" top="0.75" bottom="0.75" header="0.3" footer="0.3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77"/>
  <sheetViews>
    <sheetView topLeftCell="A64" zoomScale="85" zoomScaleNormal="85" workbookViewId="0">
      <selection activeCell="J50" sqref="J50"/>
    </sheetView>
  </sheetViews>
  <sheetFormatPr defaultColWidth="9" defaultRowHeight="13" x14ac:dyDescent="0.3"/>
  <cols>
    <col min="1" max="1" width="44" style="97" customWidth="1"/>
    <col min="2" max="2" width="13.58203125" style="97" customWidth="1"/>
    <col min="3" max="3" width="16.33203125" style="97" customWidth="1"/>
    <col min="4" max="4" width="16.08203125" style="97" customWidth="1"/>
    <col min="5" max="5" width="13.83203125" style="97" customWidth="1"/>
    <col min="6" max="6" width="13.33203125" style="97" customWidth="1"/>
    <col min="7" max="7" width="10.08203125" style="97" customWidth="1"/>
    <col min="8" max="8" width="10.58203125" style="97" customWidth="1"/>
    <col min="9" max="9" width="10.08203125" style="97" bestFit="1" customWidth="1"/>
    <col min="10" max="14" width="9" style="97" customWidth="1"/>
    <col min="15" max="15" width="12.5" style="97" customWidth="1"/>
    <col min="16" max="16384" width="9" style="97"/>
  </cols>
  <sheetData>
    <row r="1" spans="1:8" ht="30" customHeight="1" x14ac:dyDescent="0.3">
      <c r="A1" s="1105" t="s">
        <v>561</v>
      </c>
      <c r="B1" s="1105"/>
      <c r="C1" s="1105"/>
      <c r="D1" s="1105"/>
      <c r="E1" s="1105"/>
      <c r="F1" s="1105"/>
      <c r="G1" s="1105"/>
      <c r="H1" s="1105"/>
    </row>
    <row r="2" spans="1:8" ht="20.5" x14ac:dyDescent="0.3">
      <c r="A2" s="1106" t="s">
        <v>562</v>
      </c>
      <c r="B2" s="1106"/>
      <c r="C2" s="1106"/>
      <c r="D2" s="1106"/>
      <c r="E2" s="1106"/>
      <c r="F2" s="1106"/>
      <c r="G2" s="1106"/>
      <c r="H2" s="1106"/>
    </row>
    <row r="3" spans="1:8" x14ac:dyDescent="0.3">
      <c r="B3" s="98"/>
      <c r="C3" s="99"/>
      <c r="D3" s="99"/>
      <c r="E3" s="100"/>
      <c r="F3" s="101"/>
    </row>
    <row r="4" spans="1:8" ht="52" x14ac:dyDescent="0.3">
      <c r="A4" s="102" t="s">
        <v>563</v>
      </c>
      <c r="B4" s="103" t="s">
        <v>564</v>
      </c>
      <c r="C4" s="103" t="s">
        <v>565</v>
      </c>
      <c r="D4" s="103" t="s">
        <v>566</v>
      </c>
      <c r="E4" s="104" t="s">
        <v>567</v>
      </c>
      <c r="F4" s="105"/>
      <c r="G4" s="102" t="s">
        <v>568</v>
      </c>
      <c r="H4" s="102" t="s">
        <v>569</v>
      </c>
    </row>
    <row r="5" spans="1:8" x14ac:dyDescent="0.3">
      <c r="A5" s="106" t="s">
        <v>570</v>
      </c>
      <c r="B5" s="107">
        <f>2115*60*12</f>
        <v>1522800</v>
      </c>
      <c r="C5" s="107">
        <v>1947139.44</v>
      </c>
      <c r="D5" s="107">
        <f>+C5-B5</f>
        <v>424339.43999999994</v>
      </c>
      <c r="E5" s="107">
        <f>+D5/12</f>
        <v>35361.619999999995</v>
      </c>
      <c r="F5" s="107">
        <f>+E5/60</f>
        <v>589.3603333333333</v>
      </c>
      <c r="G5" s="107">
        <v>2115</v>
      </c>
      <c r="H5" s="107">
        <f>+G5*27%</f>
        <v>571.05000000000007</v>
      </c>
    </row>
    <row r="6" spans="1:8" x14ac:dyDescent="0.3">
      <c r="A6" s="106" t="s">
        <v>571</v>
      </c>
      <c r="B6" s="107">
        <f>3854*15*12</f>
        <v>693720</v>
      </c>
      <c r="C6" s="107">
        <v>882170.86</v>
      </c>
      <c r="D6" s="107">
        <f>+C6-B6</f>
        <v>188450.86</v>
      </c>
      <c r="E6" s="107">
        <f>+D6/12</f>
        <v>15704.238333333333</v>
      </c>
      <c r="F6" s="107">
        <f>+E6/15</f>
        <v>1046.9492222222223</v>
      </c>
      <c r="G6" s="107">
        <v>3854</v>
      </c>
      <c r="H6" s="107">
        <f>+G6*27%</f>
        <v>1040.5800000000002</v>
      </c>
    </row>
    <row r="7" spans="1:8" x14ac:dyDescent="0.3">
      <c r="A7" s="106" t="s">
        <v>572</v>
      </c>
      <c r="B7" s="107">
        <f>4283*8*12</f>
        <v>411168</v>
      </c>
      <c r="C7" s="107">
        <v>522512.01</v>
      </c>
      <c r="D7" s="107">
        <f>+C7-B7</f>
        <v>111344.01000000001</v>
      </c>
      <c r="E7" s="107">
        <f>+D7/12</f>
        <v>9278.6675000000014</v>
      </c>
      <c r="F7" s="107">
        <f>+E7/8</f>
        <v>1159.8334375000002</v>
      </c>
      <c r="G7" s="107">
        <v>4283</v>
      </c>
      <c r="H7" s="107">
        <f>+G7*27%</f>
        <v>1156.4100000000001</v>
      </c>
    </row>
    <row r="8" spans="1:8" x14ac:dyDescent="0.3">
      <c r="B8" s="98"/>
      <c r="C8" s="99"/>
      <c r="D8" s="99"/>
      <c r="E8" s="100"/>
      <c r="F8" s="100"/>
    </row>
    <row r="11" spans="1:8" ht="30.75" customHeight="1" x14ac:dyDescent="0.3">
      <c r="A11" s="1105" t="s">
        <v>573</v>
      </c>
      <c r="B11" s="1105"/>
      <c r="C11" s="1105"/>
      <c r="D11" s="1105"/>
      <c r="E11" s="1105"/>
      <c r="F11" s="108"/>
      <c r="G11" s="108"/>
      <c r="H11" s="108"/>
    </row>
    <row r="12" spans="1:8" x14ac:dyDescent="0.3">
      <c r="A12" s="1092" t="s">
        <v>574</v>
      </c>
      <c r="B12" s="1092"/>
      <c r="C12" s="1092"/>
      <c r="D12" s="1092"/>
      <c r="E12" s="1092"/>
    </row>
    <row r="46" spans="1:8" x14ac:dyDescent="0.3">
      <c r="A46" s="1092" t="s">
        <v>575</v>
      </c>
      <c r="B46" s="1092"/>
      <c r="C46" s="1092"/>
      <c r="D46" s="1092"/>
      <c r="E46" s="1092"/>
      <c r="F46" s="109"/>
      <c r="G46" s="109"/>
      <c r="H46" s="109"/>
    </row>
    <row r="48" spans="1:8" x14ac:dyDescent="0.3">
      <c r="A48" s="110" t="s">
        <v>563</v>
      </c>
      <c r="B48" s="110" t="s">
        <v>576</v>
      </c>
      <c r="C48" s="110" t="s">
        <v>563</v>
      </c>
      <c r="D48" s="110" t="s">
        <v>577</v>
      </c>
      <c r="E48" s="110" t="s">
        <v>26</v>
      </c>
    </row>
    <row r="49" spans="1:10" x14ac:dyDescent="0.3">
      <c r="A49" s="1101" t="s">
        <v>578</v>
      </c>
      <c r="B49" s="111">
        <v>25</v>
      </c>
      <c r="C49" s="111" t="s">
        <v>579</v>
      </c>
      <c r="D49" s="111">
        <v>1000</v>
      </c>
      <c r="E49" s="112">
        <f>D49*B49</f>
        <v>25000</v>
      </c>
    </row>
    <row r="50" spans="1:10" x14ac:dyDescent="0.3">
      <c r="A50" s="1101"/>
      <c r="B50" s="111">
        <v>25</v>
      </c>
      <c r="C50" s="111" t="s">
        <v>580</v>
      </c>
      <c r="D50" s="111">
        <v>300</v>
      </c>
      <c r="E50" s="112">
        <f>D50*B50</f>
        <v>7500</v>
      </c>
      <c r="G50" s="97" t="s">
        <v>581</v>
      </c>
      <c r="H50" s="113">
        <f>+E51+E52+E54+E55+E57+E61+E64+E67+E63</f>
        <v>11800</v>
      </c>
      <c r="I50" s="97">
        <v>55</v>
      </c>
      <c r="J50" s="114">
        <f>+H50/I50</f>
        <v>214.54545454545453</v>
      </c>
    </row>
    <row r="51" spans="1:10" x14ac:dyDescent="0.3">
      <c r="A51" s="1101"/>
      <c r="B51" s="111">
        <v>25</v>
      </c>
      <c r="C51" s="111" t="s">
        <v>582</v>
      </c>
      <c r="D51" s="111">
        <v>200</v>
      </c>
      <c r="E51" s="112">
        <f t="shared" ref="E51:E57" si="0">D51*B51</f>
        <v>5000</v>
      </c>
      <c r="G51" s="97" t="s">
        <v>583</v>
      </c>
      <c r="H51" s="113">
        <f>+E49+E50+E56+E58+E53+E62+E65+E66</f>
        <v>36560</v>
      </c>
      <c r="I51" s="97">
        <v>25</v>
      </c>
      <c r="J51" s="97">
        <f>+H51/I51</f>
        <v>1462.4</v>
      </c>
    </row>
    <row r="52" spans="1:10" x14ac:dyDescent="0.3">
      <c r="A52" s="1101"/>
      <c r="B52" s="111">
        <v>25</v>
      </c>
      <c r="C52" s="111" t="s">
        <v>584</v>
      </c>
      <c r="D52" s="111">
        <v>100</v>
      </c>
      <c r="E52" s="112">
        <f t="shared" si="0"/>
        <v>2500</v>
      </c>
      <c r="H52" s="113">
        <f>+H50++H51</f>
        <v>48360</v>
      </c>
    </row>
    <row r="53" spans="1:10" x14ac:dyDescent="0.3">
      <c r="A53" s="1101"/>
      <c r="B53" s="111">
        <v>1</v>
      </c>
      <c r="C53" s="111" t="s">
        <v>585</v>
      </c>
      <c r="D53" s="115">
        <v>1000</v>
      </c>
      <c r="E53" s="112">
        <f t="shared" si="0"/>
        <v>1000</v>
      </c>
    </row>
    <row r="54" spans="1:10" x14ac:dyDescent="0.3">
      <c r="A54" s="1101"/>
      <c r="B54" s="111">
        <v>1</v>
      </c>
      <c r="C54" s="111" t="s">
        <v>586</v>
      </c>
      <c r="D54" s="115">
        <v>150</v>
      </c>
      <c r="E54" s="112">
        <f t="shared" si="0"/>
        <v>150</v>
      </c>
    </row>
    <row r="55" spans="1:10" x14ac:dyDescent="0.3">
      <c r="A55" s="1101"/>
      <c r="B55" s="111">
        <v>1</v>
      </c>
      <c r="C55" s="111" t="s">
        <v>587</v>
      </c>
      <c r="D55" s="111">
        <v>200</v>
      </c>
      <c r="E55" s="112">
        <f t="shared" si="0"/>
        <v>200</v>
      </c>
    </row>
    <row r="56" spans="1:10" ht="26" x14ac:dyDescent="0.3">
      <c r="A56" s="1101"/>
      <c r="B56" s="111">
        <v>25</v>
      </c>
      <c r="C56" s="116" t="s">
        <v>588</v>
      </c>
      <c r="D56" s="111">
        <v>40</v>
      </c>
      <c r="E56" s="112">
        <f t="shared" si="0"/>
        <v>1000</v>
      </c>
    </row>
    <row r="57" spans="1:10" x14ac:dyDescent="0.3">
      <c r="A57" s="1101"/>
      <c r="B57" s="111">
        <v>1</v>
      </c>
      <c r="C57" s="116" t="s">
        <v>589</v>
      </c>
      <c r="D57" s="111">
        <v>250</v>
      </c>
      <c r="E57" s="112">
        <f t="shared" si="0"/>
        <v>250</v>
      </c>
    </row>
    <row r="58" spans="1:10" x14ac:dyDescent="0.3">
      <c r="A58" s="1101"/>
      <c r="B58" s="111">
        <v>1</v>
      </c>
      <c r="C58" s="111" t="s">
        <v>590</v>
      </c>
      <c r="D58" s="111">
        <v>500</v>
      </c>
      <c r="E58" s="117">
        <f>B58*D58</f>
        <v>500</v>
      </c>
    </row>
    <row r="59" spans="1:10" x14ac:dyDescent="0.3">
      <c r="A59" s="1101"/>
      <c r="B59" s="1102" t="s">
        <v>591</v>
      </c>
      <c r="C59" s="1103"/>
      <c r="D59" s="1104"/>
      <c r="E59" s="118">
        <f>SUM(E49:E58)</f>
        <v>43100</v>
      </c>
      <c r="F59" s="97">
        <f>+E59/25</f>
        <v>1724</v>
      </c>
    </row>
    <row r="60" spans="1:10" x14ac:dyDescent="0.3">
      <c r="B60" s="119"/>
      <c r="C60" s="119"/>
      <c r="E60" s="120"/>
    </row>
    <row r="61" spans="1:10" x14ac:dyDescent="0.3">
      <c r="A61" s="1101" t="s">
        <v>592</v>
      </c>
      <c r="B61" s="111">
        <v>30</v>
      </c>
      <c r="C61" s="111" t="s">
        <v>584</v>
      </c>
      <c r="D61" s="111">
        <v>100</v>
      </c>
      <c r="E61" s="117">
        <f t="shared" ref="E61:E66" si="1">B61*D61</f>
        <v>3000</v>
      </c>
    </row>
    <row r="62" spans="1:10" x14ac:dyDescent="0.3">
      <c r="A62" s="1101"/>
      <c r="B62" s="111">
        <v>1</v>
      </c>
      <c r="C62" s="111" t="s">
        <v>585</v>
      </c>
      <c r="D62" s="111">
        <v>1000</v>
      </c>
      <c r="E62" s="117">
        <f t="shared" si="1"/>
        <v>1000</v>
      </c>
    </row>
    <row r="63" spans="1:10" x14ac:dyDescent="0.3">
      <c r="A63" s="1101"/>
      <c r="B63" s="111">
        <v>1</v>
      </c>
      <c r="C63" s="116" t="s">
        <v>593</v>
      </c>
      <c r="D63" s="111">
        <v>250</v>
      </c>
      <c r="E63" s="112">
        <f t="shared" si="1"/>
        <v>250</v>
      </c>
      <c r="G63" s="113">
        <f>+E59+E68</f>
        <v>48360</v>
      </c>
      <c r="H63" s="113">
        <f>+G63-H52</f>
        <v>0</v>
      </c>
    </row>
    <row r="64" spans="1:10" x14ac:dyDescent="0.3">
      <c r="A64" s="1101"/>
      <c r="B64" s="111">
        <v>1</v>
      </c>
      <c r="C64" s="111" t="s">
        <v>587</v>
      </c>
      <c r="D64" s="111">
        <v>200</v>
      </c>
      <c r="E64" s="117">
        <f t="shared" si="1"/>
        <v>200</v>
      </c>
    </row>
    <row r="65" spans="1:6" x14ac:dyDescent="0.3">
      <c r="A65" s="1101"/>
      <c r="B65" s="111">
        <v>1</v>
      </c>
      <c r="C65" s="111" t="s">
        <v>590</v>
      </c>
      <c r="D65" s="111">
        <v>500</v>
      </c>
      <c r="E65" s="117">
        <f t="shared" si="1"/>
        <v>500</v>
      </c>
    </row>
    <row r="66" spans="1:6" x14ac:dyDescent="0.3">
      <c r="A66" s="1101"/>
      <c r="B66" s="111">
        <v>1</v>
      </c>
      <c r="C66" s="111" t="s">
        <v>594</v>
      </c>
      <c r="D66" s="111">
        <v>60</v>
      </c>
      <c r="E66" s="117">
        <f t="shared" si="1"/>
        <v>60</v>
      </c>
    </row>
    <row r="67" spans="1:6" x14ac:dyDescent="0.3">
      <c r="A67" s="1101"/>
      <c r="B67" s="111">
        <v>1</v>
      </c>
      <c r="C67" s="116" t="s">
        <v>589</v>
      </c>
      <c r="D67" s="111">
        <v>250</v>
      </c>
      <c r="E67" s="112">
        <f>D67*B67</f>
        <v>250</v>
      </c>
    </row>
    <row r="68" spans="1:6" x14ac:dyDescent="0.3">
      <c r="A68" s="1101"/>
      <c r="B68" s="1102" t="s">
        <v>591</v>
      </c>
      <c r="C68" s="1103"/>
      <c r="D68" s="1104"/>
      <c r="E68" s="121">
        <f>SUM(E61:E67)</f>
        <v>5260</v>
      </c>
      <c r="F68" s="97">
        <f>+E68/30</f>
        <v>175.33333333333334</v>
      </c>
    </row>
    <row r="69" spans="1:6" x14ac:dyDescent="0.3">
      <c r="B69" s="119"/>
      <c r="C69" s="119"/>
      <c r="D69" s="119"/>
      <c r="E69" s="122"/>
    </row>
    <row r="70" spans="1:6" x14ac:dyDescent="0.3">
      <c r="A70" s="1083" t="s">
        <v>575</v>
      </c>
      <c r="B70" s="1084"/>
      <c r="C70" s="1085"/>
      <c r="D70" s="123" t="s">
        <v>24</v>
      </c>
      <c r="E70" s="124">
        <f>E59+E68</f>
        <v>48360</v>
      </c>
    </row>
    <row r="71" spans="1:6" x14ac:dyDescent="0.3">
      <c r="A71" s="1086"/>
      <c r="B71" s="1087"/>
      <c r="C71" s="1088"/>
      <c r="D71" s="125">
        <v>0.12</v>
      </c>
      <c r="E71" s="126">
        <f>E70*12/100</f>
        <v>5803.2</v>
      </c>
    </row>
    <row r="72" spans="1:6" x14ac:dyDescent="0.3">
      <c r="A72" s="1089"/>
      <c r="B72" s="1090"/>
      <c r="C72" s="1091"/>
      <c r="D72" s="127" t="s">
        <v>26</v>
      </c>
      <c r="E72" s="126">
        <f>E70+E71</f>
        <v>54163.199999999997</v>
      </c>
    </row>
    <row r="74" spans="1:6" x14ac:dyDescent="0.3">
      <c r="A74" s="1092" t="s">
        <v>595</v>
      </c>
      <c r="B74" s="1092"/>
      <c r="C74" s="1092"/>
      <c r="D74" s="1092"/>
      <c r="E74" s="1092"/>
    </row>
    <row r="97" spans="1:5" x14ac:dyDescent="0.3">
      <c r="A97" s="1092" t="s">
        <v>596</v>
      </c>
      <c r="B97" s="1092"/>
      <c r="C97" s="1092"/>
      <c r="D97" s="1092"/>
      <c r="E97" s="1092"/>
    </row>
    <row r="129" spans="1:8" ht="43.5" customHeight="1" x14ac:dyDescent="0.3">
      <c r="A129" s="1075" t="s">
        <v>597</v>
      </c>
      <c r="B129" s="1075"/>
      <c r="C129" s="1075"/>
      <c r="D129" s="1075"/>
      <c r="E129" s="1075"/>
      <c r="F129" s="128"/>
      <c r="G129" s="128"/>
      <c r="H129" s="128"/>
    </row>
    <row r="131" spans="1:8" ht="15.5" x14ac:dyDescent="0.35">
      <c r="A131" s="1096" t="s">
        <v>598</v>
      </c>
      <c r="B131" s="1096"/>
      <c r="C131" s="1096"/>
      <c r="D131" s="1096"/>
      <c r="E131" s="1096"/>
      <c r="F131" s="129"/>
      <c r="G131" s="129"/>
      <c r="H131" s="129"/>
    </row>
    <row r="133" spans="1:8" x14ac:dyDescent="0.3">
      <c r="A133" s="102" t="s">
        <v>563</v>
      </c>
      <c r="B133" s="102" t="s">
        <v>599</v>
      </c>
      <c r="C133" s="102" t="s">
        <v>600</v>
      </c>
      <c r="D133" s="102" t="s">
        <v>601</v>
      </c>
    </row>
    <row r="134" spans="1:8" x14ac:dyDescent="0.3">
      <c r="A134" s="106" t="s">
        <v>602</v>
      </c>
      <c r="B134" s="111">
        <v>5</v>
      </c>
      <c r="C134" s="112">
        <v>357.5</v>
      </c>
      <c r="D134" s="112">
        <f>+C134*B134</f>
        <v>1787.5</v>
      </c>
    </row>
    <row r="135" spans="1:8" x14ac:dyDescent="0.3">
      <c r="A135" s="106" t="s">
        <v>603</v>
      </c>
      <c r="B135" s="111">
        <f>15+6</f>
        <v>21</v>
      </c>
      <c r="C135" s="112">
        <v>450</v>
      </c>
      <c r="D135" s="112">
        <f>+C135*B135</f>
        <v>9450</v>
      </c>
    </row>
    <row r="136" spans="1:8" x14ac:dyDescent="0.3">
      <c r="A136" s="106" t="s">
        <v>604</v>
      </c>
      <c r="B136" s="111">
        <v>1</v>
      </c>
      <c r="C136" s="112">
        <v>2300</v>
      </c>
      <c r="D136" s="112">
        <f>+C136*B136</f>
        <v>2300</v>
      </c>
    </row>
    <row r="137" spans="1:8" x14ac:dyDescent="0.3">
      <c r="A137" s="106" t="s">
        <v>605</v>
      </c>
      <c r="B137" s="111">
        <f>28+6</f>
        <v>34</v>
      </c>
      <c r="C137" s="112"/>
      <c r="D137" s="112">
        <f>+C137*B137</f>
        <v>0</v>
      </c>
    </row>
    <row r="138" spans="1:8" x14ac:dyDescent="0.3">
      <c r="A138" s="106" t="s">
        <v>606</v>
      </c>
      <c r="B138" s="111"/>
      <c r="C138" s="112">
        <v>100</v>
      </c>
      <c r="D138" s="112">
        <f>+$B$137*C138</f>
        <v>3400</v>
      </c>
      <c r="E138" s="97">
        <f>+C138*1.1</f>
        <v>110.00000000000001</v>
      </c>
    </row>
    <row r="139" spans="1:8" x14ac:dyDescent="0.3">
      <c r="A139" s="106" t="s">
        <v>607</v>
      </c>
      <c r="B139" s="111"/>
      <c r="C139" s="112">
        <v>110</v>
      </c>
      <c r="D139" s="112">
        <f>+$B$137*C139</f>
        <v>3740</v>
      </c>
      <c r="E139" s="97">
        <f>+E138*1.1</f>
        <v>121.00000000000003</v>
      </c>
    </row>
    <row r="140" spans="1:8" x14ac:dyDescent="0.3">
      <c r="A140" s="106" t="s">
        <v>608</v>
      </c>
      <c r="B140" s="111"/>
      <c r="C140" s="112">
        <v>120</v>
      </c>
      <c r="D140" s="112">
        <f>+$B$137*C140</f>
        <v>4080</v>
      </c>
    </row>
    <row r="141" spans="1:8" x14ac:dyDescent="0.3">
      <c r="B141" s="119"/>
      <c r="C141" s="112" t="s">
        <v>591</v>
      </c>
      <c r="D141" s="112">
        <f>+SUM(D134:D140)</f>
        <v>24757.5</v>
      </c>
    </row>
    <row r="142" spans="1:8" x14ac:dyDescent="0.3">
      <c r="B142" s="119"/>
      <c r="C142" s="112" t="s">
        <v>609</v>
      </c>
      <c r="D142" s="112">
        <f>+D141*12%</f>
        <v>2970.9</v>
      </c>
    </row>
    <row r="143" spans="1:8" x14ac:dyDescent="0.3">
      <c r="B143" s="119"/>
      <c r="C143" s="112" t="s">
        <v>610</v>
      </c>
      <c r="D143" s="112">
        <f>+D141+D142</f>
        <v>27728.400000000001</v>
      </c>
    </row>
    <row r="145" spans="1:8" ht="14.5" x14ac:dyDescent="0.35">
      <c r="G145" s="130"/>
    </row>
    <row r="146" spans="1:8" x14ac:dyDescent="0.3">
      <c r="A146" s="102" t="s">
        <v>563</v>
      </c>
      <c r="B146" s="102" t="s">
        <v>599</v>
      </c>
      <c r="C146" s="102" t="s">
        <v>600</v>
      </c>
      <c r="D146" s="102" t="s">
        <v>601</v>
      </c>
    </row>
    <row r="147" spans="1:8" x14ac:dyDescent="0.3">
      <c r="A147" s="106" t="s">
        <v>611</v>
      </c>
      <c r="B147" s="111">
        <v>1</v>
      </c>
      <c r="C147" s="111">
        <v>2575</v>
      </c>
      <c r="D147" s="111">
        <f>+B147*C147</f>
        <v>2575</v>
      </c>
    </row>
    <row r="148" spans="1:8" x14ac:dyDescent="0.3">
      <c r="A148" s="106" t="s">
        <v>612</v>
      </c>
      <c r="B148" s="111">
        <v>1</v>
      </c>
      <c r="C148" s="111">
        <v>1545</v>
      </c>
      <c r="D148" s="111">
        <f>+B148*C148</f>
        <v>1545</v>
      </c>
    </row>
    <row r="149" spans="1:8" x14ac:dyDescent="0.3">
      <c r="B149" s="119"/>
      <c r="C149" s="131" t="s">
        <v>591</v>
      </c>
      <c r="D149" s="111">
        <f>+SUM(D147:D148)</f>
        <v>4120</v>
      </c>
    </row>
    <row r="150" spans="1:8" x14ac:dyDescent="0.3">
      <c r="B150" s="119"/>
      <c r="C150" s="112" t="s">
        <v>609</v>
      </c>
      <c r="D150" s="111">
        <f>++D149*12%</f>
        <v>494.4</v>
      </c>
    </row>
    <row r="151" spans="1:8" x14ac:dyDescent="0.3">
      <c r="B151" s="119"/>
      <c r="C151" s="112" t="s">
        <v>610</v>
      </c>
      <c r="D151" s="111">
        <f>+SUM(D149:D150)</f>
        <v>4614.3999999999996</v>
      </c>
    </row>
    <row r="152" spans="1:8" x14ac:dyDescent="0.3">
      <c r="D152" s="113"/>
    </row>
    <row r="153" spans="1:8" ht="27.75" customHeight="1" x14ac:dyDescent="0.3">
      <c r="A153" s="1097" t="s">
        <v>613</v>
      </c>
      <c r="B153" s="1097"/>
      <c r="C153" s="1097"/>
      <c r="D153" s="132">
        <f>+D143+D151</f>
        <v>32342.800000000003</v>
      </c>
    </row>
    <row r="156" spans="1:8" ht="39" customHeight="1" x14ac:dyDescent="0.3">
      <c r="A156" s="1075" t="s">
        <v>614</v>
      </c>
      <c r="B156" s="1075"/>
      <c r="C156" s="1075"/>
      <c r="D156" s="1075"/>
      <c r="E156" s="1075"/>
      <c r="F156" s="128"/>
      <c r="G156" s="128"/>
      <c r="H156" s="128"/>
    </row>
    <row r="157" spans="1:8" x14ac:dyDescent="0.3">
      <c r="A157" s="133"/>
      <c r="B157" s="133"/>
      <c r="C157" s="133"/>
      <c r="D157" s="133"/>
      <c r="E157" s="133"/>
      <c r="F157" s="133"/>
      <c r="G157" s="133"/>
      <c r="H157" s="133"/>
    </row>
    <row r="158" spans="1:8" x14ac:dyDescent="0.3">
      <c r="A158" s="1098" t="s">
        <v>615</v>
      </c>
      <c r="B158" s="1098"/>
      <c r="C158" s="1098"/>
      <c r="D158" s="1098"/>
      <c r="E158" s="1098"/>
      <c r="F158" s="134"/>
      <c r="G158" s="134"/>
      <c r="H158" s="134"/>
    </row>
    <row r="160" spans="1:8" ht="26" x14ac:dyDescent="0.3">
      <c r="A160" s="102" t="s">
        <v>616</v>
      </c>
      <c r="B160" s="102" t="s">
        <v>617</v>
      </c>
      <c r="C160" s="102" t="s">
        <v>618</v>
      </c>
      <c r="D160" s="102" t="s">
        <v>26</v>
      </c>
    </row>
    <row r="161" spans="1:8" x14ac:dyDescent="0.3">
      <c r="A161" s="106" t="s">
        <v>619</v>
      </c>
      <c r="B161" s="135">
        <v>77</v>
      </c>
      <c r="C161" s="111">
        <v>250</v>
      </c>
      <c r="D161" s="111">
        <f>+B161*C161</f>
        <v>19250</v>
      </c>
    </row>
    <row r="162" spans="1:8" x14ac:dyDescent="0.3">
      <c r="A162" s="106" t="s">
        <v>620</v>
      </c>
      <c r="B162" s="111">
        <v>359</v>
      </c>
      <c r="C162" s="111">
        <v>250</v>
      </c>
      <c r="D162" s="111">
        <f>+B162*C162</f>
        <v>89750</v>
      </c>
    </row>
    <row r="163" spans="1:8" x14ac:dyDescent="0.3">
      <c r="A163" s="106" t="s">
        <v>621</v>
      </c>
      <c r="B163" s="111">
        <v>1476</v>
      </c>
      <c r="C163" s="111">
        <v>250</v>
      </c>
      <c r="D163" s="111">
        <f>+B163*C163</f>
        <v>369000</v>
      </c>
    </row>
    <row r="164" spans="1:8" x14ac:dyDescent="0.3">
      <c r="A164" s="136" t="s">
        <v>622</v>
      </c>
      <c r="B164" s="137">
        <f>+SUM(B161:B163)</f>
        <v>1912</v>
      </c>
      <c r="C164" s="137"/>
      <c r="D164" s="137">
        <f>+SUM(D161:D163)</f>
        <v>478000</v>
      </c>
    </row>
    <row r="165" spans="1:8" x14ac:dyDescent="0.3">
      <c r="A165" s="106" t="s">
        <v>623</v>
      </c>
      <c r="B165" s="111">
        <f>272+30</f>
        <v>302</v>
      </c>
      <c r="C165" s="119"/>
      <c r="D165" s="119"/>
    </row>
    <row r="166" spans="1:8" x14ac:dyDescent="0.3">
      <c r="A166" s="138" t="s">
        <v>624</v>
      </c>
      <c r="B166" s="137">
        <f>+B164+B165</f>
        <v>2214</v>
      </c>
      <c r="C166" s="119"/>
      <c r="D166" s="119"/>
    </row>
    <row r="168" spans="1:8" x14ac:dyDescent="0.3">
      <c r="H168" s="109"/>
    </row>
    <row r="169" spans="1:8" ht="26" x14ac:dyDescent="0.3">
      <c r="A169" s="139" t="s">
        <v>625</v>
      </c>
      <c r="B169" s="139" t="s">
        <v>577</v>
      </c>
      <c r="C169" s="103" t="s">
        <v>626</v>
      </c>
      <c r="D169" s="139" t="s">
        <v>627</v>
      </c>
      <c r="E169" s="103" t="s">
        <v>628</v>
      </c>
    </row>
    <row r="170" spans="1:8" x14ac:dyDescent="0.3">
      <c r="A170" s="140" t="s">
        <v>629</v>
      </c>
      <c r="B170" s="141">
        <v>53</v>
      </c>
      <c r="C170" s="111">
        <f t="shared" ref="C170:C175" si="2">B170*1.1</f>
        <v>58.300000000000004</v>
      </c>
      <c r="D170" s="111">
        <v>1</v>
      </c>
      <c r="E170" s="111">
        <f>D170*C170</f>
        <v>58.300000000000004</v>
      </c>
    </row>
    <row r="171" spans="1:8" x14ac:dyDescent="0.3">
      <c r="A171" s="140" t="s">
        <v>630</v>
      </c>
      <c r="B171" s="141">
        <v>28.5</v>
      </c>
      <c r="C171" s="111">
        <f t="shared" si="2"/>
        <v>31.35</v>
      </c>
      <c r="D171" s="111">
        <v>3</v>
      </c>
      <c r="E171" s="111">
        <f>D171*C171</f>
        <v>94.050000000000011</v>
      </c>
    </row>
    <row r="172" spans="1:8" x14ac:dyDescent="0.3">
      <c r="A172" s="140" t="s">
        <v>631</v>
      </c>
      <c r="B172" s="142">
        <v>29</v>
      </c>
      <c r="C172" s="111">
        <f t="shared" si="2"/>
        <v>31.900000000000002</v>
      </c>
      <c r="D172" s="111">
        <v>2</v>
      </c>
      <c r="E172" s="111">
        <f>D172*C172</f>
        <v>63.800000000000004</v>
      </c>
    </row>
    <row r="173" spans="1:8" x14ac:dyDescent="0.3">
      <c r="A173" s="140" t="s">
        <v>632</v>
      </c>
      <c r="B173" s="142">
        <v>23</v>
      </c>
      <c r="C173" s="111">
        <f t="shared" si="2"/>
        <v>25.3</v>
      </c>
      <c r="D173" s="111"/>
      <c r="E173" s="111"/>
    </row>
    <row r="174" spans="1:8" x14ac:dyDescent="0.3">
      <c r="A174" s="140" t="s">
        <v>633</v>
      </c>
      <c r="B174" s="142">
        <v>48</v>
      </c>
      <c r="C174" s="111">
        <f t="shared" si="2"/>
        <v>52.800000000000004</v>
      </c>
      <c r="D174" s="111"/>
      <c r="E174" s="111"/>
    </row>
    <row r="175" spans="1:8" x14ac:dyDescent="0.3">
      <c r="A175" s="140" t="s">
        <v>634</v>
      </c>
      <c r="B175" s="142">
        <v>51</v>
      </c>
      <c r="C175" s="111">
        <f t="shared" si="2"/>
        <v>56.1</v>
      </c>
      <c r="D175" s="111"/>
      <c r="E175" s="111"/>
    </row>
    <row r="176" spans="1:8" x14ac:dyDescent="0.3">
      <c r="A176" s="137" t="s">
        <v>635</v>
      </c>
      <c r="B176" s="143"/>
      <c r="C176" s="137">
        <f>+SUM(C170:C175)</f>
        <v>255.75000000000003</v>
      </c>
      <c r="D176" s="137"/>
      <c r="E176" s="137">
        <f>SUM(E170:E175)</f>
        <v>216.15000000000003</v>
      </c>
    </row>
    <row r="178" spans="1:6" x14ac:dyDescent="0.3">
      <c r="B178" s="98"/>
      <c r="C178" s="99"/>
      <c r="D178" s="99"/>
      <c r="E178" s="100"/>
      <c r="F178" s="101"/>
    </row>
    <row r="179" spans="1:6" ht="33.75" customHeight="1" x14ac:dyDescent="0.3">
      <c r="A179" s="110" t="s">
        <v>616</v>
      </c>
      <c r="B179" s="102" t="s">
        <v>636</v>
      </c>
      <c r="C179" s="102" t="s">
        <v>637</v>
      </c>
      <c r="D179" s="102" t="s">
        <v>638</v>
      </c>
    </row>
    <row r="180" spans="1:6" x14ac:dyDescent="0.3">
      <c r="A180" s="106" t="s">
        <v>639</v>
      </c>
      <c r="B180" s="111">
        <v>77</v>
      </c>
      <c r="C180" s="111"/>
      <c r="D180" s="111">
        <f t="shared" ref="D180:D185" si="3">SUM(B180:C180)</f>
        <v>77</v>
      </c>
    </row>
    <row r="181" spans="1:6" x14ac:dyDescent="0.3">
      <c r="A181" s="106" t="s">
        <v>640</v>
      </c>
      <c r="B181" s="111">
        <v>86</v>
      </c>
      <c r="C181" s="144">
        <v>273</v>
      </c>
      <c r="D181" s="111">
        <f t="shared" si="3"/>
        <v>359</v>
      </c>
    </row>
    <row r="182" spans="1:6" x14ac:dyDescent="0.3">
      <c r="A182" s="106" t="s">
        <v>641</v>
      </c>
      <c r="B182" s="111">
        <v>29</v>
      </c>
      <c r="C182" s="111">
        <v>1</v>
      </c>
      <c r="D182" s="111">
        <f t="shared" si="3"/>
        <v>30</v>
      </c>
      <c r="F182" s="97">
        <f>+D183</f>
        <v>1358</v>
      </c>
    </row>
    <row r="183" spans="1:6" x14ac:dyDescent="0.3">
      <c r="A183" s="106" t="s">
        <v>642</v>
      </c>
      <c r="B183" s="111">
        <v>906</v>
      </c>
      <c r="C183" s="111">
        <v>452</v>
      </c>
      <c r="D183" s="111">
        <f t="shared" si="3"/>
        <v>1358</v>
      </c>
      <c r="E183" s="97">
        <v>272</v>
      </c>
      <c r="F183" s="97">
        <f>+D184-E183</f>
        <v>71</v>
      </c>
    </row>
    <row r="184" spans="1:6" x14ac:dyDescent="0.3">
      <c r="A184" s="106" t="s">
        <v>643</v>
      </c>
      <c r="B184" s="111">
        <v>254</v>
      </c>
      <c r="C184" s="111">
        <v>89</v>
      </c>
      <c r="D184" s="111">
        <f t="shared" si="3"/>
        <v>343</v>
      </c>
      <c r="F184" s="97">
        <v>47</v>
      </c>
    </row>
    <row r="185" spans="1:6" x14ac:dyDescent="0.3">
      <c r="A185" s="106" t="s">
        <v>644</v>
      </c>
      <c r="B185" s="111">
        <v>40</v>
      </c>
      <c r="C185" s="111">
        <v>7</v>
      </c>
      <c r="D185" s="111">
        <f t="shared" si="3"/>
        <v>47</v>
      </c>
      <c r="F185" s="97">
        <f>+SUM(F182:F184)</f>
        <v>1476</v>
      </c>
    </row>
    <row r="186" spans="1:6" x14ac:dyDescent="0.3">
      <c r="A186" s="106" t="s">
        <v>638</v>
      </c>
      <c r="B186" s="110">
        <f>+SUM(B180:B185)</f>
        <v>1392</v>
      </c>
      <c r="C186" s="110">
        <f>+SUM(C180:C185)</f>
        <v>822</v>
      </c>
      <c r="D186" s="110">
        <f>+SUM(D180:D185)</f>
        <v>2214</v>
      </c>
    </row>
    <row r="190" spans="1:6" x14ac:dyDescent="0.3">
      <c r="A190" s="1098" t="s">
        <v>645</v>
      </c>
      <c r="B190" s="1098"/>
      <c r="C190" s="1098"/>
      <c r="D190" s="1098"/>
      <c r="E190" s="1098"/>
    </row>
    <row r="193" spans="1:3" ht="26" x14ac:dyDescent="0.3">
      <c r="A193" s="145" t="s">
        <v>646</v>
      </c>
      <c r="B193" s="146" t="s">
        <v>647</v>
      </c>
    </row>
    <row r="194" spans="1:3" x14ac:dyDescent="0.3">
      <c r="A194" s="147" t="s">
        <v>648</v>
      </c>
      <c r="B194" s="148">
        <v>821</v>
      </c>
    </row>
    <row r="195" spans="1:3" x14ac:dyDescent="0.3">
      <c r="A195" s="147" t="s">
        <v>649</v>
      </c>
      <c r="B195" s="148">
        <v>109</v>
      </c>
    </row>
    <row r="196" spans="1:3" x14ac:dyDescent="0.3">
      <c r="A196" s="147" t="s">
        <v>650</v>
      </c>
      <c r="B196" s="148">
        <v>449</v>
      </c>
    </row>
    <row r="197" spans="1:3" x14ac:dyDescent="0.3">
      <c r="A197" s="147" t="s">
        <v>651</v>
      </c>
      <c r="B197" s="148">
        <v>31</v>
      </c>
    </row>
    <row r="198" spans="1:3" x14ac:dyDescent="0.3">
      <c r="A198" s="149"/>
      <c r="B198" s="150">
        <f>+SUM(B194:B197)</f>
        <v>1410</v>
      </c>
      <c r="C198" s="151"/>
    </row>
    <row r="201" spans="1:3" x14ac:dyDescent="0.3">
      <c r="A201" s="1099" t="s">
        <v>652</v>
      </c>
      <c r="B201" s="145" t="s">
        <v>653</v>
      </c>
      <c r="C201" s="145" t="s">
        <v>654</v>
      </c>
    </row>
    <row r="202" spans="1:3" x14ac:dyDescent="0.3">
      <c r="A202" s="1100"/>
      <c r="B202" s="145" t="s">
        <v>655</v>
      </c>
      <c r="C202" s="145" t="s">
        <v>655</v>
      </c>
    </row>
    <row r="203" spans="1:3" x14ac:dyDescent="0.3">
      <c r="A203" s="111" t="s">
        <v>656</v>
      </c>
      <c r="B203" s="111">
        <v>35</v>
      </c>
      <c r="C203" s="111">
        <v>35</v>
      </c>
    </row>
    <row r="204" spans="1:3" x14ac:dyDescent="0.3">
      <c r="A204" s="111" t="s">
        <v>657</v>
      </c>
      <c r="B204" s="111">
        <v>20</v>
      </c>
      <c r="C204" s="111">
        <v>20</v>
      </c>
    </row>
    <row r="205" spans="1:3" x14ac:dyDescent="0.3">
      <c r="A205" s="111" t="s">
        <v>658</v>
      </c>
      <c r="B205" s="111">
        <v>20</v>
      </c>
      <c r="C205" s="111"/>
    </row>
    <row r="206" spans="1:3" x14ac:dyDescent="0.3">
      <c r="A206" s="111" t="s">
        <v>659</v>
      </c>
      <c r="B206" s="111">
        <v>35</v>
      </c>
      <c r="C206" s="111"/>
    </row>
    <row r="207" spans="1:3" x14ac:dyDescent="0.3">
      <c r="A207" s="145" t="s">
        <v>660</v>
      </c>
      <c r="B207" s="145">
        <f>+SUM(B203:B206)</f>
        <v>110</v>
      </c>
      <c r="C207" s="145">
        <f>+SUM(C203:C206)</f>
        <v>55</v>
      </c>
    </row>
    <row r="209" spans="1:6" x14ac:dyDescent="0.3">
      <c r="A209" s="146" t="s">
        <v>661</v>
      </c>
      <c r="B209" s="152" t="s">
        <v>662</v>
      </c>
      <c r="C209" s="152" t="s">
        <v>655</v>
      </c>
      <c r="D209" s="152" t="s">
        <v>591</v>
      </c>
      <c r="E209" s="146" t="s">
        <v>25</v>
      </c>
      <c r="F209" s="146" t="s">
        <v>26</v>
      </c>
    </row>
    <row r="210" spans="1:6" ht="13.5" customHeight="1" x14ac:dyDescent="0.3">
      <c r="A210" s="106" t="s">
        <v>663</v>
      </c>
      <c r="B210" s="106">
        <f>+B195+B196</f>
        <v>558</v>
      </c>
      <c r="C210" s="106">
        <f>+C207</f>
        <v>55</v>
      </c>
      <c r="D210" s="153">
        <f>+B210*C210</f>
        <v>30690</v>
      </c>
      <c r="E210" s="153">
        <f>+D210*12%</f>
        <v>3682.7999999999997</v>
      </c>
      <c r="F210" s="153">
        <f>+D210+E210</f>
        <v>34372.800000000003</v>
      </c>
    </row>
    <row r="211" spans="1:6" ht="13.5" customHeight="1" x14ac:dyDescent="0.3">
      <c r="A211" s="106" t="s">
        <v>651</v>
      </c>
      <c r="B211" s="106">
        <v>31</v>
      </c>
      <c r="C211" s="106">
        <f>+B207</f>
        <v>110</v>
      </c>
      <c r="D211" s="153">
        <f>+B211*C211</f>
        <v>3410</v>
      </c>
      <c r="E211" s="153">
        <f>+D211*12%</f>
        <v>409.2</v>
      </c>
      <c r="F211" s="153">
        <f>+D211+E211</f>
        <v>3819.2</v>
      </c>
    </row>
    <row r="212" spans="1:6" x14ac:dyDescent="0.3">
      <c r="A212" s="1079" t="s">
        <v>28</v>
      </c>
      <c r="B212" s="1080"/>
      <c r="C212" s="1081"/>
      <c r="D212" s="154">
        <f>+SUM(D210:D211)</f>
        <v>34100</v>
      </c>
      <c r="E212" s="154"/>
      <c r="F212" s="154">
        <f>+SUM(F210:F211)</f>
        <v>38192</v>
      </c>
    </row>
    <row r="214" spans="1:6" x14ac:dyDescent="0.3">
      <c r="A214" s="1082" t="s">
        <v>664</v>
      </c>
      <c r="B214" s="1082" t="s">
        <v>637</v>
      </c>
      <c r="C214" s="1082"/>
      <c r="D214" s="1082"/>
    </row>
    <row r="215" spans="1:6" ht="14" x14ac:dyDescent="0.3">
      <c r="A215" s="1082"/>
      <c r="B215" s="145" t="s">
        <v>665</v>
      </c>
      <c r="C215" s="145" t="s">
        <v>576</v>
      </c>
      <c r="D215" s="145" t="s">
        <v>26</v>
      </c>
      <c r="E215" s="155"/>
    </row>
    <row r="216" spans="1:6" ht="14" x14ac:dyDescent="0.3">
      <c r="A216" s="106" t="s">
        <v>666</v>
      </c>
      <c r="B216" s="153">
        <v>0</v>
      </c>
      <c r="C216" s="153">
        <v>1</v>
      </c>
      <c r="D216" s="156">
        <f>+B216*C216</f>
        <v>0</v>
      </c>
      <c r="E216" s="155"/>
    </row>
    <row r="217" spans="1:6" ht="14" x14ac:dyDescent="0.3">
      <c r="A217" s="106" t="s">
        <v>667</v>
      </c>
      <c r="B217" s="153">
        <v>0</v>
      </c>
      <c r="C217" s="153">
        <v>1</v>
      </c>
      <c r="D217" s="156">
        <f t="shared" ref="D217:D236" si="4">+B217*C217</f>
        <v>0</v>
      </c>
      <c r="E217" s="155"/>
    </row>
    <row r="218" spans="1:6" ht="14" x14ac:dyDescent="0.3">
      <c r="A218" s="106" t="s">
        <v>668</v>
      </c>
      <c r="B218" s="153">
        <v>740</v>
      </c>
      <c r="C218" s="153">
        <v>821</v>
      </c>
      <c r="D218" s="156">
        <f t="shared" si="4"/>
        <v>607540</v>
      </c>
      <c r="E218" s="155"/>
    </row>
    <row r="219" spans="1:6" ht="14" x14ac:dyDescent="0.3">
      <c r="A219" s="106" t="s">
        <v>669</v>
      </c>
      <c r="B219" s="153">
        <v>40</v>
      </c>
      <c r="C219" s="153">
        <v>821</v>
      </c>
      <c r="D219" s="156">
        <f t="shared" si="4"/>
        <v>32840</v>
      </c>
      <c r="E219" s="155"/>
    </row>
    <row r="220" spans="1:6" ht="14" x14ac:dyDescent="0.3">
      <c r="A220" s="106" t="s">
        <v>670</v>
      </c>
      <c r="B220" s="157">
        <v>360</v>
      </c>
      <c r="C220" s="153">
        <v>821</v>
      </c>
      <c r="D220" s="156">
        <f t="shared" si="4"/>
        <v>295560</v>
      </c>
      <c r="E220" s="155"/>
    </row>
    <row r="221" spans="1:6" ht="14" x14ac:dyDescent="0.3">
      <c r="A221" s="106" t="s">
        <v>671</v>
      </c>
      <c r="B221" s="157">
        <v>35</v>
      </c>
      <c r="C221" s="153">
        <v>821</v>
      </c>
      <c r="D221" s="156">
        <f t="shared" si="4"/>
        <v>28735</v>
      </c>
      <c r="E221" s="155"/>
    </row>
    <row r="222" spans="1:6" ht="14" x14ac:dyDescent="0.3">
      <c r="A222" s="106" t="s">
        <v>672</v>
      </c>
      <c r="B222" s="157">
        <v>5910</v>
      </c>
      <c r="C222" s="153">
        <v>24</v>
      </c>
      <c r="D222" s="156">
        <f t="shared" si="4"/>
        <v>141840</v>
      </c>
      <c r="E222" s="155"/>
    </row>
    <row r="223" spans="1:6" ht="14" x14ac:dyDescent="0.3">
      <c r="A223" s="106" t="s">
        <v>673</v>
      </c>
      <c r="B223" s="153">
        <v>450</v>
      </c>
      <c r="C223" s="153">
        <v>24</v>
      </c>
      <c r="D223" s="156">
        <f t="shared" si="4"/>
        <v>10800</v>
      </c>
      <c r="E223" s="155"/>
    </row>
    <row r="224" spans="1:6" ht="14" x14ac:dyDescent="0.3">
      <c r="A224" s="106" t="s">
        <v>674</v>
      </c>
      <c r="B224" s="153">
        <v>3300</v>
      </c>
      <c r="C224" s="153">
        <v>24</v>
      </c>
      <c r="D224" s="156">
        <f t="shared" si="4"/>
        <v>79200</v>
      </c>
      <c r="E224" s="155"/>
    </row>
    <row r="225" spans="1:8" ht="14" x14ac:dyDescent="0.3">
      <c r="A225" s="106" t="s">
        <v>675</v>
      </c>
      <c r="B225" s="153">
        <v>20</v>
      </c>
      <c r="C225" s="153">
        <v>821</v>
      </c>
      <c r="D225" s="156">
        <f t="shared" si="4"/>
        <v>16420</v>
      </c>
      <c r="E225" s="155"/>
    </row>
    <row r="226" spans="1:8" ht="14" x14ac:dyDescent="0.3">
      <c r="A226" s="106" t="s">
        <v>676</v>
      </c>
      <c r="B226" s="153">
        <v>12</v>
      </c>
      <c r="C226" s="153">
        <v>821</v>
      </c>
      <c r="D226" s="156">
        <f t="shared" si="4"/>
        <v>9852</v>
      </c>
      <c r="E226" s="155"/>
    </row>
    <row r="227" spans="1:8" ht="14" x14ac:dyDescent="0.3">
      <c r="A227" s="106" t="s">
        <v>677</v>
      </c>
      <c r="B227" s="153">
        <v>15</v>
      </c>
      <c r="C227" s="153">
        <v>821</v>
      </c>
      <c r="D227" s="156">
        <f t="shared" si="4"/>
        <v>12315</v>
      </c>
      <c r="E227" s="155"/>
    </row>
    <row r="228" spans="1:8" ht="14" x14ac:dyDescent="0.3">
      <c r="A228" s="106" t="s">
        <v>678</v>
      </c>
      <c r="B228" s="153">
        <v>22</v>
      </c>
      <c r="C228" s="153">
        <v>821</v>
      </c>
      <c r="D228" s="156">
        <f t="shared" si="4"/>
        <v>18062</v>
      </c>
      <c r="E228" s="155"/>
    </row>
    <row r="229" spans="1:8" ht="14" x14ac:dyDescent="0.3">
      <c r="A229" s="106" t="s">
        <v>679</v>
      </c>
      <c r="B229" s="153">
        <v>15</v>
      </c>
      <c r="C229" s="153">
        <v>821</v>
      </c>
      <c r="D229" s="156">
        <f t="shared" si="4"/>
        <v>12315</v>
      </c>
      <c r="E229" s="155"/>
    </row>
    <row r="230" spans="1:8" ht="14" x14ac:dyDescent="0.3">
      <c r="A230" s="106" t="s">
        <v>680</v>
      </c>
      <c r="B230" s="157">
        <v>450</v>
      </c>
      <c r="C230" s="153">
        <v>821</v>
      </c>
      <c r="D230" s="156">
        <f t="shared" si="4"/>
        <v>369450</v>
      </c>
      <c r="E230" s="155"/>
    </row>
    <row r="231" spans="1:8" ht="14" x14ac:dyDescent="0.3">
      <c r="A231" s="106" t="s">
        <v>681</v>
      </c>
      <c r="B231" s="157">
        <v>19</v>
      </c>
      <c r="C231" s="153">
        <v>821</v>
      </c>
      <c r="D231" s="156">
        <f t="shared" si="4"/>
        <v>15599</v>
      </c>
      <c r="E231" s="155"/>
    </row>
    <row r="232" spans="1:8" ht="14" x14ac:dyDescent="0.3">
      <c r="A232" s="106" t="s">
        <v>682</v>
      </c>
      <c r="B232" s="157">
        <v>250</v>
      </c>
      <c r="C232" s="153">
        <v>821</v>
      </c>
      <c r="D232" s="156">
        <f t="shared" si="4"/>
        <v>205250</v>
      </c>
      <c r="E232" s="155"/>
    </row>
    <row r="233" spans="1:8" ht="14" x14ac:dyDescent="0.3">
      <c r="A233" s="106" t="s">
        <v>683</v>
      </c>
      <c r="B233" s="153">
        <v>75</v>
      </c>
      <c r="C233" s="153">
        <v>821</v>
      </c>
      <c r="D233" s="156">
        <f t="shared" si="4"/>
        <v>61575</v>
      </c>
      <c r="E233" s="155"/>
    </row>
    <row r="234" spans="1:8" ht="14" x14ac:dyDescent="0.3">
      <c r="A234" s="106" t="s">
        <v>684</v>
      </c>
      <c r="B234" s="153">
        <v>10</v>
      </c>
      <c r="C234" s="153">
        <v>821</v>
      </c>
      <c r="D234" s="156">
        <f t="shared" si="4"/>
        <v>8210</v>
      </c>
      <c r="E234" s="155"/>
    </row>
    <row r="235" spans="1:8" ht="14" x14ac:dyDescent="0.3">
      <c r="A235" s="106" t="s">
        <v>685</v>
      </c>
      <c r="B235" s="153">
        <v>12</v>
      </c>
      <c r="C235" s="153">
        <v>821</v>
      </c>
      <c r="D235" s="156">
        <f t="shared" si="4"/>
        <v>9852</v>
      </c>
      <c r="E235" s="155"/>
    </row>
    <row r="236" spans="1:8" ht="14.5" x14ac:dyDescent="0.3">
      <c r="A236" s="106" t="s">
        <v>686</v>
      </c>
      <c r="B236" s="153">
        <v>20</v>
      </c>
      <c r="C236" s="153">
        <v>821</v>
      </c>
      <c r="D236" s="156">
        <f t="shared" si="4"/>
        <v>16420</v>
      </c>
      <c r="E236" s="155"/>
      <c r="H236" s="158"/>
    </row>
    <row r="237" spans="1:8" ht="28.5" customHeight="1" x14ac:dyDescent="0.3">
      <c r="B237" s="159"/>
      <c r="C237" s="145" t="s">
        <v>591</v>
      </c>
      <c r="D237" s="154">
        <f>+SUM(D216:D236)</f>
        <v>1951835</v>
      </c>
      <c r="E237" s="160">
        <v>821</v>
      </c>
    </row>
    <row r="238" spans="1:8" x14ac:dyDescent="0.3">
      <c r="C238" s="161" t="s">
        <v>687</v>
      </c>
      <c r="D238" s="153">
        <f>+D237*12%</f>
        <v>234220.19999999998</v>
      </c>
      <c r="E238" s="160">
        <f>+D237/E237</f>
        <v>2377.3873325213153</v>
      </c>
    </row>
    <row r="239" spans="1:8" x14ac:dyDescent="0.3">
      <c r="B239" s="162"/>
      <c r="C239" s="161" t="s">
        <v>26</v>
      </c>
      <c r="D239" s="153">
        <f>+SUM(D237:D238)</f>
        <v>2186055.2000000002</v>
      </c>
    </row>
    <row r="240" spans="1:8" x14ac:dyDescent="0.3">
      <c r="B240" s="162"/>
      <c r="C240" s="160"/>
      <c r="D240" s="160"/>
    </row>
    <row r="243" spans="1:8" ht="33" customHeight="1" x14ac:dyDescent="0.3">
      <c r="A243" s="1075" t="s">
        <v>688</v>
      </c>
      <c r="B243" s="1075"/>
      <c r="C243" s="1075"/>
      <c r="D243" s="1075"/>
      <c r="E243" s="1075"/>
      <c r="F243" s="1075"/>
    </row>
    <row r="245" spans="1:8" ht="18.75" customHeight="1" x14ac:dyDescent="0.3">
      <c r="A245" s="145" t="s">
        <v>563</v>
      </c>
      <c r="B245" s="145" t="s">
        <v>576</v>
      </c>
      <c r="C245" s="145" t="s">
        <v>689</v>
      </c>
      <c r="D245" s="145" t="s">
        <v>26</v>
      </c>
    </row>
    <row r="246" spans="1:8" x14ac:dyDescent="0.3">
      <c r="A246" s="106" t="s">
        <v>690</v>
      </c>
      <c r="B246" s="163">
        <v>1</v>
      </c>
      <c r="C246" s="153">
        <v>20000</v>
      </c>
      <c r="D246" s="153">
        <f>+B246*C246</f>
        <v>20000</v>
      </c>
    </row>
    <row r="247" spans="1:8" x14ac:dyDescent="0.3">
      <c r="A247" s="106" t="s">
        <v>691</v>
      </c>
      <c r="B247" s="163">
        <v>1</v>
      </c>
      <c r="C247" s="153">
        <v>20000</v>
      </c>
      <c r="D247" s="153">
        <f>+B247*C247</f>
        <v>20000</v>
      </c>
    </row>
    <row r="248" spans="1:8" x14ac:dyDescent="0.3">
      <c r="A248" s="1079" t="s">
        <v>591</v>
      </c>
      <c r="B248" s="1080"/>
      <c r="C248" s="1081"/>
      <c r="D248" s="164">
        <f>+SUM(D246:D247)</f>
        <v>40000</v>
      </c>
    </row>
    <row r="249" spans="1:8" x14ac:dyDescent="0.3">
      <c r="A249" s="1093" t="s">
        <v>692</v>
      </c>
      <c r="B249" s="1094"/>
      <c r="C249" s="1095"/>
      <c r="D249" s="153">
        <f>+D248*12%</f>
        <v>4800</v>
      </c>
    </row>
    <row r="250" spans="1:8" x14ac:dyDescent="0.3">
      <c r="A250" s="1079" t="s">
        <v>26</v>
      </c>
      <c r="B250" s="1080"/>
      <c r="C250" s="1081"/>
      <c r="D250" s="154">
        <f>+D248+D249</f>
        <v>44800</v>
      </c>
    </row>
    <row r="255" spans="1:8" ht="25.5" customHeight="1" x14ac:dyDescent="0.3">
      <c r="A255" s="1075" t="s">
        <v>693</v>
      </c>
      <c r="B255" s="1075"/>
      <c r="C255" s="1075"/>
      <c r="D255" s="1075"/>
      <c r="E255" s="1075"/>
      <c r="F255" s="1075"/>
      <c r="G255" s="128"/>
      <c r="H255" s="128"/>
    </row>
    <row r="257" spans="1:6" ht="22.5" customHeight="1" x14ac:dyDescent="0.3">
      <c r="A257" s="1076" t="s">
        <v>694</v>
      </c>
      <c r="B257" s="1076"/>
      <c r="C257" s="1076"/>
      <c r="D257" s="1076"/>
      <c r="E257" s="1076"/>
      <c r="F257" s="1076"/>
    </row>
    <row r="258" spans="1:6" x14ac:dyDescent="0.3">
      <c r="A258" s="165" t="s">
        <v>695</v>
      </c>
      <c r="B258" s="165" t="s">
        <v>696</v>
      </c>
      <c r="C258" s="165" t="s">
        <v>697</v>
      </c>
      <c r="D258" s="165" t="s">
        <v>599</v>
      </c>
      <c r="E258" s="165" t="s">
        <v>698</v>
      </c>
      <c r="F258" s="165" t="s">
        <v>26</v>
      </c>
    </row>
    <row r="259" spans="1:6" ht="39" x14ac:dyDescent="0.3">
      <c r="A259" s="166" t="s">
        <v>699</v>
      </c>
      <c r="B259" s="166" t="s">
        <v>700</v>
      </c>
      <c r="C259" s="166" t="s">
        <v>701</v>
      </c>
      <c r="D259" s="167">
        <v>3</v>
      </c>
      <c r="E259" s="168">
        <v>2500</v>
      </c>
      <c r="F259" s="168">
        <v>7500</v>
      </c>
    </row>
    <row r="260" spans="1:6" ht="91" x14ac:dyDescent="0.3">
      <c r="A260" s="169" t="s">
        <v>702</v>
      </c>
      <c r="B260" s="166" t="s">
        <v>703</v>
      </c>
      <c r="C260" s="166" t="s">
        <v>703</v>
      </c>
      <c r="D260" s="167">
        <v>20</v>
      </c>
      <c r="E260" s="167">
        <v>500</v>
      </c>
      <c r="F260" s="168">
        <v>10000</v>
      </c>
    </row>
    <row r="261" spans="1:6" x14ac:dyDescent="0.3">
      <c r="A261" s="170"/>
      <c r="B261" s="170"/>
      <c r="C261" s="171"/>
      <c r="D261" s="172">
        <f>SUM(D259:D260)</f>
        <v>23</v>
      </c>
      <c r="E261" s="172" t="s">
        <v>591</v>
      </c>
      <c r="F261" s="173">
        <f>+SUM(F259:F260)</f>
        <v>17500</v>
      </c>
    </row>
    <row r="262" spans="1:6" x14ac:dyDescent="0.3">
      <c r="E262" s="106" t="s">
        <v>704</v>
      </c>
      <c r="F262" s="153">
        <f>+F261*12%</f>
        <v>2100</v>
      </c>
    </row>
    <row r="263" spans="1:6" x14ac:dyDescent="0.3">
      <c r="E263" s="138" t="s">
        <v>26</v>
      </c>
      <c r="F263" s="161">
        <f>+F261+F262</f>
        <v>19600</v>
      </c>
    </row>
    <row r="268" spans="1:6" ht="28.5" customHeight="1" x14ac:dyDescent="0.3">
      <c r="A268" s="1077" t="s">
        <v>705</v>
      </c>
      <c r="B268" s="1077"/>
      <c r="C268" s="1077"/>
      <c r="D268" s="1077"/>
      <c r="E268" s="1077"/>
      <c r="F268" s="1077"/>
    </row>
    <row r="271" spans="1:6" ht="39" x14ac:dyDescent="0.3">
      <c r="A271" s="102" t="s">
        <v>706</v>
      </c>
      <c r="B271" s="102" t="s">
        <v>707</v>
      </c>
      <c r="C271" s="102" t="s">
        <v>708</v>
      </c>
      <c r="D271" s="102" t="s">
        <v>709</v>
      </c>
      <c r="E271" s="102" t="s">
        <v>26</v>
      </c>
      <c r="F271" s="174"/>
    </row>
    <row r="272" spans="1:6" ht="26" x14ac:dyDescent="0.3">
      <c r="A272" s="175" t="s">
        <v>710</v>
      </c>
      <c r="B272" s="176">
        <v>149787</v>
      </c>
      <c r="C272" s="176">
        <v>15778</v>
      </c>
      <c r="D272" s="176">
        <v>15844</v>
      </c>
      <c r="E272" s="176">
        <f>+B272+C272+D272</f>
        <v>181409</v>
      </c>
      <c r="F272" s="177" t="s">
        <v>711</v>
      </c>
    </row>
    <row r="273" spans="1:9" ht="39" x14ac:dyDescent="0.3">
      <c r="A273" s="178" t="s">
        <v>712</v>
      </c>
      <c r="B273" s="179">
        <v>212234</v>
      </c>
      <c r="C273" s="179">
        <v>22035</v>
      </c>
      <c r="D273" s="179">
        <v>18478</v>
      </c>
      <c r="E273" s="179">
        <f>+B273+C273+D273</f>
        <v>252747</v>
      </c>
      <c r="F273" s="180" t="s">
        <v>711</v>
      </c>
      <c r="I273" s="181"/>
    </row>
    <row r="274" spans="1:9" ht="39" x14ac:dyDescent="0.3">
      <c r="A274" s="175" t="s">
        <v>713</v>
      </c>
      <c r="B274" s="176">
        <v>162372</v>
      </c>
      <c r="C274" s="176">
        <v>17085</v>
      </c>
      <c r="D274" s="176">
        <v>15944</v>
      </c>
      <c r="E274" s="176">
        <f>+B274+C274+D274</f>
        <v>195401</v>
      </c>
      <c r="F274" s="177" t="s">
        <v>711</v>
      </c>
      <c r="G274" s="181"/>
    </row>
    <row r="275" spans="1:9" x14ac:dyDescent="0.3">
      <c r="E275" s="114"/>
    </row>
    <row r="277" spans="1:9" x14ac:dyDescent="0.3">
      <c r="A277" s="1078" t="s">
        <v>714</v>
      </c>
      <c r="B277" s="1078"/>
      <c r="C277" s="1078"/>
      <c r="D277" s="1078"/>
      <c r="E277" s="182">
        <f>+E273*1.12</f>
        <v>283076.64</v>
      </c>
      <c r="F277" s="183"/>
    </row>
  </sheetData>
  <mergeCells count="30">
    <mergeCell ref="A49:A59"/>
    <mergeCell ref="B59:D59"/>
    <mergeCell ref="A61:A68"/>
    <mergeCell ref="B68:D68"/>
    <mergeCell ref="A1:H1"/>
    <mergeCell ref="A2:H2"/>
    <mergeCell ref="A11:E11"/>
    <mergeCell ref="A12:E12"/>
    <mergeCell ref="A46:E46"/>
    <mergeCell ref="A70:C72"/>
    <mergeCell ref="A74:E74"/>
    <mergeCell ref="A97:E97"/>
    <mergeCell ref="A249:C249"/>
    <mergeCell ref="A131:E131"/>
    <mergeCell ref="A153:C153"/>
    <mergeCell ref="A156:E156"/>
    <mergeCell ref="A158:E158"/>
    <mergeCell ref="A190:E190"/>
    <mergeCell ref="A201:A202"/>
    <mergeCell ref="A129:E129"/>
    <mergeCell ref="A255:F255"/>
    <mergeCell ref="A257:F257"/>
    <mergeCell ref="A268:F268"/>
    <mergeCell ref="A277:D277"/>
    <mergeCell ref="A212:C212"/>
    <mergeCell ref="A214:A215"/>
    <mergeCell ref="B214:D214"/>
    <mergeCell ref="A243:F243"/>
    <mergeCell ref="A248:C248"/>
    <mergeCell ref="A250:C25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howOutlineSymbols="0"/>
  </sheetPr>
  <dimension ref="A1:AX139"/>
  <sheetViews>
    <sheetView showGridLines="0" showOutlineSymbols="0" zoomScale="70" zoomScaleNormal="70" workbookViewId="0">
      <pane xSplit="2" ySplit="5" topLeftCell="W73" activePane="bottomRight" state="frozen"/>
      <selection pane="topRight" activeCell="C1" sqref="C1"/>
      <selection pane="bottomLeft" activeCell="A7" sqref="A7"/>
      <selection pane="bottomRight" activeCell="AM112" sqref="AM112"/>
    </sheetView>
  </sheetViews>
  <sheetFormatPr defaultColWidth="8.58203125" defaultRowHeight="14.5" outlineLevelRow="2" outlineLevelCol="1" x14ac:dyDescent="0.35"/>
  <cols>
    <col min="1" max="1" width="5.08203125" style="398" customWidth="1"/>
    <col min="2" max="2" width="98.58203125" style="542" customWidth="1"/>
    <col min="3" max="3" width="16.58203125" style="397" bestFit="1" customWidth="1"/>
    <col min="4" max="4" width="18" style="397" customWidth="1"/>
    <col min="5" max="5" width="16.58203125" style="397" bestFit="1" customWidth="1"/>
    <col min="6" max="6" width="16.5" style="397" bestFit="1" customWidth="1" collapsed="1"/>
    <col min="7" max="7" width="18" style="397" customWidth="1"/>
    <col min="8" max="8" width="16.58203125" style="397" bestFit="1" customWidth="1"/>
    <col min="9" max="9" width="16.33203125" style="397" customWidth="1"/>
    <col min="10" max="10" width="6.33203125" style="293" hidden="1" customWidth="1"/>
    <col min="11" max="16" width="6.5" style="293" hidden="1" customWidth="1"/>
    <col min="17" max="17" width="17.83203125" style="631" customWidth="1" outlineLevel="1"/>
    <col min="18" max="18" width="16.08203125" style="631" customWidth="1" outlineLevel="1"/>
    <col min="19" max="19" width="17.83203125" style="631" customWidth="1" outlineLevel="1"/>
    <col min="20" max="20" width="17.08203125" style="631" bestFit="1" customWidth="1" outlineLevel="1"/>
    <col min="21" max="21" width="15.83203125" style="631" customWidth="1" outlineLevel="1"/>
    <col min="22" max="22" width="17.08203125" style="631" bestFit="1" customWidth="1" outlineLevel="1"/>
    <col min="23" max="25" width="16.83203125" style="631" customWidth="1" outlineLevel="1"/>
    <col min="26" max="26" width="17.08203125" style="631" bestFit="1" customWidth="1" outlineLevel="1"/>
    <col min="27" max="27" width="15.58203125" style="631" bestFit="1" customWidth="1" outlineLevel="1"/>
    <col min="28" max="28" width="16.83203125" style="631" customWidth="1" outlineLevel="1"/>
    <col min="29" max="29" width="17.58203125" style="631" customWidth="1" outlineLevel="1"/>
    <col min="30" max="30" width="15.58203125" style="631" bestFit="1" customWidth="1" outlineLevel="1"/>
    <col min="31" max="31" width="17.08203125" style="631" bestFit="1" customWidth="1" outlineLevel="1"/>
    <col min="32" max="32" width="16.08203125" style="631" hidden="1" customWidth="1" outlineLevel="1"/>
    <col min="33" max="34" width="15.83203125" style="631" hidden="1" customWidth="1" outlineLevel="1"/>
    <col min="35" max="35" width="14.58203125" style="631" hidden="1" customWidth="1" outlineLevel="1"/>
    <col min="36" max="37" width="15.83203125" style="631" hidden="1" customWidth="1" outlineLevel="1"/>
    <col min="38" max="38" width="3.08203125" style="631" customWidth="1"/>
    <col min="39" max="39" width="18.08203125" style="631" bestFit="1" customWidth="1"/>
    <col min="40" max="40" width="17.5" style="631" bestFit="1" customWidth="1"/>
    <col min="41" max="41" width="18.08203125" style="631" bestFit="1" customWidth="1"/>
    <col min="42" max="42" width="15.58203125" style="861" customWidth="1"/>
    <col min="43" max="43" width="25.08203125" style="862" customWidth="1"/>
    <col min="44" max="50" width="25.08203125" style="889" customWidth="1"/>
    <col min="51" max="51" width="8.58203125" style="398"/>
    <col min="52" max="52" width="17" style="398" bestFit="1" customWidth="1"/>
    <col min="53" max="53" width="8.58203125" style="398"/>
    <col min="54" max="54" width="8.58203125" style="398" bestFit="1" customWidth="1"/>
    <col min="55" max="56" width="10.08203125" style="398" bestFit="1" customWidth="1"/>
    <col min="57" max="58" width="13" style="398" bestFit="1" customWidth="1"/>
    <col min="59" max="65" width="17" style="398" bestFit="1" customWidth="1"/>
    <col min="66" max="66" width="8.58203125" style="398"/>
    <col min="67" max="70" width="8.83203125" style="398" bestFit="1" customWidth="1"/>
    <col min="71" max="71" width="18" style="398" bestFit="1" customWidth="1"/>
    <col min="72" max="16384" width="8.58203125" style="398"/>
  </cols>
  <sheetData>
    <row r="1" spans="1:50" s="352" customFormat="1" ht="24.65" customHeight="1" x14ac:dyDescent="0.35">
      <c r="B1" s="354"/>
      <c r="C1" s="355"/>
      <c r="D1" s="355"/>
      <c r="E1" s="355"/>
      <c r="F1" s="355"/>
      <c r="G1" s="355"/>
      <c r="H1" s="355"/>
      <c r="I1" s="355"/>
      <c r="J1" s="356"/>
      <c r="K1" s="356"/>
      <c r="L1" s="356"/>
      <c r="M1" s="356"/>
      <c r="N1" s="356"/>
      <c r="O1" s="356"/>
      <c r="P1" s="356"/>
      <c r="Q1" s="630"/>
      <c r="R1" s="628"/>
      <c r="S1" s="628"/>
      <c r="T1" s="837"/>
      <c r="U1" s="628"/>
      <c r="V1" s="628"/>
      <c r="W1" s="896"/>
      <c r="X1" s="895"/>
      <c r="Y1" s="895"/>
      <c r="Z1" s="894"/>
      <c r="AA1" s="891"/>
      <c r="AB1" s="891"/>
      <c r="AC1" s="897"/>
      <c r="AD1" s="897"/>
      <c r="AE1" s="897"/>
      <c r="AF1" s="895"/>
      <c r="AG1" s="895"/>
      <c r="AH1" s="895"/>
      <c r="AI1" s="895"/>
      <c r="AJ1" s="895"/>
      <c r="AK1" s="895"/>
      <c r="AL1" s="895"/>
      <c r="AM1" s="895"/>
      <c r="AN1" s="628"/>
      <c r="AO1" s="628"/>
      <c r="AP1" s="861"/>
      <c r="AQ1" s="864"/>
      <c r="AR1" s="865"/>
      <c r="AS1" s="866"/>
      <c r="AT1" s="867"/>
      <c r="AU1" s="868"/>
      <c r="AV1" s="863"/>
      <c r="AW1" s="869"/>
      <c r="AX1" s="870"/>
    </row>
    <row r="2" spans="1:50" ht="29.25" customHeight="1" thickBot="1" x14ac:dyDescent="0.4">
      <c r="A2" s="976" t="s">
        <v>176</v>
      </c>
      <c r="B2" s="976"/>
      <c r="F2" s="599"/>
      <c r="I2" s="353"/>
      <c r="T2" s="657"/>
      <c r="W2" s="898"/>
      <c r="X2" s="898"/>
      <c r="Y2" s="898"/>
      <c r="Z2" s="899"/>
      <c r="AA2" s="892"/>
      <c r="AB2" s="892"/>
      <c r="AC2" s="892"/>
      <c r="AD2" s="892"/>
      <c r="AE2" s="894"/>
      <c r="AF2" s="967"/>
      <c r="AG2" s="967"/>
      <c r="AH2" s="967"/>
      <c r="AI2" s="967"/>
      <c r="AJ2" s="967"/>
      <c r="AK2" s="967"/>
      <c r="AL2" s="898"/>
      <c r="AM2" s="900"/>
      <c r="AN2" s="632"/>
      <c r="AQ2" s="864"/>
      <c r="AR2" s="869"/>
      <c r="AS2" s="871"/>
      <c r="AT2" s="867"/>
      <c r="AU2" s="868"/>
      <c r="AV2" s="863"/>
      <c r="AW2" s="869"/>
      <c r="AX2" s="872"/>
    </row>
    <row r="3" spans="1:50" s="499" customFormat="1" ht="39.75" customHeight="1" thickBot="1" x14ac:dyDescent="0.4">
      <c r="B3" s="688"/>
      <c r="C3" s="689"/>
      <c r="D3" s="689"/>
      <c r="E3" s="690"/>
      <c r="F3" s="689"/>
      <c r="G3" s="689"/>
      <c r="H3" s="689"/>
      <c r="I3" s="689"/>
      <c r="J3" s="691"/>
      <c r="K3" s="691"/>
      <c r="L3" s="691"/>
      <c r="M3" s="691"/>
      <c r="N3" s="691"/>
      <c r="O3" s="691"/>
      <c r="P3" s="691"/>
      <c r="Q3" s="972" t="s">
        <v>177</v>
      </c>
      <c r="R3" s="973"/>
      <c r="S3" s="973"/>
      <c r="T3" s="964" t="s">
        <v>178</v>
      </c>
      <c r="U3" s="964"/>
      <c r="V3" s="964"/>
      <c r="W3" s="973" t="s">
        <v>179</v>
      </c>
      <c r="X3" s="973"/>
      <c r="Y3" s="973"/>
      <c r="Z3" s="964" t="s">
        <v>180</v>
      </c>
      <c r="AA3" s="964"/>
      <c r="AB3" s="964"/>
      <c r="AC3" s="974" t="s">
        <v>181</v>
      </c>
      <c r="AD3" s="974"/>
      <c r="AE3" s="975"/>
      <c r="AF3" s="965" t="s">
        <v>182</v>
      </c>
      <c r="AG3" s="965"/>
      <c r="AH3" s="965"/>
      <c r="AI3" s="966" t="s">
        <v>183</v>
      </c>
      <c r="AJ3" s="966"/>
      <c r="AK3" s="966"/>
      <c r="AL3" s="893"/>
      <c r="AM3" s="968" t="s">
        <v>6</v>
      </c>
      <c r="AN3" s="960" t="s">
        <v>184</v>
      </c>
      <c r="AO3" s="962" t="s">
        <v>185</v>
      </c>
      <c r="AP3" s="958"/>
      <c r="AQ3" s="873"/>
      <c r="AR3" s="874"/>
      <c r="AS3" s="874"/>
      <c r="AT3" s="867"/>
      <c r="AU3" s="868"/>
      <c r="AV3" s="863"/>
      <c r="AW3" s="874"/>
      <c r="AX3" s="875"/>
    </row>
    <row r="4" spans="1:50" ht="42.65" customHeight="1" thickBot="1" x14ac:dyDescent="0.4">
      <c r="B4" s="970" t="s">
        <v>186</v>
      </c>
      <c r="C4" s="359" t="s">
        <v>4</v>
      </c>
      <c r="D4" s="360" t="s">
        <v>5</v>
      </c>
      <c r="E4" s="360" t="s">
        <v>187</v>
      </c>
      <c r="F4" s="360" t="s">
        <v>188</v>
      </c>
      <c r="G4" s="360" t="s">
        <v>189</v>
      </c>
      <c r="H4" s="360" t="s">
        <v>190</v>
      </c>
      <c r="I4" s="360" t="s">
        <v>19</v>
      </c>
      <c r="J4" s="537" t="s">
        <v>191</v>
      </c>
      <c r="K4" s="361" t="s">
        <v>192</v>
      </c>
      <c r="L4" s="361" t="s">
        <v>193</v>
      </c>
      <c r="M4" s="361" t="s">
        <v>194</v>
      </c>
      <c r="N4" s="361" t="s">
        <v>195</v>
      </c>
      <c r="O4" s="361" t="s">
        <v>196</v>
      </c>
      <c r="P4" s="361" t="s">
        <v>197</v>
      </c>
      <c r="Q4" s="633" t="s">
        <v>4</v>
      </c>
      <c r="R4" s="634" t="s">
        <v>198</v>
      </c>
      <c r="S4" s="635" t="s">
        <v>26</v>
      </c>
      <c r="T4" s="636" t="s">
        <v>4</v>
      </c>
      <c r="U4" s="636" t="s">
        <v>198</v>
      </c>
      <c r="V4" s="637" t="s">
        <v>26</v>
      </c>
      <c r="W4" s="634" t="s">
        <v>4</v>
      </c>
      <c r="X4" s="634" t="s">
        <v>198</v>
      </c>
      <c r="Y4" s="635" t="s">
        <v>26</v>
      </c>
      <c r="Z4" s="636" t="s">
        <v>4</v>
      </c>
      <c r="AA4" s="636" t="s">
        <v>198</v>
      </c>
      <c r="AB4" s="637" t="s">
        <v>26</v>
      </c>
      <c r="AC4" s="634" t="s">
        <v>4</v>
      </c>
      <c r="AD4" s="634" t="s">
        <v>198</v>
      </c>
      <c r="AE4" s="635" t="s">
        <v>26</v>
      </c>
      <c r="AF4" s="638" t="s">
        <v>4</v>
      </c>
      <c r="AG4" s="638" t="s">
        <v>198</v>
      </c>
      <c r="AH4" s="639" t="s">
        <v>26</v>
      </c>
      <c r="AI4" s="640" t="s">
        <v>4</v>
      </c>
      <c r="AJ4" s="640" t="s">
        <v>198</v>
      </c>
      <c r="AK4" s="641" t="s">
        <v>26</v>
      </c>
      <c r="AL4" s="629"/>
      <c r="AM4" s="969"/>
      <c r="AN4" s="961"/>
      <c r="AO4" s="963"/>
      <c r="AP4" s="958"/>
      <c r="AR4" s="959"/>
      <c r="AS4" s="959"/>
      <c r="AT4" s="875"/>
      <c r="AU4" s="876"/>
      <c r="AV4" s="877"/>
      <c r="AW4" s="877"/>
      <c r="AX4" s="877"/>
    </row>
    <row r="5" spans="1:50" s="297" customFormat="1" ht="35.15" customHeight="1" thickBot="1" x14ac:dyDescent="0.4">
      <c r="B5" s="971"/>
      <c r="C5" s="362">
        <f t="shared" ref="C5:G5" si="0">C6+C73+C112</f>
        <v>77150185.668782264</v>
      </c>
      <c r="D5" s="338">
        <f t="shared" si="0"/>
        <v>7362987.8419901058</v>
      </c>
      <c r="E5" s="338">
        <f>E6+E73+E112</f>
        <v>83999999.510772347</v>
      </c>
      <c r="F5" s="338">
        <f>F6+F73+F112</f>
        <v>4333346.3585701864</v>
      </c>
      <c r="G5" s="338">
        <f t="shared" si="0"/>
        <v>197621.5270284224</v>
      </c>
      <c r="H5" s="338">
        <f>H6+H73+H112-0.3</f>
        <v>4530967.5855986094</v>
      </c>
      <c r="I5" s="534">
        <f>I6+I73+I112-0.5</f>
        <v>88530968.396370962</v>
      </c>
      <c r="J5" s="535"/>
      <c r="K5" s="536"/>
      <c r="L5" s="536"/>
      <c r="M5" s="536"/>
      <c r="N5" s="536"/>
      <c r="O5" s="536"/>
      <c r="P5" s="536"/>
      <c r="Q5" s="642">
        <f>Q6+Q73+Q112</f>
        <v>5622759</v>
      </c>
      <c r="R5" s="643">
        <f t="shared" ref="R5:AD5" si="1">R6+R73+R112</f>
        <v>906193.5771197218</v>
      </c>
      <c r="S5" s="644">
        <f>Q5+R5</f>
        <v>6528952.577119722</v>
      </c>
      <c r="T5" s="643">
        <f t="shared" si="1"/>
        <v>19021592.600855999</v>
      </c>
      <c r="U5" s="643">
        <f t="shared" si="1"/>
        <v>906193.5771197218</v>
      </c>
      <c r="V5" s="644">
        <f>T5+U5</f>
        <v>19927786.177975722</v>
      </c>
      <c r="W5" s="643">
        <v>28104550</v>
      </c>
      <c r="X5" s="643">
        <f t="shared" si="1"/>
        <v>906193.5771197218</v>
      </c>
      <c r="Y5" s="644">
        <f t="shared" si="1"/>
        <v>27561988.218581688</v>
      </c>
      <c r="Z5" s="643">
        <f t="shared" si="1"/>
        <v>26962689.001666259</v>
      </c>
      <c r="AA5" s="643">
        <f t="shared" si="1"/>
        <v>906193.5771197218</v>
      </c>
      <c r="AB5" s="644">
        <f>Z5+AA5</f>
        <v>27868882.578785982</v>
      </c>
      <c r="AC5" s="643">
        <f t="shared" si="1"/>
        <v>4288409.4754536739</v>
      </c>
      <c r="AD5" s="643">
        <f t="shared" si="1"/>
        <v>906193.5771197218</v>
      </c>
      <c r="AE5" s="644">
        <f>AC5+AD5</f>
        <v>5194603.0525733959</v>
      </c>
      <c r="AF5" s="643"/>
      <c r="AG5" s="643"/>
      <c r="AH5" s="644"/>
      <c r="AI5" s="643"/>
      <c r="AJ5" s="643"/>
      <c r="AK5" s="644"/>
      <c r="AL5" s="645"/>
      <c r="AM5" s="642">
        <f>AM6+AM73+AM112</f>
        <v>83999999.76743789</v>
      </c>
      <c r="AN5" s="642">
        <f>AN6+AN73+AN112</f>
        <v>4530967.8855986092</v>
      </c>
      <c r="AO5" s="644">
        <f>AM5+AN5</f>
        <v>88530967.653036505</v>
      </c>
      <c r="AP5" s="878"/>
      <c r="AQ5" s="879"/>
      <c r="AR5" s="876"/>
      <c r="AS5" s="880"/>
      <c r="AT5" s="880"/>
      <c r="AU5" s="881"/>
      <c r="AV5" s="880"/>
      <c r="AW5" s="880"/>
      <c r="AX5" s="880"/>
    </row>
    <row r="6" spans="1:50" s="297" customFormat="1" ht="35.15" customHeight="1" x14ac:dyDescent="0.35">
      <c r="B6" s="531" t="s">
        <v>34</v>
      </c>
      <c r="C6" s="358">
        <f t="shared" ref="C6:H6" si="2">C7+C11+C42</f>
        <v>51157571.028782263</v>
      </c>
      <c r="D6" s="902">
        <f t="shared" si="2"/>
        <v>4243153.6835901057</v>
      </c>
      <c r="E6" s="902">
        <f>E7+E11+E42</f>
        <v>55400897.712372355</v>
      </c>
      <c r="F6" s="902">
        <f>F7+F11+F42</f>
        <v>0</v>
      </c>
      <c r="G6" s="902">
        <f t="shared" si="2"/>
        <v>0</v>
      </c>
      <c r="H6" s="902">
        <f t="shared" si="2"/>
        <v>0</v>
      </c>
      <c r="I6" s="342">
        <f>I7+I11+I42</f>
        <v>55400898.712372355</v>
      </c>
      <c r="J6" s="298"/>
      <c r="K6" s="298"/>
      <c r="L6" s="298"/>
      <c r="M6" s="298"/>
      <c r="N6" s="298"/>
      <c r="O6" s="298"/>
      <c r="P6" s="298"/>
      <c r="Q6" s="646">
        <f>Q7+Q11+Q42</f>
        <v>4414750.0031999992</v>
      </c>
      <c r="R6" s="903">
        <f>R7+R11+R42</f>
        <v>0</v>
      </c>
      <c r="S6" s="647">
        <f t="shared" ref="S6:S69" si="3">Q6+R6</f>
        <v>4414750.0031999992</v>
      </c>
      <c r="T6" s="903">
        <f>T7+T11+T42</f>
        <v>12592412.420775998</v>
      </c>
      <c r="U6" s="903">
        <f>U7+U11+U42</f>
        <v>0</v>
      </c>
      <c r="V6" s="647">
        <f t="shared" ref="V6:V69" si="4">T6+U6</f>
        <v>12592412.420775998</v>
      </c>
      <c r="W6" s="903">
        <f>W7+W11+W42</f>
        <v>17231126.700981963</v>
      </c>
      <c r="X6" s="903">
        <f>X7+X11+X42</f>
        <v>0</v>
      </c>
      <c r="Y6" s="647">
        <f>W6+X6</f>
        <v>17231126.700981963</v>
      </c>
      <c r="Z6" s="903">
        <f>Z7+Z11+Z42</f>
        <v>19182403.331346259</v>
      </c>
      <c r="AA6" s="903">
        <f>AA7+AA11+AA42</f>
        <v>0</v>
      </c>
      <c r="AB6" s="647">
        <f>Z6+AA6</f>
        <v>19182403.331346259</v>
      </c>
      <c r="AC6" s="903">
        <f>AC7+AC11+AC42</f>
        <v>1980205.2383336737</v>
      </c>
      <c r="AD6" s="903">
        <f>AD7+AD11+AD42</f>
        <v>0</v>
      </c>
      <c r="AE6" s="647">
        <f>AC6+AD6</f>
        <v>1980205.2383336737</v>
      </c>
      <c r="AF6" s="692"/>
      <c r="AG6" s="692"/>
      <c r="AH6" s="647"/>
      <c r="AI6" s="692"/>
      <c r="AJ6" s="692"/>
      <c r="AK6" s="647"/>
      <c r="AL6" s="693"/>
      <c r="AM6" s="646">
        <f>AM7+AM11+AM42</f>
        <v>55400898.694637895</v>
      </c>
      <c r="AN6" s="903">
        <f t="shared" ref="AN6:AN69" si="5">R6+U6+X6+AA6+AD6+AG6+AJ6</f>
        <v>0</v>
      </c>
      <c r="AO6" s="647">
        <f>AM6+AN6</f>
        <v>55400898.694637895</v>
      </c>
      <c r="AP6" s="878"/>
      <c r="AQ6" s="879"/>
      <c r="AR6" s="880"/>
      <c r="AS6" s="880"/>
      <c r="AT6" s="880"/>
      <c r="AU6" s="880"/>
      <c r="AV6" s="880"/>
      <c r="AW6" s="880"/>
      <c r="AX6" s="880"/>
    </row>
    <row r="7" spans="1:50" s="93" customFormat="1" ht="30" customHeight="1" x14ac:dyDescent="0.35">
      <c r="B7" s="533" t="s">
        <v>199</v>
      </c>
      <c r="C7" s="363">
        <f t="shared" ref="C7:I7" si="6">+C8</f>
        <v>1002142.988</v>
      </c>
      <c r="D7" s="904">
        <f t="shared" si="6"/>
        <v>102000</v>
      </c>
      <c r="E7" s="904">
        <f t="shared" si="6"/>
        <v>1104142.9879999999</v>
      </c>
      <c r="F7" s="904">
        <f t="shared" si="6"/>
        <v>0</v>
      </c>
      <c r="G7" s="904">
        <f t="shared" si="6"/>
        <v>0</v>
      </c>
      <c r="H7" s="904">
        <f t="shared" si="6"/>
        <v>0</v>
      </c>
      <c r="I7" s="530">
        <f t="shared" si="6"/>
        <v>1104142.9879999999</v>
      </c>
      <c r="J7" s="904"/>
      <c r="K7" s="904"/>
      <c r="L7" s="904"/>
      <c r="M7" s="904"/>
      <c r="N7" s="904"/>
      <c r="O7" s="904"/>
      <c r="P7" s="904"/>
      <c r="Q7" s="648">
        <f t="shared" ref="Q7:AE7" si="7">+Q8</f>
        <v>552071.49399999995</v>
      </c>
      <c r="R7" s="905">
        <f t="shared" si="7"/>
        <v>0</v>
      </c>
      <c r="S7" s="649">
        <f t="shared" si="3"/>
        <v>552071.49399999995</v>
      </c>
      <c r="T7" s="905">
        <f t="shared" si="7"/>
        <v>552071.49399999995</v>
      </c>
      <c r="U7" s="905">
        <f t="shared" si="7"/>
        <v>0</v>
      </c>
      <c r="V7" s="649">
        <f t="shared" si="4"/>
        <v>552071.49399999995</v>
      </c>
      <c r="W7" s="905">
        <f t="shared" si="7"/>
        <v>0</v>
      </c>
      <c r="X7" s="905">
        <f t="shared" si="7"/>
        <v>0</v>
      </c>
      <c r="Y7" s="649">
        <f t="shared" si="7"/>
        <v>0</v>
      </c>
      <c r="Z7" s="905">
        <f t="shared" si="7"/>
        <v>0</v>
      </c>
      <c r="AA7" s="905">
        <f t="shared" si="7"/>
        <v>0</v>
      </c>
      <c r="AB7" s="649">
        <f t="shared" si="7"/>
        <v>0</v>
      </c>
      <c r="AC7" s="905">
        <f t="shared" si="7"/>
        <v>0</v>
      </c>
      <c r="AD7" s="905">
        <f t="shared" si="7"/>
        <v>0</v>
      </c>
      <c r="AE7" s="649">
        <f t="shared" si="7"/>
        <v>0</v>
      </c>
      <c r="AF7" s="650"/>
      <c r="AG7" s="650"/>
      <c r="AH7" s="649"/>
      <c r="AI7" s="650"/>
      <c r="AJ7" s="650"/>
      <c r="AK7" s="649"/>
      <c r="AL7" s="650"/>
      <c r="AM7" s="648">
        <f>Q7+T7+W7+Z7+AC7+AF7+AI7</f>
        <v>1104142.9879999999</v>
      </c>
      <c r="AN7" s="905">
        <f t="shared" si="5"/>
        <v>0</v>
      </c>
      <c r="AO7" s="649">
        <f>AM7+AN7</f>
        <v>1104142.9879999999</v>
      </c>
      <c r="AP7" s="878"/>
      <c r="AQ7" s="879"/>
      <c r="AR7" s="882"/>
      <c r="AS7" s="882"/>
      <c r="AT7" s="882"/>
      <c r="AU7" s="882"/>
      <c r="AV7" s="882"/>
      <c r="AW7" s="882"/>
      <c r="AX7" s="882"/>
    </row>
    <row r="8" spans="1:50" s="92" customFormat="1" ht="31.5" customHeight="1" outlineLevel="1" x14ac:dyDescent="0.35">
      <c r="B8" s="532" t="s">
        <v>200</v>
      </c>
      <c r="C8" s="357">
        <f t="shared" ref="C8:I8" si="8">SUM(C9:C10)</f>
        <v>1002142.988</v>
      </c>
      <c r="D8" s="906">
        <f t="shared" si="8"/>
        <v>102000</v>
      </c>
      <c r="E8" s="906">
        <f t="shared" si="8"/>
        <v>1104142.9879999999</v>
      </c>
      <c r="F8" s="906">
        <f t="shared" si="8"/>
        <v>0</v>
      </c>
      <c r="G8" s="906">
        <f t="shared" si="8"/>
        <v>0</v>
      </c>
      <c r="H8" s="906">
        <f t="shared" si="8"/>
        <v>0</v>
      </c>
      <c r="I8" s="343">
        <f t="shared" si="8"/>
        <v>1104142.9879999999</v>
      </c>
      <c r="J8" s="906"/>
      <c r="K8" s="906"/>
      <c r="L8" s="906"/>
      <c r="M8" s="906"/>
      <c r="N8" s="906"/>
      <c r="O8" s="906"/>
      <c r="P8" s="906"/>
      <c r="Q8" s="651">
        <f t="shared" ref="Q8:AE8" si="9">SUM(Q9:Q10)</f>
        <v>552071.49399999995</v>
      </c>
      <c r="R8" s="907">
        <f t="shared" si="9"/>
        <v>0</v>
      </c>
      <c r="S8" s="652">
        <f t="shared" si="3"/>
        <v>552071.49399999995</v>
      </c>
      <c r="T8" s="907">
        <f t="shared" si="9"/>
        <v>552071.49399999995</v>
      </c>
      <c r="U8" s="907">
        <f t="shared" si="9"/>
        <v>0</v>
      </c>
      <c r="V8" s="652">
        <f t="shared" si="4"/>
        <v>552071.49399999995</v>
      </c>
      <c r="W8" s="907">
        <f t="shared" si="9"/>
        <v>0</v>
      </c>
      <c r="X8" s="907">
        <f t="shared" si="9"/>
        <v>0</v>
      </c>
      <c r="Y8" s="652">
        <f t="shared" si="9"/>
        <v>0</v>
      </c>
      <c r="Z8" s="907">
        <f t="shared" si="9"/>
        <v>0</v>
      </c>
      <c r="AA8" s="907">
        <f t="shared" si="9"/>
        <v>0</v>
      </c>
      <c r="AB8" s="652">
        <f t="shared" si="9"/>
        <v>0</v>
      </c>
      <c r="AC8" s="907">
        <f t="shared" si="9"/>
        <v>0</v>
      </c>
      <c r="AD8" s="907">
        <f t="shared" si="9"/>
        <v>0</v>
      </c>
      <c r="AE8" s="652">
        <f t="shared" si="9"/>
        <v>0</v>
      </c>
      <c r="AF8" s="653"/>
      <c r="AG8" s="653"/>
      <c r="AH8" s="652"/>
      <c r="AI8" s="653"/>
      <c r="AJ8" s="653"/>
      <c r="AK8" s="652"/>
      <c r="AL8" s="653"/>
      <c r="AM8" s="651">
        <f>Q8+T8+W8+Z8+AC8+AF8+AI8+0.4</f>
        <v>1104143.3879999998</v>
      </c>
      <c r="AN8" s="907">
        <f t="shared" si="5"/>
        <v>0</v>
      </c>
      <c r="AO8" s="652">
        <f>AM8+AN8</f>
        <v>1104143.3879999998</v>
      </c>
      <c r="AP8" s="878"/>
      <c r="AQ8" s="879"/>
      <c r="AR8" s="879"/>
      <c r="AS8" s="883"/>
      <c r="AT8" s="884"/>
      <c r="AU8" s="884"/>
      <c r="AV8" s="884"/>
      <c r="AW8" s="884"/>
      <c r="AX8" s="884"/>
    </row>
    <row r="9" spans="1:50" s="442" customFormat="1" ht="19" hidden="1" customHeight="1" outlineLevel="2" x14ac:dyDescent="0.35">
      <c r="B9" s="764" t="s">
        <v>39</v>
      </c>
      <c r="C9" s="765">
        <v>850000</v>
      </c>
      <c r="D9" s="766">
        <v>102000</v>
      </c>
      <c r="E9" s="766">
        <f>SUM(C9:D9)</f>
        <v>952000</v>
      </c>
      <c r="F9" s="766"/>
      <c r="G9" s="766">
        <v>0</v>
      </c>
      <c r="H9" s="766">
        <v>0</v>
      </c>
      <c r="I9" s="767">
        <f>SUM(E9:H9)</f>
        <v>952000</v>
      </c>
      <c r="J9" s="443">
        <v>0.5</v>
      </c>
      <c r="K9" s="443">
        <v>0.5</v>
      </c>
      <c r="L9" s="443"/>
      <c r="M9" s="443"/>
      <c r="N9" s="443"/>
      <c r="O9" s="443"/>
      <c r="P9" s="443"/>
      <c r="Q9" s="768">
        <f>$E9*J9</f>
        <v>476000</v>
      </c>
      <c r="R9" s="769">
        <f>$H9*J9</f>
        <v>0</v>
      </c>
      <c r="S9" s="770">
        <f t="shared" si="3"/>
        <v>476000</v>
      </c>
      <c r="T9" s="768">
        <f>$E9*K9</f>
        <v>476000</v>
      </c>
      <c r="U9" s="769">
        <f>$H9*K9</f>
        <v>0</v>
      </c>
      <c r="V9" s="770">
        <f t="shared" si="4"/>
        <v>476000</v>
      </c>
      <c r="W9" s="768">
        <f>$E9*L9</f>
        <v>0</v>
      </c>
      <c r="X9" s="769">
        <f>$H9*L9</f>
        <v>0</v>
      </c>
      <c r="Y9" s="770">
        <f t="shared" ref="Y9:Y10" si="10">W9+X9</f>
        <v>0</v>
      </c>
      <c r="Z9" s="768">
        <f>$E9*M9</f>
        <v>0</v>
      </c>
      <c r="AA9" s="769">
        <f>$H9*M9</f>
        <v>0</v>
      </c>
      <c r="AB9" s="770">
        <f t="shared" ref="AB9:AB10" si="11">Z9+AA9</f>
        <v>0</v>
      </c>
      <c r="AC9" s="768">
        <f>$E9*N9</f>
        <v>0</v>
      </c>
      <c r="AD9" s="769">
        <f>$H9*N9</f>
        <v>0</v>
      </c>
      <c r="AE9" s="770">
        <f t="shared" ref="AE9:AE10" si="12">AC9+AD9</f>
        <v>0</v>
      </c>
      <c r="AF9" s="769"/>
      <c r="AG9" s="769"/>
      <c r="AH9" s="770"/>
      <c r="AI9" s="769"/>
      <c r="AJ9" s="769"/>
      <c r="AK9" s="770"/>
      <c r="AL9" s="769"/>
      <c r="AM9" s="768">
        <f t="shared" ref="AM9:AM69" si="13">Q9+T9+W9+Z9+AC9+AF9+AI9</f>
        <v>952000</v>
      </c>
      <c r="AN9" s="769">
        <f t="shared" si="5"/>
        <v>0</v>
      </c>
      <c r="AO9" s="770">
        <f t="shared" ref="AO9:AO69" si="14">AM9+AN9-1</f>
        <v>951999</v>
      </c>
      <c r="AP9" s="878"/>
      <c r="AQ9" s="879"/>
      <c r="AR9" s="879"/>
      <c r="AS9" s="885"/>
      <c r="AT9" s="886"/>
      <c r="AU9" s="885"/>
      <c r="AV9" s="885"/>
      <c r="AW9" s="885"/>
      <c r="AX9" s="885"/>
    </row>
    <row r="10" spans="1:50" s="442" customFormat="1" ht="19" hidden="1" customHeight="1" outlineLevel="2" x14ac:dyDescent="0.35">
      <c r="B10" s="764" t="s">
        <v>40</v>
      </c>
      <c r="C10" s="765">
        <v>152142.98800000001</v>
      </c>
      <c r="D10" s="766">
        <v>0</v>
      </c>
      <c r="E10" s="766">
        <f>+C10+D10</f>
        <v>152142.98800000001</v>
      </c>
      <c r="F10" s="766"/>
      <c r="G10" s="766">
        <v>0</v>
      </c>
      <c r="H10" s="766"/>
      <c r="I10" s="767">
        <f>+E10</f>
        <v>152142.98800000001</v>
      </c>
      <c r="J10" s="443">
        <v>0.5</v>
      </c>
      <c r="K10" s="443">
        <v>0.5</v>
      </c>
      <c r="L10" s="443"/>
      <c r="M10" s="443"/>
      <c r="N10" s="443"/>
      <c r="O10" s="443"/>
      <c r="P10" s="443"/>
      <c r="Q10" s="768">
        <f>$E10*J10</f>
        <v>76071.494000000006</v>
      </c>
      <c r="R10" s="769">
        <f>$H10*J10</f>
        <v>0</v>
      </c>
      <c r="S10" s="770">
        <f t="shared" si="3"/>
        <v>76071.494000000006</v>
      </c>
      <c r="T10" s="768">
        <f>$E10*K10</f>
        <v>76071.494000000006</v>
      </c>
      <c r="U10" s="769">
        <f>$H10*K10</f>
        <v>0</v>
      </c>
      <c r="V10" s="770">
        <f t="shared" si="4"/>
        <v>76071.494000000006</v>
      </c>
      <c r="W10" s="768">
        <f>$E10*L10</f>
        <v>0</v>
      </c>
      <c r="X10" s="769">
        <f>$H10*L10</f>
        <v>0</v>
      </c>
      <c r="Y10" s="770">
        <f t="shared" si="10"/>
        <v>0</v>
      </c>
      <c r="Z10" s="768">
        <f>$E10*M10</f>
        <v>0</v>
      </c>
      <c r="AA10" s="769">
        <f>$H10*M10</f>
        <v>0</v>
      </c>
      <c r="AB10" s="770">
        <f t="shared" si="11"/>
        <v>0</v>
      </c>
      <c r="AC10" s="768">
        <f>$E10*N10</f>
        <v>0</v>
      </c>
      <c r="AD10" s="769">
        <f>$H10*N10</f>
        <v>0</v>
      </c>
      <c r="AE10" s="770">
        <f t="shared" si="12"/>
        <v>0</v>
      </c>
      <c r="AF10" s="769"/>
      <c r="AG10" s="769"/>
      <c r="AH10" s="770"/>
      <c r="AI10" s="769"/>
      <c r="AJ10" s="769"/>
      <c r="AK10" s="770"/>
      <c r="AL10" s="769"/>
      <c r="AM10" s="768">
        <f t="shared" si="13"/>
        <v>152142.98800000001</v>
      </c>
      <c r="AN10" s="769">
        <f t="shared" si="5"/>
        <v>0</v>
      </c>
      <c r="AO10" s="770">
        <f t="shared" si="14"/>
        <v>152141.98800000001</v>
      </c>
      <c r="AP10" s="878"/>
      <c r="AQ10" s="879"/>
      <c r="AR10" s="879"/>
      <c r="AS10" s="885"/>
      <c r="AT10" s="886"/>
      <c r="AU10" s="885"/>
      <c r="AV10" s="885"/>
      <c r="AW10" s="885"/>
      <c r="AX10" s="885"/>
    </row>
    <row r="11" spans="1:50" s="93" customFormat="1" ht="43" customHeight="1" x14ac:dyDescent="0.35">
      <c r="B11" s="533" t="s">
        <v>201</v>
      </c>
      <c r="C11" s="363">
        <f t="shared" ref="C11:I11" si="15">+C12+C36</f>
        <v>31314048.161578111</v>
      </c>
      <c r="D11" s="904">
        <f t="shared" si="15"/>
        <v>3722020.1660256004</v>
      </c>
      <c r="E11" s="904">
        <f t="shared" si="15"/>
        <v>35036241.327603705</v>
      </c>
      <c r="F11" s="904">
        <f t="shared" si="15"/>
        <v>0</v>
      </c>
      <c r="G11" s="904">
        <f>+G12+G36</f>
        <v>0</v>
      </c>
      <c r="H11" s="904">
        <f t="shared" si="15"/>
        <v>0</v>
      </c>
      <c r="I11" s="530">
        <f t="shared" si="15"/>
        <v>35036241.327603705</v>
      </c>
      <c r="J11" s="904"/>
      <c r="K11" s="904"/>
      <c r="L11" s="904"/>
      <c r="M11" s="904"/>
      <c r="N11" s="904"/>
      <c r="O11" s="904"/>
      <c r="P11" s="904"/>
      <c r="Q11" s="648">
        <f>+Q12+Q36</f>
        <v>1020630.4223999998</v>
      </c>
      <c r="R11" s="905">
        <f t="shared" ref="R11:AE11" si="16">+R12+R36</f>
        <v>0</v>
      </c>
      <c r="S11" s="649">
        <f t="shared" si="3"/>
        <v>1020630.4223999998</v>
      </c>
      <c r="T11" s="905">
        <f t="shared" si="16"/>
        <v>7469339.3657759996</v>
      </c>
      <c r="U11" s="905">
        <f t="shared" si="16"/>
        <v>0</v>
      </c>
      <c r="V11" s="649">
        <f t="shared" si="4"/>
        <v>7469339.3657759996</v>
      </c>
      <c r="W11" s="905">
        <f t="shared" si="16"/>
        <v>11127171.072031707</v>
      </c>
      <c r="X11" s="905">
        <f t="shared" si="16"/>
        <v>0</v>
      </c>
      <c r="Y11" s="649">
        <f t="shared" si="16"/>
        <v>12403398.573307998</v>
      </c>
      <c r="Z11" s="905">
        <f t="shared" si="16"/>
        <v>14398470.044996001</v>
      </c>
      <c r="AA11" s="905">
        <f t="shared" si="16"/>
        <v>0</v>
      </c>
      <c r="AB11" s="649">
        <f t="shared" si="16"/>
        <v>14300794.044996001</v>
      </c>
      <c r="AC11" s="905">
        <f t="shared" si="16"/>
        <v>1020630.4223999998</v>
      </c>
      <c r="AD11" s="905">
        <f t="shared" si="16"/>
        <v>0</v>
      </c>
      <c r="AE11" s="649">
        <f t="shared" si="16"/>
        <v>1020630.4223999998</v>
      </c>
      <c r="AF11" s="650"/>
      <c r="AG11" s="650"/>
      <c r="AH11" s="649"/>
      <c r="AI11" s="650"/>
      <c r="AJ11" s="650"/>
      <c r="AK11" s="649"/>
      <c r="AL11" s="650"/>
      <c r="AM11" s="648">
        <f t="shared" si="13"/>
        <v>35036241.327603705</v>
      </c>
      <c r="AN11" s="905">
        <f t="shared" si="5"/>
        <v>0</v>
      </c>
      <c r="AO11" s="649">
        <f>AM11+AN11</f>
        <v>35036241.327603705</v>
      </c>
      <c r="AP11" s="878"/>
      <c r="AQ11" s="879"/>
      <c r="AR11" s="879"/>
      <c r="AS11" s="885"/>
      <c r="AT11" s="886"/>
      <c r="AU11" s="885"/>
      <c r="AV11" s="885"/>
      <c r="AW11" s="885"/>
      <c r="AX11" s="885"/>
    </row>
    <row r="12" spans="1:50" s="92" customFormat="1" ht="31.5" customHeight="1" outlineLevel="1" x14ac:dyDescent="0.35">
      <c r="B12" s="532" t="s">
        <v>43</v>
      </c>
      <c r="C12" s="357">
        <v>24886179.249578111</v>
      </c>
      <c r="D12" s="906">
        <v>3541376.9660256002</v>
      </c>
      <c r="E12" s="906">
        <v>28427729.215603709</v>
      </c>
      <c r="F12" s="906">
        <v>0</v>
      </c>
      <c r="G12" s="906">
        <v>0</v>
      </c>
      <c r="H12" s="906">
        <v>0</v>
      </c>
      <c r="I12" s="343">
        <f>E12</f>
        <v>28427729.215603709</v>
      </c>
      <c r="J12" s="906"/>
      <c r="K12" s="906"/>
      <c r="L12" s="906"/>
      <c r="M12" s="906"/>
      <c r="N12" s="906"/>
      <c r="O12" s="906"/>
      <c r="P12" s="906"/>
      <c r="Q12" s="651">
        <f>SUM(Q13:Q35)</f>
        <v>0</v>
      </c>
      <c r="R12" s="907">
        <f t="shared" ref="R12" si="17">SUM(R13:R35)</f>
        <v>0</v>
      </c>
      <c r="S12" s="652">
        <f t="shared" si="3"/>
        <v>0</v>
      </c>
      <c r="T12" s="907">
        <f>SUM(T13:T35)+94806</f>
        <v>5997100.943376</v>
      </c>
      <c r="U12" s="907">
        <f t="shared" ref="U12" si="18">SUM(U13:U35)</f>
        <v>0</v>
      </c>
      <c r="V12" s="652">
        <f t="shared" si="4"/>
        <v>5997100.943376</v>
      </c>
      <c r="W12" s="907">
        <v>9052788.649631707</v>
      </c>
      <c r="X12" s="907">
        <f t="shared" ref="X12" si="19">SUM(X13:X35)</f>
        <v>0</v>
      </c>
      <c r="Y12" s="652">
        <f t="shared" ref="Y12" si="20">SUM(Y13:Y35)</f>
        <v>10329016.150907999</v>
      </c>
      <c r="Z12" s="907">
        <f>SUM(Z13:Z35)+97676</f>
        <v>13377839.622596001</v>
      </c>
      <c r="AA12" s="907">
        <f t="shared" ref="AA12" si="21">SUM(AA13:AA35)</f>
        <v>0</v>
      </c>
      <c r="AB12" s="652">
        <f t="shared" ref="AB12" si="22">SUM(AB13:AB35)</f>
        <v>13280163.622596001</v>
      </c>
      <c r="AC12" s="907">
        <f>SUM(AC13:AC35)</f>
        <v>0</v>
      </c>
      <c r="AD12" s="907">
        <f t="shared" ref="AD12" si="23">SUM(AD13:AD35)</f>
        <v>0</v>
      </c>
      <c r="AE12" s="652">
        <f t="shared" ref="AE12" si="24">SUM(AE13:AE35)</f>
        <v>0</v>
      </c>
      <c r="AF12" s="653"/>
      <c r="AG12" s="653"/>
      <c r="AH12" s="652"/>
      <c r="AI12" s="653"/>
      <c r="AJ12" s="653"/>
      <c r="AK12" s="652"/>
      <c r="AL12" s="653"/>
      <c r="AM12" s="651">
        <f>Q12+T12+W12+Z12+AC12+AF12+AI12+0.3</f>
        <v>28427729.51560371</v>
      </c>
      <c r="AN12" s="907">
        <f t="shared" si="5"/>
        <v>0</v>
      </c>
      <c r="AO12" s="652">
        <f t="shared" si="14"/>
        <v>28427728.51560371</v>
      </c>
      <c r="AP12" s="878"/>
      <c r="AQ12" s="879"/>
      <c r="AR12" s="879"/>
      <c r="AS12" s="883"/>
      <c r="AT12" s="884"/>
      <c r="AU12" s="885"/>
      <c r="AV12" s="885"/>
      <c r="AW12" s="885"/>
      <c r="AX12" s="885"/>
    </row>
    <row r="13" spans="1:50" s="399" customFormat="1" ht="30.65" hidden="1" customHeight="1" outlineLevel="2" x14ac:dyDescent="0.35">
      <c r="B13" s="700" t="s">
        <v>44</v>
      </c>
      <c r="C13" s="771">
        <v>1033017.127296</v>
      </c>
      <c r="D13" s="771">
        <v>140865.97190400001</v>
      </c>
      <c r="E13" s="771">
        <v>1173883.0992000001</v>
      </c>
      <c r="F13" s="771">
        <v>0</v>
      </c>
      <c r="G13" s="771">
        <v>0</v>
      </c>
      <c r="H13" s="771">
        <v>0</v>
      </c>
      <c r="I13" s="772">
        <v>1173883.0992000001</v>
      </c>
      <c r="J13" s="295"/>
      <c r="K13" s="295">
        <v>0.2</v>
      </c>
      <c r="L13" s="295">
        <v>0.35</v>
      </c>
      <c r="M13" s="295">
        <v>0.45</v>
      </c>
      <c r="N13" s="295"/>
      <c r="O13" s="295"/>
      <c r="P13" s="295"/>
      <c r="Q13" s="768">
        <f t="shared" ref="Q13" si="25">$E13*J13</f>
        <v>0</v>
      </c>
      <c r="R13" s="769">
        <f t="shared" ref="R13" si="26">$H13*J13</f>
        <v>0</v>
      </c>
      <c r="S13" s="770">
        <f t="shared" si="3"/>
        <v>0</v>
      </c>
      <c r="T13" s="768">
        <f t="shared" ref="T13" si="27">$E13*K13</f>
        <v>234776.61984000003</v>
      </c>
      <c r="U13" s="769">
        <f t="shared" ref="U13" si="28">$H13*K13</f>
        <v>0</v>
      </c>
      <c r="V13" s="770">
        <f t="shared" si="4"/>
        <v>234776.61984000003</v>
      </c>
      <c r="W13" s="768">
        <f t="shared" ref="W13" si="29">$E13*L13</f>
        <v>410859.08471999998</v>
      </c>
      <c r="X13" s="769">
        <f t="shared" ref="X13" si="30">$H13*L13</f>
        <v>0</v>
      </c>
      <c r="Y13" s="770">
        <f t="shared" ref="Y13" si="31">W13+X13</f>
        <v>410859.08471999998</v>
      </c>
      <c r="Z13" s="768">
        <f t="shared" ref="Z13" si="32">$E13*M13</f>
        <v>528247.39464000007</v>
      </c>
      <c r="AA13" s="769">
        <v>0</v>
      </c>
      <c r="AB13" s="770">
        <f t="shared" ref="AB13" si="33">Z13+AA13</f>
        <v>528247.39464000007</v>
      </c>
      <c r="AC13" s="768">
        <f t="shared" ref="AC13" si="34">$E13*N13</f>
        <v>0</v>
      </c>
      <c r="AD13" s="769">
        <f t="shared" ref="AD13" si="35">$H13*N13</f>
        <v>0</v>
      </c>
      <c r="AE13" s="770">
        <f t="shared" ref="AE13" si="36">AC13+AD13</f>
        <v>0</v>
      </c>
      <c r="AF13" s="773"/>
      <c r="AG13" s="774"/>
      <c r="AH13" s="775"/>
      <c r="AI13" s="773"/>
      <c r="AJ13" s="774"/>
      <c r="AK13" s="775"/>
      <c r="AL13" s="776"/>
      <c r="AM13" s="777">
        <f t="shared" si="13"/>
        <v>1173883.0992000001</v>
      </c>
      <c r="AN13" s="773">
        <f t="shared" si="5"/>
        <v>0</v>
      </c>
      <c r="AO13" s="775">
        <f t="shared" si="14"/>
        <v>1173882.0992000001</v>
      </c>
      <c r="AP13" s="878"/>
      <c r="AQ13" s="879"/>
      <c r="AR13" s="879"/>
      <c r="AS13" s="885"/>
      <c r="AT13" s="884"/>
      <c r="AU13" s="885"/>
      <c r="AV13" s="885"/>
      <c r="AW13" s="885"/>
      <c r="AX13" s="885"/>
    </row>
    <row r="14" spans="1:50" s="399" customFormat="1" ht="30.65" hidden="1" customHeight="1" outlineLevel="2" x14ac:dyDescent="0.35">
      <c r="B14" s="700" t="s">
        <v>45</v>
      </c>
      <c r="C14" s="771">
        <v>673190.83039999998</v>
      </c>
      <c r="D14" s="771">
        <v>91798.749599999996</v>
      </c>
      <c r="E14" s="771">
        <v>764989.58</v>
      </c>
      <c r="F14" s="771">
        <v>0</v>
      </c>
      <c r="G14" s="771">
        <v>0</v>
      </c>
      <c r="H14" s="771">
        <v>0</v>
      </c>
      <c r="I14" s="772">
        <v>764989.58</v>
      </c>
      <c r="J14" s="295"/>
      <c r="K14" s="295">
        <f>K13</f>
        <v>0.2</v>
      </c>
      <c r="L14" s="295">
        <f t="shared" ref="L14:M14" si="37">L13</f>
        <v>0.35</v>
      </c>
      <c r="M14" s="295">
        <f t="shared" si="37"/>
        <v>0.45</v>
      </c>
      <c r="N14" s="295"/>
      <c r="O14" s="295"/>
      <c r="P14" s="295"/>
      <c r="Q14" s="768">
        <f t="shared" ref="Q14:Q35" si="38">$E14*J14</f>
        <v>0</v>
      </c>
      <c r="R14" s="769">
        <f t="shared" ref="R14:R35" si="39">$H14*J14</f>
        <v>0</v>
      </c>
      <c r="S14" s="770">
        <f t="shared" si="3"/>
        <v>0</v>
      </c>
      <c r="T14" s="768">
        <f t="shared" ref="T14:T35" si="40">$E14*K14</f>
        <v>152997.916</v>
      </c>
      <c r="U14" s="769">
        <v>0</v>
      </c>
      <c r="V14" s="770">
        <f t="shared" si="4"/>
        <v>152997.916</v>
      </c>
      <c r="W14" s="768">
        <f t="shared" ref="W14:W35" si="41">$E14*L14</f>
        <v>267746.35299999994</v>
      </c>
      <c r="X14" s="769">
        <v>0</v>
      </c>
      <c r="Y14" s="770">
        <f t="shared" ref="Y14:Y35" si="42">W14+X14</f>
        <v>267746.35299999994</v>
      </c>
      <c r="Z14" s="768">
        <f t="shared" ref="Z14:Z35" si="43">$E14*M14</f>
        <v>344245.31099999999</v>
      </c>
      <c r="AA14" s="769">
        <v>0</v>
      </c>
      <c r="AB14" s="770">
        <f t="shared" ref="AB14:AB35" si="44">Z14+AA14</f>
        <v>344245.31099999999</v>
      </c>
      <c r="AC14" s="768">
        <f t="shared" ref="AC14:AC35" si="45">$E14*N14</f>
        <v>0</v>
      </c>
      <c r="AD14" s="769">
        <f t="shared" ref="AD14:AD35" si="46">$H14*N14</f>
        <v>0</v>
      </c>
      <c r="AE14" s="770">
        <f t="shared" ref="AE14:AE35" si="47">AC14+AD14</f>
        <v>0</v>
      </c>
      <c r="AF14" s="773"/>
      <c r="AG14" s="774"/>
      <c r="AH14" s="775"/>
      <c r="AI14" s="773"/>
      <c r="AJ14" s="774"/>
      <c r="AK14" s="775"/>
      <c r="AL14" s="776"/>
      <c r="AM14" s="777">
        <f t="shared" si="13"/>
        <v>764989.58</v>
      </c>
      <c r="AN14" s="773">
        <f t="shared" si="5"/>
        <v>0</v>
      </c>
      <c r="AO14" s="775">
        <f t="shared" si="14"/>
        <v>764988.58</v>
      </c>
      <c r="AP14" s="878"/>
      <c r="AQ14" s="879"/>
      <c r="AR14" s="879"/>
      <c r="AS14" s="882"/>
      <c r="AT14" s="884"/>
      <c r="AU14" s="882"/>
      <c r="AV14" s="882"/>
      <c r="AW14" s="882"/>
      <c r="AX14" s="882"/>
    </row>
    <row r="15" spans="1:50" s="399" customFormat="1" ht="30.65" hidden="1" customHeight="1" outlineLevel="2" x14ac:dyDescent="0.35">
      <c r="B15" s="700" t="s">
        <v>46</v>
      </c>
      <c r="C15" s="771">
        <v>3028558.2412800002</v>
      </c>
      <c r="D15" s="771">
        <v>412985.21471999999</v>
      </c>
      <c r="E15" s="771">
        <v>3441543.4560000002</v>
      </c>
      <c r="F15" s="771">
        <v>0</v>
      </c>
      <c r="G15" s="771">
        <v>0</v>
      </c>
      <c r="H15" s="771">
        <v>0</v>
      </c>
      <c r="I15" s="772">
        <v>3441543.4560000002</v>
      </c>
      <c r="J15" s="295"/>
      <c r="K15" s="295">
        <f t="shared" ref="K15:K35" si="48">K14</f>
        <v>0.2</v>
      </c>
      <c r="L15" s="295">
        <f t="shared" ref="L15:L35" si="49">L14</f>
        <v>0.35</v>
      </c>
      <c r="M15" s="295">
        <f t="shared" ref="M15:M35" si="50">M14</f>
        <v>0.45</v>
      </c>
      <c r="N15" s="295"/>
      <c r="O15" s="295"/>
      <c r="P15" s="295"/>
      <c r="Q15" s="768">
        <f t="shared" si="38"/>
        <v>0</v>
      </c>
      <c r="R15" s="769">
        <f t="shared" si="39"/>
        <v>0</v>
      </c>
      <c r="S15" s="770">
        <f t="shared" si="3"/>
        <v>0</v>
      </c>
      <c r="T15" s="768">
        <f t="shared" si="40"/>
        <v>688308.69120000012</v>
      </c>
      <c r="U15" s="769">
        <v>0</v>
      </c>
      <c r="V15" s="770">
        <f t="shared" si="4"/>
        <v>688308.69120000012</v>
      </c>
      <c r="W15" s="768">
        <f t="shared" si="41"/>
        <v>1204540.2095999999</v>
      </c>
      <c r="X15" s="769">
        <v>0</v>
      </c>
      <c r="Y15" s="770">
        <f t="shared" si="42"/>
        <v>1204540.2095999999</v>
      </c>
      <c r="Z15" s="768">
        <f t="shared" si="43"/>
        <v>1548694.5552000001</v>
      </c>
      <c r="AA15" s="769">
        <v>0</v>
      </c>
      <c r="AB15" s="770">
        <f t="shared" si="44"/>
        <v>1548694.5552000001</v>
      </c>
      <c r="AC15" s="768">
        <f t="shared" si="45"/>
        <v>0</v>
      </c>
      <c r="AD15" s="769">
        <f t="shared" si="46"/>
        <v>0</v>
      </c>
      <c r="AE15" s="770">
        <f t="shared" si="47"/>
        <v>0</v>
      </c>
      <c r="AF15" s="773"/>
      <c r="AG15" s="774"/>
      <c r="AH15" s="775"/>
      <c r="AI15" s="773"/>
      <c r="AJ15" s="774"/>
      <c r="AK15" s="775"/>
      <c r="AL15" s="776"/>
      <c r="AM15" s="777">
        <f t="shared" si="13"/>
        <v>3441543.4560000002</v>
      </c>
      <c r="AN15" s="773">
        <f t="shared" si="5"/>
        <v>0</v>
      </c>
      <c r="AO15" s="775">
        <f t="shared" si="14"/>
        <v>3441542.4560000002</v>
      </c>
      <c r="AP15" s="878"/>
      <c r="AQ15" s="879"/>
      <c r="AR15" s="879"/>
      <c r="AS15" s="887"/>
      <c r="AT15" s="884"/>
      <c r="AU15" s="884"/>
      <c r="AV15" s="884"/>
      <c r="AW15" s="884"/>
      <c r="AX15" s="884"/>
    </row>
    <row r="16" spans="1:50" s="399" customFormat="1" ht="30.65" hidden="1" customHeight="1" outlineLevel="2" x14ac:dyDescent="0.35">
      <c r="B16" s="700" t="s">
        <v>47</v>
      </c>
      <c r="C16" s="771">
        <v>1010314.9319999999</v>
      </c>
      <c r="D16" s="771">
        <v>137770.21799999999</v>
      </c>
      <c r="E16" s="771">
        <v>1148085.1499999999</v>
      </c>
      <c r="F16" s="771">
        <v>0</v>
      </c>
      <c r="G16" s="771">
        <v>0</v>
      </c>
      <c r="H16" s="771">
        <v>0</v>
      </c>
      <c r="I16" s="772">
        <v>1148085.1499999999</v>
      </c>
      <c r="J16" s="295"/>
      <c r="K16" s="295">
        <f t="shared" si="48"/>
        <v>0.2</v>
      </c>
      <c r="L16" s="295">
        <f t="shared" si="49"/>
        <v>0.35</v>
      </c>
      <c r="M16" s="295">
        <f t="shared" si="50"/>
        <v>0.45</v>
      </c>
      <c r="N16" s="295"/>
      <c r="O16" s="295"/>
      <c r="P16" s="295"/>
      <c r="Q16" s="768">
        <f t="shared" si="38"/>
        <v>0</v>
      </c>
      <c r="R16" s="769">
        <f t="shared" si="39"/>
        <v>0</v>
      </c>
      <c r="S16" s="770">
        <f t="shared" si="3"/>
        <v>0</v>
      </c>
      <c r="T16" s="768">
        <f t="shared" si="40"/>
        <v>229617.03</v>
      </c>
      <c r="U16" s="769">
        <v>0</v>
      </c>
      <c r="V16" s="770">
        <f t="shared" si="4"/>
        <v>229617.03</v>
      </c>
      <c r="W16" s="768">
        <f t="shared" si="41"/>
        <v>401829.80249999993</v>
      </c>
      <c r="X16" s="769">
        <v>0</v>
      </c>
      <c r="Y16" s="770">
        <f t="shared" si="42"/>
        <v>401829.80249999993</v>
      </c>
      <c r="Z16" s="768">
        <f t="shared" si="43"/>
        <v>516638.31749999995</v>
      </c>
      <c r="AA16" s="769">
        <v>0</v>
      </c>
      <c r="AB16" s="770">
        <f t="shared" si="44"/>
        <v>516638.31749999995</v>
      </c>
      <c r="AC16" s="768">
        <f t="shared" si="45"/>
        <v>0</v>
      </c>
      <c r="AD16" s="769">
        <f t="shared" si="46"/>
        <v>0</v>
      </c>
      <c r="AE16" s="770">
        <f t="shared" si="47"/>
        <v>0</v>
      </c>
      <c r="AF16" s="773"/>
      <c r="AG16" s="774"/>
      <c r="AH16" s="775"/>
      <c r="AI16" s="773"/>
      <c r="AJ16" s="774"/>
      <c r="AK16" s="775"/>
      <c r="AL16" s="776"/>
      <c r="AM16" s="777">
        <f t="shared" si="13"/>
        <v>1148085.1499999999</v>
      </c>
      <c r="AN16" s="773">
        <f t="shared" si="5"/>
        <v>0</v>
      </c>
      <c r="AO16" s="775">
        <f t="shared" si="14"/>
        <v>1148084.1499999999</v>
      </c>
      <c r="AP16" s="878"/>
      <c r="AQ16" s="879"/>
      <c r="AR16" s="879"/>
      <c r="AS16" s="885"/>
      <c r="AT16" s="884"/>
      <c r="AU16" s="885"/>
      <c r="AV16" s="885"/>
      <c r="AW16" s="885"/>
      <c r="AX16" s="885"/>
    </row>
    <row r="17" spans="2:50" s="399" customFormat="1" ht="30.65" hidden="1" customHeight="1" outlineLevel="2" x14ac:dyDescent="0.35">
      <c r="B17" s="700" t="s">
        <v>48</v>
      </c>
      <c r="C17" s="771">
        <v>1739723.6735999999</v>
      </c>
      <c r="D17" s="771">
        <v>237235.04639999999</v>
      </c>
      <c r="E17" s="771">
        <v>1976958.7199999997</v>
      </c>
      <c r="F17" s="771">
        <v>260958.55103999996</v>
      </c>
      <c r="G17" s="771">
        <v>35585.256959999992</v>
      </c>
      <c r="H17" s="771">
        <v>296543.80799999996</v>
      </c>
      <c r="I17" s="772">
        <v>2273502.5279999999</v>
      </c>
      <c r="J17" s="295"/>
      <c r="K17" s="295">
        <f t="shared" si="48"/>
        <v>0.2</v>
      </c>
      <c r="L17" s="295">
        <f t="shared" si="49"/>
        <v>0.35</v>
      </c>
      <c r="M17" s="295">
        <f t="shared" si="50"/>
        <v>0.45</v>
      </c>
      <c r="N17" s="295"/>
      <c r="O17" s="598">
        <v>0.5</v>
      </c>
      <c r="P17" s="598">
        <f>O17</f>
        <v>0.5</v>
      </c>
      <c r="Q17" s="768">
        <f t="shared" si="38"/>
        <v>0</v>
      </c>
      <c r="R17" s="769">
        <f t="shared" si="39"/>
        <v>0</v>
      </c>
      <c r="S17" s="770">
        <f t="shared" si="3"/>
        <v>0</v>
      </c>
      <c r="T17" s="768">
        <f t="shared" si="40"/>
        <v>395391.74399999995</v>
      </c>
      <c r="U17" s="769">
        <v>0</v>
      </c>
      <c r="V17" s="770">
        <f t="shared" si="4"/>
        <v>395391.74399999995</v>
      </c>
      <c r="W17" s="768">
        <f t="shared" si="41"/>
        <v>691935.55199999991</v>
      </c>
      <c r="X17" s="769">
        <v>0</v>
      </c>
      <c r="Y17" s="770">
        <f t="shared" si="42"/>
        <v>691935.55199999991</v>
      </c>
      <c r="Z17" s="768">
        <f t="shared" si="43"/>
        <v>889631.42399999988</v>
      </c>
      <c r="AA17" s="769">
        <v>0</v>
      </c>
      <c r="AB17" s="770">
        <f t="shared" si="44"/>
        <v>889631.42399999988</v>
      </c>
      <c r="AC17" s="768">
        <f t="shared" si="45"/>
        <v>0</v>
      </c>
      <c r="AD17" s="769">
        <f t="shared" si="46"/>
        <v>0</v>
      </c>
      <c r="AE17" s="770">
        <f t="shared" si="47"/>
        <v>0</v>
      </c>
      <c r="AF17" s="773"/>
      <c r="AG17" s="774"/>
      <c r="AH17" s="775"/>
      <c r="AI17" s="773"/>
      <c r="AJ17" s="774"/>
      <c r="AK17" s="775"/>
      <c r="AL17" s="776"/>
      <c r="AM17" s="777">
        <f t="shared" si="13"/>
        <v>1976958.7199999997</v>
      </c>
      <c r="AN17" s="773">
        <f t="shared" si="5"/>
        <v>0</v>
      </c>
      <c r="AO17" s="775">
        <f t="shared" si="14"/>
        <v>1976957.7199999997</v>
      </c>
      <c r="AP17" s="878"/>
      <c r="AQ17" s="879"/>
      <c r="AR17" s="879"/>
      <c r="AS17" s="885"/>
      <c r="AT17" s="884"/>
      <c r="AU17" s="885"/>
      <c r="AV17" s="885"/>
      <c r="AW17" s="885"/>
      <c r="AX17" s="885"/>
    </row>
    <row r="18" spans="2:50" s="399" customFormat="1" ht="30.65" hidden="1" customHeight="1" outlineLevel="2" x14ac:dyDescent="0.35">
      <c r="B18" s="700" t="s">
        <v>51</v>
      </c>
      <c r="C18" s="771">
        <v>2361399.04</v>
      </c>
      <c r="D18" s="771">
        <v>322008.95999999996</v>
      </c>
      <c r="E18" s="771">
        <v>2683408</v>
      </c>
      <c r="F18" s="771">
        <v>354209.85599999997</v>
      </c>
      <c r="G18" s="771">
        <v>48301.34399999999</v>
      </c>
      <c r="H18" s="771">
        <v>402511.19999999995</v>
      </c>
      <c r="I18" s="772">
        <v>3085919.2</v>
      </c>
      <c r="J18" s="295"/>
      <c r="K18" s="295">
        <f t="shared" si="48"/>
        <v>0.2</v>
      </c>
      <c r="L18" s="295">
        <f t="shared" si="49"/>
        <v>0.35</v>
      </c>
      <c r="M18" s="295">
        <f t="shared" si="50"/>
        <v>0.45</v>
      </c>
      <c r="N18" s="295"/>
      <c r="O18" s="598">
        <v>0.5</v>
      </c>
      <c r="P18" s="598">
        <v>0.5</v>
      </c>
      <c r="Q18" s="768">
        <f t="shared" si="38"/>
        <v>0</v>
      </c>
      <c r="R18" s="769">
        <f t="shared" si="39"/>
        <v>0</v>
      </c>
      <c r="S18" s="770">
        <f t="shared" si="3"/>
        <v>0</v>
      </c>
      <c r="T18" s="768">
        <f t="shared" si="40"/>
        <v>536681.6</v>
      </c>
      <c r="U18" s="769">
        <v>0</v>
      </c>
      <c r="V18" s="770">
        <f t="shared" si="4"/>
        <v>536681.6</v>
      </c>
      <c r="W18" s="768">
        <f t="shared" si="41"/>
        <v>939192.79999999993</v>
      </c>
      <c r="X18" s="769">
        <v>0</v>
      </c>
      <c r="Y18" s="770">
        <f t="shared" si="42"/>
        <v>939192.79999999993</v>
      </c>
      <c r="Z18" s="768">
        <f t="shared" si="43"/>
        <v>1207533.6000000001</v>
      </c>
      <c r="AA18" s="769">
        <v>0</v>
      </c>
      <c r="AB18" s="770">
        <f t="shared" si="44"/>
        <v>1207533.6000000001</v>
      </c>
      <c r="AC18" s="768">
        <f t="shared" si="45"/>
        <v>0</v>
      </c>
      <c r="AD18" s="769">
        <f t="shared" si="46"/>
        <v>0</v>
      </c>
      <c r="AE18" s="770">
        <f t="shared" si="47"/>
        <v>0</v>
      </c>
      <c r="AF18" s="773"/>
      <c r="AG18" s="774"/>
      <c r="AH18" s="775"/>
      <c r="AI18" s="773"/>
      <c r="AJ18" s="774"/>
      <c r="AK18" s="775"/>
      <c r="AL18" s="776"/>
      <c r="AM18" s="777">
        <f t="shared" si="13"/>
        <v>2683408</v>
      </c>
      <c r="AN18" s="773">
        <f t="shared" si="5"/>
        <v>0</v>
      </c>
      <c r="AO18" s="775">
        <f t="shared" si="14"/>
        <v>2683407</v>
      </c>
      <c r="AP18" s="878"/>
      <c r="AQ18" s="879"/>
      <c r="AR18" s="879"/>
      <c r="AS18" s="885"/>
      <c r="AT18" s="884"/>
      <c r="AU18" s="885"/>
      <c r="AV18" s="885"/>
      <c r="AW18" s="885"/>
      <c r="AX18" s="885"/>
    </row>
    <row r="19" spans="2:50" s="399" customFormat="1" ht="30.65" hidden="1" customHeight="1" outlineLevel="2" x14ac:dyDescent="0.35">
      <c r="B19" s="700" t="s">
        <v>53</v>
      </c>
      <c r="C19" s="771">
        <v>959974.40000000002</v>
      </c>
      <c r="D19" s="771">
        <v>130905.59999999999</v>
      </c>
      <c r="E19" s="771">
        <v>1090880</v>
      </c>
      <c r="F19" s="771">
        <v>143996.16</v>
      </c>
      <c r="G19" s="771">
        <v>19635.84</v>
      </c>
      <c r="H19" s="771">
        <v>163632</v>
      </c>
      <c r="I19" s="772">
        <v>1254512</v>
      </c>
      <c r="J19" s="295"/>
      <c r="K19" s="295">
        <f t="shared" si="48"/>
        <v>0.2</v>
      </c>
      <c r="L19" s="295">
        <f t="shared" si="49"/>
        <v>0.35</v>
      </c>
      <c r="M19" s="295">
        <f t="shared" si="50"/>
        <v>0.45</v>
      </c>
      <c r="N19" s="295"/>
      <c r="O19" s="598">
        <v>0.5</v>
      </c>
      <c r="P19" s="598">
        <v>0.5</v>
      </c>
      <c r="Q19" s="768">
        <f t="shared" si="38"/>
        <v>0</v>
      </c>
      <c r="R19" s="769">
        <f t="shared" si="39"/>
        <v>0</v>
      </c>
      <c r="S19" s="770">
        <f t="shared" si="3"/>
        <v>0</v>
      </c>
      <c r="T19" s="768">
        <f t="shared" si="40"/>
        <v>218176</v>
      </c>
      <c r="U19" s="769">
        <v>0</v>
      </c>
      <c r="V19" s="770">
        <f t="shared" si="4"/>
        <v>218176</v>
      </c>
      <c r="W19" s="768">
        <f t="shared" si="41"/>
        <v>381808</v>
      </c>
      <c r="X19" s="769">
        <v>0</v>
      </c>
      <c r="Y19" s="770">
        <f t="shared" si="42"/>
        <v>381808</v>
      </c>
      <c r="Z19" s="768">
        <f t="shared" si="43"/>
        <v>490896</v>
      </c>
      <c r="AA19" s="769">
        <v>0</v>
      </c>
      <c r="AB19" s="770">
        <f t="shared" si="44"/>
        <v>490896</v>
      </c>
      <c r="AC19" s="768">
        <f t="shared" si="45"/>
        <v>0</v>
      </c>
      <c r="AD19" s="769">
        <f t="shared" si="46"/>
        <v>0</v>
      </c>
      <c r="AE19" s="770">
        <f t="shared" si="47"/>
        <v>0</v>
      </c>
      <c r="AF19" s="773"/>
      <c r="AG19" s="774"/>
      <c r="AH19" s="775"/>
      <c r="AI19" s="773"/>
      <c r="AJ19" s="774"/>
      <c r="AK19" s="775"/>
      <c r="AL19" s="776"/>
      <c r="AM19" s="777">
        <f t="shared" si="13"/>
        <v>1090880</v>
      </c>
      <c r="AN19" s="773">
        <f t="shared" si="5"/>
        <v>0</v>
      </c>
      <c r="AO19" s="775">
        <f t="shared" si="14"/>
        <v>1090879</v>
      </c>
      <c r="AP19" s="878"/>
      <c r="AQ19" s="879"/>
      <c r="AR19" s="879"/>
      <c r="AS19" s="885"/>
      <c r="AT19" s="884"/>
      <c r="AU19" s="885"/>
      <c r="AV19" s="885"/>
      <c r="AW19" s="885"/>
      <c r="AX19" s="885"/>
    </row>
    <row r="20" spans="2:50" s="399" customFormat="1" ht="30.65" hidden="1" customHeight="1" outlineLevel="2" x14ac:dyDescent="0.35">
      <c r="B20" s="700" t="s">
        <v>55</v>
      </c>
      <c r="C20" s="771">
        <v>443520</v>
      </c>
      <c r="D20" s="771">
        <v>60480</v>
      </c>
      <c r="E20" s="771">
        <v>504000</v>
      </c>
      <c r="F20" s="771">
        <v>41395.199999999997</v>
      </c>
      <c r="G20" s="771">
        <v>5644.8</v>
      </c>
      <c r="H20" s="771">
        <v>47040</v>
      </c>
      <c r="I20" s="772">
        <v>551040</v>
      </c>
      <c r="J20" s="295"/>
      <c r="K20" s="295">
        <f t="shared" si="48"/>
        <v>0.2</v>
      </c>
      <c r="L20" s="295">
        <f t="shared" si="49"/>
        <v>0.35</v>
      </c>
      <c r="M20" s="295">
        <f t="shared" si="50"/>
        <v>0.45</v>
      </c>
      <c r="N20" s="295"/>
      <c r="O20" s="598">
        <v>0.5</v>
      </c>
      <c r="P20" s="598">
        <v>0.5</v>
      </c>
      <c r="Q20" s="768">
        <f t="shared" si="38"/>
        <v>0</v>
      </c>
      <c r="R20" s="769">
        <f t="shared" si="39"/>
        <v>0</v>
      </c>
      <c r="S20" s="770">
        <f t="shared" si="3"/>
        <v>0</v>
      </c>
      <c r="T20" s="768">
        <f t="shared" si="40"/>
        <v>100800</v>
      </c>
      <c r="U20" s="769">
        <v>0</v>
      </c>
      <c r="V20" s="770">
        <f t="shared" si="4"/>
        <v>100800</v>
      </c>
      <c r="W20" s="768">
        <f t="shared" si="41"/>
        <v>176400</v>
      </c>
      <c r="X20" s="769">
        <v>0</v>
      </c>
      <c r="Y20" s="770">
        <f t="shared" si="42"/>
        <v>176400</v>
      </c>
      <c r="Z20" s="768">
        <f t="shared" si="43"/>
        <v>226800</v>
      </c>
      <c r="AA20" s="769">
        <v>0</v>
      </c>
      <c r="AB20" s="770">
        <f t="shared" si="44"/>
        <v>226800</v>
      </c>
      <c r="AC20" s="768">
        <f t="shared" si="45"/>
        <v>0</v>
      </c>
      <c r="AD20" s="769">
        <f t="shared" si="46"/>
        <v>0</v>
      </c>
      <c r="AE20" s="770">
        <f t="shared" si="47"/>
        <v>0</v>
      </c>
      <c r="AF20" s="773"/>
      <c r="AG20" s="774"/>
      <c r="AH20" s="775"/>
      <c r="AI20" s="773"/>
      <c r="AJ20" s="774"/>
      <c r="AK20" s="775"/>
      <c r="AL20" s="776"/>
      <c r="AM20" s="777">
        <f t="shared" si="13"/>
        <v>504000</v>
      </c>
      <c r="AN20" s="773">
        <f t="shared" si="5"/>
        <v>0</v>
      </c>
      <c r="AO20" s="775">
        <f t="shared" si="14"/>
        <v>503999</v>
      </c>
      <c r="AP20" s="878"/>
      <c r="AQ20" s="879"/>
      <c r="AR20" s="879"/>
      <c r="AS20" s="885"/>
      <c r="AT20" s="884"/>
      <c r="AU20" s="885"/>
      <c r="AV20" s="885"/>
      <c r="AW20" s="885"/>
      <c r="AX20" s="885"/>
    </row>
    <row r="21" spans="2:50" s="399" customFormat="1" ht="30.65" hidden="1" customHeight="1" outlineLevel="2" x14ac:dyDescent="0.35">
      <c r="B21" s="700" t="s">
        <v>57</v>
      </c>
      <c r="C21" s="771">
        <v>350814.64</v>
      </c>
      <c r="D21" s="771">
        <v>47838.36</v>
      </c>
      <c r="E21" s="771">
        <v>398653</v>
      </c>
      <c r="F21" s="771">
        <v>206102.16</v>
      </c>
      <c r="G21" s="771">
        <v>28104.84</v>
      </c>
      <c r="H21" s="771">
        <v>234207</v>
      </c>
      <c r="I21" s="772">
        <v>632860</v>
      </c>
      <c r="J21" s="295"/>
      <c r="K21" s="295">
        <f t="shared" si="48"/>
        <v>0.2</v>
      </c>
      <c r="L21" s="295">
        <f t="shared" si="49"/>
        <v>0.35</v>
      </c>
      <c r="M21" s="295">
        <f t="shared" si="50"/>
        <v>0.45</v>
      </c>
      <c r="N21" s="295"/>
      <c r="O21" s="598">
        <v>0.5</v>
      </c>
      <c r="P21" s="598">
        <v>0.5</v>
      </c>
      <c r="Q21" s="768">
        <f t="shared" si="38"/>
        <v>0</v>
      </c>
      <c r="R21" s="769">
        <f t="shared" si="39"/>
        <v>0</v>
      </c>
      <c r="S21" s="770">
        <f t="shared" si="3"/>
        <v>0</v>
      </c>
      <c r="T21" s="768">
        <f t="shared" si="40"/>
        <v>79730.600000000006</v>
      </c>
      <c r="U21" s="769">
        <v>0</v>
      </c>
      <c r="V21" s="770">
        <f t="shared" si="4"/>
        <v>79730.600000000006</v>
      </c>
      <c r="W21" s="768">
        <f t="shared" si="41"/>
        <v>139528.54999999999</v>
      </c>
      <c r="X21" s="769">
        <v>0</v>
      </c>
      <c r="Y21" s="770">
        <f t="shared" si="42"/>
        <v>139528.54999999999</v>
      </c>
      <c r="Z21" s="768">
        <f t="shared" si="43"/>
        <v>179393.85</v>
      </c>
      <c r="AA21" s="769">
        <v>0</v>
      </c>
      <c r="AB21" s="770">
        <f t="shared" si="44"/>
        <v>179393.85</v>
      </c>
      <c r="AC21" s="768">
        <f t="shared" si="45"/>
        <v>0</v>
      </c>
      <c r="AD21" s="769">
        <f t="shared" si="46"/>
        <v>0</v>
      </c>
      <c r="AE21" s="770">
        <f t="shared" si="47"/>
        <v>0</v>
      </c>
      <c r="AF21" s="773"/>
      <c r="AG21" s="774"/>
      <c r="AH21" s="775"/>
      <c r="AI21" s="773"/>
      <c r="AJ21" s="774"/>
      <c r="AK21" s="775"/>
      <c r="AL21" s="776"/>
      <c r="AM21" s="777">
        <f t="shared" si="13"/>
        <v>398653</v>
      </c>
      <c r="AN21" s="773">
        <f t="shared" si="5"/>
        <v>0</v>
      </c>
      <c r="AO21" s="775">
        <f t="shared" si="14"/>
        <v>398652</v>
      </c>
      <c r="AP21" s="878"/>
      <c r="AQ21" s="879"/>
      <c r="AR21" s="879"/>
      <c r="AS21" s="885"/>
      <c r="AT21" s="884"/>
      <c r="AU21" s="885"/>
      <c r="AV21" s="885"/>
      <c r="AW21" s="885"/>
      <c r="AX21" s="885"/>
    </row>
    <row r="22" spans="2:50" s="399" customFormat="1" ht="30.65" hidden="1" customHeight="1" outlineLevel="2" x14ac:dyDescent="0.35">
      <c r="B22" s="700" t="s">
        <v>59</v>
      </c>
      <c r="C22" s="771">
        <v>257400</v>
      </c>
      <c r="D22" s="771">
        <v>35100</v>
      </c>
      <c r="E22" s="771">
        <v>292500</v>
      </c>
      <c r="F22" s="771">
        <v>0</v>
      </c>
      <c r="G22" s="771">
        <v>0</v>
      </c>
      <c r="H22" s="771">
        <v>0</v>
      </c>
      <c r="I22" s="772">
        <v>292500</v>
      </c>
      <c r="J22" s="295"/>
      <c r="K22" s="295">
        <f t="shared" si="48"/>
        <v>0.2</v>
      </c>
      <c r="L22" s="295">
        <f t="shared" si="49"/>
        <v>0.35</v>
      </c>
      <c r="M22" s="295">
        <f t="shared" si="50"/>
        <v>0.45</v>
      </c>
      <c r="N22" s="295"/>
      <c r="O22" s="598"/>
      <c r="P22" s="598"/>
      <c r="Q22" s="768">
        <f t="shared" si="38"/>
        <v>0</v>
      </c>
      <c r="R22" s="769">
        <f t="shared" si="39"/>
        <v>0</v>
      </c>
      <c r="S22" s="770">
        <f t="shared" si="3"/>
        <v>0</v>
      </c>
      <c r="T22" s="768">
        <f t="shared" si="40"/>
        <v>58500</v>
      </c>
      <c r="U22" s="769">
        <v>0</v>
      </c>
      <c r="V22" s="770">
        <f t="shared" si="4"/>
        <v>58500</v>
      </c>
      <c r="W22" s="768">
        <f t="shared" si="41"/>
        <v>102375</v>
      </c>
      <c r="X22" s="769">
        <v>0</v>
      </c>
      <c r="Y22" s="770">
        <f t="shared" si="42"/>
        <v>102375</v>
      </c>
      <c r="Z22" s="768">
        <f t="shared" si="43"/>
        <v>131625</v>
      </c>
      <c r="AA22" s="769">
        <v>0</v>
      </c>
      <c r="AB22" s="770">
        <f t="shared" si="44"/>
        <v>131625</v>
      </c>
      <c r="AC22" s="768">
        <f t="shared" si="45"/>
        <v>0</v>
      </c>
      <c r="AD22" s="769">
        <f t="shared" si="46"/>
        <v>0</v>
      </c>
      <c r="AE22" s="770">
        <f t="shared" si="47"/>
        <v>0</v>
      </c>
      <c r="AF22" s="773"/>
      <c r="AG22" s="774"/>
      <c r="AH22" s="775"/>
      <c r="AI22" s="773"/>
      <c r="AJ22" s="774"/>
      <c r="AK22" s="775"/>
      <c r="AL22" s="776"/>
      <c r="AM22" s="777">
        <f t="shared" si="13"/>
        <v>292500</v>
      </c>
      <c r="AN22" s="773">
        <f t="shared" si="5"/>
        <v>0</v>
      </c>
      <c r="AO22" s="775">
        <f t="shared" si="14"/>
        <v>292499</v>
      </c>
      <c r="AP22" s="878"/>
      <c r="AQ22" s="879"/>
      <c r="AR22" s="879"/>
      <c r="AS22" s="885"/>
      <c r="AT22" s="884"/>
      <c r="AU22" s="885"/>
      <c r="AV22" s="885"/>
      <c r="AW22" s="885"/>
      <c r="AX22" s="885"/>
    </row>
    <row r="23" spans="2:50" s="399" customFormat="1" ht="30.65" hidden="1" customHeight="1" outlineLevel="2" x14ac:dyDescent="0.35">
      <c r="B23" s="700" t="s">
        <v>60</v>
      </c>
      <c r="C23" s="771">
        <v>264000</v>
      </c>
      <c r="D23" s="771">
        <v>36000</v>
      </c>
      <c r="E23" s="771">
        <v>300000</v>
      </c>
      <c r="F23" s="771">
        <v>158400</v>
      </c>
      <c r="G23" s="771">
        <v>21600</v>
      </c>
      <c r="H23" s="771">
        <v>180000</v>
      </c>
      <c r="I23" s="772">
        <v>480000</v>
      </c>
      <c r="J23" s="295"/>
      <c r="K23" s="295">
        <f t="shared" si="48"/>
        <v>0.2</v>
      </c>
      <c r="L23" s="295">
        <f t="shared" si="49"/>
        <v>0.35</v>
      </c>
      <c r="M23" s="295">
        <f t="shared" si="50"/>
        <v>0.45</v>
      </c>
      <c r="N23" s="295"/>
      <c r="O23" s="598">
        <v>0.5</v>
      </c>
      <c r="P23" s="598">
        <v>0.5</v>
      </c>
      <c r="Q23" s="768">
        <f t="shared" si="38"/>
        <v>0</v>
      </c>
      <c r="R23" s="769">
        <f t="shared" si="39"/>
        <v>0</v>
      </c>
      <c r="S23" s="770">
        <f t="shared" si="3"/>
        <v>0</v>
      </c>
      <c r="T23" s="768">
        <f t="shared" si="40"/>
        <v>60000</v>
      </c>
      <c r="U23" s="769">
        <v>0</v>
      </c>
      <c r="V23" s="770">
        <f t="shared" si="4"/>
        <v>60000</v>
      </c>
      <c r="W23" s="768">
        <f t="shared" si="41"/>
        <v>105000</v>
      </c>
      <c r="X23" s="769">
        <v>0</v>
      </c>
      <c r="Y23" s="770">
        <f t="shared" si="42"/>
        <v>105000</v>
      </c>
      <c r="Z23" s="768">
        <f t="shared" si="43"/>
        <v>135000</v>
      </c>
      <c r="AA23" s="769">
        <v>0</v>
      </c>
      <c r="AB23" s="770">
        <f t="shared" si="44"/>
        <v>135000</v>
      </c>
      <c r="AC23" s="768">
        <f t="shared" si="45"/>
        <v>0</v>
      </c>
      <c r="AD23" s="769">
        <f t="shared" si="46"/>
        <v>0</v>
      </c>
      <c r="AE23" s="770">
        <f t="shared" si="47"/>
        <v>0</v>
      </c>
      <c r="AF23" s="773"/>
      <c r="AG23" s="774"/>
      <c r="AH23" s="775"/>
      <c r="AI23" s="773"/>
      <c r="AJ23" s="774"/>
      <c r="AK23" s="775"/>
      <c r="AL23" s="776"/>
      <c r="AM23" s="777">
        <f t="shared" si="13"/>
        <v>300000</v>
      </c>
      <c r="AN23" s="773">
        <f t="shared" si="5"/>
        <v>0</v>
      </c>
      <c r="AO23" s="775">
        <f t="shared" si="14"/>
        <v>299999</v>
      </c>
      <c r="AP23" s="878"/>
      <c r="AQ23" s="879"/>
      <c r="AR23" s="879"/>
      <c r="AS23" s="885"/>
      <c r="AT23" s="884"/>
      <c r="AU23" s="885"/>
      <c r="AV23" s="885"/>
      <c r="AW23" s="885"/>
      <c r="AX23" s="885"/>
    </row>
    <row r="24" spans="2:50" s="399" customFormat="1" ht="30.65" hidden="1" customHeight="1" outlineLevel="2" x14ac:dyDescent="0.35">
      <c r="B24" s="700" t="s">
        <v>62</v>
      </c>
      <c r="C24" s="771">
        <v>642497.85599999991</v>
      </c>
      <c r="D24" s="771">
        <v>87613.343999999997</v>
      </c>
      <c r="E24" s="771">
        <v>730111.2</v>
      </c>
      <c r="F24" s="771">
        <v>48787.199999999997</v>
      </c>
      <c r="G24" s="771">
        <v>6652.8</v>
      </c>
      <c r="H24" s="771">
        <v>55440</v>
      </c>
      <c r="I24" s="772">
        <v>785551.2</v>
      </c>
      <c r="J24" s="295"/>
      <c r="K24" s="295">
        <f t="shared" si="48"/>
        <v>0.2</v>
      </c>
      <c r="L24" s="295">
        <f t="shared" si="49"/>
        <v>0.35</v>
      </c>
      <c r="M24" s="295">
        <f t="shared" si="50"/>
        <v>0.45</v>
      </c>
      <c r="N24" s="295"/>
      <c r="O24" s="598">
        <v>0.5</v>
      </c>
      <c r="P24" s="598">
        <v>0.5</v>
      </c>
      <c r="Q24" s="768">
        <f t="shared" si="38"/>
        <v>0</v>
      </c>
      <c r="R24" s="769">
        <f t="shared" si="39"/>
        <v>0</v>
      </c>
      <c r="S24" s="770">
        <f t="shared" si="3"/>
        <v>0</v>
      </c>
      <c r="T24" s="768">
        <f t="shared" si="40"/>
        <v>146022.24</v>
      </c>
      <c r="U24" s="769">
        <v>0</v>
      </c>
      <c r="V24" s="770">
        <f t="shared" si="4"/>
        <v>146022.24</v>
      </c>
      <c r="W24" s="768">
        <f t="shared" si="41"/>
        <v>255538.91999999995</v>
      </c>
      <c r="X24" s="769">
        <v>0</v>
      </c>
      <c r="Y24" s="770">
        <f t="shared" si="42"/>
        <v>255538.91999999995</v>
      </c>
      <c r="Z24" s="768">
        <f t="shared" si="43"/>
        <v>328550.03999999998</v>
      </c>
      <c r="AA24" s="769">
        <v>0</v>
      </c>
      <c r="AB24" s="770">
        <f t="shared" si="44"/>
        <v>328550.03999999998</v>
      </c>
      <c r="AC24" s="768">
        <f t="shared" si="45"/>
        <v>0</v>
      </c>
      <c r="AD24" s="769">
        <f t="shared" si="46"/>
        <v>0</v>
      </c>
      <c r="AE24" s="770">
        <f t="shared" si="47"/>
        <v>0</v>
      </c>
      <c r="AF24" s="773"/>
      <c r="AG24" s="774"/>
      <c r="AH24" s="775"/>
      <c r="AI24" s="773"/>
      <c r="AJ24" s="774"/>
      <c r="AK24" s="775"/>
      <c r="AL24" s="776"/>
      <c r="AM24" s="777">
        <f t="shared" si="13"/>
        <v>730111.2</v>
      </c>
      <c r="AN24" s="773">
        <f t="shared" si="5"/>
        <v>0</v>
      </c>
      <c r="AO24" s="775">
        <f t="shared" si="14"/>
        <v>730110.2</v>
      </c>
      <c r="AP24" s="878"/>
      <c r="AQ24" s="879"/>
      <c r="AR24" s="879"/>
      <c r="AS24" s="885"/>
      <c r="AT24" s="884"/>
      <c r="AU24" s="885"/>
      <c r="AV24" s="885"/>
      <c r="AW24" s="885"/>
      <c r="AX24" s="885"/>
    </row>
    <row r="25" spans="2:50" s="399" customFormat="1" ht="30.65" hidden="1" customHeight="1" outlineLevel="2" x14ac:dyDescent="0.35">
      <c r="B25" s="700" t="s">
        <v>64</v>
      </c>
      <c r="C25" s="771">
        <v>1503040</v>
      </c>
      <c r="D25" s="771">
        <v>204960</v>
      </c>
      <c r="E25" s="771">
        <v>1708000</v>
      </c>
      <c r="F25" s="771">
        <v>103488</v>
      </c>
      <c r="G25" s="771">
        <v>14112</v>
      </c>
      <c r="H25" s="771">
        <v>117600</v>
      </c>
      <c r="I25" s="772">
        <v>1825600</v>
      </c>
      <c r="J25" s="295"/>
      <c r="K25" s="295">
        <f t="shared" si="48"/>
        <v>0.2</v>
      </c>
      <c r="L25" s="295">
        <f t="shared" si="49"/>
        <v>0.35</v>
      </c>
      <c r="M25" s="295">
        <f t="shared" si="50"/>
        <v>0.45</v>
      </c>
      <c r="N25" s="295"/>
      <c r="O25" s="598">
        <v>0.5</v>
      </c>
      <c r="P25" s="598">
        <v>0.5</v>
      </c>
      <c r="Q25" s="768">
        <f t="shared" si="38"/>
        <v>0</v>
      </c>
      <c r="R25" s="769">
        <f t="shared" si="39"/>
        <v>0</v>
      </c>
      <c r="S25" s="770">
        <f t="shared" si="3"/>
        <v>0</v>
      </c>
      <c r="T25" s="768">
        <f t="shared" si="40"/>
        <v>341600</v>
      </c>
      <c r="U25" s="769">
        <v>0</v>
      </c>
      <c r="V25" s="770">
        <f t="shared" si="4"/>
        <v>341600</v>
      </c>
      <c r="W25" s="768">
        <f t="shared" si="41"/>
        <v>597800</v>
      </c>
      <c r="X25" s="769">
        <v>0</v>
      </c>
      <c r="Y25" s="770">
        <f t="shared" si="42"/>
        <v>597800</v>
      </c>
      <c r="Z25" s="768">
        <f t="shared" si="43"/>
        <v>768600</v>
      </c>
      <c r="AA25" s="769">
        <v>0</v>
      </c>
      <c r="AB25" s="770">
        <f t="shared" si="44"/>
        <v>768600</v>
      </c>
      <c r="AC25" s="768">
        <f t="shared" si="45"/>
        <v>0</v>
      </c>
      <c r="AD25" s="769">
        <f t="shared" si="46"/>
        <v>0</v>
      </c>
      <c r="AE25" s="770">
        <f t="shared" si="47"/>
        <v>0</v>
      </c>
      <c r="AF25" s="773"/>
      <c r="AG25" s="774"/>
      <c r="AH25" s="775"/>
      <c r="AI25" s="773"/>
      <c r="AJ25" s="774"/>
      <c r="AK25" s="775"/>
      <c r="AL25" s="776"/>
      <c r="AM25" s="777">
        <f t="shared" si="13"/>
        <v>1708000</v>
      </c>
      <c r="AN25" s="773">
        <f t="shared" si="5"/>
        <v>0</v>
      </c>
      <c r="AO25" s="775">
        <f t="shared" si="14"/>
        <v>1707999</v>
      </c>
      <c r="AP25" s="878"/>
      <c r="AQ25" s="879"/>
      <c r="AR25" s="879"/>
      <c r="AS25" s="885"/>
      <c r="AT25" s="884"/>
      <c r="AU25" s="885"/>
      <c r="AV25" s="885"/>
      <c r="AW25" s="885"/>
      <c r="AX25" s="885"/>
    </row>
    <row r="26" spans="2:50" s="399" customFormat="1" ht="30.65" hidden="1" customHeight="1" outlineLevel="2" x14ac:dyDescent="0.35">
      <c r="B26" s="700" t="s">
        <v>66</v>
      </c>
      <c r="C26" s="771">
        <v>198000</v>
      </c>
      <c r="D26" s="771">
        <v>27000</v>
      </c>
      <c r="E26" s="771">
        <v>225000</v>
      </c>
      <c r="F26" s="771">
        <v>59400</v>
      </c>
      <c r="G26" s="771">
        <v>8100</v>
      </c>
      <c r="H26" s="771">
        <v>67500</v>
      </c>
      <c r="I26" s="772">
        <v>292500</v>
      </c>
      <c r="J26" s="295"/>
      <c r="K26" s="295">
        <f t="shared" si="48"/>
        <v>0.2</v>
      </c>
      <c r="L26" s="295">
        <f t="shared" si="49"/>
        <v>0.35</v>
      </c>
      <c r="M26" s="295">
        <f t="shared" si="50"/>
        <v>0.45</v>
      </c>
      <c r="N26" s="295"/>
      <c r="O26" s="598">
        <v>0.5</v>
      </c>
      <c r="P26" s="598">
        <v>0.5</v>
      </c>
      <c r="Q26" s="768">
        <f t="shared" si="38"/>
        <v>0</v>
      </c>
      <c r="R26" s="769">
        <f t="shared" si="39"/>
        <v>0</v>
      </c>
      <c r="S26" s="770">
        <f t="shared" si="3"/>
        <v>0</v>
      </c>
      <c r="T26" s="768">
        <f t="shared" si="40"/>
        <v>45000</v>
      </c>
      <c r="U26" s="769">
        <v>0</v>
      </c>
      <c r="V26" s="770">
        <f t="shared" si="4"/>
        <v>45000</v>
      </c>
      <c r="W26" s="768">
        <f t="shared" si="41"/>
        <v>78750</v>
      </c>
      <c r="X26" s="769">
        <v>0</v>
      </c>
      <c r="Y26" s="770">
        <f t="shared" si="42"/>
        <v>78750</v>
      </c>
      <c r="Z26" s="768">
        <f t="shared" si="43"/>
        <v>101250</v>
      </c>
      <c r="AA26" s="769">
        <v>0</v>
      </c>
      <c r="AB26" s="770">
        <f t="shared" si="44"/>
        <v>101250</v>
      </c>
      <c r="AC26" s="768">
        <f t="shared" si="45"/>
        <v>0</v>
      </c>
      <c r="AD26" s="769">
        <f t="shared" si="46"/>
        <v>0</v>
      </c>
      <c r="AE26" s="770">
        <f t="shared" si="47"/>
        <v>0</v>
      </c>
      <c r="AF26" s="773"/>
      <c r="AG26" s="774"/>
      <c r="AH26" s="775"/>
      <c r="AI26" s="773"/>
      <c r="AJ26" s="774"/>
      <c r="AK26" s="775"/>
      <c r="AL26" s="776"/>
      <c r="AM26" s="777">
        <f t="shared" si="13"/>
        <v>225000</v>
      </c>
      <c r="AN26" s="773">
        <f t="shared" si="5"/>
        <v>0</v>
      </c>
      <c r="AO26" s="775">
        <f t="shared" si="14"/>
        <v>224999</v>
      </c>
      <c r="AP26" s="878"/>
      <c r="AQ26" s="879"/>
      <c r="AR26" s="879"/>
      <c r="AS26" s="885"/>
      <c r="AT26" s="884"/>
      <c r="AU26" s="885"/>
      <c r="AV26" s="885"/>
      <c r="AW26" s="885"/>
      <c r="AX26" s="885"/>
    </row>
    <row r="27" spans="2:50" s="399" customFormat="1" ht="30.65" hidden="1" customHeight="1" outlineLevel="2" x14ac:dyDescent="0.35">
      <c r="B27" s="700" t="s">
        <v>68</v>
      </c>
      <c r="C27" s="771">
        <v>1760000</v>
      </c>
      <c r="D27" s="771">
        <v>240000</v>
      </c>
      <c r="E27" s="771">
        <v>2000000</v>
      </c>
      <c r="F27" s="771">
        <v>229565.21739130435</v>
      </c>
      <c r="G27" s="771">
        <v>31304.347826086956</v>
      </c>
      <c r="H27" s="771">
        <v>260869.5652173913</v>
      </c>
      <c r="I27" s="772">
        <v>2260869.5652173911</v>
      </c>
      <c r="J27" s="295"/>
      <c r="K27" s="295">
        <f t="shared" si="48"/>
        <v>0.2</v>
      </c>
      <c r="L27" s="295">
        <f t="shared" si="49"/>
        <v>0.35</v>
      </c>
      <c r="M27" s="295">
        <f t="shared" si="50"/>
        <v>0.45</v>
      </c>
      <c r="N27" s="295"/>
      <c r="O27" s="598">
        <v>0.5</v>
      </c>
      <c r="P27" s="598">
        <v>0.5</v>
      </c>
      <c r="Q27" s="768">
        <f t="shared" si="38"/>
        <v>0</v>
      </c>
      <c r="R27" s="769">
        <f t="shared" si="39"/>
        <v>0</v>
      </c>
      <c r="S27" s="770">
        <f t="shared" si="3"/>
        <v>0</v>
      </c>
      <c r="T27" s="768">
        <f t="shared" si="40"/>
        <v>400000</v>
      </c>
      <c r="U27" s="769">
        <v>0</v>
      </c>
      <c r="V27" s="770">
        <f t="shared" si="4"/>
        <v>400000</v>
      </c>
      <c r="W27" s="768">
        <f t="shared" si="41"/>
        <v>700000</v>
      </c>
      <c r="X27" s="769">
        <v>0</v>
      </c>
      <c r="Y27" s="770">
        <f t="shared" si="42"/>
        <v>700000</v>
      </c>
      <c r="Z27" s="768">
        <f t="shared" si="43"/>
        <v>900000</v>
      </c>
      <c r="AA27" s="769">
        <v>0</v>
      </c>
      <c r="AB27" s="770">
        <f t="shared" si="44"/>
        <v>900000</v>
      </c>
      <c r="AC27" s="768">
        <f t="shared" si="45"/>
        <v>0</v>
      </c>
      <c r="AD27" s="769">
        <f t="shared" si="46"/>
        <v>0</v>
      </c>
      <c r="AE27" s="770">
        <f t="shared" si="47"/>
        <v>0</v>
      </c>
      <c r="AF27" s="773"/>
      <c r="AG27" s="774"/>
      <c r="AH27" s="775"/>
      <c r="AI27" s="773"/>
      <c r="AJ27" s="774"/>
      <c r="AK27" s="775"/>
      <c r="AL27" s="776"/>
      <c r="AM27" s="777">
        <f t="shared" si="13"/>
        <v>2000000</v>
      </c>
      <c r="AN27" s="773">
        <f t="shared" si="5"/>
        <v>0</v>
      </c>
      <c r="AO27" s="775">
        <f t="shared" si="14"/>
        <v>1999999</v>
      </c>
      <c r="AP27" s="878"/>
      <c r="AQ27" s="879"/>
      <c r="AR27" s="879"/>
      <c r="AS27" s="885"/>
      <c r="AT27" s="884"/>
      <c r="AU27" s="885"/>
      <c r="AV27" s="885"/>
      <c r="AW27" s="885"/>
      <c r="AX27" s="885"/>
    </row>
    <row r="28" spans="2:50" s="399" customFormat="1" ht="30.65" hidden="1" customHeight="1" outlineLevel="2" x14ac:dyDescent="0.35">
      <c r="B28" s="700" t="s">
        <v>70</v>
      </c>
      <c r="C28" s="771">
        <v>684000.24</v>
      </c>
      <c r="D28" s="771">
        <v>93272.76</v>
      </c>
      <c r="E28" s="771">
        <v>777273</v>
      </c>
      <c r="F28" s="771">
        <v>102600.03600000001</v>
      </c>
      <c r="G28" s="771">
        <v>13990.914000000001</v>
      </c>
      <c r="H28" s="771">
        <v>116590.95000000001</v>
      </c>
      <c r="I28" s="772">
        <v>893863.95</v>
      </c>
      <c r="J28" s="295"/>
      <c r="K28" s="295">
        <f t="shared" si="48"/>
        <v>0.2</v>
      </c>
      <c r="L28" s="295">
        <f t="shared" si="49"/>
        <v>0.35</v>
      </c>
      <c r="M28" s="295">
        <f t="shared" si="50"/>
        <v>0.45</v>
      </c>
      <c r="N28" s="295"/>
      <c r="O28" s="598">
        <v>0.5</v>
      </c>
      <c r="P28" s="598">
        <v>0.5</v>
      </c>
      <c r="Q28" s="768">
        <f t="shared" si="38"/>
        <v>0</v>
      </c>
      <c r="R28" s="769">
        <f t="shared" si="39"/>
        <v>0</v>
      </c>
      <c r="S28" s="770">
        <f t="shared" si="3"/>
        <v>0</v>
      </c>
      <c r="T28" s="768">
        <f t="shared" si="40"/>
        <v>155454.6</v>
      </c>
      <c r="U28" s="769">
        <v>0</v>
      </c>
      <c r="V28" s="770">
        <f t="shared" si="4"/>
        <v>155454.6</v>
      </c>
      <c r="W28" s="768">
        <f t="shared" si="41"/>
        <v>272045.55</v>
      </c>
      <c r="X28" s="769">
        <v>0</v>
      </c>
      <c r="Y28" s="770">
        <f t="shared" si="42"/>
        <v>272045.55</v>
      </c>
      <c r="Z28" s="768">
        <f t="shared" si="43"/>
        <v>349772.85000000003</v>
      </c>
      <c r="AA28" s="769">
        <v>0</v>
      </c>
      <c r="AB28" s="770">
        <f t="shared" si="44"/>
        <v>349772.85000000003</v>
      </c>
      <c r="AC28" s="768">
        <f t="shared" si="45"/>
        <v>0</v>
      </c>
      <c r="AD28" s="769">
        <f t="shared" si="46"/>
        <v>0</v>
      </c>
      <c r="AE28" s="770">
        <f t="shared" si="47"/>
        <v>0</v>
      </c>
      <c r="AF28" s="773"/>
      <c r="AG28" s="774"/>
      <c r="AH28" s="775"/>
      <c r="AI28" s="773"/>
      <c r="AJ28" s="774"/>
      <c r="AK28" s="775"/>
      <c r="AL28" s="776"/>
      <c r="AM28" s="777">
        <f t="shared" si="13"/>
        <v>777273</v>
      </c>
      <c r="AN28" s="773">
        <f t="shared" si="5"/>
        <v>0</v>
      </c>
      <c r="AO28" s="775">
        <f t="shared" si="14"/>
        <v>777272</v>
      </c>
      <c r="AP28" s="878"/>
      <c r="AQ28" s="879"/>
      <c r="AR28" s="879"/>
      <c r="AS28" s="885"/>
      <c r="AT28" s="884"/>
      <c r="AU28" s="885"/>
      <c r="AV28" s="885"/>
      <c r="AW28" s="885"/>
      <c r="AX28" s="885"/>
    </row>
    <row r="29" spans="2:50" s="399" customFormat="1" ht="30.65" hidden="1" customHeight="1" outlineLevel="2" x14ac:dyDescent="0.35">
      <c r="B29" s="700" t="s">
        <v>72</v>
      </c>
      <c r="C29" s="771">
        <v>528000</v>
      </c>
      <c r="D29" s="771">
        <v>72000</v>
      </c>
      <c r="E29" s="771">
        <v>600000</v>
      </c>
      <c r="F29" s="771">
        <v>0</v>
      </c>
      <c r="G29" s="771">
        <v>0</v>
      </c>
      <c r="H29" s="771">
        <v>0</v>
      </c>
      <c r="I29" s="772">
        <v>600000</v>
      </c>
      <c r="J29" s="295"/>
      <c r="K29" s="295">
        <f t="shared" si="48"/>
        <v>0.2</v>
      </c>
      <c r="L29" s="295">
        <f t="shared" si="49"/>
        <v>0.35</v>
      </c>
      <c r="M29" s="295">
        <f t="shared" si="50"/>
        <v>0.45</v>
      </c>
      <c r="N29" s="295">
        <f t="shared" ref="N29" si="51">N22</f>
        <v>0</v>
      </c>
      <c r="O29" s="295"/>
      <c r="P29" s="295"/>
      <c r="Q29" s="768">
        <f t="shared" si="38"/>
        <v>0</v>
      </c>
      <c r="R29" s="769">
        <f t="shared" si="39"/>
        <v>0</v>
      </c>
      <c r="S29" s="770">
        <f t="shared" si="3"/>
        <v>0</v>
      </c>
      <c r="T29" s="768">
        <f t="shared" si="40"/>
        <v>120000</v>
      </c>
      <c r="U29" s="769">
        <v>0</v>
      </c>
      <c r="V29" s="770">
        <f t="shared" si="4"/>
        <v>120000</v>
      </c>
      <c r="W29" s="768">
        <f t="shared" si="41"/>
        <v>210000</v>
      </c>
      <c r="X29" s="769">
        <v>0</v>
      </c>
      <c r="Y29" s="770">
        <f t="shared" si="42"/>
        <v>210000</v>
      </c>
      <c r="Z29" s="768">
        <f t="shared" si="43"/>
        <v>270000</v>
      </c>
      <c r="AA29" s="769">
        <v>0</v>
      </c>
      <c r="AB29" s="770">
        <f t="shared" si="44"/>
        <v>270000</v>
      </c>
      <c r="AC29" s="768">
        <f t="shared" si="45"/>
        <v>0</v>
      </c>
      <c r="AD29" s="769">
        <f t="shared" si="46"/>
        <v>0</v>
      </c>
      <c r="AE29" s="770">
        <f t="shared" si="47"/>
        <v>0</v>
      </c>
      <c r="AF29" s="773"/>
      <c r="AG29" s="774"/>
      <c r="AH29" s="775"/>
      <c r="AI29" s="773"/>
      <c r="AJ29" s="774"/>
      <c r="AK29" s="775"/>
      <c r="AL29" s="776"/>
      <c r="AM29" s="777">
        <f t="shared" si="13"/>
        <v>600000</v>
      </c>
      <c r="AN29" s="773">
        <f t="shared" si="5"/>
        <v>0</v>
      </c>
      <c r="AO29" s="775">
        <f t="shared" si="14"/>
        <v>599999</v>
      </c>
      <c r="AP29" s="878"/>
      <c r="AQ29" s="879"/>
      <c r="AR29" s="879"/>
      <c r="AS29" s="885"/>
      <c r="AT29" s="884"/>
      <c r="AU29" s="885"/>
      <c r="AV29" s="885"/>
      <c r="AW29" s="885"/>
      <c r="AX29" s="885"/>
    </row>
    <row r="30" spans="2:50" s="442" customFormat="1" ht="30.65" hidden="1" customHeight="1" outlineLevel="2" x14ac:dyDescent="0.35">
      <c r="B30" s="700" t="s">
        <v>73</v>
      </c>
      <c r="C30" s="766">
        <v>1349927.04</v>
      </c>
      <c r="D30" s="766">
        <v>184080.96</v>
      </c>
      <c r="E30" s="766">
        <v>1534008</v>
      </c>
      <c r="F30" s="766">
        <v>211292.92799999999</v>
      </c>
      <c r="G30" s="766">
        <v>28812.671999999995</v>
      </c>
      <c r="H30" s="766">
        <v>240105.59999999998</v>
      </c>
      <c r="I30" s="767">
        <v>1774113.6</v>
      </c>
      <c r="J30" s="443"/>
      <c r="K30" s="295">
        <f t="shared" si="48"/>
        <v>0.2</v>
      </c>
      <c r="L30" s="295">
        <f t="shared" si="49"/>
        <v>0.35</v>
      </c>
      <c r="M30" s="295">
        <f t="shared" si="50"/>
        <v>0.45</v>
      </c>
      <c r="N30" s="443"/>
      <c r="O30" s="600">
        <v>0.5</v>
      </c>
      <c r="P30" s="600">
        <v>0.5</v>
      </c>
      <c r="Q30" s="768">
        <f t="shared" si="38"/>
        <v>0</v>
      </c>
      <c r="R30" s="769">
        <f t="shared" si="39"/>
        <v>0</v>
      </c>
      <c r="S30" s="770">
        <f t="shared" si="3"/>
        <v>0</v>
      </c>
      <c r="T30" s="768">
        <f t="shared" si="40"/>
        <v>306801.60000000003</v>
      </c>
      <c r="U30" s="769">
        <v>0</v>
      </c>
      <c r="V30" s="770">
        <f t="shared" si="4"/>
        <v>306801.60000000003</v>
      </c>
      <c r="W30" s="768">
        <f t="shared" si="41"/>
        <v>536902.79999999993</v>
      </c>
      <c r="X30" s="769">
        <v>0</v>
      </c>
      <c r="Y30" s="770">
        <f t="shared" si="42"/>
        <v>536902.79999999993</v>
      </c>
      <c r="Z30" s="768">
        <f t="shared" si="43"/>
        <v>690303.6</v>
      </c>
      <c r="AA30" s="769">
        <v>0</v>
      </c>
      <c r="AB30" s="770">
        <f t="shared" si="44"/>
        <v>690303.6</v>
      </c>
      <c r="AC30" s="768">
        <f t="shared" si="45"/>
        <v>0</v>
      </c>
      <c r="AD30" s="769">
        <f t="shared" si="46"/>
        <v>0</v>
      </c>
      <c r="AE30" s="770">
        <f t="shared" si="47"/>
        <v>0</v>
      </c>
      <c r="AF30" s="773"/>
      <c r="AG30" s="774"/>
      <c r="AH30" s="775"/>
      <c r="AI30" s="773"/>
      <c r="AJ30" s="774"/>
      <c r="AK30" s="775"/>
      <c r="AL30" s="769"/>
      <c r="AM30" s="777">
        <f t="shared" si="13"/>
        <v>1534008</v>
      </c>
      <c r="AN30" s="773">
        <f t="shared" si="5"/>
        <v>0</v>
      </c>
      <c r="AO30" s="775">
        <f t="shared" si="14"/>
        <v>1534007</v>
      </c>
      <c r="AP30" s="878"/>
      <c r="AQ30" s="879"/>
      <c r="AR30" s="879"/>
      <c r="AS30" s="885"/>
      <c r="AT30" s="884"/>
      <c r="AU30" s="885"/>
      <c r="AV30" s="885"/>
      <c r="AW30" s="885"/>
      <c r="AX30" s="885"/>
    </row>
    <row r="31" spans="2:50" s="399" customFormat="1" ht="30.65" hidden="1" customHeight="1" outlineLevel="2" x14ac:dyDescent="0.35">
      <c r="B31" s="700" t="s">
        <v>75</v>
      </c>
      <c r="C31" s="771">
        <v>2380224</v>
      </c>
      <c r="D31" s="771">
        <v>324576</v>
      </c>
      <c r="E31" s="771">
        <v>2704800</v>
      </c>
      <c r="F31" s="771">
        <v>378160.64000000001</v>
      </c>
      <c r="G31" s="771">
        <v>51567.360000000001</v>
      </c>
      <c r="H31" s="771">
        <v>429727.69</v>
      </c>
      <c r="I31" s="772">
        <v>3134527.69</v>
      </c>
      <c r="J31" s="295"/>
      <c r="K31" s="295">
        <f t="shared" si="48"/>
        <v>0.2</v>
      </c>
      <c r="L31" s="295">
        <f t="shared" si="49"/>
        <v>0.35</v>
      </c>
      <c r="M31" s="295">
        <f t="shared" si="50"/>
        <v>0.45</v>
      </c>
      <c r="N31" s="295"/>
      <c r="O31" s="598">
        <v>0.5</v>
      </c>
      <c r="P31" s="598">
        <v>0.5</v>
      </c>
      <c r="Q31" s="768">
        <f t="shared" si="38"/>
        <v>0</v>
      </c>
      <c r="R31" s="769">
        <f t="shared" si="39"/>
        <v>0</v>
      </c>
      <c r="S31" s="770">
        <f t="shared" si="3"/>
        <v>0</v>
      </c>
      <c r="T31" s="768">
        <f t="shared" si="40"/>
        <v>540960</v>
      </c>
      <c r="U31" s="769">
        <v>0</v>
      </c>
      <c r="V31" s="770">
        <f t="shared" si="4"/>
        <v>540960</v>
      </c>
      <c r="W31" s="768">
        <f t="shared" si="41"/>
        <v>946679.99999999988</v>
      </c>
      <c r="X31" s="769">
        <v>0</v>
      </c>
      <c r="Y31" s="770">
        <f t="shared" si="42"/>
        <v>946679.99999999988</v>
      </c>
      <c r="Z31" s="768">
        <f t="shared" si="43"/>
        <v>1217160</v>
      </c>
      <c r="AA31" s="769">
        <v>0</v>
      </c>
      <c r="AB31" s="770">
        <f t="shared" si="44"/>
        <v>1217160</v>
      </c>
      <c r="AC31" s="768">
        <f t="shared" si="45"/>
        <v>0</v>
      </c>
      <c r="AD31" s="769">
        <f t="shared" si="46"/>
        <v>0</v>
      </c>
      <c r="AE31" s="770">
        <f t="shared" si="47"/>
        <v>0</v>
      </c>
      <c r="AF31" s="773"/>
      <c r="AG31" s="774"/>
      <c r="AH31" s="775"/>
      <c r="AI31" s="773"/>
      <c r="AJ31" s="774"/>
      <c r="AK31" s="775"/>
      <c r="AL31" s="776"/>
      <c r="AM31" s="777">
        <f t="shared" si="13"/>
        <v>2704800</v>
      </c>
      <c r="AN31" s="773">
        <f t="shared" si="5"/>
        <v>0</v>
      </c>
      <c r="AO31" s="775">
        <f t="shared" si="14"/>
        <v>2704799</v>
      </c>
      <c r="AP31" s="878"/>
      <c r="AQ31" s="879"/>
      <c r="AR31" s="879"/>
      <c r="AS31" s="885"/>
      <c r="AT31" s="884"/>
      <c r="AU31" s="885"/>
      <c r="AV31" s="885"/>
      <c r="AW31" s="885"/>
      <c r="AX31" s="885"/>
    </row>
    <row r="32" spans="2:50" s="399" customFormat="1" ht="30.65" hidden="1" customHeight="1" outlineLevel="2" x14ac:dyDescent="0.35">
      <c r="B32" s="700" t="s">
        <v>77</v>
      </c>
      <c r="C32" s="771">
        <v>1700357.1200000001</v>
      </c>
      <c r="D32" s="771">
        <v>231866.88</v>
      </c>
      <c r="E32" s="771">
        <v>1932224</v>
      </c>
      <c r="F32" s="771">
        <v>264130.94400000002</v>
      </c>
      <c r="G32" s="771">
        <v>36017.856000000007</v>
      </c>
      <c r="H32" s="771">
        <v>300148.80000000005</v>
      </c>
      <c r="I32" s="772">
        <v>2232372.7999999998</v>
      </c>
      <c r="J32" s="295"/>
      <c r="K32" s="295">
        <f t="shared" si="48"/>
        <v>0.2</v>
      </c>
      <c r="L32" s="295">
        <f t="shared" si="49"/>
        <v>0.35</v>
      </c>
      <c r="M32" s="295">
        <f t="shared" si="50"/>
        <v>0.45</v>
      </c>
      <c r="N32" s="295"/>
      <c r="O32" s="598">
        <v>0.5</v>
      </c>
      <c r="P32" s="598">
        <v>0.5</v>
      </c>
      <c r="Q32" s="768">
        <f t="shared" si="38"/>
        <v>0</v>
      </c>
      <c r="R32" s="769">
        <f t="shared" si="39"/>
        <v>0</v>
      </c>
      <c r="S32" s="770">
        <f t="shared" si="3"/>
        <v>0</v>
      </c>
      <c r="T32" s="768">
        <f t="shared" si="40"/>
        <v>386444.80000000005</v>
      </c>
      <c r="U32" s="769">
        <v>0</v>
      </c>
      <c r="V32" s="770">
        <f t="shared" si="4"/>
        <v>386444.80000000005</v>
      </c>
      <c r="W32" s="768">
        <f t="shared" si="41"/>
        <v>676278.39999999991</v>
      </c>
      <c r="X32" s="769">
        <v>0</v>
      </c>
      <c r="Y32" s="770">
        <f t="shared" si="42"/>
        <v>676278.39999999991</v>
      </c>
      <c r="Z32" s="768">
        <f t="shared" si="43"/>
        <v>869500.8</v>
      </c>
      <c r="AA32" s="769">
        <v>0</v>
      </c>
      <c r="AB32" s="770">
        <f t="shared" si="44"/>
        <v>869500.8</v>
      </c>
      <c r="AC32" s="768">
        <f t="shared" si="45"/>
        <v>0</v>
      </c>
      <c r="AD32" s="769">
        <f t="shared" si="46"/>
        <v>0</v>
      </c>
      <c r="AE32" s="770">
        <f t="shared" si="47"/>
        <v>0</v>
      </c>
      <c r="AF32" s="773"/>
      <c r="AG32" s="774"/>
      <c r="AH32" s="775"/>
      <c r="AI32" s="773"/>
      <c r="AJ32" s="774"/>
      <c r="AK32" s="775"/>
      <c r="AL32" s="776"/>
      <c r="AM32" s="777">
        <f t="shared" si="13"/>
        <v>1932224</v>
      </c>
      <c r="AN32" s="773">
        <f t="shared" si="5"/>
        <v>0</v>
      </c>
      <c r="AO32" s="775">
        <f t="shared" si="14"/>
        <v>1932223</v>
      </c>
      <c r="AP32" s="878"/>
      <c r="AQ32" s="879"/>
      <c r="AR32" s="879"/>
      <c r="AS32" s="885"/>
      <c r="AT32" s="884"/>
      <c r="AU32" s="885"/>
      <c r="AV32" s="885"/>
      <c r="AW32" s="885"/>
      <c r="AX32" s="885"/>
    </row>
    <row r="33" spans="2:50" s="399" customFormat="1" ht="30.65" hidden="1" customHeight="1" outlineLevel="2" x14ac:dyDescent="0.35">
      <c r="B33" s="700" t="s">
        <v>79</v>
      </c>
      <c r="C33" s="771">
        <v>164003.84</v>
      </c>
      <c r="D33" s="771">
        <v>22364.16</v>
      </c>
      <c r="E33" s="771">
        <v>186368</v>
      </c>
      <c r="F33" s="771">
        <v>24600.575999999997</v>
      </c>
      <c r="G33" s="771">
        <v>3354.6239999999993</v>
      </c>
      <c r="H33" s="771">
        <v>27955.199999999997</v>
      </c>
      <c r="I33" s="772">
        <v>214323.20000000001</v>
      </c>
      <c r="J33" s="295"/>
      <c r="K33" s="295">
        <f t="shared" si="48"/>
        <v>0.2</v>
      </c>
      <c r="L33" s="295">
        <f t="shared" si="49"/>
        <v>0.35</v>
      </c>
      <c r="M33" s="295">
        <f t="shared" si="50"/>
        <v>0.45</v>
      </c>
      <c r="N33" s="295"/>
      <c r="O33" s="598">
        <v>0.5</v>
      </c>
      <c r="P33" s="598">
        <v>0.5</v>
      </c>
      <c r="Q33" s="768">
        <f t="shared" si="38"/>
        <v>0</v>
      </c>
      <c r="R33" s="769">
        <f t="shared" si="39"/>
        <v>0</v>
      </c>
      <c r="S33" s="770">
        <f t="shared" si="3"/>
        <v>0</v>
      </c>
      <c r="T33" s="768">
        <f t="shared" si="40"/>
        <v>37273.599999999999</v>
      </c>
      <c r="U33" s="769">
        <v>0</v>
      </c>
      <c r="V33" s="770">
        <f t="shared" si="4"/>
        <v>37273.599999999999</v>
      </c>
      <c r="W33" s="768">
        <f t="shared" si="41"/>
        <v>65228.799999999996</v>
      </c>
      <c r="X33" s="769">
        <v>0</v>
      </c>
      <c r="Y33" s="770">
        <f t="shared" si="42"/>
        <v>65228.799999999996</v>
      </c>
      <c r="Z33" s="768">
        <f t="shared" si="43"/>
        <v>83865.600000000006</v>
      </c>
      <c r="AA33" s="769">
        <v>0</v>
      </c>
      <c r="AB33" s="770">
        <f t="shared" si="44"/>
        <v>83865.600000000006</v>
      </c>
      <c r="AC33" s="768">
        <f t="shared" si="45"/>
        <v>0</v>
      </c>
      <c r="AD33" s="769">
        <f t="shared" si="46"/>
        <v>0</v>
      </c>
      <c r="AE33" s="770">
        <f t="shared" si="47"/>
        <v>0</v>
      </c>
      <c r="AF33" s="773"/>
      <c r="AG33" s="774"/>
      <c r="AH33" s="775"/>
      <c r="AI33" s="773"/>
      <c r="AJ33" s="774"/>
      <c r="AK33" s="775"/>
      <c r="AL33" s="776"/>
      <c r="AM33" s="777">
        <f t="shared" si="13"/>
        <v>186368</v>
      </c>
      <c r="AN33" s="773">
        <f t="shared" si="5"/>
        <v>0</v>
      </c>
      <c r="AO33" s="775">
        <f t="shared" si="14"/>
        <v>186367</v>
      </c>
      <c r="AP33" s="878"/>
      <c r="AQ33" s="879"/>
      <c r="AR33" s="879"/>
      <c r="AS33" s="885"/>
      <c r="AT33" s="884"/>
      <c r="AU33" s="885"/>
      <c r="AV33" s="885"/>
      <c r="AW33" s="885"/>
      <c r="AX33" s="885"/>
    </row>
    <row r="34" spans="2:50" s="399" customFormat="1" ht="30.65" hidden="1" customHeight="1" outlineLevel="2" x14ac:dyDescent="0.35">
      <c r="B34" s="700" t="s">
        <v>81</v>
      </c>
      <c r="C34" s="771">
        <v>1652982.2611455999</v>
      </c>
      <c r="D34" s="771">
        <v>225406.67197439997</v>
      </c>
      <c r="E34" s="771">
        <v>1878388.9331199999</v>
      </c>
      <c r="F34" s="771">
        <v>221381.55283199999</v>
      </c>
      <c r="G34" s="771">
        <v>30188.393567999996</v>
      </c>
      <c r="H34" s="771">
        <v>251569.94639999999</v>
      </c>
      <c r="I34" s="772">
        <f>2129958.87952-2</f>
        <v>2129956.87952</v>
      </c>
      <c r="J34" s="295"/>
      <c r="K34" s="295">
        <f t="shared" si="48"/>
        <v>0.2</v>
      </c>
      <c r="L34" s="295">
        <f t="shared" si="49"/>
        <v>0.35</v>
      </c>
      <c r="M34" s="295">
        <f t="shared" si="50"/>
        <v>0.45</v>
      </c>
      <c r="N34" s="295"/>
      <c r="O34" s="598">
        <v>0.5</v>
      </c>
      <c r="P34" s="598">
        <v>0.5</v>
      </c>
      <c r="Q34" s="768">
        <f t="shared" si="38"/>
        <v>0</v>
      </c>
      <c r="R34" s="769">
        <f t="shared" si="39"/>
        <v>0</v>
      </c>
      <c r="S34" s="770">
        <f t="shared" si="3"/>
        <v>0</v>
      </c>
      <c r="T34" s="768">
        <f t="shared" si="40"/>
        <v>375677.786624</v>
      </c>
      <c r="U34" s="769">
        <v>0</v>
      </c>
      <c r="V34" s="770">
        <f t="shared" si="4"/>
        <v>375677.786624</v>
      </c>
      <c r="W34" s="768">
        <f t="shared" si="41"/>
        <v>657436.1265919999</v>
      </c>
      <c r="X34" s="769">
        <v>0</v>
      </c>
      <c r="Y34" s="770">
        <f t="shared" si="42"/>
        <v>657436.1265919999</v>
      </c>
      <c r="Z34" s="768">
        <f t="shared" si="43"/>
        <v>845275.01990399999</v>
      </c>
      <c r="AA34" s="769">
        <v>0</v>
      </c>
      <c r="AB34" s="770">
        <f t="shared" si="44"/>
        <v>845275.01990399999</v>
      </c>
      <c r="AC34" s="768">
        <f t="shared" si="45"/>
        <v>0</v>
      </c>
      <c r="AD34" s="769">
        <f t="shared" si="46"/>
        <v>0</v>
      </c>
      <c r="AE34" s="770">
        <f t="shared" si="47"/>
        <v>0</v>
      </c>
      <c r="AF34" s="773"/>
      <c r="AG34" s="774"/>
      <c r="AH34" s="775"/>
      <c r="AI34" s="773"/>
      <c r="AJ34" s="774"/>
      <c r="AK34" s="775"/>
      <c r="AL34" s="776"/>
      <c r="AM34" s="777">
        <f t="shared" si="13"/>
        <v>1878388.9331199999</v>
      </c>
      <c r="AN34" s="773">
        <f t="shared" si="5"/>
        <v>0</v>
      </c>
      <c r="AO34" s="775">
        <f t="shared" si="14"/>
        <v>1878387.9331199999</v>
      </c>
      <c r="AP34" s="878"/>
      <c r="AQ34" s="879"/>
      <c r="AR34" s="879"/>
      <c r="AS34" s="885"/>
      <c r="AT34" s="884"/>
      <c r="AU34" s="885"/>
      <c r="AV34" s="885"/>
      <c r="AW34" s="885"/>
      <c r="AX34" s="885"/>
    </row>
    <row r="35" spans="2:50" s="399" customFormat="1" ht="30.65" hidden="1" customHeight="1" outlineLevel="2" x14ac:dyDescent="0.35">
      <c r="B35" s="700" t="s">
        <v>83</v>
      </c>
      <c r="C35" s="771">
        <v>1285152.5091328002</v>
      </c>
      <c r="D35" s="771">
        <v>175248.06942720004</v>
      </c>
      <c r="E35" s="771">
        <v>1460400.5785600003</v>
      </c>
      <c r="F35" s="771">
        <v>192772.87636992004</v>
      </c>
      <c r="G35" s="771">
        <v>26287.210414080004</v>
      </c>
      <c r="H35" s="771">
        <v>219060.08678400004</v>
      </c>
      <c r="I35" s="772">
        <v>1679460.6653440001</v>
      </c>
      <c r="J35" s="295"/>
      <c r="K35" s="295">
        <f t="shared" si="48"/>
        <v>0.2</v>
      </c>
      <c r="L35" s="295">
        <f t="shared" si="49"/>
        <v>0.35</v>
      </c>
      <c r="M35" s="295">
        <f t="shared" si="50"/>
        <v>0.45</v>
      </c>
      <c r="N35" s="295"/>
      <c r="O35" s="598">
        <v>0.5</v>
      </c>
      <c r="P35" s="598">
        <v>0.5</v>
      </c>
      <c r="Q35" s="768">
        <f t="shared" si="38"/>
        <v>0</v>
      </c>
      <c r="R35" s="769">
        <f t="shared" si="39"/>
        <v>0</v>
      </c>
      <c r="S35" s="770">
        <f t="shared" si="3"/>
        <v>0</v>
      </c>
      <c r="T35" s="768">
        <f t="shared" si="40"/>
        <v>292080.11571200006</v>
      </c>
      <c r="U35" s="769">
        <v>0</v>
      </c>
      <c r="V35" s="770">
        <f t="shared" si="4"/>
        <v>292080.11571200006</v>
      </c>
      <c r="W35" s="768">
        <f t="shared" si="41"/>
        <v>511140.20249600004</v>
      </c>
      <c r="X35" s="769">
        <v>0</v>
      </c>
      <c r="Y35" s="770">
        <f t="shared" si="42"/>
        <v>511140.20249600004</v>
      </c>
      <c r="Z35" s="768">
        <f t="shared" si="43"/>
        <v>657180.26035200013</v>
      </c>
      <c r="AA35" s="769">
        <v>0</v>
      </c>
      <c r="AB35" s="770">
        <f t="shared" si="44"/>
        <v>657180.26035200013</v>
      </c>
      <c r="AC35" s="768">
        <f t="shared" si="45"/>
        <v>0</v>
      </c>
      <c r="AD35" s="769">
        <f t="shared" si="46"/>
        <v>0</v>
      </c>
      <c r="AE35" s="770">
        <f t="shared" si="47"/>
        <v>0</v>
      </c>
      <c r="AF35" s="773"/>
      <c r="AG35" s="774"/>
      <c r="AH35" s="775"/>
      <c r="AI35" s="773"/>
      <c r="AJ35" s="774"/>
      <c r="AK35" s="775"/>
      <c r="AL35" s="776"/>
      <c r="AM35" s="777">
        <f t="shared" si="13"/>
        <v>1460400.5785600003</v>
      </c>
      <c r="AN35" s="773">
        <f t="shared" si="5"/>
        <v>0</v>
      </c>
      <c r="AO35" s="775">
        <f t="shared" si="14"/>
        <v>1460399.5785600003</v>
      </c>
      <c r="AP35" s="878"/>
      <c r="AQ35" s="879"/>
      <c r="AR35" s="879"/>
      <c r="AS35" s="887"/>
      <c r="AT35" s="884"/>
      <c r="AU35" s="884"/>
      <c r="AV35" s="884"/>
      <c r="AW35" s="884"/>
      <c r="AX35" s="884"/>
    </row>
    <row r="36" spans="2:50" s="92" customFormat="1" ht="31.5" customHeight="1" outlineLevel="1" collapsed="1" x14ac:dyDescent="0.35">
      <c r="B36" s="532" t="s">
        <v>202</v>
      </c>
      <c r="C36" s="357">
        <v>6427868.9119999986</v>
      </c>
      <c r="D36" s="906">
        <v>180643.20000000001</v>
      </c>
      <c r="E36" s="906">
        <v>6608512.1119999988</v>
      </c>
      <c r="F36" s="906">
        <v>0</v>
      </c>
      <c r="G36" s="906">
        <v>0</v>
      </c>
      <c r="H36" s="906">
        <v>0</v>
      </c>
      <c r="I36" s="343">
        <v>6608512.1119999988</v>
      </c>
      <c r="J36" s="906"/>
      <c r="K36" s="906"/>
      <c r="L36" s="906"/>
      <c r="M36" s="906"/>
      <c r="N36" s="906"/>
      <c r="O36" s="906"/>
      <c r="P36" s="906"/>
      <c r="Q36" s="651">
        <f t="shared" ref="Q36:AE36" si="52">SUM(Q37:Q41)</f>
        <v>1020630.4223999998</v>
      </c>
      <c r="R36" s="907">
        <f t="shared" si="52"/>
        <v>0</v>
      </c>
      <c r="S36" s="652">
        <f t="shared" si="3"/>
        <v>1020630.4223999998</v>
      </c>
      <c r="T36" s="907">
        <f t="shared" si="52"/>
        <v>1472238.4223999998</v>
      </c>
      <c r="U36" s="907">
        <f t="shared" si="52"/>
        <v>0</v>
      </c>
      <c r="V36" s="652">
        <f t="shared" si="4"/>
        <v>1472238.4223999998</v>
      </c>
      <c r="W36" s="907">
        <f t="shared" si="52"/>
        <v>2074382.4223999998</v>
      </c>
      <c r="X36" s="907">
        <f t="shared" si="52"/>
        <v>0</v>
      </c>
      <c r="Y36" s="652">
        <f t="shared" si="52"/>
        <v>2074382.4223999998</v>
      </c>
      <c r="Z36" s="907">
        <f t="shared" si="52"/>
        <v>1020630.4223999998</v>
      </c>
      <c r="AA36" s="907">
        <f t="shared" si="52"/>
        <v>0</v>
      </c>
      <c r="AB36" s="652">
        <f t="shared" si="52"/>
        <v>1020630.4223999998</v>
      </c>
      <c r="AC36" s="907">
        <f t="shared" si="52"/>
        <v>1020630.4223999998</v>
      </c>
      <c r="AD36" s="907">
        <f t="shared" si="52"/>
        <v>0</v>
      </c>
      <c r="AE36" s="652">
        <f t="shared" si="52"/>
        <v>1020630.4223999998</v>
      </c>
      <c r="AF36" s="653"/>
      <c r="AG36" s="653"/>
      <c r="AH36" s="652"/>
      <c r="AI36" s="653"/>
      <c r="AJ36" s="653"/>
      <c r="AK36" s="652"/>
      <c r="AL36" s="653"/>
      <c r="AM36" s="651">
        <f>Q36+T36+W36+Z36+AC36+AF36+AI36+0.3</f>
        <v>6608512.4119999986</v>
      </c>
      <c r="AN36" s="907">
        <f t="shared" si="5"/>
        <v>0</v>
      </c>
      <c r="AO36" s="652">
        <f t="shared" si="14"/>
        <v>6608511.4119999986</v>
      </c>
      <c r="AP36" s="878"/>
      <c r="AQ36" s="879"/>
      <c r="AR36" s="879"/>
      <c r="AS36" s="879"/>
      <c r="AT36" s="884"/>
      <c r="AU36" s="885"/>
      <c r="AV36" s="885"/>
      <c r="AW36" s="885"/>
      <c r="AX36" s="885"/>
    </row>
    <row r="37" spans="2:50" s="442" customFormat="1" ht="30.65" hidden="1" customHeight="1" outlineLevel="2" x14ac:dyDescent="0.35">
      <c r="B37" s="700" t="s">
        <v>203</v>
      </c>
      <c r="C37" s="765">
        <v>5103152.1119999988</v>
      </c>
      <c r="D37" s="766">
        <v>0</v>
      </c>
      <c r="E37" s="766">
        <v>5103152.1119999988</v>
      </c>
      <c r="F37" s="766">
        <v>0</v>
      </c>
      <c r="G37" s="766">
        <v>0</v>
      </c>
      <c r="H37" s="766">
        <v>0</v>
      </c>
      <c r="I37" s="767">
        <v>5103152.1119999988</v>
      </c>
      <c r="J37" s="443">
        <v>0.2</v>
      </c>
      <c r="K37" s="443">
        <v>0.2</v>
      </c>
      <c r="L37" s="443">
        <v>0.2</v>
      </c>
      <c r="M37" s="443">
        <v>0.2</v>
      </c>
      <c r="N37" s="443">
        <v>0.2</v>
      </c>
      <c r="O37" s="443"/>
      <c r="P37" s="443"/>
      <c r="Q37" s="768">
        <f>$E37*J37</f>
        <v>1020630.4223999998</v>
      </c>
      <c r="R37" s="769"/>
      <c r="S37" s="778">
        <f t="shared" si="3"/>
        <v>1020630.4223999998</v>
      </c>
      <c r="T37" s="768">
        <f>$E37*K37</f>
        <v>1020630.4223999998</v>
      </c>
      <c r="U37" s="779"/>
      <c r="V37" s="778">
        <f t="shared" si="4"/>
        <v>1020630.4223999998</v>
      </c>
      <c r="W37" s="768">
        <f>$E37*L37</f>
        <v>1020630.4223999998</v>
      </c>
      <c r="X37" s="779"/>
      <c r="Y37" s="778">
        <f>W37</f>
        <v>1020630.4223999998</v>
      </c>
      <c r="Z37" s="768">
        <f>$E37*M37</f>
        <v>1020630.4223999998</v>
      </c>
      <c r="AA37" s="779"/>
      <c r="AB37" s="778">
        <f>Z37</f>
        <v>1020630.4223999998</v>
      </c>
      <c r="AC37" s="768">
        <f>$E37*N37</f>
        <v>1020630.4223999998</v>
      </c>
      <c r="AD37" s="779"/>
      <c r="AE37" s="778">
        <f>AC37</f>
        <v>1020630.4223999998</v>
      </c>
      <c r="AF37" s="769"/>
      <c r="AG37" s="769"/>
      <c r="AH37" s="770"/>
      <c r="AI37" s="769"/>
      <c r="AJ37" s="780"/>
      <c r="AK37" s="770"/>
      <c r="AL37" s="769"/>
      <c r="AM37" s="768">
        <f t="shared" si="13"/>
        <v>5103152.1119999988</v>
      </c>
      <c r="AN37" s="769">
        <f t="shared" si="5"/>
        <v>0</v>
      </c>
      <c r="AO37" s="770">
        <f t="shared" si="14"/>
        <v>5103151.1119999988</v>
      </c>
      <c r="AP37" s="878"/>
      <c r="AQ37" s="879"/>
      <c r="AR37" s="879"/>
      <c r="AS37" s="885"/>
      <c r="AT37" s="884"/>
      <c r="AU37" s="885"/>
      <c r="AV37" s="885"/>
      <c r="AW37" s="885"/>
      <c r="AX37" s="885"/>
    </row>
    <row r="38" spans="2:50" s="442" customFormat="1" ht="30.65" hidden="1" customHeight="1" outlineLevel="2" x14ac:dyDescent="0.35">
      <c r="B38" s="700" t="s">
        <v>87</v>
      </c>
      <c r="C38" s="765">
        <v>660000</v>
      </c>
      <c r="D38" s="766">
        <v>90000</v>
      </c>
      <c r="E38" s="766">
        <v>750000</v>
      </c>
      <c r="F38" s="766">
        <v>0</v>
      </c>
      <c r="G38" s="766">
        <v>0</v>
      </c>
      <c r="H38" s="766">
        <v>0</v>
      </c>
      <c r="I38" s="767">
        <v>750000</v>
      </c>
      <c r="J38" s="443"/>
      <c r="K38" s="443">
        <v>0.3</v>
      </c>
      <c r="L38" s="443">
        <v>0.7</v>
      </c>
      <c r="M38" s="443"/>
      <c r="N38" s="443"/>
      <c r="O38" s="443"/>
      <c r="P38" s="443"/>
      <c r="Q38" s="768">
        <f t="shared" ref="Q38:Q41" si="53">$E38*J38</f>
        <v>0</v>
      </c>
      <c r="R38" s="769"/>
      <c r="S38" s="778">
        <f t="shared" si="3"/>
        <v>0</v>
      </c>
      <c r="T38" s="768">
        <f t="shared" ref="T38:T41" si="54">$E38*K38</f>
        <v>225000</v>
      </c>
      <c r="U38" s="779"/>
      <c r="V38" s="778">
        <f t="shared" si="4"/>
        <v>225000</v>
      </c>
      <c r="W38" s="768">
        <f t="shared" ref="W38:W41" si="55">$E38*L38</f>
        <v>525000</v>
      </c>
      <c r="X38" s="779"/>
      <c r="Y38" s="778">
        <f t="shared" ref="Y38:Y41" si="56">W38</f>
        <v>525000</v>
      </c>
      <c r="Z38" s="768">
        <f t="shared" ref="Z38:Z41" si="57">$E38*M38</f>
        <v>0</v>
      </c>
      <c r="AA38" s="779"/>
      <c r="AB38" s="778">
        <f t="shared" ref="AB38:AB41" si="58">Z38</f>
        <v>0</v>
      </c>
      <c r="AC38" s="768">
        <f t="shared" ref="AC38:AC41" si="59">$E38*N38</f>
        <v>0</v>
      </c>
      <c r="AD38" s="779"/>
      <c r="AE38" s="778">
        <f t="shared" ref="AE38:AE41" si="60">AC38</f>
        <v>0</v>
      </c>
      <c r="AF38" s="769"/>
      <c r="AG38" s="769"/>
      <c r="AH38" s="770"/>
      <c r="AI38" s="769"/>
      <c r="AJ38" s="780"/>
      <c r="AK38" s="770"/>
      <c r="AL38" s="769"/>
      <c r="AM38" s="768">
        <f t="shared" si="13"/>
        <v>750000</v>
      </c>
      <c r="AN38" s="769">
        <f t="shared" si="5"/>
        <v>0</v>
      </c>
      <c r="AO38" s="770">
        <f t="shared" si="14"/>
        <v>749999</v>
      </c>
      <c r="AP38" s="878"/>
      <c r="AQ38" s="879"/>
      <c r="AR38" s="879"/>
      <c r="AS38" s="885"/>
      <c r="AT38" s="884"/>
      <c r="AU38" s="885"/>
      <c r="AV38" s="885"/>
      <c r="AW38" s="885"/>
      <c r="AX38" s="885"/>
    </row>
    <row r="39" spans="2:50" s="442" customFormat="1" ht="30.65" hidden="1" customHeight="1" outlineLevel="2" x14ac:dyDescent="0.35">
      <c r="B39" s="700" t="s">
        <v>88</v>
      </c>
      <c r="C39" s="765">
        <v>176000</v>
      </c>
      <c r="D39" s="766">
        <v>24000</v>
      </c>
      <c r="E39" s="766">
        <v>200000</v>
      </c>
      <c r="F39" s="766">
        <v>0</v>
      </c>
      <c r="G39" s="766">
        <v>0</v>
      </c>
      <c r="H39" s="766">
        <v>0</v>
      </c>
      <c r="I39" s="767">
        <v>200000</v>
      </c>
      <c r="J39" s="443"/>
      <c r="K39" s="443">
        <v>0.3</v>
      </c>
      <c r="L39" s="443">
        <v>0.7</v>
      </c>
      <c r="M39" s="443"/>
      <c r="N39" s="443"/>
      <c r="O39" s="443"/>
      <c r="P39" s="443"/>
      <c r="Q39" s="768">
        <f t="shared" si="53"/>
        <v>0</v>
      </c>
      <c r="R39" s="769"/>
      <c r="S39" s="778">
        <f t="shared" si="3"/>
        <v>0</v>
      </c>
      <c r="T39" s="768">
        <f t="shared" si="54"/>
        <v>60000</v>
      </c>
      <c r="U39" s="779"/>
      <c r="V39" s="778">
        <f t="shared" si="4"/>
        <v>60000</v>
      </c>
      <c r="W39" s="768">
        <f t="shared" si="55"/>
        <v>140000</v>
      </c>
      <c r="X39" s="779"/>
      <c r="Y39" s="778">
        <f t="shared" si="56"/>
        <v>140000</v>
      </c>
      <c r="Z39" s="768">
        <f t="shared" si="57"/>
        <v>0</v>
      </c>
      <c r="AA39" s="779"/>
      <c r="AB39" s="778">
        <f t="shared" si="58"/>
        <v>0</v>
      </c>
      <c r="AC39" s="768">
        <f t="shared" si="59"/>
        <v>0</v>
      </c>
      <c r="AD39" s="779"/>
      <c r="AE39" s="778">
        <f t="shared" si="60"/>
        <v>0</v>
      </c>
      <c r="AF39" s="769"/>
      <c r="AG39" s="769"/>
      <c r="AH39" s="770"/>
      <c r="AI39" s="769"/>
      <c r="AJ39" s="780"/>
      <c r="AK39" s="770"/>
      <c r="AL39" s="769"/>
      <c r="AM39" s="768">
        <f t="shared" si="13"/>
        <v>200000</v>
      </c>
      <c r="AN39" s="769">
        <f t="shared" si="5"/>
        <v>0</v>
      </c>
      <c r="AO39" s="770">
        <f t="shared" si="14"/>
        <v>199999</v>
      </c>
      <c r="AP39" s="878"/>
      <c r="AQ39" s="879"/>
      <c r="AR39" s="879"/>
      <c r="AS39" s="885"/>
      <c r="AT39" s="884"/>
      <c r="AU39" s="885"/>
      <c r="AV39" s="885"/>
      <c r="AW39" s="885"/>
      <c r="AX39" s="885"/>
    </row>
    <row r="40" spans="2:50" s="442" customFormat="1" ht="30.65" hidden="1" customHeight="1" outlineLevel="2" x14ac:dyDescent="0.35">
      <c r="B40" s="700" t="s">
        <v>89</v>
      </c>
      <c r="C40" s="765">
        <v>224716.79999999999</v>
      </c>
      <c r="D40" s="766">
        <v>30643.199999999997</v>
      </c>
      <c r="E40" s="766">
        <v>255360</v>
      </c>
      <c r="F40" s="766">
        <v>0</v>
      </c>
      <c r="G40" s="766">
        <v>0</v>
      </c>
      <c r="H40" s="766">
        <v>0</v>
      </c>
      <c r="I40" s="767">
        <v>255360</v>
      </c>
      <c r="J40" s="443"/>
      <c r="K40" s="443">
        <v>0.3</v>
      </c>
      <c r="L40" s="443">
        <v>0.7</v>
      </c>
      <c r="M40" s="443"/>
      <c r="N40" s="443"/>
      <c r="O40" s="443"/>
      <c r="P40" s="443"/>
      <c r="Q40" s="768">
        <f t="shared" si="53"/>
        <v>0</v>
      </c>
      <c r="R40" s="769"/>
      <c r="S40" s="778">
        <f t="shared" si="3"/>
        <v>0</v>
      </c>
      <c r="T40" s="768">
        <f t="shared" si="54"/>
        <v>76608</v>
      </c>
      <c r="U40" s="779"/>
      <c r="V40" s="778">
        <f t="shared" si="4"/>
        <v>76608</v>
      </c>
      <c r="W40" s="768">
        <f t="shared" si="55"/>
        <v>178752</v>
      </c>
      <c r="X40" s="779"/>
      <c r="Y40" s="778">
        <f t="shared" si="56"/>
        <v>178752</v>
      </c>
      <c r="Z40" s="768">
        <f t="shared" si="57"/>
        <v>0</v>
      </c>
      <c r="AA40" s="779"/>
      <c r="AB40" s="778">
        <f t="shared" si="58"/>
        <v>0</v>
      </c>
      <c r="AC40" s="768">
        <f t="shared" si="59"/>
        <v>0</v>
      </c>
      <c r="AD40" s="779"/>
      <c r="AE40" s="778">
        <f t="shared" si="60"/>
        <v>0</v>
      </c>
      <c r="AF40" s="769"/>
      <c r="AG40" s="769"/>
      <c r="AH40" s="770"/>
      <c r="AI40" s="769"/>
      <c r="AJ40" s="780"/>
      <c r="AK40" s="770"/>
      <c r="AL40" s="769"/>
      <c r="AM40" s="768">
        <f t="shared" si="13"/>
        <v>255360</v>
      </c>
      <c r="AN40" s="769">
        <f t="shared" si="5"/>
        <v>0</v>
      </c>
      <c r="AO40" s="770">
        <f t="shared" si="14"/>
        <v>255359</v>
      </c>
      <c r="AP40" s="878"/>
      <c r="AQ40" s="879"/>
      <c r="AR40" s="879"/>
      <c r="AS40" s="882"/>
      <c r="AT40" s="884"/>
      <c r="AU40" s="882"/>
      <c r="AV40" s="882"/>
      <c r="AW40" s="882"/>
      <c r="AX40" s="882"/>
    </row>
    <row r="41" spans="2:50" s="442" customFormat="1" ht="30.65" hidden="1" customHeight="1" outlineLevel="2" x14ac:dyDescent="0.35">
      <c r="B41" s="700" t="s">
        <v>90</v>
      </c>
      <c r="C41" s="765">
        <v>264000</v>
      </c>
      <c r="D41" s="766">
        <v>36000</v>
      </c>
      <c r="E41" s="766">
        <v>300000</v>
      </c>
      <c r="F41" s="766">
        <v>0</v>
      </c>
      <c r="G41" s="766">
        <v>0</v>
      </c>
      <c r="H41" s="766">
        <v>0</v>
      </c>
      <c r="I41" s="767">
        <v>300000</v>
      </c>
      <c r="J41" s="443"/>
      <c r="K41" s="443">
        <v>0.3</v>
      </c>
      <c r="L41" s="443">
        <v>0.7</v>
      </c>
      <c r="M41" s="443"/>
      <c r="N41" s="443"/>
      <c r="O41" s="443"/>
      <c r="P41" s="443"/>
      <c r="Q41" s="768">
        <f t="shared" si="53"/>
        <v>0</v>
      </c>
      <c r="R41" s="769"/>
      <c r="S41" s="778">
        <f t="shared" si="3"/>
        <v>0</v>
      </c>
      <c r="T41" s="768">
        <f t="shared" si="54"/>
        <v>90000</v>
      </c>
      <c r="U41" s="779"/>
      <c r="V41" s="778">
        <f t="shared" si="4"/>
        <v>90000</v>
      </c>
      <c r="W41" s="768">
        <f t="shared" si="55"/>
        <v>210000</v>
      </c>
      <c r="X41" s="779"/>
      <c r="Y41" s="778">
        <f t="shared" si="56"/>
        <v>210000</v>
      </c>
      <c r="Z41" s="768">
        <f t="shared" si="57"/>
        <v>0</v>
      </c>
      <c r="AA41" s="779"/>
      <c r="AB41" s="778">
        <f t="shared" si="58"/>
        <v>0</v>
      </c>
      <c r="AC41" s="768">
        <f t="shared" si="59"/>
        <v>0</v>
      </c>
      <c r="AD41" s="779"/>
      <c r="AE41" s="778">
        <f t="shared" si="60"/>
        <v>0</v>
      </c>
      <c r="AF41" s="769"/>
      <c r="AG41" s="769"/>
      <c r="AH41" s="770"/>
      <c r="AI41" s="769"/>
      <c r="AJ41" s="780"/>
      <c r="AK41" s="770"/>
      <c r="AL41" s="769"/>
      <c r="AM41" s="768">
        <f t="shared" si="13"/>
        <v>300000</v>
      </c>
      <c r="AN41" s="769">
        <f t="shared" si="5"/>
        <v>0</v>
      </c>
      <c r="AO41" s="770">
        <f t="shared" si="14"/>
        <v>299999</v>
      </c>
      <c r="AP41" s="878"/>
      <c r="AQ41" s="879"/>
      <c r="AR41" s="879"/>
      <c r="AS41" s="887"/>
      <c r="AT41" s="884"/>
      <c r="AU41" s="884"/>
      <c r="AV41" s="884"/>
      <c r="AW41" s="884"/>
      <c r="AX41" s="884"/>
    </row>
    <row r="42" spans="2:50" s="93" customFormat="1" ht="43" customHeight="1" x14ac:dyDescent="0.35">
      <c r="B42" s="340" t="s">
        <v>204</v>
      </c>
      <c r="C42" s="363">
        <f t="shared" ref="C42:I42" si="61">+C43+C46+C49+C52+C55+C58+C61+C64+C70</f>
        <v>18841379.879204147</v>
      </c>
      <c r="D42" s="904">
        <f t="shared" si="61"/>
        <v>419133.51756450557</v>
      </c>
      <c r="E42" s="904">
        <f t="shared" si="61"/>
        <v>19260513.396768652</v>
      </c>
      <c r="F42" s="904">
        <f t="shared" si="61"/>
        <v>0</v>
      </c>
      <c r="G42" s="904">
        <f t="shared" si="61"/>
        <v>0</v>
      </c>
      <c r="H42" s="904">
        <f t="shared" si="61"/>
        <v>0</v>
      </c>
      <c r="I42" s="530">
        <f t="shared" si="61"/>
        <v>19260514.396768652</v>
      </c>
      <c r="J42" s="904"/>
      <c r="K42" s="904"/>
      <c r="L42" s="904"/>
      <c r="M42" s="904"/>
      <c r="N42" s="904"/>
      <c r="O42" s="904"/>
      <c r="P42" s="904"/>
      <c r="Q42" s="648">
        <f t="shared" ref="Q42:AL42" si="62">+Q43+Q46+Q49+Q52+Q55+Q58+Q61+Q64+Q70</f>
        <v>2842048.0867999997</v>
      </c>
      <c r="R42" s="905">
        <f t="shared" si="62"/>
        <v>0</v>
      </c>
      <c r="S42" s="649">
        <f t="shared" si="3"/>
        <v>2842048.0867999997</v>
      </c>
      <c r="T42" s="905">
        <f t="shared" si="62"/>
        <v>4571001.5609999998</v>
      </c>
      <c r="U42" s="905">
        <f t="shared" si="62"/>
        <v>0</v>
      </c>
      <c r="V42" s="649">
        <f t="shared" si="4"/>
        <v>4571001.5609999998</v>
      </c>
      <c r="W42" s="905">
        <f t="shared" si="62"/>
        <v>6103955.6289502569</v>
      </c>
      <c r="X42" s="905">
        <f t="shared" si="62"/>
        <v>0</v>
      </c>
      <c r="Y42" s="649">
        <f t="shared" si="62"/>
        <v>6103955.6289502569</v>
      </c>
      <c r="Z42" s="905">
        <f t="shared" si="62"/>
        <v>4783933.2863502558</v>
      </c>
      <c r="AA42" s="905">
        <f t="shared" si="62"/>
        <v>0</v>
      </c>
      <c r="AB42" s="649">
        <f t="shared" si="62"/>
        <v>4783933.2863502558</v>
      </c>
      <c r="AC42" s="905">
        <f t="shared" si="62"/>
        <v>959574.81593367399</v>
      </c>
      <c r="AD42" s="905">
        <f t="shared" si="62"/>
        <v>0</v>
      </c>
      <c r="AE42" s="649">
        <f t="shared" si="62"/>
        <v>1413749.8159336741</v>
      </c>
      <c r="AF42" s="650"/>
      <c r="AG42" s="650"/>
      <c r="AH42" s="649"/>
      <c r="AI42" s="650"/>
      <c r="AJ42" s="650"/>
      <c r="AK42" s="649"/>
      <c r="AL42" s="650">
        <f t="shared" si="62"/>
        <v>0</v>
      </c>
      <c r="AM42" s="648">
        <f>AM43+AM46+AM49+AM52+AM55+AM58+AM61+AM64+AM70</f>
        <v>19260514.379034188</v>
      </c>
      <c r="AN42" s="905">
        <f t="shared" si="5"/>
        <v>0</v>
      </c>
      <c r="AO42" s="649">
        <f>AM42+AN42</f>
        <v>19260514.379034188</v>
      </c>
      <c r="AP42" s="878"/>
      <c r="AQ42" s="879"/>
      <c r="AR42" s="879"/>
      <c r="AS42" s="887"/>
      <c r="AT42" s="885"/>
      <c r="AU42" s="885"/>
      <c r="AV42" s="885"/>
      <c r="AW42" s="885"/>
      <c r="AX42" s="885"/>
    </row>
    <row r="43" spans="2:50" s="92" customFormat="1" ht="31.5" customHeight="1" outlineLevel="1" x14ac:dyDescent="0.35">
      <c r="B43" s="532" t="s">
        <v>205</v>
      </c>
      <c r="C43" s="357">
        <f>+C44+C45</f>
        <v>654600.63679999998</v>
      </c>
      <c r="D43" s="906">
        <f>+D44+D45</f>
        <v>0</v>
      </c>
      <c r="E43" s="906">
        <f t="shared" ref="E43:E68" si="63">+C43+D43</f>
        <v>654600.63679999998</v>
      </c>
      <c r="F43" s="906">
        <f>+F44+F45</f>
        <v>0</v>
      </c>
      <c r="G43" s="906">
        <f>+G44+G45</f>
        <v>0</v>
      </c>
      <c r="H43" s="906">
        <f>+H44+H45</f>
        <v>0</v>
      </c>
      <c r="I43" s="343">
        <f>+I44+I45</f>
        <v>654600.63679999998</v>
      </c>
      <c r="J43" s="906"/>
      <c r="K43" s="906"/>
      <c r="L43" s="906"/>
      <c r="M43" s="906"/>
      <c r="N43" s="906"/>
      <c r="O43" s="906"/>
      <c r="P43" s="906"/>
      <c r="Q43" s="651">
        <v>0</v>
      </c>
      <c r="R43" s="907">
        <v>0</v>
      </c>
      <c r="S43" s="652">
        <f t="shared" si="3"/>
        <v>0</v>
      </c>
      <c r="T43" s="907">
        <v>124167.12580000001</v>
      </c>
      <c r="U43" s="907">
        <v>0</v>
      </c>
      <c r="V43" s="652">
        <f t="shared" si="4"/>
        <v>124167.12580000001</v>
      </c>
      <c r="W43" s="907">
        <v>397269.43280000001</v>
      </c>
      <c r="X43" s="907">
        <v>0</v>
      </c>
      <c r="Y43" s="652">
        <v>397269.43280000001</v>
      </c>
      <c r="Z43" s="907">
        <v>133164.07820000002</v>
      </c>
      <c r="AA43" s="907">
        <v>0</v>
      </c>
      <c r="AB43" s="652">
        <v>133164.07820000002</v>
      </c>
      <c r="AC43" s="907">
        <v>0</v>
      </c>
      <c r="AD43" s="907">
        <v>0</v>
      </c>
      <c r="AE43" s="652">
        <v>0</v>
      </c>
      <c r="AF43" s="653"/>
      <c r="AG43" s="653"/>
      <c r="AH43" s="652"/>
      <c r="AI43" s="653"/>
      <c r="AJ43" s="653"/>
      <c r="AK43" s="652"/>
      <c r="AL43" s="653"/>
      <c r="AM43" s="651">
        <f t="shared" si="13"/>
        <v>654600.63679999998</v>
      </c>
      <c r="AN43" s="907">
        <f t="shared" si="5"/>
        <v>0</v>
      </c>
      <c r="AO43" s="652">
        <f>AM43+AN43</f>
        <v>654600.63679999998</v>
      </c>
      <c r="AP43" s="878"/>
      <c r="AQ43" s="879"/>
      <c r="AR43" s="879"/>
      <c r="AS43" s="879"/>
      <c r="AT43" s="885"/>
      <c r="AU43" s="885"/>
      <c r="AV43" s="885"/>
      <c r="AW43" s="885"/>
      <c r="AX43" s="885"/>
    </row>
    <row r="44" spans="2:50" s="457" customFormat="1" ht="20.149999999999999" hidden="1" customHeight="1" outlineLevel="1" x14ac:dyDescent="0.35">
      <c r="B44" s="781" t="s">
        <v>23</v>
      </c>
      <c r="C44" s="782">
        <v>437750.91200000001</v>
      </c>
      <c r="D44" s="783"/>
      <c r="E44" s="908">
        <f t="shared" si="63"/>
        <v>437750.91200000001</v>
      </c>
      <c r="F44" s="783"/>
      <c r="G44" s="783"/>
      <c r="H44" s="783">
        <v>0</v>
      </c>
      <c r="I44" s="784">
        <f>+E44</f>
        <v>437750.91200000001</v>
      </c>
      <c r="J44" s="574">
        <v>0.2</v>
      </c>
      <c r="K44" s="574">
        <v>0.25</v>
      </c>
      <c r="L44" s="574">
        <v>0.3</v>
      </c>
      <c r="M44" s="574">
        <v>0.15</v>
      </c>
      <c r="N44" s="574">
        <v>9.9999999999999978E-2</v>
      </c>
      <c r="O44" s="574"/>
      <c r="P44" s="574"/>
      <c r="Q44" s="785">
        <v>0</v>
      </c>
      <c r="R44" s="776">
        <v>0</v>
      </c>
      <c r="S44" s="786">
        <f t="shared" si="3"/>
        <v>0</v>
      </c>
      <c r="T44" s="776">
        <v>65436.992000000006</v>
      </c>
      <c r="U44" s="776">
        <v>0</v>
      </c>
      <c r="V44" s="786">
        <f t="shared" si="4"/>
        <v>65436.992000000006</v>
      </c>
      <c r="W44" s="776">
        <v>270773.76000000001</v>
      </c>
      <c r="X44" s="776">
        <v>0</v>
      </c>
      <c r="Y44" s="786">
        <v>270773.76000000001</v>
      </c>
      <c r="Z44" s="776">
        <v>101540.16</v>
      </c>
      <c r="AA44" s="776">
        <v>0</v>
      </c>
      <c r="AB44" s="786">
        <v>101540.16</v>
      </c>
      <c r="AC44" s="776">
        <v>0</v>
      </c>
      <c r="AD44" s="776">
        <v>0</v>
      </c>
      <c r="AE44" s="786">
        <v>0</v>
      </c>
      <c r="AF44" s="776"/>
      <c r="AG44" s="776"/>
      <c r="AH44" s="786"/>
      <c r="AI44" s="776"/>
      <c r="AJ44" s="776"/>
      <c r="AK44" s="786"/>
      <c r="AL44" s="769"/>
      <c r="AM44" s="785">
        <f t="shared" si="13"/>
        <v>437750.91200000001</v>
      </c>
      <c r="AN44" s="776">
        <f t="shared" si="5"/>
        <v>0</v>
      </c>
      <c r="AO44" s="786">
        <f>AM44+AN44</f>
        <v>437750.91200000001</v>
      </c>
      <c r="AP44" s="878"/>
      <c r="AQ44" s="879"/>
      <c r="AR44" s="879"/>
      <c r="AS44" s="888"/>
      <c r="AT44" s="885"/>
      <c r="AU44" s="884"/>
      <c r="AV44" s="884"/>
      <c r="AW44" s="884"/>
      <c r="AX44" s="884"/>
    </row>
    <row r="45" spans="2:50" s="457" customFormat="1" ht="20.149999999999999" hidden="1" customHeight="1" outlineLevel="1" x14ac:dyDescent="0.35">
      <c r="B45" s="781" t="s">
        <v>94</v>
      </c>
      <c r="C45" s="782">
        <v>216849.72480000003</v>
      </c>
      <c r="D45" s="783"/>
      <c r="E45" s="908">
        <f t="shared" si="63"/>
        <v>216849.72480000003</v>
      </c>
      <c r="F45" s="783"/>
      <c r="G45" s="783"/>
      <c r="H45" s="783"/>
      <c r="I45" s="784">
        <f>+E45</f>
        <v>216849.72480000003</v>
      </c>
      <c r="J45" s="574">
        <v>0.2</v>
      </c>
      <c r="K45" s="574">
        <v>0.25</v>
      </c>
      <c r="L45" s="574">
        <v>0.3</v>
      </c>
      <c r="M45" s="574">
        <v>0.15</v>
      </c>
      <c r="N45" s="574">
        <v>9.9999999999999978E-2</v>
      </c>
      <c r="O45" s="574"/>
      <c r="P45" s="574"/>
      <c r="Q45" s="785">
        <v>0</v>
      </c>
      <c r="R45" s="776">
        <v>0</v>
      </c>
      <c r="S45" s="786">
        <f t="shared" si="3"/>
        <v>0</v>
      </c>
      <c r="T45" s="776">
        <v>58730.133800000011</v>
      </c>
      <c r="U45" s="776">
        <v>0</v>
      </c>
      <c r="V45" s="786">
        <f t="shared" si="4"/>
        <v>58730.133800000011</v>
      </c>
      <c r="W45" s="776">
        <v>126495.67280000001</v>
      </c>
      <c r="X45" s="776">
        <v>0</v>
      </c>
      <c r="Y45" s="786">
        <v>126495.67280000001</v>
      </c>
      <c r="Z45" s="776">
        <v>31623.918200000004</v>
      </c>
      <c r="AA45" s="776">
        <v>0</v>
      </c>
      <c r="AB45" s="786">
        <v>31623.918200000004</v>
      </c>
      <c r="AC45" s="776">
        <v>0</v>
      </c>
      <c r="AD45" s="776">
        <v>0</v>
      </c>
      <c r="AE45" s="786">
        <v>0</v>
      </c>
      <c r="AF45" s="776"/>
      <c r="AG45" s="776"/>
      <c r="AH45" s="786"/>
      <c r="AI45" s="776"/>
      <c r="AJ45" s="776"/>
      <c r="AK45" s="786"/>
      <c r="AL45" s="769"/>
      <c r="AM45" s="785">
        <f t="shared" si="13"/>
        <v>216849.72480000003</v>
      </c>
      <c r="AN45" s="776">
        <f t="shared" si="5"/>
        <v>0</v>
      </c>
      <c r="AO45" s="786">
        <f t="shared" si="14"/>
        <v>216848.72480000003</v>
      </c>
      <c r="AP45" s="878"/>
      <c r="AQ45" s="879"/>
      <c r="AR45" s="879"/>
      <c r="AS45" s="885"/>
      <c r="AT45" s="885"/>
      <c r="AU45" s="885"/>
      <c r="AV45" s="885"/>
      <c r="AW45" s="885"/>
      <c r="AX45" s="885"/>
    </row>
    <row r="46" spans="2:50" s="92" customFormat="1" ht="31.5" customHeight="1" outlineLevel="1" x14ac:dyDescent="0.35">
      <c r="B46" s="532" t="s">
        <v>206</v>
      </c>
      <c r="C46" s="357">
        <f>+C47+C48</f>
        <v>1115036.1938</v>
      </c>
      <c r="D46" s="906">
        <f t="shared" ref="D46:I46" si="64">+D47+D48</f>
        <v>0</v>
      </c>
      <c r="E46" s="906">
        <f t="shared" si="63"/>
        <v>1115036.1938</v>
      </c>
      <c r="F46" s="906">
        <f t="shared" si="64"/>
        <v>0</v>
      </c>
      <c r="G46" s="906">
        <f t="shared" si="64"/>
        <v>0</v>
      </c>
      <c r="H46" s="906">
        <f t="shared" si="64"/>
        <v>0</v>
      </c>
      <c r="I46" s="343">
        <f t="shared" si="64"/>
        <v>1115036.1938</v>
      </c>
      <c r="J46" s="906"/>
      <c r="K46" s="906"/>
      <c r="L46" s="906"/>
      <c r="M46" s="906"/>
      <c r="N46" s="906"/>
      <c r="O46" s="906"/>
      <c r="P46" s="906"/>
      <c r="Q46" s="651">
        <v>0</v>
      </c>
      <c r="R46" s="907">
        <v>0</v>
      </c>
      <c r="S46" s="652">
        <f t="shared" si="3"/>
        <v>0</v>
      </c>
      <c r="T46" s="907">
        <v>433396.63380000007</v>
      </c>
      <c r="U46" s="907">
        <v>0</v>
      </c>
      <c r="V46" s="652">
        <f t="shared" si="4"/>
        <v>433396.63380000007</v>
      </c>
      <c r="W46" s="907">
        <v>523649.74720000004</v>
      </c>
      <c r="X46" s="907">
        <v>0</v>
      </c>
      <c r="Y46" s="652">
        <v>523649.74720000004</v>
      </c>
      <c r="Z46" s="907">
        <v>157989.81280000001</v>
      </c>
      <c r="AA46" s="907">
        <v>0</v>
      </c>
      <c r="AB46" s="652">
        <v>157989.81280000001</v>
      </c>
      <c r="AC46" s="907">
        <v>0</v>
      </c>
      <c r="AD46" s="907">
        <v>0</v>
      </c>
      <c r="AE46" s="652">
        <v>0</v>
      </c>
      <c r="AF46" s="653"/>
      <c r="AG46" s="653"/>
      <c r="AH46" s="652"/>
      <c r="AI46" s="653"/>
      <c r="AJ46" s="653"/>
      <c r="AK46" s="652"/>
      <c r="AL46" s="653"/>
      <c r="AM46" s="651">
        <f t="shared" si="13"/>
        <v>1115036.1938</v>
      </c>
      <c r="AN46" s="907">
        <f t="shared" si="5"/>
        <v>0</v>
      </c>
      <c r="AO46" s="652">
        <f t="shared" si="14"/>
        <v>1115035.1938</v>
      </c>
      <c r="AP46" s="878"/>
      <c r="AQ46" s="879"/>
      <c r="AR46" s="879"/>
      <c r="AS46" s="879"/>
      <c r="AT46" s="885"/>
      <c r="AU46" s="885"/>
      <c r="AV46" s="885"/>
      <c r="AW46" s="885"/>
      <c r="AX46" s="885"/>
    </row>
    <row r="47" spans="2:50" s="457" customFormat="1" ht="20.149999999999999" hidden="1" customHeight="1" outlineLevel="1" x14ac:dyDescent="0.35">
      <c r="B47" s="781" t="s">
        <v>23</v>
      </c>
      <c r="C47" s="782">
        <v>785243.9040000001</v>
      </c>
      <c r="D47" s="783"/>
      <c r="E47" s="908">
        <f t="shared" si="63"/>
        <v>785243.9040000001</v>
      </c>
      <c r="F47" s="783"/>
      <c r="G47" s="783"/>
      <c r="H47" s="783">
        <v>0</v>
      </c>
      <c r="I47" s="784">
        <f>+E47</f>
        <v>785243.9040000001</v>
      </c>
      <c r="J47" s="574">
        <v>0.2</v>
      </c>
      <c r="K47" s="574">
        <v>0.25</v>
      </c>
      <c r="L47" s="574">
        <v>0.3</v>
      </c>
      <c r="M47" s="574">
        <v>0.15</v>
      </c>
      <c r="N47" s="574">
        <v>9.9999999999999978E-2</v>
      </c>
      <c r="O47" s="574"/>
      <c r="P47" s="574"/>
      <c r="Q47" s="785">
        <v>0</v>
      </c>
      <c r="R47" s="776">
        <v>0</v>
      </c>
      <c r="S47" s="786">
        <f t="shared" si="3"/>
        <v>0</v>
      </c>
      <c r="T47" s="776">
        <v>284312.44800000003</v>
      </c>
      <c r="U47" s="776">
        <v>0</v>
      </c>
      <c r="V47" s="786">
        <f t="shared" si="4"/>
        <v>284312.44800000003</v>
      </c>
      <c r="W47" s="776">
        <v>379083.26400000002</v>
      </c>
      <c r="X47" s="776">
        <v>0</v>
      </c>
      <c r="Y47" s="786">
        <v>379083.26400000002</v>
      </c>
      <c r="Z47" s="776">
        <v>121848.19200000001</v>
      </c>
      <c r="AA47" s="776">
        <v>0</v>
      </c>
      <c r="AB47" s="786">
        <v>121848.19200000001</v>
      </c>
      <c r="AC47" s="776">
        <v>0</v>
      </c>
      <c r="AD47" s="776">
        <v>0</v>
      </c>
      <c r="AE47" s="786">
        <v>0</v>
      </c>
      <c r="AF47" s="776"/>
      <c r="AG47" s="776"/>
      <c r="AH47" s="786"/>
      <c r="AI47" s="776"/>
      <c r="AJ47" s="776"/>
      <c r="AK47" s="786"/>
      <c r="AL47" s="769"/>
      <c r="AM47" s="785">
        <f t="shared" si="13"/>
        <v>785243.9040000001</v>
      </c>
      <c r="AN47" s="776">
        <f t="shared" si="5"/>
        <v>0</v>
      </c>
      <c r="AO47" s="786">
        <f t="shared" si="14"/>
        <v>785242.9040000001</v>
      </c>
      <c r="AP47" s="878"/>
      <c r="AQ47" s="879"/>
      <c r="AR47" s="879"/>
      <c r="AS47" s="888"/>
      <c r="AT47" s="885"/>
      <c r="AU47" s="885"/>
      <c r="AV47" s="885"/>
      <c r="AW47" s="885"/>
      <c r="AX47" s="885"/>
    </row>
    <row r="48" spans="2:50" s="457" customFormat="1" ht="20.149999999999999" hidden="1" customHeight="1" outlineLevel="1" x14ac:dyDescent="0.35">
      <c r="B48" s="781" t="s">
        <v>94</v>
      </c>
      <c r="C48" s="782">
        <v>329792.28980000003</v>
      </c>
      <c r="D48" s="783"/>
      <c r="E48" s="908">
        <f t="shared" si="63"/>
        <v>329792.28980000003</v>
      </c>
      <c r="F48" s="783"/>
      <c r="G48" s="783"/>
      <c r="H48" s="783"/>
      <c r="I48" s="784">
        <f>+E48</f>
        <v>329792.28980000003</v>
      </c>
      <c r="J48" s="574">
        <v>0.2</v>
      </c>
      <c r="K48" s="574">
        <v>0.25</v>
      </c>
      <c r="L48" s="574">
        <v>0.3</v>
      </c>
      <c r="M48" s="574">
        <v>0.15</v>
      </c>
      <c r="N48" s="574">
        <v>9.9999999999999978E-2</v>
      </c>
      <c r="O48" s="574"/>
      <c r="P48" s="574"/>
      <c r="Q48" s="785">
        <v>0</v>
      </c>
      <c r="R48" s="776">
        <v>0</v>
      </c>
      <c r="S48" s="786">
        <f t="shared" si="3"/>
        <v>0</v>
      </c>
      <c r="T48" s="776">
        <v>149084.18580000004</v>
      </c>
      <c r="U48" s="776">
        <v>0</v>
      </c>
      <c r="V48" s="786">
        <f t="shared" si="4"/>
        <v>149084.18580000004</v>
      </c>
      <c r="W48" s="776">
        <v>144566.48320000002</v>
      </c>
      <c r="X48" s="776">
        <v>0</v>
      </c>
      <c r="Y48" s="786">
        <v>144566.48320000002</v>
      </c>
      <c r="Z48" s="776">
        <v>36141.620800000004</v>
      </c>
      <c r="AA48" s="776">
        <v>0</v>
      </c>
      <c r="AB48" s="786">
        <v>36141.620800000004</v>
      </c>
      <c r="AC48" s="776">
        <v>0</v>
      </c>
      <c r="AD48" s="776">
        <v>0</v>
      </c>
      <c r="AE48" s="786">
        <v>0</v>
      </c>
      <c r="AF48" s="776"/>
      <c r="AG48" s="776"/>
      <c r="AH48" s="786"/>
      <c r="AI48" s="776"/>
      <c r="AJ48" s="776"/>
      <c r="AK48" s="786"/>
      <c r="AL48" s="769"/>
      <c r="AM48" s="785">
        <f t="shared" si="13"/>
        <v>329792.28980000003</v>
      </c>
      <c r="AN48" s="776">
        <f t="shared" si="5"/>
        <v>0</v>
      </c>
      <c r="AO48" s="786">
        <f t="shared" si="14"/>
        <v>329791.28980000003</v>
      </c>
      <c r="AP48" s="878"/>
      <c r="AQ48" s="879"/>
      <c r="AR48" s="879"/>
      <c r="AS48" s="885"/>
      <c r="AT48" s="885"/>
      <c r="AU48" s="885"/>
      <c r="AV48" s="885"/>
      <c r="AW48" s="885"/>
      <c r="AX48" s="885"/>
    </row>
    <row r="49" spans="1:50" s="92" customFormat="1" ht="31.5" customHeight="1" outlineLevel="1" x14ac:dyDescent="0.35">
      <c r="B49" s="532" t="s">
        <v>207</v>
      </c>
      <c r="C49" s="357">
        <f>+C50+C51</f>
        <v>3069935.1488672337</v>
      </c>
      <c r="D49" s="906">
        <f t="shared" ref="D49:I49" si="65">+D50+D51</f>
        <v>0</v>
      </c>
      <c r="E49" s="906">
        <f t="shared" si="63"/>
        <v>3069935.1488672337</v>
      </c>
      <c r="F49" s="906">
        <f t="shared" si="65"/>
        <v>0</v>
      </c>
      <c r="G49" s="906">
        <f t="shared" si="65"/>
        <v>0</v>
      </c>
      <c r="H49" s="906">
        <f t="shared" si="65"/>
        <v>0</v>
      </c>
      <c r="I49" s="343">
        <f t="shared" si="65"/>
        <v>3069935.1488672337</v>
      </c>
      <c r="J49" s="906"/>
      <c r="K49" s="906"/>
      <c r="L49" s="906"/>
      <c r="M49" s="906"/>
      <c r="N49" s="906"/>
      <c r="O49" s="906"/>
      <c r="P49" s="906"/>
      <c r="Q49" s="651">
        <f t="shared" ref="Q49:AE49" si="66">+Q50+Q51</f>
        <v>1101677.7878</v>
      </c>
      <c r="R49" s="907">
        <f t="shared" si="66"/>
        <v>0</v>
      </c>
      <c r="S49" s="652">
        <f t="shared" si="3"/>
        <v>1101677.7878</v>
      </c>
      <c r="T49" s="907">
        <f t="shared" si="66"/>
        <v>704242.49280000012</v>
      </c>
      <c r="U49" s="907">
        <f t="shared" si="66"/>
        <v>0</v>
      </c>
      <c r="V49" s="652">
        <f t="shared" si="4"/>
        <v>704242.49280000012</v>
      </c>
      <c r="W49" s="907">
        <f t="shared" si="66"/>
        <v>704242.49280000012</v>
      </c>
      <c r="X49" s="907">
        <f t="shared" si="66"/>
        <v>0</v>
      </c>
      <c r="Y49" s="652">
        <f t="shared" si="66"/>
        <v>704242.49280000012</v>
      </c>
      <c r="Z49" s="907">
        <f t="shared" si="66"/>
        <v>559772.14160000021</v>
      </c>
      <c r="AA49" s="907">
        <f t="shared" si="66"/>
        <v>0</v>
      </c>
      <c r="AB49" s="652">
        <f t="shared" si="66"/>
        <v>559772.14160000021</v>
      </c>
      <c r="AC49" s="907">
        <f t="shared" si="66"/>
        <v>0</v>
      </c>
      <c r="AD49" s="907">
        <f t="shared" si="66"/>
        <v>0</v>
      </c>
      <c r="AE49" s="652">
        <f t="shared" si="66"/>
        <v>0</v>
      </c>
      <c r="AF49" s="653"/>
      <c r="AG49" s="653"/>
      <c r="AH49" s="652"/>
      <c r="AI49" s="653"/>
      <c r="AJ49" s="653"/>
      <c r="AK49" s="652"/>
      <c r="AL49" s="653"/>
      <c r="AM49" s="651">
        <f t="shared" si="13"/>
        <v>3069934.9150000005</v>
      </c>
      <c r="AN49" s="907">
        <f t="shared" si="5"/>
        <v>0</v>
      </c>
      <c r="AO49" s="652">
        <f t="shared" si="14"/>
        <v>3069933.9150000005</v>
      </c>
      <c r="AP49" s="878"/>
      <c r="AQ49" s="879"/>
      <c r="AR49" s="879"/>
      <c r="AS49" s="879"/>
      <c r="AT49" s="885"/>
      <c r="AU49" s="885"/>
      <c r="AV49" s="885"/>
      <c r="AW49" s="885"/>
      <c r="AX49" s="885"/>
    </row>
    <row r="50" spans="1:50" s="457" customFormat="1" ht="20.149999999999999" hidden="1" customHeight="1" outlineLevel="1" x14ac:dyDescent="0.35">
      <c r="B50" s="781" t="s">
        <v>23</v>
      </c>
      <c r="C50" s="765">
        <v>2279337.1938672336</v>
      </c>
      <c r="D50" s="766"/>
      <c r="E50" s="909">
        <f t="shared" si="63"/>
        <v>2279337.1938672336</v>
      </c>
      <c r="F50" s="766"/>
      <c r="G50" s="766"/>
      <c r="H50" s="766">
        <v>0</v>
      </c>
      <c r="I50" s="767">
        <f>+E50</f>
        <v>2279337.1938672336</v>
      </c>
      <c r="J50" s="443">
        <v>0.3</v>
      </c>
      <c r="K50" s="443">
        <v>0.3</v>
      </c>
      <c r="L50" s="443">
        <v>0.3</v>
      </c>
      <c r="M50" s="443">
        <v>0.15</v>
      </c>
      <c r="N50" s="443">
        <v>0</v>
      </c>
      <c r="O50" s="443"/>
      <c r="P50" s="443"/>
      <c r="Q50" s="768">
        <f>365544.576+541872</f>
        <v>907416.576</v>
      </c>
      <c r="R50" s="769">
        <v>0</v>
      </c>
      <c r="S50" s="770">
        <f t="shared" si="3"/>
        <v>907416.576</v>
      </c>
      <c r="T50" s="769">
        <v>487392.7680000001</v>
      </c>
      <c r="U50" s="769">
        <v>0</v>
      </c>
      <c r="V50" s="770">
        <f t="shared" si="4"/>
        <v>487392.7680000001</v>
      </c>
      <c r="W50" s="769">
        <v>487392.7680000001</v>
      </c>
      <c r="X50" s="769">
        <v>0</v>
      </c>
      <c r="Y50" s="770">
        <v>487392.7680000001</v>
      </c>
      <c r="Z50" s="769">
        <v>397134.84800000011</v>
      </c>
      <c r="AA50" s="769">
        <v>0</v>
      </c>
      <c r="AB50" s="770">
        <v>397134.84800000011</v>
      </c>
      <c r="AC50" s="769">
        <v>0</v>
      </c>
      <c r="AD50" s="769">
        <v>0</v>
      </c>
      <c r="AE50" s="770">
        <v>0</v>
      </c>
      <c r="AF50" s="769"/>
      <c r="AG50" s="769"/>
      <c r="AH50" s="770"/>
      <c r="AI50" s="769"/>
      <c r="AJ50" s="769"/>
      <c r="AK50" s="770"/>
      <c r="AL50" s="769"/>
      <c r="AM50" s="768">
        <f t="shared" si="13"/>
        <v>2279336.9600000004</v>
      </c>
      <c r="AN50" s="769">
        <f t="shared" si="5"/>
        <v>0</v>
      </c>
      <c r="AO50" s="770">
        <f t="shared" si="14"/>
        <v>2279335.9600000004</v>
      </c>
      <c r="AP50" s="878"/>
      <c r="AQ50" s="879"/>
      <c r="AR50" s="879"/>
      <c r="AS50" s="888"/>
      <c r="AT50" s="886"/>
      <c r="AU50" s="884"/>
      <c r="AV50" s="884"/>
      <c r="AW50" s="884"/>
      <c r="AX50" s="884"/>
    </row>
    <row r="51" spans="1:50" s="457" customFormat="1" ht="20.149999999999999" hidden="1" customHeight="1" outlineLevel="1" x14ac:dyDescent="0.35">
      <c r="B51" s="781" t="s">
        <v>94</v>
      </c>
      <c r="C51" s="765">
        <v>790597.95500000007</v>
      </c>
      <c r="D51" s="766"/>
      <c r="E51" s="909">
        <f t="shared" si="63"/>
        <v>790597.95500000007</v>
      </c>
      <c r="F51" s="766"/>
      <c r="G51" s="766"/>
      <c r="H51" s="766"/>
      <c r="I51" s="767">
        <f>+E51</f>
        <v>790597.95500000007</v>
      </c>
      <c r="J51" s="443">
        <v>0.25</v>
      </c>
      <c r="K51" s="443">
        <v>0.3</v>
      </c>
      <c r="L51" s="443">
        <v>0.3</v>
      </c>
      <c r="M51" s="443">
        <v>0.15</v>
      </c>
      <c r="N51" s="443">
        <v>0</v>
      </c>
      <c r="O51" s="443"/>
      <c r="P51" s="443"/>
      <c r="Q51" s="768">
        <v>194261.21180000005</v>
      </c>
      <c r="R51" s="769">
        <v>0</v>
      </c>
      <c r="S51" s="770">
        <f t="shared" si="3"/>
        <v>194261.21180000005</v>
      </c>
      <c r="T51" s="769">
        <v>216849.72480000003</v>
      </c>
      <c r="U51" s="769">
        <v>0</v>
      </c>
      <c r="V51" s="770">
        <f t="shared" si="4"/>
        <v>216849.72480000003</v>
      </c>
      <c r="W51" s="769">
        <v>216849.72480000003</v>
      </c>
      <c r="X51" s="769">
        <v>0</v>
      </c>
      <c r="Y51" s="770">
        <v>216849.72480000003</v>
      </c>
      <c r="Z51" s="769">
        <v>162637.29360000003</v>
      </c>
      <c r="AA51" s="769">
        <v>0</v>
      </c>
      <c r="AB51" s="770">
        <v>162637.29360000003</v>
      </c>
      <c r="AC51" s="769">
        <v>0</v>
      </c>
      <c r="AD51" s="769">
        <v>0</v>
      </c>
      <c r="AE51" s="770">
        <v>0</v>
      </c>
      <c r="AF51" s="769"/>
      <c r="AG51" s="769"/>
      <c r="AH51" s="770"/>
      <c r="AI51" s="769"/>
      <c r="AJ51" s="769"/>
      <c r="AK51" s="770"/>
      <c r="AL51" s="769"/>
      <c r="AM51" s="768">
        <f t="shared" si="13"/>
        <v>790597.95500000007</v>
      </c>
      <c r="AN51" s="769">
        <f t="shared" si="5"/>
        <v>0</v>
      </c>
      <c r="AO51" s="770">
        <f t="shared" si="14"/>
        <v>790596.95500000007</v>
      </c>
      <c r="AP51" s="878"/>
      <c r="AQ51" s="879"/>
      <c r="AR51" s="879"/>
      <c r="AS51" s="885"/>
      <c r="AT51" s="886"/>
      <c r="AU51" s="885"/>
      <c r="AV51" s="885"/>
      <c r="AW51" s="885"/>
      <c r="AX51" s="885"/>
    </row>
    <row r="52" spans="1:50" s="92" customFormat="1" ht="31.5" customHeight="1" outlineLevel="1" x14ac:dyDescent="0.35">
      <c r="B52" s="532" t="s">
        <v>208</v>
      </c>
      <c r="C52" s="357">
        <f>+C53+C54</f>
        <v>2347556.6881999997</v>
      </c>
      <c r="D52" s="906">
        <f>SUM(D53:D54)</f>
        <v>0</v>
      </c>
      <c r="E52" s="906">
        <f t="shared" si="63"/>
        <v>2347556.6881999997</v>
      </c>
      <c r="F52" s="906">
        <f>SUM(F53:F54)</f>
        <v>0</v>
      </c>
      <c r="G52" s="906">
        <f>SUM(G53:G54)</f>
        <v>0</v>
      </c>
      <c r="H52" s="906">
        <f>SUM(H53:H54)</f>
        <v>0</v>
      </c>
      <c r="I52" s="343">
        <f>SUM(I53:I54)</f>
        <v>2347556.6881999997</v>
      </c>
      <c r="J52" s="906"/>
      <c r="K52" s="906"/>
      <c r="L52" s="906"/>
      <c r="M52" s="906"/>
      <c r="N52" s="906"/>
      <c r="O52" s="906"/>
      <c r="P52" s="906"/>
      <c r="Q52" s="651">
        <v>528225.12899999996</v>
      </c>
      <c r="R52" s="907">
        <v>0</v>
      </c>
      <c r="S52" s="652">
        <f t="shared" si="3"/>
        <v>528225.12899999996</v>
      </c>
      <c r="T52" s="907">
        <v>650087.74080000003</v>
      </c>
      <c r="U52" s="907">
        <v>0</v>
      </c>
      <c r="V52" s="652">
        <f t="shared" si="4"/>
        <v>650087.74080000003</v>
      </c>
      <c r="W52" s="907">
        <v>650087.74080000003</v>
      </c>
      <c r="X52" s="907">
        <v>0</v>
      </c>
      <c r="Y52" s="652">
        <v>650087.74080000003</v>
      </c>
      <c r="Z52" s="907">
        <v>519156.07760000002</v>
      </c>
      <c r="AA52" s="907">
        <v>0</v>
      </c>
      <c r="AB52" s="652">
        <v>519156.07760000002</v>
      </c>
      <c r="AC52" s="907">
        <v>0</v>
      </c>
      <c r="AD52" s="907">
        <v>0</v>
      </c>
      <c r="AE52" s="652">
        <v>0</v>
      </c>
      <c r="AF52" s="653"/>
      <c r="AG52" s="653"/>
      <c r="AH52" s="652"/>
      <c r="AI52" s="653"/>
      <c r="AJ52" s="653"/>
      <c r="AK52" s="652"/>
      <c r="AL52" s="653"/>
      <c r="AM52" s="651">
        <f>Q52+T52+W52+Z52+AC52+AF52+AI52+1</f>
        <v>2347557.6882000002</v>
      </c>
      <c r="AN52" s="907">
        <f t="shared" si="5"/>
        <v>0</v>
      </c>
      <c r="AO52" s="652">
        <f t="shared" si="14"/>
        <v>2347556.6882000002</v>
      </c>
      <c r="AP52" s="878"/>
      <c r="AQ52" s="879"/>
      <c r="AR52" s="879"/>
      <c r="AS52" s="879"/>
      <c r="AT52" s="885"/>
      <c r="AU52" s="885"/>
      <c r="AV52" s="885"/>
      <c r="AW52" s="885"/>
      <c r="AX52" s="885"/>
    </row>
    <row r="53" spans="1:50" s="457" customFormat="1" ht="20.149999999999999" hidden="1" customHeight="1" outlineLevel="1" x14ac:dyDescent="0.35">
      <c r="B53" s="781" t="s">
        <v>23</v>
      </c>
      <c r="C53" s="765">
        <v>1547923.328</v>
      </c>
      <c r="D53" s="766"/>
      <c r="E53" s="909">
        <f t="shared" si="63"/>
        <v>1547923.328</v>
      </c>
      <c r="F53" s="766"/>
      <c r="G53" s="766"/>
      <c r="H53" s="766">
        <v>0</v>
      </c>
      <c r="I53" s="767">
        <f>+E53</f>
        <v>1547923.328</v>
      </c>
      <c r="J53" s="443">
        <v>0.2</v>
      </c>
      <c r="K53" s="443">
        <v>0.25</v>
      </c>
      <c r="L53" s="443">
        <v>0.3</v>
      </c>
      <c r="M53" s="443">
        <v>0.15</v>
      </c>
      <c r="N53" s="443">
        <v>9.9999999999999978E-2</v>
      </c>
      <c r="O53" s="443"/>
      <c r="P53" s="443"/>
      <c r="Q53" s="768">
        <v>324928.51199999999</v>
      </c>
      <c r="R53" s="769">
        <v>0</v>
      </c>
      <c r="S53" s="770">
        <f t="shared" si="3"/>
        <v>324928.51199999999</v>
      </c>
      <c r="T53" s="769">
        <v>433238.016</v>
      </c>
      <c r="U53" s="769">
        <v>0</v>
      </c>
      <c r="V53" s="770">
        <f t="shared" si="4"/>
        <v>433238.016</v>
      </c>
      <c r="W53" s="769">
        <v>433238.016</v>
      </c>
      <c r="X53" s="769">
        <v>0</v>
      </c>
      <c r="Y53" s="770">
        <v>433238.016</v>
      </c>
      <c r="Z53" s="769">
        <v>356518.78399999999</v>
      </c>
      <c r="AA53" s="769">
        <v>0</v>
      </c>
      <c r="AB53" s="770">
        <v>356518.78399999999</v>
      </c>
      <c r="AC53" s="769">
        <v>0</v>
      </c>
      <c r="AD53" s="769">
        <v>0</v>
      </c>
      <c r="AE53" s="770">
        <v>0</v>
      </c>
      <c r="AF53" s="769"/>
      <c r="AG53" s="769"/>
      <c r="AH53" s="770"/>
      <c r="AI53" s="769"/>
      <c r="AJ53" s="769"/>
      <c r="AK53" s="770"/>
      <c r="AL53" s="769"/>
      <c r="AM53" s="768">
        <f t="shared" si="13"/>
        <v>1547923.328</v>
      </c>
      <c r="AN53" s="769">
        <f t="shared" si="5"/>
        <v>0</v>
      </c>
      <c r="AO53" s="770">
        <f t="shared" si="14"/>
        <v>1547922.328</v>
      </c>
      <c r="AP53" s="878"/>
      <c r="AQ53" s="879"/>
      <c r="AR53" s="879"/>
      <c r="AS53" s="888"/>
      <c r="AT53" s="885"/>
      <c r="AU53" s="884"/>
      <c r="AV53" s="884"/>
      <c r="AW53" s="884"/>
      <c r="AX53" s="884"/>
    </row>
    <row r="54" spans="1:50" s="457" customFormat="1" ht="20.149999999999999" hidden="1" customHeight="1" outlineLevel="1" x14ac:dyDescent="0.35">
      <c r="B54" s="781" t="s">
        <v>94</v>
      </c>
      <c r="C54" s="765">
        <v>799633.3602</v>
      </c>
      <c r="D54" s="766"/>
      <c r="E54" s="909">
        <f t="shared" si="63"/>
        <v>799633.3602</v>
      </c>
      <c r="F54" s="766"/>
      <c r="G54" s="766"/>
      <c r="H54" s="766"/>
      <c r="I54" s="767">
        <f>+E54</f>
        <v>799633.3602</v>
      </c>
      <c r="J54" s="443">
        <v>0.2</v>
      </c>
      <c r="K54" s="443">
        <v>0.25</v>
      </c>
      <c r="L54" s="443">
        <v>0.3</v>
      </c>
      <c r="M54" s="443">
        <v>0.15</v>
      </c>
      <c r="N54" s="443">
        <v>9.9999999999999978E-2</v>
      </c>
      <c r="O54" s="443"/>
      <c r="P54" s="443"/>
      <c r="Q54" s="768">
        <v>203296.61700000003</v>
      </c>
      <c r="R54" s="769">
        <v>0</v>
      </c>
      <c r="S54" s="770">
        <f t="shared" si="3"/>
        <v>203296.61700000003</v>
      </c>
      <c r="T54" s="769">
        <v>216849.72480000003</v>
      </c>
      <c r="U54" s="769">
        <v>0</v>
      </c>
      <c r="V54" s="770">
        <f t="shared" si="4"/>
        <v>216849.72480000003</v>
      </c>
      <c r="W54" s="769">
        <v>216849.72480000003</v>
      </c>
      <c r="X54" s="769">
        <v>0</v>
      </c>
      <c r="Y54" s="770">
        <v>216849.72480000003</v>
      </c>
      <c r="Z54" s="769">
        <v>162637.29360000003</v>
      </c>
      <c r="AA54" s="769">
        <v>0</v>
      </c>
      <c r="AB54" s="770">
        <v>162637.29360000003</v>
      </c>
      <c r="AC54" s="769">
        <v>0</v>
      </c>
      <c r="AD54" s="769">
        <v>0</v>
      </c>
      <c r="AE54" s="770">
        <v>0</v>
      </c>
      <c r="AF54" s="769"/>
      <c r="AG54" s="769"/>
      <c r="AH54" s="770"/>
      <c r="AI54" s="769"/>
      <c r="AJ54" s="769"/>
      <c r="AK54" s="770"/>
      <c r="AL54" s="769"/>
      <c r="AM54" s="768">
        <f t="shared" si="13"/>
        <v>799633.3602</v>
      </c>
      <c r="AN54" s="769">
        <f t="shared" si="5"/>
        <v>0</v>
      </c>
      <c r="AO54" s="770">
        <f t="shared" si="14"/>
        <v>799632.3602</v>
      </c>
      <c r="AP54" s="878"/>
      <c r="AQ54" s="879"/>
      <c r="AR54" s="879"/>
      <c r="AS54" s="885"/>
      <c r="AT54" s="885"/>
      <c r="AU54" s="885"/>
      <c r="AV54" s="885"/>
      <c r="AW54" s="885"/>
      <c r="AX54" s="885"/>
    </row>
    <row r="55" spans="1:50" s="92" customFormat="1" ht="31.5" customHeight="1" outlineLevel="1" x14ac:dyDescent="0.35">
      <c r="B55" s="532" t="s">
        <v>209</v>
      </c>
      <c r="C55" s="357">
        <f>+C56+C57</f>
        <v>2239247.1842</v>
      </c>
      <c r="D55" s="906">
        <f t="shared" ref="D55:I55" si="67">+D56+D57</f>
        <v>0</v>
      </c>
      <c r="E55" s="906">
        <f t="shared" si="63"/>
        <v>2239247.1842</v>
      </c>
      <c r="F55" s="906">
        <f t="shared" si="67"/>
        <v>0</v>
      </c>
      <c r="G55" s="906">
        <f t="shared" si="67"/>
        <v>0</v>
      </c>
      <c r="H55" s="906">
        <f t="shared" si="67"/>
        <v>0</v>
      </c>
      <c r="I55" s="343">
        <f t="shared" si="67"/>
        <v>2239248.1842</v>
      </c>
      <c r="J55" s="906"/>
      <c r="K55" s="906"/>
      <c r="L55" s="906"/>
      <c r="M55" s="906"/>
      <c r="N55" s="906"/>
      <c r="O55" s="906"/>
      <c r="P55" s="906"/>
      <c r="Q55" s="651">
        <f t="shared" ref="Q55:AE55" si="68">+Q56+Q57</f>
        <v>507917.09700000007</v>
      </c>
      <c r="R55" s="907">
        <f t="shared" si="68"/>
        <v>0</v>
      </c>
      <c r="S55" s="652">
        <f t="shared" si="3"/>
        <v>507917.09700000007</v>
      </c>
      <c r="T55" s="907">
        <f t="shared" si="68"/>
        <v>623010.3648000001</v>
      </c>
      <c r="U55" s="907">
        <f t="shared" si="68"/>
        <v>0</v>
      </c>
      <c r="V55" s="652">
        <f t="shared" si="4"/>
        <v>623010.3648000001</v>
      </c>
      <c r="W55" s="907">
        <f t="shared" si="68"/>
        <v>623010.3648000001</v>
      </c>
      <c r="X55" s="907">
        <f t="shared" si="68"/>
        <v>0</v>
      </c>
      <c r="Y55" s="652">
        <f t="shared" si="68"/>
        <v>623010.3648000001</v>
      </c>
      <c r="Z55" s="907">
        <f t="shared" si="68"/>
        <v>485309.3576000001</v>
      </c>
      <c r="AA55" s="907">
        <f t="shared" si="68"/>
        <v>0</v>
      </c>
      <c r="AB55" s="652">
        <f t="shared" si="68"/>
        <v>485309.3576000001</v>
      </c>
      <c r="AC55" s="907">
        <f t="shared" si="68"/>
        <v>0</v>
      </c>
      <c r="AD55" s="907">
        <f t="shared" si="68"/>
        <v>0</v>
      </c>
      <c r="AE55" s="652">
        <f t="shared" si="68"/>
        <v>0</v>
      </c>
      <c r="AF55" s="653"/>
      <c r="AG55" s="653"/>
      <c r="AH55" s="652"/>
      <c r="AI55" s="653"/>
      <c r="AJ55" s="653"/>
      <c r="AK55" s="652"/>
      <c r="AL55" s="653"/>
      <c r="AM55" s="651">
        <f t="shared" si="13"/>
        <v>2239247.1842000005</v>
      </c>
      <c r="AN55" s="907">
        <f t="shared" si="5"/>
        <v>0</v>
      </c>
      <c r="AO55" s="652">
        <f t="shared" si="14"/>
        <v>2239246.1842000005</v>
      </c>
      <c r="AP55" s="878"/>
      <c r="AQ55" s="879"/>
      <c r="AR55" s="879"/>
      <c r="AS55" s="879"/>
      <c r="AT55" s="885"/>
      <c r="AU55" s="885"/>
      <c r="AV55" s="885"/>
      <c r="AW55" s="885"/>
      <c r="AX55" s="885"/>
    </row>
    <row r="56" spans="1:50" s="457" customFormat="1" ht="20.149999999999999" hidden="1" customHeight="1" outlineLevel="1" x14ac:dyDescent="0.35">
      <c r="B56" s="781" t="s">
        <v>23</v>
      </c>
      <c r="C56" s="765">
        <v>1439613.8240000003</v>
      </c>
      <c r="D56" s="766"/>
      <c r="E56" s="909">
        <f t="shared" si="63"/>
        <v>1439613.8240000003</v>
      </c>
      <c r="F56" s="766"/>
      <c r="G56" s="766"/>
      <c r="H56" s="766">
        <v>0</v>
      </c>
      <c r="I56" s="767">
        <f>+E56+1</f>
        <v>1439614.8240000003</v>
      </c>
      <c r="J56" s="443">
        <v>0.2</v>
      </c>
      <c r="K56" s="443">
        <v>0.25</v>
      </c>
      <c r="L56" s="443">
        <v>0.3</v>
      </c>
      <c r="M56" s="443">
        <v>0.15</v>
      </c>
      <c r="N56" s="443">
        <v>9.9999999999999978E-2</v>
      </c>
      <c r="O56" s="443"/>
      <c r="P56" s="443"/>
      <c r="Q56" s="768">
        <v>304620.48000000004</v>
      </c>
      <c r="R56" s="769">
        <v>0</v>
      </c>
      <c r="S56" s="770">
        <f t="shared" si="3"/>
        <v>304620.48000000004</v>
      </c>
      <c r="T56" s="769">
        <v>406160.64000000007</v>
      </c>
      <c r="U56" s="769">
        <v>0</v>
      </c>
      <c r="V56" s="770">
        <f t="shared" si="4"/>
        <v>406160.64000000007</v>
      </c>
      <c r="W56" s="769">
        <v>406160.64000000007</v>
      </c>
      <c r="X56" s="769">
        <v>0</v>
      </c>
      <c r="Y56" s="770">
        <v>406160.64000000007</v>
      </c>
      <c r="Z56" s="769">
        <v>322672.06400000007</v>
      </c>
      <c r="AA56" s="769">
        <v>0</v>
      </c>
      <c r="AB56" s="770">
        <v>322672.06400000007</v>
      </c>
      <c r="AC56" s="769">
        <v>0</v>
      </c>
      <c r="AD56" s="769">
        <v>0</v>
      </c>
      <c r="AE56" s="770">
        <v>0</v>
      </c>
      <c r="AF56" s="769"/>
      <c r="AG56" s="769"/>
      <c r="AH56" s="770"/>
      <c r="AI56" s="769"/>
      <c r="AJ56" s="769"/>
      <c r="AK56" s="770"/>
      <c r="AL56" s="769"/>
      <c r="AM56" s="768">
        <f t="shared" si="13"/>
        <v>1439613.8240000003</v>
      </c>
      <c r="AN56" s="769">
        <f t="shared" si="5"/>
        <v>0</v>
      </c>
      <c r="AO56" s="770">
        <f t="shared" si="14"/>
        <v>1439612.8240000003</v>
      </c>
      <c r="AP56" s="878"/>
      <c r="AQ56" s="879"/>
      <c r="AR56" s="879"/>
      <c r="AS56" s="888"/>
      <c r="AT56" s="886"/>
      <c r="AU56" s="884"/>
      <c r="AV56" s="884"/>
      <c r="AW56" s="884"/>
      <c r="AX56" s="884"/>
    </row>
    <row r="57" spans="1:50" s="457" customFormat="1" ht="20.149999999999999" hidden="1" customHeight="1" outlineLevel="1" x14ac:dyDescent="0.35">
      <c r="A57" s="557"/>
      <c r="B57" s="781" t="s">
        <v>94</v>
      </c>
      <c r="C57" s="765">
        <v>799633.3602</v>
      </c>
      <c r="D57" s="766"/>
      <c r="E57" s="909">
        <f t="shared" si="63"/>
        <v>799633.3602</v>
      </c>
      <c r="F57" s="766"/>
      <c r="G57" s="766"/>
      <c r="H57" s="766"/>
      <c r="I57" s="767">
        <f>+E57</f>
        <v>799633.3602</v>
      </c>
      <c r="J57" s="443">
        <v>0.2</v>
      </c>
      <c r="K57" s="443">
        <v>0.25</v>
      </c>
      <c r="L57" s="443">
        <v>0.3</v>
      </c>
      <c r="M57" s="443">
        <v>0.15</v>
      </c>
      <c r="N57" s="443">
        <v>9.9999999999999978E-2</v>
      </c>
      <c r="O57" s="443"/>
      <c r="P57" s="443"/>
      <c r="Q57" s="768">
        <v>203296.61700000003</v>
      </c>
      <c r="R57" s="769">
        <v>0</v>
      </c>
      <c r="S57" s="770">
        <f t="shared" si="3"/>
        <v>203296.61700000003</v>
      </c>
      <c r="T57" s="769">
        <v>216849.72480000003</v>
      </c>
      <c r="U57" s="769">
        <v>0</v>
      </c>
      <c r="V57" s="770">
        <f t="shared" si="4"/>
        <v>216849.72480000003</v>
      </c>
      <c r="W57" s="769">
        <v>216849.72480000003</v>
      </c>
      <c r="X57" s="769">
        <v>0</v>
      </c>
      <c r="Y57" s="770">
        <v>216849.72480000003</v>
      </c>
      <c r="Z57" s="769">
        <v>162637.29360000003</v>
      </c>
      <c r="AA57" s="769">
        <v>0</v>
      </c>
      <c r="AB57" s="770">
        <v>162637.29360000003</v>
      </c>
      <c r="AC57" s="769">
        <v>0</v>
      </c>
      <c r="AD57" s="769">
        <v>0</v>
      </c>
      <c r="AE57" s="770">
        <v>0</v>
      </c>
      <c r="AF57" s="769"/>
      <c r="AG57" s="769"/>
      <c r="AH57" s="770"/>
      <c r="AI57" s="769"/>
      <c r="AJ57" s="769"/>
      <c r="AK57" s="770"/>
      <c r="AL57" s="769"/>
      <c r="AM57" s="768">
        <f t="shared" si="13"/>
        <v>799633.3602</v>
      </c>
      <c r="AN57" s="769">
        <f t="shared" si="5"/>
        <v>0</v>
      </c>
      <c r="AO57" s="770">
        <f t="shared" si="14"/>
        <v>799632.3602</v>
      </c>
      <c r="AP57" s="878"/>
      <c r="AQ57" s="879"/>
      <c r="AR57" s="879"/>
      <c r="AS57" s="885"/>
      <c r="AT57" s="886"/>
      <c r="AU57" s="885"/>
      <c r="AV57" s="885"/>
      <c r="AW57" s="885"/>
      <c r="AX57" s="885"/>
    </row>
    <row r="58" spans="1:50" s="92" customFormat="1" ht="31.5" customHeight="1" outlineLevel="1" x14ac:dyDescent="0.35">
      <c r="B58" s="532" t="s">
        <v>210</v>
      </c>
      <c r="C58" s="357">
        <f>+C59+C60</f>
        <v>699729.59680000017</v>
      </c>
      <c r="D58" s="906">
        <f t="shared" ref="D58:I58" si="69">+D59+D60</f>
        <v>0</v>
      </c>
      <c r="E58" s="906">
        <f t="shared" si="63"/>
        <v>699729.59680000017</v>
      </c>
      <c r="F58" s="906">
        <f t="shared" si="69"/>
        <v>0</v>
      </c>
      <c r="G58" s="906">
        <f t="shared" si="69"/>
        <v>0</v>
      </c>
      <c r="H58" s="906">
        <f t="shared" si="69"/>
        <v>0</v>
      </c>
      <c r="I58" s="343">
        <f t="shared" si="69"/>
        <v>699729.59680000017</v>
      </c>
      <c r="J58" s="906"/>
      <c r="K58" s="906"/>
      <c r="L58" s="906"/>
      <c r="M58" s="906"/>
      <c r="N58" s="906"/>
      <c r="O58" s="906"/>
      <c r="P58" s="906"/>
      <c r="Q58" s="651">
        <f t="shared" ref="Q58:AE58" si="70">+Q59+Q60</f>
        <v>0</v>
      </c>
      <c r="R58" s="907">
        <f t="shared" si="70"/>
        <v>0</v>
      </c>
      <c r="S58" s="652">
        <f t="shared" si="3"/>
        <v>0</v>
      </c>
      <c r="T58" s="907">
        <f t="shared" si="70"/>
        <v>0</v>
      </c>
      <c r="U58" s="907">
        <f t="shared" si="70"/>
        <v>0</v>
      </c>
      <c r="V58" s="652">
        <f t="shared" si="4"/>
        <v>0</v>
      </c>
      <c r="W58" s="907">
        <f t="shared" si="70"/>
        <v>354392.11420000007</v>
      </c>
      <c r="X58" s="907">
        <f t="shared" si="70"/>
        <v>0</v>
      </c>
      <c r="Y58" s="652">
        <f t="shared" si="70"/>
        <v>354392.11420000007</v>
      </c>
      <c r="Z58" s="907">
        <f t="shared" si="70"/>
        <v>331798.79460000002</v>
      </c>
      <c r="AA58" s="907">
        <f t="shared" si="70"/>
        <v>0</v>
      </c>
      <c r="AB58" s="652">
        <f t="shared" si="70"/>
        <v>331798.79460000002</v>
      </c>
      <c r="AC58" s="907">
        <f t="shared" si="70"/>
        <v>13538.688000000002</v>
      </c>
      <c r="AD58" s="907">
        <f t="shared" si="70"/>
        <v>0</v>
      </c>
      <c r="AE58" s="652">
        <f t="shared" si="70"/>
        <v>13538.688000000002</v>
      </c>
      <c r="AF58" s="653"/>
      <c r="AG58" s="653"/>
      <c r="AH58" s="652"/>
      <c r="AI58" s="653"/>
      <c r="AJ58" s="653"/>
      <c r="AK58" s="652"/>
      <c r="AL58" s="653"/>
      <c r="AM58" s="651">
        <f t="shared" si="13"/>
        <v>699729.59680000006</v>
      </c>
      <c r="AN58" s="907">
        <f t="shared" si="5"/>
        <v>0</v>
      </c>
      <c r="AO58" s="652">
        <f t="shared" si="14"/>
        <v>699728.59680000006</v>
      </c>
      <c r="AP58" s="878"/>
      <c r="AQ58" s="879"/>
      <c r="AR58" s="879"/>
      <c r="AS58" s="879"/>
      <c r="AT58" s="885"/>
      <c r="AU58" s="885"/>
      <c r="AV58" s="885"/>
      <c r="AW58" s="885"/>
      <c r="AX58" s="885"/>
    </row>
    <row r="59" spans="1:50" s="457" customFormat="1" ht="20.149999999999999" hidden="1" customHeight="1" outlineLevel="1" x14ac:dyDescent="0.35">
      <c r="B59" s="781" t="s">
        <v>23</v>
      </c>
      <c r="C59" s="765">
        <v>482879.87200000015</v>
      </c>
      <c r="D59" s="766"/>
      <c r="E59" s="909">
        <f t="shared" si="63"/>
        <v>482879.87200000015</v>
      </c>
      <c r="F59" s="766"/>
      <c r="G59" s="766"/>
      <c r="H59" s="766">
        <v>0</v>
      </c>
      <c r="I59" s="767">
        <f>+E59</f>
        <v>482879.87200000015</v>
      </c>
      <c r="J59" s="443">
        <v>0.2</v>
      </c>
      <c r="K59" s="443">
        <v>0.25</v>
      </c>
      <c r="L59" s="443">
        <v>0.3</v>
      </c>
      <c r="M59" s="443">
        <v>0.15</v>
      </c>
      <c r="N59" s="443">
        <v>9.9999999999999978E-2</v>
      </c>
      <c r="O59" s="443"/>
      <c r="P59" s="443"/>
      <c r="Q59" s="768">
        <v>0</v>
      </c>
      <c r="R59" s="769">
        <v>0</v>
      </c>
      <c r="S59" s="770">
        <f t="shared" si="3"/>
        <v>0</v>
      </c>
      <c r="T59" s="769">
        <v>0</v>
      </c>
      <c r="U59" s="769">
        <v>0</v>
      </c>
      <c r="V59" s="770">
        <f t="shared" si="4"/>
        <v>0</v>
      </c>
      <c r="W59" s="769">
        <v>232414.14400000006</v>
      </c>
      <c r="X59" s="769">
        <v>0</v>
      </c>
      <c r="Y59" s="770">
        <v>232414.14400000006</v>
      </c>
      <c r="Z59" s="769">
        <v>236927.04000000004</v>
      </c>
      <c r="AA59" s="769">
        <v>0</v>
      </c>
      <c r="AB59" s="770">
        <v>236927.04000000004</v>
      </c>
      <c r="AC59" s="769">
        <v>13538.688000000002</v>
      </c>
      <c r="AD59" s="769">
        <v>0</v>
      </c>
      <c r="AE59" s="770">
        <v>13538.688000000002</v>
      </c>
      <c r="AF59" s="769"/>
      <c r="AG59" s="769"/>
      <c r="AH59" s="770"/>
      <c r="AI59" s="769"/>
      <c r="AJ59" s="769"/>
      <c r="AK59" s="770"/>
      <c r="AL59" s="769"/>
      <c r="AM59" s="768">
        <f t="shared" si="13"/>
        <v>482879.87200000015</v>
      </c>
      <c r="AN59" s="769">
        <f t="shared" si="5"/>
        <v>0</v>
      </c>
      <c r="AO59" s="770">
        <f t="shared" si="14"/>
        <v>482878.87200000015</v>
      </c>
      <c r="AP59" s="878"/>
      <c r="AQ59" s="879"/>
      <c r="AR59" s="879"/>
      <c r="AS59" s="888"/>
      <c r="AT59" s="885"/>
      <c r="AU59" s="884"/>
      <c r="AV59" s="884"/>
      <c r="AW59" s="884"/>
      <c r="AX59" s="884"/>
    </row>
    <row r="60" spans="1:50" s="457" customFormat="1" ht="20.149999999999999" hidden="1" customHeight="1" outlineLevel="1" x14ac:dyDescent="0.35">
      <c r="B60" s="781" t="s">
        <v>94</v>
      </c>
      <c r="C60" s="765">
        <v>216849.72480000003</v>
      </c>
      <c r="D60" s="766"/>
      <c r="E60" s="909">
        <f t="shared" si="63"/>
        <v>216849.72480000003</v>
      </c>
      <c r="F60" s="766"/>
      <c r="G60" s="766"/>
      <c r="H60" s="766"/>
      <c r="I60" s="767">
        <f>+E60</f>
        <v>216849.72480000003</v>
      </c>
      <c r="J60" s="443">
        <v>0.2</v>
      </c>
      <c r="K60" s="443">
        <v>0.25</v>
      </c>
      <c r="L60" s="443">
        <v>0.3</v>
      </c>
      <c r="M60" s="443">
        <v>0.15</v>
      </c>
      <c r="N60" s="443">
        <v>9.9999999999999978E-2</v>
      </c>
      <c r="O60" s="443"/>
      <c r="P60" s="443"/>
      <c r="Q60" s="768">
        <v>0</v>
      </c>
      <c r="R60" s="769">
        <v>0</v>
      </c>
      <c r="S60" s="770">
        <f t="shared" si="3"/>
        <v>0</v>
      </c>
      <c r="T60" s="769">
        <v>0</v>
      </c>
      <c r="U60" s="769">
        <v>0</v>
      </c>
      <c r="V60" s="770">
        <f t="shared" si="4"/>
        <v>0</v>
      </c>
      <c r="W60" s="769">
        <v>121977.97020000001</v>
      </c>
      <c r="X60" s="769">
        <v>0</v>
      </c>
      <c r="Y60" s="770">
        <v>121977.97020000001</v>
      </c>
      <c r="Z60" s="769">
        <v>94871.754600000015</v>
      </c>
      <c r="AA60" s="769">
        <v>0</v>
      </c>
      <c r="AB60" s="770">
        <v>94871.754600000015</v>
      </c>
      <c r="AC60" s="769">
        <v>0</v>
      </c>
      <c r="AD60" s="769">
        <v>0</v>
      </c>
      <c r="AE60" s="770">
        <v>0</v>
      </c>
      <c r="AF60" s="769"/>
      <c r="AG60" s="769"/>
      <c r="AH60" s="770"/>
      <c r="AI60" s="769"/>
      <c r="AJ60" s="769"/>
      <c r="AK60" s="770"/>
      <c r="AL60" s="769"/>
      <c r="AM60" s="768">
        <f t="shared" si="13"/>
        <v>216849.72480000003</v>
      </c>
      <c r="AN60" s="769">
        <f t="shared" si="5"/>
        <v>0</v>
      </c>
      <c r="AO60" s="770">
        <f t="shared" si="14"/>
        <v>216848.72480000003</v>
      </c>
      <c r="AP60" s="878"/>
      <c r="AQ60" s="879"/>
      <c r="AR60" s="879"/>
      <c r="AS60" s="885"/>
      <c r="AT60" s="886"/>
      <c r="AU60" s="885"/>
      <c r="AV60" s="885"/>
      <c r="AW60" s="885"/>
      <c r="AX60" s="885"/>
    </row>
    <row r="61" spans="1:50" s="92" customFormat="1" ht="31.5" customHeight="1" outlineLevel="1" x14ac:dyDescent="0.35">
      <c r="B61" s="532" t="s">
        <v>211</v>
      </c>
      <c r="C61" s="357">
        <f>+C62+C63</f>
        <v>3710775.9940672335</v>
      </c>
      <c r="D61" s="906">
        <f t="shared" ref="D61:I61" si="71">+D62+D63</f>
        <v>0</v>
      </c>
      <c r="E61" s="906">
        <f t="shared" si="63"/>
        <v>3710775.9940672335</v>
      </c>
      <c r="F61" s="906">
        <f t="shared" si="71"/>
        <v>0</v>
      </c>
      <c r="G61" s="906">
        <f t="shared" si="71"/>
        <v>0</v>
      </c>
      <c r="H61" s="906">
        <f t="shared" si="71"/>
        <v>0</v>
      </c>
      <c r="I61" s="343">
        <f t="shared" si="71"/>
        <v>3710775.9940672335</v>
      </c>
      <c r="J61" s="906"/>
      <c r="K61" s="906"/>
      <c r="L61" s="906"/>
      <c r="M61" s="906"/>
      <c r="N61" s="906"/>
      <c r="O61" s="906"/>
      <c r="P61" s="906"/>
      <c r="Q61" s="651">
        <f t="shared" ref="Q61:AE61" si="72">+Q62+Q63</f>
        <v>704228.07300000009</v>
      </c>
      <c r="R61" s="907">
        <f t="shared" si="72"/>
        <v>0</v>
      </c>
      <c r="S61" s="652">
        <f>Q61+R61</f>
        <v>704228.07300000009</v>
      </c>
      <c r="T61" s="907">
        <f t="shared" si="72"/>
        <v>1426630.3328</v>
      </c>
      <c r="U61" s="907">
        <f t="shared" si="72"/>
        <v>0</v>
      </c>
      <c r="V61" s="652">
        <f t="shared" si="4"/>
        <v>1426630.3328</v>
      </c>
      <c r="W61" s="907">
        <f t="shared" si="72"/>
        <v>884758.33280000021</v>
      </c>
      <c r="X61" s="907">
        <f t="shared" si="72"/>
        <v>0</v>
      </c>
      <c r="Y61" s="652">
        <f t="shared" si="72"/>
        <v>884758.33280000021</v>
      </c>
      <c r="Z61" s="907">
        <f t="shared" si="72"/>
        <v>695159.02160000009</v>
      </c>
      <c r="AA61" s="907">
        <f t="shared" si="72"/>
        <v>0</v>
      </c>
      <c r="AB61" s="652">
        <f t="shared" si="72"/>
        <v>695159.02160000009</v>
      </c>
      <c r="AC61" s="907">
        <f t="shared" si="72"/>
        <v>0</v>
      </c>
      <c r="AD61" s="907">
        <f t="shared" si="72"/>
        <v>0</v>
      </c>
      <c r="AE61" s="652">
        <f t="shared" si="72"/>
        <v>0</v>
      </c>
      <c r="AF61" s="653"/>
      <c r="AG61" s="653"/>
      <c r="AH61" s="652"/>
      <c r="AI61" s="653"/>
      <c r="AJ61" s="653"/>
      <c r="AK61" s="652"/>
      <c r="AL61" s="653"/>
      <c r="AM61" s="651">
        <f t="shared" si="13"/>
        <v>3710775.7601999999</v>
      </c>
      <c r="AN61" s="907">
        <f t="shared" si="5"/>
        <v>0</v>
      </c>
      <c r="AO61" s="652">
        <f t="shared" si="14"/>
        <v>3710774.7601999999</v>
      </c>
      <c r="AP61" s="878"/>
      <c r="AQ61" s="879"/>
      <c r="AR61" s="879"/>
      <c r="AS61" s="879"/>
      <c r="AT61" s="886"/>
      <c r="AU61" s="885"/>
      <c r="AV61" s="885"/>
      <c r="AW61" s="885"/>
      <c r="AX61" s="885"/>
    </row>
    <row r="62" spans="1:50" s="457" customFormat="1" ht="20.149999999999999" hidden="1" customHeight="1" outlineLevel="1" x14ac:dyDescent="0.35">
      <c r="B62" s="781" t="s">
        <v>23</v>
      </c>
      <c r="C62" s="765">
        <v>2911142.6338672335</v>
      </c>
      <c r="D62" s="766"/>
      <c r="E62" s="909">
        <f t="shared" si="63"/>
        <v>2911142.6338672335</v>
      </c>
      <c r="F62" s="766"/>
      <c r="G62" s="766"/>
      <c r="H62" s="766">
        <v>0</v>
      </c>
      <c r="I62" s="767">
        <f>+E62</f>
        <v>2911142.6338672335</v>
      </c>
      <c r="J62" s="443">
        <v>0.2</v>
      </c>
      <c r="K62" s="443">
        <v>0.25</v>
      </c>
      <c r="L62" s="443">
        <v>0.3</v>
      </c>
      <c r="M62" s="443">
        <v>0.15</v>
      </c>
      <c r="N62" s="443">
        <v>9.9999999999999978E-2</v>
      </c>
      <c r="O62" s="443"/>
      <c r="P62" s="443"/>
      <c r="Q62" s="768">
        <v>500931.45600000006</v>
      </c>
      <c r="R62" s="769">
        <v>0</v>
      </c>
      <c r="S62" s="770">
        <f t="shared" si="3"/>
        <v>500931.45600000006</v>
      </c>
      <c r="T62" s="769">
        <f>667908.608+541872</f>
        <v>1209780.608</v>
      </c>
      <c r="U62" s="769">
        <v>0</v>
      </c>
      <c r="V62" s="770">
        <f t="shared" si="4"/>
        <v>1209780.608</v>
      </c>
      <c r="W62" s="769">
        <v>667908.60800000012</v>
      </c>
      <c r="X62" s="769">
        <v>0</v>
      </c>
      <c r="Y62" s="770">
        <v>667908.60800000012</v>
      </c>
      <c r="Z62" s="769">
        <v>532521.728</v>
      </c>
      <c r="AA62" s="769">
        <v>0</v>
      </c>
      <c r="AB62" s="770">
        <v>532521.728</v>
      </c>
      <c r="AC62" s="769">
        <v>0</v>
      </c>
      <c r="AD62" s="769">
        <v>0</v>
      </c>
      <c r="AE62" s="770">
        <v>0</v>
      </c>
      <c r="AF62" s="769"/>
      <c r="AG62" s="769"/>
      <c r="AH62" s="770"/>
      <c r="AI62" s="769"/>
      <c r="AJ62" s="769"/>
      <c r="AK62" s="770"/>
      <c r="AL62" s="769"/>
      <c r="AM62" s="768">
        <f t="shared" si="13"/>
        <v>2911142.4000000004</v>
      </c>
      <c r="AN62" s="769">
        <f t="shared" si="5"/>
        <v>0</v>
      </c>
      <c r="AO62" s="770">
        <f t="shared" si="14"/>
        <v>2911141.4000000004</v>
      </c>
      <c r="AP62" s="878"/>
      <c r="AQ62" s="879"/>
      <c r="AR62" s="879"/>
      <c r="AS62" s="888"/>
      <c r="AT62" s="886"/>
      <c r="AU62" s="884"/>
      <c r="AV62" s="884"/>
      <c r="AW62" s="884"/>
      <c r="AX62" s="884"/>
    </row>
    <row r="63" spans="1:50" s="457" customFormat="1" ht="20.149999999999999" hidden="1" customHeight="1" outlineLevel="1" x14ac:dyDescent="0.35">
      <c r="B63" s="781" t="s">
        <v>94</v>
      </c>
      <c r="C63" s="765">
        <v>799633.3602</v>
      </c>
      <c r="D63" s="766"/>
      <c r="E63" s="909">
        <f t="shared" si="63"/>
        <v>799633.3602</v>
      </c>
      <c r="F63" s="766"/>
      <c r="G63" s="766"/>
      <c r="H63" s="766"/>
      <c r="I63" s="767">
        <f>+E63</f>
        <v>799633.3602</v>
      </c>
      <c r="J63" s="443">
        <v>0.2</v>
      </c>
      <c r="K63" s="443">
        <v>0.25</v>
      </c>
      <c r="L63" s="443">
        <v>0.3</v>
      </c>
      <c r="M63" s="443">
        <v>0.15</v>
      </c>
      <c r="N63" s="443">
        <v>9.9999999999999978E-2</v>
      </c>
      <c r="O63" s="443"/>
      <c r="P63" s="443"/>
      <c r="Q63" s="768">
        <v>203296.61700000003</v>
      </c>
      <c r="R63" s="769">
        <v>0</v>
      </c>
      <c r="S63" s="770">
        <f t="shared" si="3"/>
        <v>203296.61700000003</v>
      </c>
      <c r="T63" s="769">
        <v>216849.72480000003</v>
      </c>
      <c r="U63" s="769">
        <v>0</v>
      </c>
      <c r="V63" s="770">
        <f t="shared" si="4"/>
        <v>216849.72480000003</v>
      </c>
      <c r="W63" s="769">
        <v>216849.72480000003</v>
      </c>
      <c r="X63" s="769">
        <v>0</v>
      </c>
      <c r="Y63" s="770">
        <v>216849.72480000003</v>
      </c>
      <c r="Z63" s="769">
        <v>162637.29360000003</v>
      </c>
      <c r="AA63" s="769">
        <v>0</v>
      </c>
      <c r="AB63" s="770">
        <v>162637.29360000003</v>
      </c>
      <c r="AC63" s="769">
        <v>0</v>
      </c>
      <c r="AD63" s="769">
        <v>0</v>
      </c>
      <c r="AE63" s="770">
        <v>0</v>
      </c>
      <c r="AF63" s="769"/>
      <c r="AG63" s="769"/>
      <c r="AH63" s="770"/>
      <c r="AI63" s="769"/>
      <c r="AJ63" s="769"/>
      <c r="AK63" s="770"/>
      <c r="AL63" s="769"/>
      <c r="AM63" s="768">
        <f t="shared" si="13"/>
        <v>799633.3602</v>
      </c>
      <c r="AN63" s="769">
        <f t="shared" si="5"/>
        <v>0</v>
      </c>
      <c r="AO63" s="770">
        <f t="shared" si="14"/>
        <v>799632.3602</v>
      </c>
      <c r="AP63" s="878"/>
      <c r="AQ63" s="879"/>
      <c r="AR63" s="879"/>
      <c r="AS63" s="885"/>
      <c r="AT63" s="886"/>
      <c r="AU63" s="885"/>
      <c r="AV63" s="885"/>
      <c r="AW63" s="885"/>
      <c r="AX63" s="885"/>
    </row>
    <row r="64" spans="1:50" s="92" customFormat="1" ht="31.5" customHeight="1" outlineLevel="1" x14ac:dyDescent="0.35">
      <c r="B64" s="532" t="s">
        <v>101</v>
      </c>
      <c r="C64" s="357">
        <f>SUM(C65:C69)</f>
        <v>3957155.6826696796</v>
      </c>
      <c r="D64" s="906">
        <f>SUM(D65:D69)</f>
        <v>419133.51756450557</v>
      </c>
      <c r="E64" s="906">
        <f t="shared" si="63"/>
        <v>4376289.200234185</v>
      </c>
      <c r="F64" s="906">
        <f>SUM(F65:F69)</f>
        <v>0</v>
      </c>
      <c r="G64" s="906">
        <f>SUM(G65:G69)</f>
        <v>0</v>
      </c>
      <c r="H64" s="906">
        <f>SUM(H65:H69)</f>
        <v>0</v>
      </c>
      <c r="I64" s="343">
        <f>SUM(I65:I69)</f>
        <v>4376289.200234185</v>
      </c>
      <c r="J64" s="906"/>
      <c r="K64" s="906"/>
      <c r="L64" s="906"/>
      <c r="M64" s="906"/>
      <c r="N64" s="906"/>
      <c r="O64" s="906"/>
      <c r="P64" s="906"/>
      <c r="Q64" s="651">
        <f t="shared" ref="Q64:AE64" si="73">SUM(Q65:Q69)</f>
        <v>0</v>
      </c>
      <c r="R64" s="907">
        <f t="shared" si="73"/>
        <v>0</v>
      </c>
      <c r="S64" s="652">
        <f t="shared" si="3"/>
        <v>0</v>
      </c>
      <c r="T64" s="907">
        <f t="shared" si="73"/>
        <v>446920.902</v>
      </c>
      <c r="U64" s="907">
        <f t="shared" si="73"/>
        <v>0</v>
      </c>
      <c r="V64" s="652">
        <f t="shared" si="4"/>
        <v>446920.902</v>
      </c>
      <c r="W64" s="907">
        <f t="shared" si="73"/>
        <v>1478998.8243502555</v>
      </c>
      <c r="X64" s="907">
        <f t="shared" si="73"/>
        <v>0</v>
      </c>
      <c r="Y64" s="652">
        <f t="shared" si="73"/>
        <v>1478998.8243502555</v>
      </c>
      <c r="Z64" s="907">
        <f t="shared" si="73"/>
        <v>1504333.7959502556</v>
      </c>
      <c r="AA64" s="907">
        <f t="shared" si="73"/>
        <v>0</v>
      </c>
      <c r="AB64" s="652">
        <f t="shared" si="73"/>
        <v>1504333.7959502556</v>
      </c>
      <c r="AC64" s="907">
        <f t="shared" si="73"/>
        <v>946036.12793367403</v>
      </c>
      <c r="AD64" s="907">
        <f t="shared" si="73"/>
        <v>0</v>
      </c>
      <c r="AE64" s="652">
        <f t="shared" si="73"/>
        <v>1400211.127933674</v>
      </c>
      <c r="AF64" s="653"/>
      <c r="AG64" s="653"/>
      <c r="AH64" s="652"/>
      <c r="AI64" s="653"/>
      <c r="AJ64" s="653"/>
      <c r="AK64" s="652"/>
      <c r="AL64" s="653"/>
      <c r="AM64" s="651">
        <f t="shared" si="13"/>
        <v>4376289.6502341852</v>
      </c>
      <c r="AN64" s="907">
        <f t="shared" si="5"/>
        <v>0</v>
      </c>
      <c r="AO64" s="652">
        <f t="shared" si="14"/>
        <v>4376288.6502341852</v>
      </c>
      <c r="AP64" s="878"/>
      <c r="AQ64" s="879"/>
      <c r="AR64" s="879"/>
      <c r="AS64" s="879"/>
      <c r="AT64" s="885"/>
      <c r="AU64" s="885"/>
      <c r="AV64" s="885"/>
      <c r="AW64" s="885"/>
      <c r="AX64" s="885"/>
    </row>
    <row r="65" spans="2:50" s="457" customFormat="1" ht="20.149999999999999" hidden="1" customHeight="1" outlineLevel="1" x14ac:dyDescent="0.35">
      <c r="B65" s="781" t="s">
        <v>23</v>
      </c>
      <c r="C65" s="765">
        <v>631805.44000000006</v>
      </c>
      <c r="D65" s="766"/>
      <c r="E65" s="909">
        <f t="shared" si="63"/>
        <v>631805.44000000006</v>
      </c>
      <c r="F65" s="766"/>
      <c r="G65" s="766"/>
      <c r="H65" s="766">
        <v>0</v>
      </c>
      <c r="I65" s="767">
        <f>+E65</f>
        <v>631805.44000000006</v>
      </c>
      <c r="J65" s="443">
        <v>0.2</v>
      </c>
      <c r="K65" s="443">
        <v>0.25</v>
      </c>
      <c r="L65" s="443">
        <v>0.3</v>
      </c>
      <c r="M65" s="443">
        <v>0.15</v>
      </c>
      <c r="N65" s="443">
        <v>9.9999999999999978E-2</v>
      </c>
      <c r="O65" s="443"/>
      <c r="P65" s="443"/>
      <c r="Q65" s="768">
        <v>0</v>
      </c>
      <c r="R65" s="769">
        <v>0</v>
      </c>
      <c r="S65" s="770">
        <f t="shared" si="3"/>
        <v>0</v>
      </c>
      <c r="T65" s="769">
        <v>311389.82400000002</v>
      </c>
      <c r="U65" s="769">
        <v>0</v>
      </c>
      <c r="V65" s="770">
        <f t="shared" si="4"/>
        <v>311389.82400000002</v>
      </c>
      <c r="W65" s="769">
        <v>320415.61600000004</v>
      </c>
      <c r="X65" s="769">
        <v>0</v>
      </c>
      <c r="Y65" s="770">
        <v>320415.61600000004</v>
      </c>
      <c r="Z65" s="769">
        <v>0</v>
      </c>
      <c r="AA65" s="769">
        <v>0</v>
      </c>
      <c r="AB65" s="770">
        <v>0</v>
      </c>
      <c r="AC65" s="769">
        <v>0</v>
      </c>
      <c r="AD65" s="769">
        <v>0</v>
      </c>
      <c r="AE65" s="770">
        <v>0</v>
      </c>
      <c r="AF65" s="769"/>
      <c r="AG65" s="769"/>
      <c r="AH65" s="770"/>
      <c r="AI65" s="769"/>
      <c r="AJ65" s="769"/>
      <c r="AK65" s="770"/>
      <c r="AL65" s="769"/>
      <c r="AM65" s="768">
        <f t="shared" si="13"/>
        <v>631805.44000000006</v>
      </c>
      <c r="AN65" s="769">
        <f t="shared" si="5"/>
        <v>0</v>
      </c>
      <c r="AO65" s="770">
        <f t="shared" si="14"/>
        <v>631804.44000000006</v>
      </c>
      <c r="AP65" s="878"/>
      <c r="AQ65" s="879"/>
      <c r="AR65" s="879"/>
      <c r="AS65" s="888"/>
      <c r="AT65" s="880"/>
      <c r="AU65" s="880"/>
      <c r="AV65" s="880"/>
      <c r="AW65" s="880"/>
      <c r="AX65" s="880"/>
    </row>
    <row r="66" spans="2:50" s="457" customFormat="1" ht="20.149999999999999" hidden="1" customHeight="1" outlineLevel="1" x14ac:dyDescent="0.35">
      <c r="B66" s="781" t="s">
        <v>94</v>
      </c>
      <c r="C66" s="765">
        <v>243955.94040000002</v>
      </c>
      <c r="D66" s="766"/>
      <c r="E66" s="909">
        <f t="shared" si="63"/>
        <v>243955.94040000002</v>
      </c>
      <c r="F66" s="766"/>
      <c r="G66" s="766"/>
      <c r="H66" s="766"/>
      <c r="I66" s="767">
        <f>+E66</f>
        <v>243955.94040000002</v>
      </c>
      <c r="J66" s="443">
        <v>0.2</v>
      </c>
      <c r="K66" s="443">
        <v>0.25</v>
      </c>
      <c r="L66" s="443">
        <v>0.3</v>
      </c>
      <c r="M66" s="443">
        <v>0.15</v>
      </c>
      <c r="N66" s="443">
        <v>9.9999999999999978E-2</v>
      </c>
      <c r="O66" s="443"/>
      <c r="P66" s="443"/>
      <c r="Q66" s="768">
        <v>0</v>
      </c>
      <c r="R66" s="769">
        <v>0</v>
      </c>
      <c r="S66" s="770">
        <f t="shared" si="3"/>
        <v>0</v>
      </c>
      <c r="T66" s="769">
        <v>135531.07800000001</v>
      </c>
      <c r="U66" s="769">
        <v>0</v>
      </c>
      <c r="V66" s="770">
        <f t="shared" si="4"/>
        <v>135531.07800000001</v>
      </c>
      <c r="W66" s="769">
        <v>108424.86240000001</v>
      </c>
      <c r="X66" s="769">
        <v>0</v>
      </c>
      <c r="Y66" s="770">
        <v>108424.86240000001</v>
      </c>
      <c r="Z66" s="769">
        <v>0</v>
      </c>
      <c r="AA66" s="769">
        <v>0</v>
      </c>
      <c r="AB66" s="770">
        <v>0</v>
      </c>
      <c r="AC66" s="769">
        <v>0</v>
      </c>
      <c r="AD66" s="769">
        <v>0</v>
      </c>
      <c r="AE66" s="770">
        <v>0</v>
      </c>
      <c r="AF66" s="769"/>
      <c r="AG66" s="769"/>
      <c r="AH66" s="770"/>
      <c r="AI66" s="769"/>
      <c r="AJ66" s="769"/>
      <c r="AK66" s="770"/>
      <c r="AL66" s="769"/>
      <c r="AM66" s="768">
        <f t="shared" si="13"/>
        <v>243955.94040000002</v>
      </c>
      <c r="AN66" s="769">
        <f t="shared" si="5"/>
        <v>0</v>
      </c>
      <c r="AO66" s="770">
        <f t="shared" si="14"/>
        <v>243954.94040000002</v>
      </c>
      <c r="AP66" s="878"/>
      <c r="AQ66" s="879"/>
      <c r="AR66" s="879"/>
      <c r="AS66" s="885"/>
      <c r="AT66" s="882"/>
      <c r="AU66" s="882"/>
      <c r="AV66" s="882"/>
      <c r="AW66" s="882"/>
      <c r="AX66" s="882"/>
    </row>
    <row r="67" spans="2:50" s="556" customFormat="1" ht="20.149999999999999" hidden="1" customHeight="1" outlineLevel="1" x14ac:dyDescent="0.35">
      <c r="B67" s="551" t="s">
        <v>212</v>
      </c>
      <c r="C67" s="552">
        <v>1558324.016713666</v>
      </c>
      <c r="D67" s="553">
        <v>212498.729551864</v>
      </c>
      <c r="E67" s="910">
        <v>1770822.7462655301</v>
      </c>
      <c r="F67" s="553"/>
      <c r="G67" s="553"/>
      <c r="H67" s="553">
        <v>0</v>
      </c>
      <c r="I67" s="554">
        <f>+E67</f>
        <v>1770822.7462655301</v>
      </c>
      <c r="J67" s="555"/>
      <c r="K67" s="555"/>
      <c r="L67" s="555">
        <v>0.3</v>
      </c>
      <c r="M67" s="555">
        <v>0.3</v>
      </c>
      <c r="N67" s="555">
        <v>0.4</v>
      </c>
      <c r="O67" s="555"/>
      <c r="P67" s="555"/>
      <c r="Q67" s="577">
        <v>0</v>
      </c>
      <c r="R67" s="578">
        <v>0</v>
      </c>
      <c r="S67" s="654">
        <f t="shared" si="3"/>
        <v>0</v>
      </c>
      <c r="T67" s="578">
        <v>0</v>
      </c>
      <c r="U67" s="578">
        <v>0</v>
      </c>
      <c r="V67" s="654">
        <f t="shared" si="4"/>
        <v>0</v>
      </c>
      <c r="W67" s="578">
        <f>+E67*L67</f>
        <v>531246.82387965906</v>
      </c>
      <c r="X67" s="578">
        <v>0</v>
      </c>
      <c r="Y67" s="654">
        <f>+W67+X67</f>
        <v>531246.82387965906</v>
      </c>
      <c r="Z67" s="578">
        <f>(+E67*M67)+454175.45</f>
        <v>985422.27387965913</v>
      </c>
      <c r="AA67" s="578">
        <v>0</v>
      </c>
      <c r="AB67" s="654">
        <f>+Z67+AA67</f>
        <v>985422.27387965913</v>
      </c>
      <c r="AC67" s="578">
        <f>(+E67*N67)-454175</f>
        <v>254154.09850621212</v>
      </c>
      <c r="AD67" s="578">
        <v>0</v>
      </c>
      <c r="AE67" s="654">
        <v>708329.098506212</v>
      </c>
      <c r="AF67" s="578"/>
      <c r="AG67" s="578"/>
      <c r="AH67" s="654"/>
      <c r="AI67" s="578"/>
      <c r="AJ67" s="578"/>
      <c r="AK67" s="654"/>
      <c r="AL67" s="578"/>
      <c r="AM67" s="577">
        <f t="shared" si="13"/>
        <v>1770823.1962655303</v>
      </c>
      <c r="AN67" s="578">
        <f t="shared" si="5"/>
        <v>0</v>
      </c>
      <c r="AO67" s="654">
        <f t="shared" si="14"/>
        <v>1770822.1962655303</v>
      </c>
      <c r="AP67" s="878"/>
      <c r="AQ67" s="879"/>
      <c r="AR67" s="879"/>
      <c r="AS67" s="885"/>
      <c r="AT67" s="877"/>
      <c r="AU67" s="884"/>
      <c r="AV67" s="884"/>
      <c r="AW67" s="884"/>
      <c r="AX67" s="884"/>
    </row>
    <row r="68" spans="2:50" s="556" customFormat="1" ht="20.149999999999999" hidden="1" customHeight="1" outlineLevel="1" x14ac:dyDescent="0.35">
      <c r="B68" s="551" t="s">
        <v>213</v>
      </c>
      <c r="C68" s="552">
        <v>64570.889972013298</v>
      </c>
      <c r="D68" s="553">
        <v>7748.5067966415954</v>
      </c>
      <c r="E68" s="910">
        <f t="shared" si="63"/>
        <v>72319.3967686549</v>
      </c>
      <c r="F68" s="553"/>
      <c r="G68" s="553"/>
      <c r="H68" s="553"/>
      <c r="I68" s="554">
        <f>+E68</f>
        <v>72319.3967686549</v>
      </c>
      <c r="J68" s="555"/>
      <c r="K68" s="555"/>
      <c r="L68" s="555">
        <v>0.3</v>
      </c>
      <c r="M68" s="555">
        <v>0.3</v>
      </c>
      <c r="N68" s="555">
        <v>0.4</v>
      </c>
      <c r="O68" s="555"/>
      <c r="P68" s="555"/>
      <c r="Q68" s="577">
        <v>0</v>
      </c>
      <c r="R68" s="578">
        <v>0</v>
      </c>
      <c r="S68" s="654">
        <f t="shared" si="3"/>
        <v>0</v>
      </c>
      <c r="T68" s="578">
        <v>0</v>
      </c>
      <c r="U68" s="578">
        <v>0</v>
      </c>
      <c r="V68" s="654">
        <f t="shared" si="4"/>
        <v>0</v>
      </c>
      <c r="W68" s="578">
        <v>21695.819030596467</v>
      </c>
      <c r="X68" s="578">
        <v>0</v>
      </c>
      <c r="Y68" s="654">
        <v>21695.819030596467</v>
      </c>
      <c r="Z68" s="578">
        <v>21695.819030596467</v>
      </c>
      <c r="AA68" s="578">
        <v>0</v>
      </c>
      <c r="AB68" s="654">
        <v>21695.819030596467</v>
      </c>
      <c r="AC68" s="578">
        <v>28927.758707461959</v>
      </c>
      <c r="AD68" s="578">
        <v>0</v>
      </c>
      <c r="AE68" s="654">
        <v>28927.758707461959</v>
      </c>
      <c r="AF68" s="578"/>
      <c r="AG68" s="578"/>
      <c r="AH68" s="654"/>
      <c r="AI68" s="578"/>
      <c r="AJ68" s="578"/>
      <c r="AK68" s="654"/>
      <c r="AL68" s="578"/>
      <c r="AM68" s="577">
        <f t="shared" si="13"/>
        <v>72319.3967686549</v>
      </c>
      <c r="AN68" s="578">
        <f t="shared" si="5"/>
        <v>0</v>
      </c>
      <c r="AO68" s="654">
        <f t="shared" si="14"/>
        <v>72318.3967686549</v>
      </c>
      <c r="AP68" s="878"/>
      <c r="AQ68" s="879"/>
      <c r="AR68" s="879"/>
      <c r="AS68" s="885"/>
      <c r="AT68" s="877"/>
      <c r="AU68" s="889"/>
      <c r="AV68" s="889"/>
      <c r="AW68" s="889"/>
      <c r="AX68" s="889"/>
    </row>
    <row r="69" spans="2:50" s="556" customFormat="1" ht="20.149999999999999" hidden="1" customHeight="1" outlineLevel="1" x14ac:dyDescent="0.35">
      <c r="B69" s="551" t="s">
        <v>214</v>
      </c>
      <c r="C69" s="552">
        <v>1458499.395584</v>
      </c>
      <c r="D69" s="553">
        <v>198886.281216</v>
      </c>
      <c r="E69" s="910">
        <v>1657385.6768</v>
      </c>
      <c r="F69" s="553"/>
      <c r="G69" s="553"/>
      <c r="H69" s="553"/>
      <c r="I69" s="554">
        <v>1657385.6768</v>
      </c>
      <c r="J69" s="555"/>
      <c r="K69" s="555"/>
      <c r="L69" s="555">
        <v>0.3</v>
      </c>
      <c r="M69" s="555">
        <v>0.3</v>
      </c>
      <c r="N69" s="555">
        <v>0.4</v>
      </c>
      <c r="O69" s="555"/>
      <c r="P69" s="555"/>
      <c r="Q69" s="577">
        <v>0</v>
      </c>
      <c r="R69" s="578">
        <v>0</v>
      </c>
      <c r="S69" s="654">
        <f t="shared" si="3"/>
        <v>0</v>
      </c>
      <c r="T69" s="578">
        <v>0</v>
      </c>
      <c r="U69" s="578">
        <v>0</v>
      </c>
      <c r="V69" s="654">
        <f t="shared" si="4"/>
        <v>0</v>
      </c>
      <c r="W69" s="578">
        <f>+E69*L69</f>
        <v>497215.70303999999</v>
      </c>
      <c r="X69" s="578">
        <v>0</v>
      </c>
      <c r="Y69" s="654">
        <f>+W69+X69</f>
        <v>497215.70303999999</v>
      </c>
      <c r="Z69" s="578">
        <f>+E69*M69</f>
        <v>497215.70303999999</v>
      </c>
      <c r="AA69" s="578">
        <v>0</v>
      </c>
      <c r="AB69" s="654">
        <f>+Z69+AA69</f>
        <v>497215.70303999999</v>
      </c>
      <c r="AC69" s="578">
        <f>+E69*N69</f>
        <v>662954.27072000003</v>
      </c>
      <c r="AD69" s="578"/>
      <c r="AE69" s="654">
        <v>662954.27072000003</v>
      </c>
      <c r="AF69" s="578"/>
      <c r="AG69" s="578"/>
      <c r="AH69" s="654"/>
      <c r="AI69" s="578"/>
      <c r="AJ69" s="578"/>
      <c r="AK69" s="654"/>
      <c r="AL69" s="578"/>
      <c r="AM69" s="577">
        <f t="shared" si="13"/>
        <v>1657385.6768</v>
      </c>
      <c r="AN69" s="578">
        <f t="shared" si="5"/>
        <v>0</v>
      </c>
      <c r="AO69" s="654">
        <f t="shared" si="14"/>
        <v>1657384.6768</v>
      </c>
      <c r="AP69" s="878"/>
      <c r="AQ69" s="879"/>
      <c r="AR69" s="879"/>
      <c r="AS69" s="889"/>
      <c r="AT69" s="889"/>
      <c r="AU69" s="889"/>
      <c r="AV69" s="889"/>
      <c r="AW69" s="889"/>
      <c r="AX69" s="889"/>
    </row>
    <row r="70" spans="2:50" s="92" customFormat="1" ht="31.5" customHeight="1" outlineLevel="1" x14ac:dyDescent="0.35">
      <c r="B70" s="532" t="s">
        <v>215</v>
      </c>
      <c r="C70" s="357">
        <f>+C71+C72</f>
        <v>1047342.7538000001</v>
      </c>
      <c r="D70" s="906">
        <f>SUM(D71:D72)</f>
        <v>0</v>
      </c>
      <c r="E70" s="906">
        <f>+C70+D70</f>
        <v>1047342.7538000001</v>
      </c>
      <c r="F70" s="906">
        <f>SUM(F71:F72)</f>
        <v>0</v>
      </c>
      <c r="G70" s="906">
        <f>SUM(G71:G72)</f>
        <v>0</v>
      </c>
      <c r="H70" s="906">
        <f>SUM(H71:H72)</f>
        <v>0</v>
      </c>
      <c r="I70" s="343">
        <f>SUM(I71:I72)</f>
        <v>1047342.7538000001</v>
      </c>
      <c r="J70" s="906"/>
      <c r="K70" s="906"/>
      <c r="L70" s="906"/>
      <c r="M70" s="906"/>
      <c r="N70" s="906"/>
      <c r="O70" s="906"/>
      <c r="P70" s="906"/>
      <c r="Q70" s="651">
        <v>0</v>
      </c>
      <c r="R70" s="907">
        <v>0</v>
      </c>
      <c r="S70" s="652">
        <f t="shared" ref="S70:S121" si="74">Q70+R70</f>
        <v>0</v>
      </c>
      <c r="T70" s="907">
        <v>162545.9682</v>
      </c>
      <c r="U70" s="907">
        <v>0</v>
      </c>
      <c r="V70" s="652">
        <f t="shared" ref="V70:V121" si="75">T70+U70</f>
        <v>162545.9682</v>
      </c>
      <c r="W70" s="907">
        <v>487546.57920000004</v>
      </c>
      <c r="X70" s="907">
        <v>0</v>
      </c>
      <c r="Y70" s="652">
        <v>487546.57920000004</v>
      </c>
      <c r="Z70" s="907">
        <v>397250.20640000002</v>
      </c>
      <c r="AA70" s="907">
        <v>0</v>
      </c>
      <c r="AB70" s="652">
        <v>397250.20640000002</v>
      </c>
      <c r="AC70" s="907">
        <v>0</v>
      </c>
      <c r="AD70" s="907">
        <v>0</v>
      </c>
      <c r="AE70" s="652">
        <v>0</v>
      </c>
      <c r="AF70" s="653"/>
      <c r="AG70" s="653"/>
      <c r="AH70" s="652"/>
      <c r="AI70" s="653"/>
      <c r="AJ70" s="653"/>
      <c r="AK70" s="652"/>
      <c r="AL70" s="653"/>
      <c r="AM70" s="651">
        <f t="shared" ref="AM70:AM121" si="76">Q70+T70+W70+Z70+AC70+AF70+AI70</f>
        <v>1047342.7538000001</v>
      </c>
      <c r="AN70" s="907">
        <f t="shared" ref="AN70:AN121" si="77">R70+U70+X70+AA70+AD70+AG70+AJ70</f>
        <v>0</v>
      </c>
      <c r="AO70" s="652">
        <f t="shared" ref="AO70:AO121" si="78">AM70+AN70-1</f>
        <v>1047341.7538000001</v>
      </c>
      <c r="AP70" s="878"/>
      <c r="AQ70" s="879"/>
      <c r="AR70" s="879"/>
      <c r="AS70" s="879"/>
      <c r="AT70" s="889"/>
      <c r="AU70" s="889"/>
      <c r="AV70" s="889"/>
      <c r="AW70" s="889"/>
      <c r="AX70" s="889"/>
    </row>
    <row r="71" spans="2:50" s="457" customFormat="1" ht="20.149999999999999" hidden="1" customHeight="1" outlineLevel="1" x14ac:dyDescent="0.35">
      <c r="B71" s="781" t="s">
        <v>23</v>
      </c>
      <c r="C71" s="765">
        <v>717550.46400000004</v>
      </c>
      <c r="D71" s="766"/>
      <c r="E71" s="909">
        <f>+C71+D71</f>
        <v>717550.46400000004</v>
      </c>
      <c r="F71" s="766"/>
      <c r="G71" s="766"/>
      <c r="H71" s="766">
        <v>0</v>
      </c>
      <c r="I71" s="767">
        <f>+E71</f>
        <v>717550.46400000004</v>
      </c>
      <c r="J71" s="443">
        <v>0.2</v>
      </c>
      <c r="K71" s="443">
        <v>0.25</v>
      </c>
      <c r="L71" s="443">
        <v>0.3</v>
      </c>
      <c r="M71" s="443">
        <v>0.15</v>
      </c>
      <c r="N71" s="443">
        <v>9.9999999999999978E-2</v>
      </c>
      <c r="O71" s="443"/>
      <c r="P71" s="443"/>
      <c r="Q71" s="768">
        <v>0</v>
      </c>
      <c r="R71" s="769">
        <v>0</v>
      </c>
      <c r="S71" s="770">
        <f t="shared" si="74"/>
        <v>0</v>
      </c>
      <c r="T71" s="769">
        <v>85745.024000000005</v>
      </c>
      <c r="U71" s="769">
        <v>0</v>
      </c>
      <c r="V71" s="770">
        <f t="shared" si="75"/>
        <v>85745.024000000005</v>
      </c>
      <c r="W71" s="769">
        <v>342980.09600000002</v>
      </c>
      <c r="X71" s="769">
        <v>0</v>
      </c>
      <c r="Y71" s="770">
        <v>342980.09600000002</v>
      </c>
      <c r="Z71" s="769">
        <v>288825.34400000004</v>
      </c>
      <c r="AA71" s="769">
        <v>0</v>
      </c>
      <c r="AB71" s="770">
        <v>288825.34400000004</v>
      </c>
      <c r="AC71" s="769">
        <v>0</v>
      </c>
      <c r="AD71" s="769">
        <v>0</v>
      </c>
      <c r="AE71" s="770">
        <v>0</v>
      </c>
      <c r="AF71" s="769"/>
      <c r="AG71" s="769"/>
      <c r="AH71" s="770"/>
      <c r="AI71" s="769"/>
      <c r="AJ71" s="769"/>
      <c r="AK71" s="770"/>
      <c r="AL71" s="769"/>
      <c r="AM71" s="768">
        <f t="shared" si="76"/>
        <v>717550.46400000004</v>
      </c>
      <c r="AN71" s="769">
        <f t="shared" si="77"/>
        <v>0</v>
      </c>
      <c r="AO71" s="770">
        <f t="shared" si="78"/>
        <v>717549.46400000004</v>
      </c>
      <c r="AP71" s="878"/>
      <c r="AQ71" s="879"/>
      <c r="AR71" s="879"/>
      <c r="AS71" s="888"/>
      <c r="AT71" s="877"/>
      <c r="AU71" s="889"/>
      <c r="AV71" s="889"/>
      <c r="AW71" s="889"/>
      <c r="AX71" s="889"/>
    </row>
    <row r="72" spans="2:50" s="457" customFormat="1" ht="20.149999999999999" hidden="1" customHeight="1" outlineLevel="1" x14ac:dyDescent="0.35">
      <c r="B72" s="781" t="s">
        <v>94</v>
      </c>
      <c r="C72" s="765">
        <v>329792.28980000003</v>
      </c>
      <c r="D72" s="766"/>
      <c r="E72" s="909">
        <f>+C72+D72</f>
        <v>329792.28980000003</v>
      </c>
      <c r="F72" s="766"/>
      <c r="G72" s="766"/>
      <c r="H72" s="766"/>
      <c r="I72" s="767">
        <f>+E72</f>
        <v>329792.28980000003</v>
      </c>
      <c r="J72" s="443">
        <v>0.2</v>
      </c>
      <c r="K72" s="443">
        <v>0.25</v>
      </c>
      <c r="L72" s="443">
        <v>0.3</v>
      </c>
      <c r="M72" s="443">
        <v>0.15</v>
      </c>
      <c r="N72" s="443">
        <v>9.9999999999999978E-2</v>
      </c>
      <c r="O72" s="443"/>
      <c r="P72" s="443"/>
      <c r="Q72" s="768">
        <v>0</v>
      </c>
      <c r="R72" s="769">
        <v>0</v>
      </c>
      <c r="S72" s="770">
        <f t="shared" si="74"/>
        <v>0</v>
      </c>
      <c r="T72" s="769">
        <v>76800.944200000013</v>
      </c>
      <c r="U72" s="769">
        <v>0</v>
      </c>
      <c r="V72" s="770">
        <f t="shared" si="75"/>
        <v>76800.944200000013</v>
      </c>
      <c r="W72" s="769">
        <v>144566.48320000002</v>
      </c>
      <c r="X72" s="769">
        <v>0</v>
      </c>
      <c r="Y72" s="770">
        <v>144566.48320000002</v>
      </c>
      <c r="Z72" s="769">
        <v>108424.86240000001</v>
      </c>
      <c r="AA72" s="769">
        <v>0</v>
      </c>
      <c r="AB72" s="770">
        <v>108424.86240000001</v>
      </c>
      <c r="AC72" s="769">
        <v>0</v>
      </c>
      <c r="AD72" s="769">
        <v>0</v>
      </c>
      <c r="AE72" s="770">
        <v>0</v>
      </c>
      <c r="AF72" s="769"/>
      <c r="AG72" s="769"/>
      <c r="AH72" s="770"/>
      <c r="AI72" s="769"/>
      <c r="AJ72" s="769"/>
      <c r="AK72" s="770"/>
      <c r="AL72" s="769"/>
      <c r="AM72" s="768">
        <f t="shared" si="76"/>
        <v>329792.28980000003</v>
      </c>
      <c r="AN72" s="769">
        <f t="shared" si="77"/>
        <v>0</v>
      </c>
      <c r="AO72" s="770">
        <f t="shared" si="78"/>
        <v>329791.28980000003</v>
      </c>
      <c r="AP72" s="878"/>
      <c r="AQ72" s="879"/>
      <c r="AR72" s="879"/>
      <c r="AS72" s="885"/>
      <c r="AT72" s="884"/>
      <c r="AU72" s="884"/>
      <c r="AV72" s="884"/>
      <c r="AW72" s="884"/>
      <c r="AX72" s="884"/>
    </row>
    <row r="73" spans="2:50" s="297" customFormat="1" ht="23.25" customHeight="1" x14ac:dyDescent="0.35">
      <c r="B73" s="339" t="s">
        <v>216</v>
      </c>
      <c r="C73" s="358">
        <f>+C74+C86+C103</f>
        <v>23902826.57</v>
      </c>
      <c r="D73" s="902">
        <f t="shared" ref="D73:I73" si="79">+D74+D86+D103</f>
        <v>2868339.19</v>
      </c>
      <c r="E73" s="902">
        <f>+E74+E86+E103</f>
        <v>26257817.760000002</v>
      </c>
      <c r="F73" s="902">
        <f t="shared" si="79"/>
        <v>1827540.3585701867</v>
      </c>
      <c r="G73" s="902">
        <f t="shared" si="79"/>
        <v>197621.5270284224</v>
      </c>
      <c r="H73" s="902">
        <f t="shared" si="79"/>
        <v>2025161.885598609</v>
      </c>
      <c r="I73" s="902">
        <f t="shared" si="79"/>
        <v>28282979.645598609</v>
      </c>
      <c r="J73" s="543"/>
      <c r="K73" s="298"/>
      <c r="L73" s="298"/>
      <c r="M73" s="298"/>
      <c r="N73" s="544"/>
      <c r="O73" s="298"/>
      <c r="P73" s="298"/>
      <c r="Q73" s="903">
        <f t="shared" ref="Q73:AE73" si="80">+Q74+Q86+Q103</f>
        <v>893199.59680000064</v>
      </c>
      <c r="R73" s="903">
        <f t="shared" si="80"/>
        <v>405032.37711972184</v>
      </c>
      <c r="S73" s="647">
        <f t="shared" si="74"/>
        <v>1298231.9739197225</v>
      </c>
      <c r="T73" s="903">
        <f t="shared" si="80"/>
        <v>6009647.0762400003</v>
      </c>
      <c r="U73" s="903">
        <f t="shared" si="80"/>
        <v>405032.37711972184</v>
      </c>
      <c r="V73" s="647">
        <f t="shared" si="75"/>
        <v>6414679.4533597222</v>
      </c>
      <c r="W73" s="903">
        <f t="shared" si="80"/>
        <v>8960334.8366400003</v>
      </c>
      <c r="X73" s="903">
        <f t="shared" si="80"/>
        <v>405032.37711972184</v>
      </c>
      <c r="Y73" s="647">
        <f t="shared" si="80"/>
        <v>9365367.2137597222</v>
      </c>
      <c r="Z73" s="903">
        <f t="shared" si="80"/>
        <v>7340028.8626400009</v>
      </c>
      <c r="AA73" s="903">
        <f t="shared" si="80"/>
        <v>405032.37711972184</v>
      </c>
      <c r="AB73" s="647">
        <f t="shared" si="80"/>
        <v>7509133.2397597227</v>
      </c>
      <c r="AC73" s="903">
        <f t="shared" si="80"/>
        <v>1605852.6140800002</v>
      </c>
      <c r="AD73" s="903">
        <f t="shared" si="80"/>
        <v>405032.37711972184</v>
      </c>
      <c r="AE73" s="647">
        <f t="shared" si="80"/>
        <v>1770196.991199722</v>
      </c>
      <c r="AF73" s="692"/>
      <c r="AG73" s="692"/>
      <c r="AH73" s="647"/>
      <c r="AI73" s="692"/>
      <c r="AJ73" s="692"/>
      <c r="AK73" s="647"/>
      <c r="AL73" s="693">
        <f>+AL74+AL86+AL103</f>
        <v>0</v>
      </c>
      <c r="AM73" s="646">
        <f>AM74+AM86+AM103</f>
        <v>26257817.034400005</v>
      </c>
      <c r="AN73" s="903">
        <f t="shared" si="77"/>
        <v>2025161.8855986092</v>
      </c>
      <c r="AO73" s="647">
        <f t="shared" si="78"/>
        <v>28282977.919998616</v>
      </c>
      <c r="AP73" s="878"/>
      <c r="AQ73" s="879"/>
      <c r="AR73" s="879"/>
      <c r="AS73" s="889"/>
      <c r="AT73" s="889"/>
      <c r="AU73" s="889"/>
      <c r="AV73" s="889"/>
      <c r="AW73" s="889"/>
      <c r="AX73" s="889"/>
    </row>
    <row r="74" spans="2:50" s="297" customFormat="1" ht="23.25" customHeight="1" x14ac:dyDescent="0.35">
      <c r="B74" s="340" t="s">
        <v>109</v>
      </c>
      <c r="C74" s="363">
        <f t="shared" ref="C74:H74" si="81">+C75+C78+C80+C82+C84</f>
        <v>19953826.57</v>
      </c>
      <c r="D74" s="904">
        <f t="shared" si="81"/>
        <v>2394459.19</v>
      </c>
      <c r="E74" s="904">
        <f t="shared" si="81"/>
        <v>21834937.760000002</v>
      </c>
      <c r="F74" s="904">
        <f t="shared" si="81"/>
        <v>1827540.3585701867</v>
      </c>
      <c r="G74" s="904">
        <f t="shared" si="81"/>
        <v>197621.5270284224</v>
      </c>
      <c r="H74" s="904">
        <f t="shared" si="81"/>
        <v>2025161.885598609</v>
      </c>
      <c r="I74" s="904">
        <f>E74+H74</f>
        <v>23860099.645598609</v>
      </c>
      <c r="J74" s="545"/>
      <c r="K74" s="294"/>
      <c r="L74" s="294"/>
      <c r="M74" s="294"/>
      <c r="N74" s="546"/>
      <c r="O74" s="294"/>
      <c r="P74" s="294"/>
      <c r="Q74" s="901">
        <f>+Q75+Q78+Q80+Q82+Q84</f>
        <v>705274.94680000062</v>
      </c>
      <c r="R74" s="901">
        <f>+R75+R78+R80+R82+R84</f>
        <v>405032.37711972184</v>
      </c>
      <c r="S74" s="901">
        <f t="shared" si="74"/>
        <v>1110307.3239197223</v>
      </c>
      <c r="T74" s="901">
        <f>+T75+T78+T80+T82+T84</f>
        <v>4669936.5762400003</v>
      </c>
      <c r="U74" s="901">
        <f>+U75+U78+U80+U82+U84</f>
        <v>405032.37711972184</v>
      </c>
      <c r="V74" s="901">
        <f t="shared" si="75"/>
        <v>5074968.9533597222</v>
      </c>
      <c r="W74" s="901">
        <f>+W75+W78+W80+W82+W84</f>
        <v>7018612.9366400009</v>
      </c>
      <c r="X74" s="901">
        <f>U74</f>
        <v>405032.37711972184</v>
      </c>
      <c r="Y74" s="901">
        <f>+W74+X74</f>
        <v>7423645.3137597227</v>
      </c>
      <c r="Z74" s="901">
        <f>+Z75+Z78+Z80</f>
        <v>6639289.9126400007</v>
      </c>
      <c r="AA74" s="901">
        <f>X74</f>
        <v>405032.37711972184</v>
      </c>
      <c r="AB74" s="901">
        <f>+Z74+AA74</f>
        <v>7044322.2897597225</v>
      </c>
      <c r="AC74" s="901">
        <f>+AC75+AC78+AC80</f>
        <v>1353068.6140800002</v>
      </c>
      <c r="AD74" s="901">
        <f>AA74</f>
        <v>405032.37711972184</v>
      </c>
      <c r="AE74" s="540">
        <f>+AC74+AD74</f>
        <v>1758100.991199722</v>
      </c>
      <c r="AF74" s="694"/>
      <c r="AG74" s="694"/>
      <c r="AH74" s="694"/>
      <c r="AI74" s="694"/>
      <c r="AJ74" s="694"/>
      <c r="AK74" s="540"/>
      <c r="AL74" s="695"/>
      <c r="AM74" s="572">
        <f>AM75+AM78+AM80+AM82+AM84</f>
        <v>21834937.034400005</v>
      </c>
      <c r="AN74" s="540">
        <f t="shared" si="77"/>
        <v>2025161.8855986092</v>
      </c>
      <c r="AO74" s="655">
        <f>AM74+AN74</f>
        <v>23860098.919998616</v>
      </c>
      <c r="AP74" s="878"/>
      <c r="AQ74" s="879"/>
      <c r="AR74" s="879"/>
      <c r="AS74" s="879"/>
      <c r="AT74" s="889"/>
      <c r="AU74" s="889"/>
      <c r="AV74" s="889"/>
      <c r="AW74" s="889"/>
      <c r="AX74" s="889"/>
    </row>
    <row r="75" spans="2:50" s="92" customFormat="1" ht="31.5" customHeight="1" outlineLevel="1" x14ac:dyDescent="0.35">
      <c r="B75" s="532" t="s">
        <v>112</v>
      </c>
      <c r="C75" s="357">
        <f>C76+C77</f>
        <v>13651393.57</v>
      </c>
      <c r="D75" s="906">
        <f>D76+D77</f>
        <v>1638167.23</v>
      </c>
      <c r="E75" s="906">
        <f>E76+E77</f>
        <v>14776212.800000001</v>
      </c>
      <c r="F75" s="906">
        <v>0</v>
      </c>
      <c r="G75" s="906">
        <v>0</v>
      </c>
      <c r="H75" s="906">
        <v>0</v>
      </c>
      <c r="I75" s="343">
        <f>E75</f>
        <v>14776212.800000001</v>
      </c>
      <c r="J75" s="906"/>
      <c r="K75" s="906"/>
      <c r="L75" s="906"/>
      <c r="M75" s="906"/>
      <c r="N75" s="906"/>
      <c r="O75" s="906"/>
      <c r="P75" s="906"/>
      <c r="Q75" s="651">
        <f>SUM(Q76:Q77)</f>
        <v>67193.279999999999</v>
      </c>
      <c r="R75" s="907">
        <f t="shared" ref="R75:AD75" si="82">SUM(R76:R77)</f>
        <v>0</v>
      </c>
      <c r="S75" s="652">
        <f t="shared" si="74"/>
        <v>67193.279999999999</v>
      </c>
      <c r="T75" s="907">
        <f>SUM(T76:T77)+1097674.99</f>
        <v>3418273.63</v>
      </c>
      <c r="U75" s="907">
        <f t="shared" si="82"/>
        <v>0</v>
      </c>
      <c r="V75" s="652">
        <f t="shared" si="75"/>
        <v>3418273.63</v>
      </c>
      <c r="W75" s="907">
        <f>SUM(W76:W77)-1000000</f>
        <v>4829845.120000001</v>
      </c>
      <c r="X75" s="907">
        <f t="shared" si="82"/>
        <v>0</v>
      </c>
      <c r="Y75" s="652">
        <f t="shared" si="82"/>
        <v>5829845.120000001</v>
      </c>
      <c r="Z75" s="907">
        <f>SUM(Z76:Z77)-551851</f>
        <v>5277994.120000001</v>
      </c>
      <c r="AA75" s="907">
        <f t="shared" si="82"/>
        <v>0</v>
      </c>
      <c r="AB75" s="652">
        <f t="shared" si="82"/>
        <v>5829845.120000001</v>
      </c>
      <c r="AC75" s="907">
        <f>SUM(AC76:AC77)+454176</f>
        <v>1182906.6400000001</v>
      </c>
      <c r="AD75" s="907">
        <f t="shared" si="82"/>
        <v>0</v>
      </c>
      <c r="AE75" s="652">
        <f>AC75</f>
        <v>1182906.6400000001</v>
      </c>
      <c r="AF75" s="653"/>
      <c r="AG75" s="653"/>
      <c r="AH75" s="652"/>
      <c r="AI75" s="653"/>
      <c r="AJ75" s="653"/>
      <c r="AK75" s="652"/>
      <c r="AL75" s="653"/>
      <c r="AM75" s="651">
        <f>Q75+T75+W75+Z75+AC75+AF75+AI75</f>
        <v>14776212.790000003</v>
      </c>
      <c r="AN75" s="907">
        <f t="shared" si="77"/>
        <v>0</v>
      </c>
      <c r="AO75" s="652">
        <f t="shared" si="78"/>
        <v>14776211.790000003</v>
      </c>
      <c r="AP75" s="878"/>
      <c r="AQ75" s="879"/>
      <c r="AR75" s="879"/>
      <c r="AS75" s="888"/>
      <c r="AT75" s="889"/>
      <c r="AU75" s="889"/>
      <c r="AV75" s="889"/>
      <c r="AW75" s="889"/>
      <c r="AX75" s="889"/>
    </row>
    <row r="76" spans="2:50" s="297" customFormat="1" ht="24.65" hidden="1" customHeight="1" x14ac:dyDescent="0.35">
      <c r="B76" s="740" t="s">
        <v>113</v>
      </c>
      <c r="C76" s="787">
        <v>180000</v>
      </c>
      <c r="D76" s="771">
        <v>21600</v>
      </c>
      <c r="E76" s="771">
        <v>201600</v>
      </c>
      <c r="F76" s="771"/>
      <c r="G76" s="771"/>
      <c r="H76" s="771"/>
      <c r="I76" s="771">
        <f>+E76+H76</f>
        <v>201600</v>
      </c>
      <c r="J76" s="548">
        <v>0.33329999999999999</v>
      </c>
      <c r="K76" s="295">
        <v>0.66669999999999996</v>
      </c>
      <c r="L76" s="295">
        <v>0</v>
      </c>
      <c r="M76" s="295">
        <v>0</v>
      </c>
      <c r="N76" s="549">
        <v>0</v>
      </c>
      <c r="O76" s="295"/>
      <c r="P76" s="295"/>
      <c r="Q76" s="768">
        <f t="shared" ref="Q76:Q79" si="83">$E76*J76</f>
        <v>67193.279999999999</v>
      </c>
      <c r="R76" s="769">
        <f t="shared" ref="R76:R79" si="84">$H76*J76</f>
        <v>0</v>
      </c>
      <c r="S76" s="770">
        <f t="shared" si="74"/>
        <v>67193.279999999999</v>
      </c>
      <c r="T76" s="768">
        <f t="shared" ref="T76:T79" si="85">$E76*K76</f>
        <v>134406.72</v>
      </c>
      <c r="U76" s="769">
        <v>0</v>
      </c>
      <c r="V76" s="770">
        <f t="shared" si="75"/>
        <v>134406.72</v>
      </c>
      <c r="W76" s="768">
        <f t="shared" ref="W76:W79" si="86">$E76*L76</f>
        <v>0</v>
      </c>
      <c r="X76" s="769">
        <v>0</v>
      </c>
      <c r="Y76" s="770">
        <f t="shared" ref="Y76:Y79" si="87">W76+X76</f>
        <v>0</v>
      </c>
      <c r="Z76" s="768">
        <f t="shared" ref="Z76:Z79" si="88">$E76*M76</f>
        <v>0</v>
      </c>
      <c r="AA76" s="769">
        <v>0</v>
      </c>
      <c r="AB76" s="770">
        <f t="shared" ref="AB76:AB79" si="89">Z76+AA76</f>
        <v>0</v>
      </c>
      <c r="AC76" s="773">
        <v>0</v>
      </c>
      <c r="AD76" s="773">
        <v>0</v>
      </c>
      <c r="AE76" s="775">
        <f t="shared" ref="AE76" si="90">+AC76+AD76</f>
        <v>0</v>
      </c>
      <c r="AF76" s="773"/>
      <c r="AG76" s="773"/>
      <c r="AH76" s="775"/>
      <c r="AI76" s="773"/>
      <c r="AJ76" s="773"/>
      <c r="AK76" s="775"/>
      <c r="AL76" s="776"/>
      <c r="AM76" s="777">
        <f t="shared" si="76"/>
        <v>201600</v>
      </c>
      <c r="AN76" s="788">
        <f t="shared" si="77"/>
        <v>0</v>
      </c>
      <c r="AO76" s="789">
        <f t="shared" si="78"/>
        <v>201599</v>
      </c>
      <c r="AP76" s="878"/>
      <c r="AQ76" s="879"/>
      <c r="AR76" s="879"/>
      <c r="AS76" s="889"/>
      <c r="AT76" s="889"/>
      <c r="AU76" s="889"/>
      <c r="AV76" s="889"/>
      <c r="AW76" s="889"/>
      <c r="AX76" s="889"/>
    </row>
    <row r="77" spans="2:50" s="297" customFormat="1" ht="40.5" hidden="1" customHeight="1" x14ac:dyDescent="0.35">
      <c r="B77" s="740" t="s">
        <v>114</v>
      </c>
      <c r="C77" s="782">
        <v>13471393.57</v>
      </c>
      <c r="D77" s="783">
        <v>1616567.23</v>
      </c>
      <c r="E77" s="783">
        <v>14574612.800000001</v>
      </c>
      <c r="F77" s="783"/>
      <c r="G77" s="783"/>
      <c r="H77" s="783"/>
      <c r="I77" s="783">
        <f>+E77+H77</f>
        <v>14574612.800000001</v>
      </c>
      <c r="J77" s="575">
        <v>0</v>
      </c>
      <c r="K77" s="574">
        <v>0.15</v>
      </c>
      <c r="L77" s="574">
        <v>0.4</v>
      </c>
      <c r="M77" s="574">
        <v>0.4</v>
      </c>
      <c r="N77" s="576">
        <v>0.05</v>
      </c>
      <c r="O77" s="574"/>
      <c r="P77" s="574"/>
      <c r="Q77" s="768">
        <f t="shared" si="83"/>
        <v>0</v>
      </c>
      <c r="R77" s="769">
        <f t="shared" si="84"/>
        <v>0</v>
      </c>
      <c r="S77" s="770">
        <f t="shared" si="74"/>
        <v>0</v>
      </c>
      <c r="T77" s="768">
        <f t="shared" si="85"/>
        <v>2186191.92</v>
      </c>
      <c r="U77" s="769">
        <f t="shared" ref="U77:U79" si="91">$H77*K77</f>
        <v>0</v>
      </c>
      <c r="V77" s="770">
        <f t="shared" si="75"/>
        <v>2186191.92</v>
      </c>
      <c r="W77" s="768">
        <f t="shared" si="86"/>
        <v>5829845.120000001</v>
      </c>
      <c r="X77" s="769">
        <f t="shared" ref="X77:X79" si="92">$H77*L77</f>
        <v>0</v>
      </c>
      <c r="Y77" s="770">
        <f t="shared" si="87"/>
        <v>5829845.120000001</v>
      </c>
      <c r="Z77" s="768">
        <f t="shared" si="88"/>
        <v>5829845.120000001</v>
      </c>
      <c r="AA77" s="769">
        <v>0</v>
      </c>
      <c r="AB77" s="770">
        <f t="shared" si="89"/>
        <v>5829845.120000001</v>
      </c>
      <c r="AC77" s="768">
        <f t="shared" ref="AC77:AC79" si="93">$E77*N77</f>
        <v>728730.64000000013</v>
      </c>
      <c r="AD77" s="769">
        <f t="shared" ref="AD77:AD79" si="94">$H77*N77</f>
        <v>0</v>
      </c>
      <c r="AE77" s="770">
        <f t="shared" ref="AE77:AE79" si="95">AC77+AD77</f>
        <v>728730.64000000013</v>
      </c>
      <c r="AF77" s="776"/>
      <c r="AG77" s="776"/>
      <c r="AH77" s="786"/>
      <c r="AI77" s="776"/>
      <c r="AJ77" s="776"/>
      <c r="AK77" s="786"/>
      <c r="AL77" s="776"/>
      <c r="AM77" s="785">
        <f t="shared" si="76"/>
        <v>14574612.800000003</v>
      </c>
      <c r="AN77" s="786">
        <f t="shared" si="77"/>
        <v>0</v>
      </c>
      <c r="AO77" s="790">
        <f t="shared" si="78"/>
        <v>14574611.800000003</v>
      </c>
      <c r="AP77" s="878"/>
      <c r="AQ77" s="879"/>
      <c r="AR77" s="879"/>
      <c r="AS77" s="889"/>
      <c r="AT77" s="889"/>
      <c r="AU77" s="889"/>
      <c r="AV77" s="889"/>
      <c r="AW77" s="889"/>
      <c r="AX77" s="889"/>
    </row>
    <row r="78" spans="2:50" s="92" customFormat="1" ht="31.5" customHeight="1" outlineLevel="1" x14ac:dyDescent="0.35">
      <c r="B78" s="532" t="s">
        <v>115</v>
      </c>
      <c r="C78" s="357">
        <v>2288546</v>
      </c>
      <c r="D78" s="906">
        <v>274625.52</v>
      </c>
      <c r="E78" s="906">
        <v>2563171.52</v>
      </c>
      <c r="F78" s="906"/>
      <c r="G78" s="906"/>
      <c r="H78" s="906"/>
      <c r="I78" s="343">
        <f>+I79</f>
        <v>2563171.1616000002</v>
      </c>
      <c r="J78" s="906"/>
      <c r="K78" s="906"/>
      <c r="L78" s="906"/>
      <c r="M78" s="906"/>
      <c r="N78" s="906"/>
      <c r="O78" s="906"/>
      <c r="P78" s="906"/>
      <c r="Q78" s="651">
        <f>Q79</f>
        <v>0</v>
      </c>
      <c r="R78" s="907">
        <f t="shared" ref="R78:AE78" si="96">R79</f>
        <v>0</v>
      </c>
      <c r="S78" s="652">
        <f t="shared" si="74"/>
        <v>0</v>
      </c>
      <c r="T78" s="907">
        <f t="shared" si="96"/>
        <v>384475.67424000002</v>
      </c>
      <c r="U78" s="907">
        <f t="shared" si="96"/>
        <v>0</v>
      </c>
      <c r="V78" s="652">
        <f>T78+U78</f>
        <v>384475.67424000002</v>
      </c>
      <c r="W78" s="907">
        <f t="shared" si="96"/>
        <v>1025268.4646400001</v>
      </c>
      <c r="X78" s="907">
        <f t="shared" si="96"/>
        <v>0</v>
      </c>
      <c r="Y78" s="652">
        <f t="shared" si="96"/>
        <v>1025268.4646400001</v>
      </c>
      <c r="Z78" s="907">
        <f t="shared" si="96"/>
        <v>1025268.4646400001</v>
      </c>
      <c r="AA78" s="907">
        <f t="shared" si="96"/>
        <v>0</v>
      </c>
      <c r="AB78" s="652">
        <f t="shared" si="96"/>
        <v>1025268.4646400001</v>
      </c>
      <c r="AC78" s="907">
        <f t="shared" si="96"/>
        <v>128158.55808000002</v>
      </c>
      <c r="AD78" s="907">
        <f t="shared" si="96"/>
        <v>0</v>
      </c>
      <c r="AE78" s="652">
        <f t="shared" si="96"/>
        <v>128158.55808000002</v>
      </c>
      <c r="AF78" s="653"/>
      <c r="AG78" s="653"/>
      <c r="AH78" s="652"/>
      <c r="AI78" s="653"/>
      <c r="AJ78" s="653"/>
      <c r="AK78" s="652"/>
      <c r="AL78" s="653"/>
      <c r="AM78" s="651">
        <f t="shared" si="76"/>
        <v>2563171.1616000002</v>
      </c>
      <c r="AN78" s="907">
        <f t="shared" si="77"/>
        <v>0</v>
      </c>
      <c r="AO78" s="652">
        <f t="shared" si="78"/>
        <v>2563170.1616000002</v>
      </c>
      <c r="AP78" s="878"/>
      <c r="AQ78" s="879"/>
      <c r="AR78" s="879"/>
      <c r="AS78" s="889"/>
      <c r="AT78" s="889"/>
      <c r="AU78" s="889"/>
      <c r="AV78" s="889"/>
      <c r="AW78" s="889"/>
      <c r="AX78" s="889"/>
    </row>
    <row r="79" spans="2:50" s="297" customFormat="1" ht="52.5" hidden="1" customHeight="1" x14ac:dyDescent="0.35">
      <c r="B79" s="740" t="s">
        <v>116</v>
      </c>
      <c r="C79" s="787">
        <v>2288545.6800000002</v>
      </c>
      <c r="D79" s="771">
        <v>274625.4816</v>
      </c>
      <c r="E79" s="771">
        <v>2563171.1616000002</v>
      </c>
      <c r="F79" s="771">
        <v>0</v>
      </c>
      <c r="G79" s="771">
        <v>0</v>
      </c>
      <c r="H79" s="771">
        <v>0</v>
      </c>
      <c r="I79" s="541">
        <v>2563171.1616000002</v>
      </c>
      <c r="J79" s="548">
        <v>0</v>
      </c>
      <c r="K79" s="295">
        <v>0.15</v>
      </c>
      <c r="L79" s="295">
        <v>0.4</v>
      </c>
      <c r="M79" s="295">
        <v>0.4</v>
      </c>
      <c r="N79" s="549">
        <v>0.05</v>
      </c>
      <c r="O79" s="295"/>
      <c r="P79" s="295"/>
      <c r="Q79" s="768">
        <f t="shared" si="83"/>
        <v>0</v>
      </c>
      <c r="R79" s="769">
        <f t="shared" si="84"/>
        <v>0</v>
      </c>
      <c r="S79" s="770">
        <f t="shared" si="74"/>
        <v>0</v>
      </c>
      <c r="T79" s="768">
        <f t="shared" si="85"/>
        <v>384475.67424000002</v>
      </c>
      <c r="U79" s="769">
        <f t="shared" si="91"/>
        <v>0</v>
      </c>
      <c r="V79" s="770">
        <f t="shared" si="75"/>
        <v>384475.67424000002</v>
      </c>
      <c r="W79" s="768">
        <f t="shared" si="86"/>
        <v>1025268.4646400001</v>
      </c>
      <c r="X79" s="769">
        <f t="shared" si="92"/>
        <v>0</v>
      </c>
      <c r="Y79" s="770">
        <f t="shared" si="87"/>
        <v>1025268.4646400001</v>
      </c>
      <c r="Z79" s="768">
        <f t="shared" si="88"/>
        <v>1025268.4646400001</v>
      </c>
      <c r="AA79" s="769">
        <v>0</v>
      </c>
      <c r="AB79" s="770">
        <f t="shared" si="89"/>
        <v>1025268.4646400001</v>
      </c>
      <c r="AC79" s="768">
        <f t="shared" si="93"/>
        <v>128158.55808000002</v>
      </c>
      <c r="AD79" s="769">
        <f t="shared" si="94"/>
        <v>0</v>
      </c>
      <c r="AE79" s="770">
        <f t="shared" si="95"/>
        <v>128158.55808000002</v>
      </c>
      <c r="AF79" s="773"/>
      <c r="AG79" s="773"/>
      <c r="AH79" s="775"/>
      <c r="AI79" s="773"/>
      <c r="AJ79" s="773"/>
      <c r="AK79" s="775"/>
      <c r="AL79" s="776"/>
      <c r="AM79" s="777">
        <f t="shared" si="76"/>
        <v>2563171.1616000002</v>
      </c>
      <c r="AN79" s="788">
        <f t="shared" si="77"/>
        <v>0</v>
      </c>
      <c r="AO79" s="789">
        <f t="shared" si="78"/>
        <v>2563170.1616000002</v>
      </c>
      <c r="AP79" s="878"/>
      <c r="AQ79" s="879"/>
      <c r="AR79" s="879"/>
      <c r="AS79" s="889"/>
      <c r="AT79" s="889"/>
      <c r="AU79" s="889"/>
      <c r="AV79" s="889"/>
      <c r="AW79" s="889"/>
      <c r="AX79" s="889"/>
    </row>
    <row r="80" spans="2:50" s="92" customFormat="1" ht="31.5" customHeight="1" outlineLevel="1" x14ac:dyDescent="0.35">
      <c r="B80" s="532" t="s">
        <v>117</v>
      </c>
      <c r="C80" s="357">
        <v>750061</v>
      </c>
      <c r="D80" s="906">
        <v>90007.319999999992</v>
      </c>
      <c r="E80" s="906">
        <v>840068.32</v>
      </c>
      <c r="F80" s="906"/>
      <c r="G80" s="906"/>
      <c r="H80" s="906"/>
      <c r="I80" s="343">
        <f>+I81</f>
        <v>840068.32</v>
      </c>
      <c r="J80" s="906"/>
      <c r="K80" s="906"/>
      <c r="L80" s="906"/>
      <c r="M80" s="906"/>
      <c r="N80" s="906"/>
      <c r="O80" s="906"/>
      <c r="P80" s="906"/>
      <c r="Q80" s="651">
        <f>Q81</f>
        <v>0</v>
      </c>
      <c r="R80" s="907">
        <f t="shared" ref="R80:AE80" si="97">R81</f>
        <v>0</v>
      </c>
      <c r="S80" s="652">
        <f t="shared" si="74"/>
        <v>0</v>
      </c>
      <c r="T80" s="907">
        <f t="shared" si="97"/>
        <v>126010.24799999999</v>
      </c>
      <c r="U80" s="907">
        <f t="shared" si="97"/>
        <v>0</v>
      </c>
      <c r="V80" s="652">
        <f t="shared" si="75"/>
        <v>126010.24799999999</v>
      </c>
      <c r="W80" s="907">
        <f t="shared" si="97"/>
        <v>336027.32799999998</v>
      </c>
      <c r="X80" s="907">
        <f t="shared" si="97"/>
        <v>0</v>
      </c>
      <c r="Y80" s="652">
        <f t="shared" si="97"/>
        <v>336027.32799999998</v>
      </c>
      <c r="Z80" s="907">
        <f t="shared" si="97"/>
        <v>336027.32799999998</v>
      </c>
      <c r="AA80" s="907">
        <f t="shared" si="97"/>
        <v>0</v>
      </c>
      <c r="AB80" s="652">
        <f t="shared" si="97"/>
        <v>336027.32799999998</v>
      </c>
      <c r="AC80" s="907">
        <f t="shared" si="97"/>
        <v>42003.415999999997</v>
      </c>
      <c r="AD80" s="907">
        <f t="shared" si="97"/>
        <v>0</v>
      </c>
      <c r="AE80" s="652">
        <f t="shared" si="97"/>
        <v>42003.415999999997</v>
      </c>
      <c r="AF80" s="653"/>
      <c r="AG80" s="653"/>
      <c r="AH80" s="652"/>
      <c r="AI80" s="653"/>
      <c r="AJ80" s="653"/>
      <c r="AK80" s="652"/>
      <c r="AL80" s="653"/>
      <c r="AM80" s="651">
        <f t="shared" si="76"/>
        <v>840068.32</v>
      </c>
      <c r="AN80" s="907">
        <f t="shared" si="77"/>
        <v>0</v>
      </c>
      <c r="AO80" s="652">
        <f t="shared" si="78"/>
        <v>840067.32</v>
      </c>
      <c r="AP80" s="878"/>
      <c r="AQ80" s="879"/>
      <c r="AR80" s="879"/>
      <c r="AS80" s="889"/>
      <c r="AT80" s="884"/>
      <c r="AU80" s="884"/>
      <c r="AV80" s="884"/>
      <c r="AW80" s="884"/>
      <c r="AX80" s="884"/>
    </row>
    <row r="81" spans="2:50" s="297" customFormat="1" ht="56.5" hidden="1" customHeight="1" x14ac:dyDescent="0.35">
      <c r="B81" s="740" t="s">
        <v>118</v>
      </c>
      <c r="C81" s="787">
        <v>750061</v>
      </c>
      <c r="D81" s="771">
        <v>90007.319999999992</v>
      </c>
      <c r="E81" s="771">
        <v>840068.32</v>
      </c>
      <c r="F81" s="771"/>
      <c r="G81" s="771"/>
      <c r="H81" s="771"/>
      <c r="I81" s="541">
        <v>840068.32</v>
      </c>
      <c r="J81" s="548">
        <v>0</v>
      </c>
      <c r="K81" s="295">
        <v>0.15</v>
      </c>
      <c r="L81" s="295">
        <v>0.4</v>
      </c>
      <c r="M81" s="295">
        <v>0.4</v>
      </c>
      <c r="N81" s="549">
        <v>0.05</v>
      </c>
      <c r="O81" s="295"/>
      <c r="P81" s="295"/>
      <c r="Q81" s="768">
        <f t="shared" ref="Q81" si="98">$E81*J81</f>
        <v>0</v>
      </c>
      <c r="R81" s="769">
        <f t="shared" ref="R81" si="99">$H81*J81</f>
        <v>0</v>
      </c>
      <c r="S81" s="770">
        <f t="shared" si="74"/>
        <v>0</v>
      </c>
      <c r="T81" s="768">
        <f t="shared" ref="T81" si="100">$E81*K81</f>
        <v>126010.24799999999</v>
      </c>
      <c r="U81" s="769">
        <f t="shared" ref="U81" si="101">$H81*K81</f>
        <v>0</v>
      </c>
      <c r="V81" s="770">
        <f t="shared" si="75"/>
        <v>126010.24799999999</v>
      </c>
      <c r="W81" s="768">
        <f t="shared" ref="W81" si="102">$E81*L81</f>
        <v>336027.32799999998</v>
      </c>
      <c r="X81" s="769">
        <f t="shared" ref="X81" si="103">$H81*L81</f>
        <v>0</v>
      </c>
      <c r="Y81" s="770">
        <f t="shared" ref="Y81" si="104">W81+X81</f>
        <v>336027.32799999998</v>
      </c>
      <c r="Z81" s="768">
        <f t="shared" ref="Z81" si="105">$E81*M81</f>
        <v>336027.32799999998</v>
      </c>
      <c r="AA81" s="769">
        <v>0</v>
      </c>
      <c r="AB81" s="770">
        <f t="shared" ref="AB81" si="106">Z81+AA81</f>
        <v>336027.32799999998</v>
      </c>
      <c r="AC81" s="768">
        <f t="shared" ref="AC81" si="107">$E81*N81</f>
        <v>42003.415999999997</v>
      </c>
      <c r="AD81" s="769">
        <f t="shared" ref="AD81" si="108">$H81*N81</f>
        <v>0</v>
      </c>
      <c r="AE81" s="770">
        <f t="shared" ref="AE81" si="109">AC81+AD81</f>
        <v>42003.415999999997</v>
      </c>
      <c r="AF81" s="773"/>
      <c r="AG81" s="773"/>
      <c r="AH81" s="775"/>
      <c r="AI81" s="773"/>
      <c r="AJ81" s="773"/>
      <c r="AK81" s="775"/>
      <c r="AL81" s="776"/>
      <c r="AM81" s="777">
        <f t="shared" si="76"/>
        <v>840068.32</v>
      </c>
      <c r="AN81" s="788">
        <f t="shared" si="77"/>
        <v>0</v>
      </c>
      <c r="AO81" s="789">
        <f t="shared" si="78"/>
        <v>840067.32</v>
      </c>
      <c r="AP81" s="878"/>
      <c r="AQ81" s="879"/>
      <c r="AR81" s="879"/>
      <c r="AS81" s="889"/>
      <c r="AT81" s="889"/>
      <c r="AU81" s="889"/>
      <c r="AV81" s="889"/>
      <c r="AW81" s="889"/>
      <c r="AX81" s="889"/>
    </row>
    <row r="82" spans="2:50" s="92" customFormat="1" ht="31.5" customHeight="1" outlineLevel="1" x14ac:dyDescent="0.35">
      <c r="B82" s="532" t="s">
        <v>217</v>
      </c>
      <c r="C82" s="357">
        <f>C83</f>
        <v>3233826</v>
      </c>
      <c r="D82" s="906">
        <f>D83</f>
        <v>388059.12</v>
      </c>
      <c r="E82" s="906">
        <f>E83</f>
        <v>3621885.12</v>
      </c>
      <c r="F82" s="906">
        <f>+F83</f>
        <v>1827540.3585701867</v>
      </c>
      <c r="G82" s="906">
        <f>+G83</f>
        <v>197621.5270284224</v>
      </c>
      <c r="H82" s="906">
        <f>+H83</f>
        <v>2025161.885598609</v>
      </c>
      <c r="I82" s="343">
        <f>+I83</f>
        <v>5647047.0055986093</v>
      </c>
      <c r="J82" s="906"/>
      <c r="K82" s="906"/>
      <c r="L82" s="906"/>
      <c r="M82" s="906"/>
      <c r="N82" s="906"/>
      <c r="O82" s="906"/>
      <c r="P82" s="906"/>
      <c r="Q82" s="651">
        <f>Q83</f>
        <v>621281.66680000059</v>
      </c>
      <c r="R82" s="907">
        <f t="shared" ref="R82:AE82" si="110">R83</f>
        <v>405032.37711972184</v>
      </c>
      <c r="S82" s="652">
        <f t="shared" si="74"/>
        <v>1026314.0439197224</v>
      </c>
      <c r="T82" s="907">
        <f t="shared" si="110"/>
        <v>724377.02400000009</v>
      </c>
      <c r="U82" s="907">
        <f t="shared" si="110"/>
        <v>405032.37711972184</v>
      </c>
      <c r="V82" s="652">
        <f t="shared" si="75"/>
        <v>1129409.4011197221</v>
      </c>
      <c r="W82" s="907">
        <f>W83</f>
        <v>827472.02400000009</v>
      </c>
      <c r="X82" s="907">
        <f t="shared" si="110"/>
        <v>405032.37711972184</v>
      </c>
      <c r="Y82" s="652">
        <f t="shared" si="110"/>
        <v>1232504.4011197221</v>
      </c>
      <c r="Z82" s="907">
        <f t="shared" si="110"/>
        <v>724377.02400000009</v>
      </c>
      <c r="AA82" s="907">
        <f t="shared" si="110"/>
        <v>405032.37711972184</v>
      </c>
      <c r="AB82" s="652">
        <f t="shared" si="110"/>
        <v>1129409.4011197221</v>
      </c>
      <c r="AC82" s="907">
        <f t="shared" si="110"/>
        <v>724377.02400000009</v>
      </c>
      <c r="AD82" s="907">
        <f t="shared" si="110"/>
        <v>405032.37711972184</v>
      </c>
      <c r="AE82" s="652">
        <f t="shared" si="110"/>
        <v>1129409.4011197221</v>
      </c>
      <c r="AF82" s="653"/>
      <c r="AG82" s="653"/>
      <c r="AH82" s="652"/>
      <c r="AI82" s="653"/>
      <c r="AJ82" s="653"/>
      <c r="AK82" s="652"/>
      <c r="AL82" s="653"/>
      <c r="AM82" s="651">
        <f t="shared" si="76"/>
        <v>3621884.7628000011</v>
      </c>
      <c r="AN82" s="907">
        <f t="shared" si="77"/>
        <v>2025161.8855986092</v>
      </c>
      <c r="AO82" s="652">
        <f t="shared" si="78"/>
        <v>5647045.6483986098</v>
      </c>
      <c r="AP82" s="878"/>
      <c r="AQ82" s="879"/>
      <c r="AR82" s="879"/>
      <c r="AS82" s="879"/>
      <c r="AT82" s="889"/>
      <c r="AU82" s="889"/>
      <c r="AV82" s="889"/>
      <c r="AW82" s="889"/>
      <c r="AX82" s="889"/>
    </row>
    <row r="83" spans="2:50" s="297" customFormat="1" ht="47.5" hidden="1" customHeight="1" x14ac:dyDescent="0.35">
      <c r="B83" s="740" t="s">
        <v>218</v>
      </c>
      <c r="C83" s="787">
        <v>3233826</v>
      </c>
      <c r="D83" s="771">
        <v>388059.12</v>
      </c>
      <c r="E83" s="771">
        <v>3621885.12</v>
      </c>
      <c r="F83" s="771">
        <v>1827540.3585701867</v>
      </c>
      <c r="G83" s="771">
        <v>197621.5270284224</v>
      </c>
      <c r="H83" s="771">
        <v>2025161.885598609</v>
      </c>
      <c r="I83" s="771">
        <f>E83+H83</f>
        <v>5647047.0055986093</v>
      </c>
      <c r="J83" s="548">
        <v>0.2</v>
      </c>
      <c r="K83" s="295">
        <v>0.2</v>
      </c>
      <c r="L83" s="295">
        <v>0.2</v>
      </c>
      <c r="M83" s="295">
        <v>0.2</v>
      </c>
      <c r="N83" s="549">
        <v>0.2</v>
      </c>
      <c r="O83" s="295"/>
      <c r="P83" s="295"/>
      <c r="Q83" s="768">
        <v>621281.66680000059</v>
      </c>
      <c r="R83" s="769">
        <f t="shared" ref="R83" si="111">$H83*J83</f>
        <v>405032.37711972184</v>
      </c>
      <c r="S83" s="770">
        <f t="shared" si="74"/>
        <v>1026314.0439197224</v>
      </c>
      <c r="T83" s="768">
        <f t="shared" ref="T83" si="112">$E83*K83</f>
        <v>724377.02400000009</v>
      </c>
      <c r="U83" s="769">
        <f t="shared" ref="U83" si="113">$H83*K83</f>
        <v>405032.37711972184</v>
      </c>
      <c r="V83" s="770">
        <f t="shared" si="75"/>
        <v>1129409.4011197221</v>
      </c>
      <c r="W83" s="768">
        <f>($E83*L83)+103095</f>
        <v>827472.02400000009</v>
      </c>
      <c r="X83" s="769">
        <f t="shared" ref="X83" si="114">$H83*L83</f>
        <v>405032.37711972184</v>
      </c>
      <c r="Y83" s="770">
        <f t="shared" ref="Y83" si="115">W83+X83</f>
        <v>1232504.4011197221</v>
      </c>
      <c r="Z83" s="768">
        <f t="shared" ref="Z83" si="116">$E83*M83</f>
        <v>724377.02400000009</v>
      </c>
      <c r="AA83" s="769">
        <f>X83</f>
        <v>405032.37711972184</v>
      </c>
      <c r="AB83" s="770">
        <f t="shared" ref="AB83" si="117">Z83+AA83</f>
        <v>1129409.4011197221</v>
      </c>
      <c r="AC83" s="768">
        <f t="shared" ref="AC83" si="118">$E83*N83</f>
        <v>724377.02400000009</v>
      </c>
      <c r="AD83" s="769">
        <f t="shared" ref="AD83" si="119">$H83*N83</f>
        <v>405032.37711972184</v>
      </c>
      <c r="AE83" s="770">
        <f t="shared" ref="AE83" si="120">AC83+AD83</f>
        <v>1129409.4011197221</v>
      </c>
      <c r="AF83" s="773"/>
      <c r="AG83" s="773"/>
      <c r="AH83" s="775"/>
      <c r="AI83" s="773"/>
      <c r="AJ83" s="773"/>
      <c r="AK83" s="775"/>
      <c r="AL83" s="776"/>
      <c r="AM83" s="777">
        <f t="shared" si="76"/>
        <v>3621884.7628000011</v>
      </c>
      <c r="AN83" s="788">
        <f t="shared" si="77"/>
        <v>2025161.8855986092</v>
      </c>
      <c r="AO83" s="789">
        <f t="shared" si="78"/>
        <v>5647045.6483986098</v>
      </c>
      <c r="AP83" s="878"/>
      <c r="AQ83" s="879"/>
      <c r="AR83" s="879"/>
      <c r="AS83" s="889"/>
      <c r="AT83" s="882"/>
      <c r="AU83" s="882"/>
      <c r="AV83" s="882"/>
      <c r="AW83" s="882"/>
      <c r="AX83" s="882"/>
    </row>
    <row r="84" spans="2:50" s="92" customFormat="1" ht="31.5" customHeight="1" outlineLevel="1" x14ac:dyDescent="0.35">
      <c r="B84" s="532" t="s">
        <v>123</v>
      </c>
      <c r="C84" s="357">
        <f>C85</f>
        <v>30000</v>
      </c>
      <c r="D84" s="906">
        <f>D85</f>
        <v>3600</v>
      </c>
      <c r="E84" s="906">
        <f>E85</f>
        <v>33600</v>
      </c>
      <c r="F84" s="906"/>
      <c r="G84" s="906"/>
      <c r="H84" s="906"/>
      <c r="I84" s="343">
        <f>+I85</f>
        <v>33600</v>
      </c>
      <c r="J84" s="906"/>
      <c r="K84" s="906"/>
      <c r="L84" s="906"/>
      <c r="M84" s="906"/>
      <c r="N84" s="906"/>
      <c r="O84" s="906"/>
      <c r="P84" s="906"/>
      <c r="Q84" s="651">
        <f>Q85</f>
        <v>16800</v>
      </c>
      <c r="R84" s="907">
        <f t="shared" ref="R84:AE84" si="121">R85</f>
        <v>0</v>
      </c>
      <c r="S84" s="652">
        <f t="shared" si="74"/>
        <v>16800</v>
      </c>
      <c r="T84" s="907">
        <f t="shared" si="121"/>
        <v>16800</v>
      </c>
      <c r="U84" s="907">
        <f t="shared" si="121"/>
        <v>0</v>
      </c>
      <c r="V84" s="652">
        <f t="shared" si="75"/>
        <v>16800</v>
      </c>
      <c r="W84" s="907">
        <f t="shared" si="121"/>
        <v>0</v>
      </c>
      <c r="X84" s="907">
        <f t="shared" si="121"/>
        <v>0</v>
      </c>
      <c r="Y84" s="652">
        <f t="shared" si="121"/>
        <v>0</v>
      </c>
      <c r="Z84" s="907">
        <f t="shared" si="121"/>
        <v>0</v>
      </c>
      <c r="AA84" s="907">
        <f t="shared" si="121"/>
        <v>0</v>
      </c>
      <c r="AB84" s="652">
        <f t="shared" si="121"/>
        <v>0</v>
      </c>
      <c r="AC84" s="907">
        <f t="shared" si="121"/>
        <v>0</v>
      </c>
      <c r="AD84" s="907">
        <f t="shared" si="121"/>
        <v>0</v>
      </c>
      <c r="AE84" s="652">
        <f t="shared" si="121"/>
        <v>0</v>
      </c>
      <c r="AF84" s="653"/>
      <c r="AG84" s="653"/>
      <c r="AH84" s="652"/>
      <c r="AI84" s="653"/>
      <c r="AJ84" s="653"/>
      <c r="AK84" s="652"/>
      <c r="AL84" s="653"/>
      <c r="AM84" s="651">
        <f t="shared" si="76"/>
        <v>33600</v>
      </c>
      <c r="AN84" s="907">
        <f t="shared" si="77"/>
        <v>0</v>
      </c>
      <c r="AO84" s="652">
        <f t="shared" si="78"/>
        <v>33599</v>
      </c>
      <c r="AP84" s="878"/>
      <c r="AQ84" s="879"/>
      <c r="AR84" s="879"/>
      <c r="AS84" s="889"/>
      <c r="AT84" s="884"/>
      <c r="AU84" s="884"/>
      <c r="AV84" s="884"/>
      <c r="AW84" s="884"/>
      <c r="AX84" s="884"/>
    </row>
    <row r="85" spans="2:50" s="297" customFormat="1" ht="29" hidden="1" x14ac:dyDescent="0.35">
      <c r="B85" s="740" t="s">
        <v>124</v>
      </c>
      <c r="C85" s="787">
        <v>30000</v>
      </c>
      <c r="D85" s="771">
        <v>3600</v>
      </c>
      <c r="E85" s="771">
        <v>33600</v>
      </c>
      <c r="F85" s="771"/>
      <c r="G85" s="771"/>
      <c r="H85" s="771"/>
      <c r="I85" s="771">
        <f>E85</f>
        <v>33600</v>
      </c>
      <c r="J85" s="548">
        <v>0.5</v>
      </c>
      <c r="K85" s="295">
        <v>0.5</v>
      </c>
      <c r="L85" s="295">
        <v>0</v>
      </c>
      <c r="M85" s="295">
        <v>0</v>
      </c>
      <c r="N85" s="549">
        <v>0</v>
      </c>
      <c r="O85" s="295"/>
      <c r="P85" s="295"/>
      <c r="Q85" s="768">
        <f t="shared" ref="Q85" si="122">$E85*J85</f>
        <v>16800</v>
      </c>
      <c r="R85" s="769">
        <f t="shared" ref="R85" si="123">$H85*J85</f>
        <v>0</v>
      </c>
      <c r="S85" s="770">
        <f t="shared" si="74"/>
        <v>16800</v>
      </c>
      <c r="T85" s="768">
        <f t="shared" ref="T85" si="124">$E85*K85</f>
        <v>16800</v>
      </c>
      <c r="U85" s="769">
        <f t="shared" ref="U85" si="125">$H85*K85</f>
        <v>0</v>
      </c>
      <c r="V85" s="770">
        <f t="shared" si="75"/>
        <v>16800</v>
      </c>
      <c r="W85" s="768">
        <f t="shared" ref="W85" si="126">$E85*L85</f>
        <v>0</v>
      </c>
      <c r="X85" s="769">
        <f t="shared" ref="X85" si="127">$H85*L85</f>
        <v>0</v>
      </c>
      <c r="Y85" s="770">
        <f t="shared" ref="Y85" si="128">W85+X85</f>
        <v>0</v>
      </c>
      <c r="Z85" s="768">
        <f t="shared" ref="Z85" si="129">$E85*M85</f>
        <v>0</v>
      </c>
      <c r="AA85" s="769">
        <v>0</v>
      </c>
      <c r="AB85" s="770">
        <f t="shared" ref="AB85" si="130">Z85+AA85</f>
        <v>0</v>
      </c>
      <c r="AC85" s="768">
        <f t="shared" ref="AC85" si="131">$E85*N85</f>
        <v>0</v>
      </c>
      <c r="AD85" s="769">
        <f t="shared" ref="AD85" si="132">$H85*N85</f>
        <v>0</v>
      </c>
      <c r="AE85" s="770">
        <f t="shared" ref="AE85" si="133">AC85+AD85</f>
        <v>0</v>
      </c>
      <c r="AF85" s="773"/>
      <c r="AG85" s="773"/>
      <c r="AH85" s="775"/>
      <c r="AI85" s="773"/>
      <c r="AJ85" s="773"/>
      <c r="AK85" s="775"/>
      <c r="AL85" s="776"/>
      <c r="AM85" s="777">
        <f t="shared" si="76"/>
        <v>33600</v>
      </c>
      <c r="AN85" s="788">
        <f t="shared" si="77"/>
        <v>0</v>
      </c>
      <c r="AO85" s="789">
        <f t="shared" si="78"/>
        <v>33599</v>
      </c>
      <c r="AP85" s="878"/>
      <c r="AQ85" s="879"/>
      <c r="AR85" s="879"/>
      <c r="AS85" s="889"/>
      <c r="AT85" s="889"/>
      <c r="AU85" s="889"/>
      <c r="AV85" s="889"/>
      <c r="AW85" s="889"/>
      <c r="AX85" s="889"/>
    </row>
    <row r="86" spans="2:50" s="297" customFormat="1" ht="23.25" customHeight="1" x14ac:dyDescent="0.35">
      <c r="B86" s="340" t="s">
        <v>125</v>
      </c>
      <c r="C86" s="363">
        <f>C89+C92+C96+C99</f>
        <v>3306500</v>
      </c>
      <c r="D86" s="904">
        <f t="shared" ref="D86:E86" si="134">D89+D92+D96+D99</f>
        <v>396780</v>
      </c>
      <c r="E86" s="904">
        <f t="shared" si="134"/>
        <v>3703280</v>
      </c>
      <c r="F86" s="904"/>
      <c r="G86" s="904"/>
      <c r="H86" s="904"/>
      <c r="I86" s="904">
        <f>E86</f>
        <v>3703280</v>
      </c>
      <c r="J86" s="545">
        <v>0</v>
      </c>
      <c r="K86" s="294">
        <v>0</v>
      </c>
      <c r="L86" s="294">
        <v>0</v>
      </c>
      <c r="M86" s="294">
        <v>0</v>
      </c>
      <c r="N86" s="546">
        <v>0</v>
      </c>
      <c r="O86" s="294"/>
      <c r="P86" s="294"/>
      <c r="Q86" s="901">
        <f>Q87+Q89+Q92+Q96+Q99</f>
        <v>187924.65</v>
      </c>
      <c r="R86" s="901">
        <f t="shared" ref="R86" si="135">R87+R89+R92+R96+R99</f>
        <v>0</v>
      </c>
      <c r="S86" s="901">
        <f t="shared" si="74"/>
        <v>187924.65</v>
      </c>
      <c r="T86" s="901">
        <f>T87+T89+T92+T96+T99</f>
        <v>1238574.5000000002</v>
      </c>
      <c r="U86" s="901">
        <v>0</v>
      </c>
      <c r="V86" s="901">
        <f t="shared" si="75"/>
        <v>1238574.5000000002</v>
      </c>
      <c r="W86" s="901">
        <f>W87+W89+W92+W96+W99</f>
        <v>1799873.9000000001</v>
      </c>
      <c r="X86" s="901">
        <v>0</v>
      </c>
      <c r="Y86" s="901">
        <f t="shared" ref="Y86:Y103" si="136">+W86+X86</f>
        <v>1799873.9000000001</v>
      </c>
      <c r="Z86" s="901">
        <f>Z87+Z89+Z92+Z96+Z99</f>
        <v>464810.95</v>
      </c>
      <c r="AA86" s="901">
        <f t="shared" ref="AA86:AE86" si="137">AA87+AA89+AA92+AA96+AA99</f>
        <v>0</v>
      </c>
      <c r="AB86" s="901">
        <f t="shared" si="137"/>
        <v>464810.95</v>
      </c>
      <c r="AC86" s="901">
        <f t="shared" si="137"/>
        <v>12096</v>
      </c>
      <c r="AD86" s="901">
        <f t="shared" si="137"/>
        <v>0</v>
      </c>
      <c r="AE86" s="540">
        <f t="shared" si="137"/>
        <v>12096</v>
      </c>
      <c r="AF86" s="694"/>
      <c r="AG86" s="694"/>
      <c r="AH86" s="694"/>
      <c r="AI86" s="694"/>
      <c r="AJ86" s="694"/>
      <c r="AK86" s="540"/>
      <c r="AL86" s="695"/>
      <c r="AM86" s="572">
        <f t="shared" si="76"/>
        <v>3703280.0000000005</v>
      </c>
      <c r="AN86" s="901">
        <f t="shared" si="77"/>
        <v>0</v>
      </c>
      <c r="AO86" s="540">
        <f t="shared" si="78"/>
        <v>3703279.0000000005</v>
      </c>
      <c r="AP86" s="878"/>
      <c r="AQ86" s="879"/>
      <c r="AR86" s="879"/>
      <c r="AS86" s="879"/>
      <c r="AT86" s="889"/>
      <c r="AU86" s="889"/>
      <c r="AV86" s="889"/>
      <c r="AW86" s="889"/>
      <c r="AX86" s="889"/>
    </row>
    <row r="87" spans="2:50" s="297" customFormat="1" ht="23.15" hidden="1" customHeight="1" x14ac:dyDescent="0.35">
      <c r="B87" s="341"/>
      <c r="C87" s="357"/>
      <c r="D87" s="906"/>
      <c r="E87" s="906"/>
      <c r="F87" s="906"/>
      <c r="G87" s="906"/>
      <c r="H87" s="906"/>
      <c r="I87" s="906"/>
      <c r="J87" s="550"/>
      <c r="K87" s="911"/>
      <c r="L87" s="911"/>
      <c r="M87" s="911"/>
      <c r="N87" s="547"/>
      <c r="O87" s="911"/>
      <c r="P87" s="911"/>
      <c r="Q87" s="912"/>
      <c r="R87" s="912"/>
      <c r="S87" s="571">
        <f t="shared" si="74"/>
        <v>0</v>
      </c>
      <c r="T87" s="912"/>
      <c r="U87" s="912"/>
      <c r="V87" s="571">
        <f t="shared" si="75"/>
        <v>0</v>
      </c>
      <c r="W87" s="912"/>
      <c r="X87" s="912"/>
      <c r="Y87" s="571"/>
      <c r="Z87" s="912"/>
      <c r="AA87" s="912"/>
      <c r="AB87" s="571"/>
      <c r="AC87" s="912"/>
      <c r="AD87" s="912"/>
      <c r="AE87" s="571"/>
      <c r="AF87" s="696"/>
      <c r="AG87" s="696"/>
      <c r="AH87" s="571"/>
      <c r="AI87" s="696"/>
      <c r="AJ87" s="696"/>
      <c r="AK87" s="571"/>
      <c r="AL87" s="697"/>
      <c r="AM87" s="777">
        <f t="shared" si="76"/>
        <v>0</v>
      </c>
      <c r="AN87" s="788">
        <f t="shared" si="77"/>
        <v>0</v>
      </c>
      <c r="AO87" s="789">
        <f t="shared" si="78"/>
        <v>-1</v>
      </c>
      <c r="AP87" s="878"/>
      <c r="AQ87" s="879"/>
      <c r="AR87" s="879"/>
      <c r="AS87" s="879"/>
      <c r="AT87" s="884"/>
      <c r="AU87" s="884"/>
      <c r="AV87" s="884"/>
      <c r="AW87" s="884"/>
      <c r="AX87" s="884"/>
    </row>
    <row r="88" spans="2:50" s="297" customFormat="1" ht="23.25" hidden="1" customHeight="1" x14ac:dyDescent="0.35">
      <c r="B88" s="740"/>
      <c r="C88" s="787"/>
      <c r="D88" s="771"/>
      <c r="E88" s="771"/>
      <c r="F88" s="771"/>
      <c r="G88" s="771"/>
      <c r="H88" s="771"/>
      <c r="I88" s="771"/>
      <c r="J88" s="548"/>
      <c r="K88" s="295"/>
      <c r="L88" s="295"/>
      <c r="M88" s="295"/>
      <c r="N88" s="549"/>
      <c r="O88" s="295"/>
      <c r="P88" s="295"/>
      <c r="Q88" s="773"/>
      <c r="R88" s="773"/>
      <c r="S88" s="775">
        <f t="shared" si="74"/>
        <v>0</v>
      </c>
      <c r="T88" s="773"/>
      <c r="U88" s="773"/>
      <c r="V88" s="775">
        <f t="shared" si="75"/>
        <v>0</v>
      </c>
      <c r="W88" s="773"/>
      <c r="X88" s="773"/>
      <c r="Y88" s="775"/>
      <c r="Z88" s="773"/>
      <c r="AA88" s="773"/>
      <c r="AB88" s="775"/>
      <c r="AC88" s="773"/>
      <c r="AD88" s="773"/>
      <c r="AE88" s="775"/>
      <c r="AF88" s="773"/>
      <c r="AG88" s="773"/>
      <c r="AH88" s="775"/>
      <c r="AI88" s="773"/>
      <c r="AJ88" s="773"/>
      <c r="AK88" s="775"/>
      <c r="AL88" s="776"/>
      <c r="AM88" s="777">
        <f t="shared" si="76"/>
        <v>0</v>
      </c>
      <c r="AN88" s="788">
        <f t="shared" si="77"/>
        <v>0</v>
      </c>
      <c r="AO88" s="789">
        <f t="shared" si="78"/>
        <v>-1</v>
      </c>
      <c r="AP88" s="878"/>
      <c r="AQ88" s="879"/>
      <c r="AR88" s="879"/>
      <c r="AS88" s="889"/>
      <c r="AT88" s="889"/>
      <c r="AU88" s="889"/>
      <c r="AV88" s="889"/>
      <c r="AW88" s="889"/>
      <c r="AX88" s="889"/>
    </row>
    <row r="89" spans="2:50" s="92" customFormat="1" ht="31.5" customHeight="1" outlineLevel="1" x14ac:dyDescent="0.35">
      <c r="B89" s="532" t="s">
        <v>128</v>
      </c>
      <c r="C89" s="357">
        <f>C90+C91</f>
        <v>1600000</v>
      </c>
      <c r="D89" s="906">
        <f t="shared" ref="D89:E89" si="138">D90+D91</f>
        <v>192000</v>
      </c>
      <c r="E89" s="906">
        <f t="shared" si="138"/>
        <v>1792001</v>
      </c>
      <c r="F89" s="906"/>
      <c r="G89" s="906"/>
      <c r="H89" s="906"/>
      <c r="I89" s="343">
        <f>E89</f>
        <v>1792001</v>
      </c>
      <c r="J89" s="906"/>
      <c r="K89" s="906"/>
      <c r="L89" s="906"/>
      <c r="M89" s="906"/>
      <c r="N89" s="906"/>
      <c r="O89" s="906"/>
      <c r="P89" s="906"/>
      <c r="Q89" s="651">
        <f>Q90+Q91</f>
        <v>0</v>
      </c>
      <c r="R89" s="907">
        <f t="shared" ref="R89:AE89" si="139">R90+R91</f>
        <v>0</v>
      </c>
      <c r="S89" s="652">
        <f t="shared" si="74"/>
        <v>0</v>
      </c>
      <c r="T89" s="907">
        <f t="shared" si="139"/>
        <v>627200.4</v>
      </c>
      <c r="U89" s="907">
        <f t="shared" si="139"/>
        <v>0</v>
      </c>
      <c r="V89" s="652">
        <f t="shared" si="75"/>
        <v>627200.4</v>
      </c>
      <c r="W89" s="907">
        <f t="shared" si="139"/>
        <v>1164800.6000000001</v>
      </c>
      <c r="X89" s="907">
        <f t="shared" si="139"/>
        <v>0</v>
      </c>
      <c r="Y89" s="652">
        <f t="shared" si="139"/>
        <v>1164800.6000000001</v>
      </c>
      <c r="Z89" s="907">
        <f t="shared" si="139"/>
        <v>0</v>
      </c>
      <c r="AA89" s="907">
        <f t="shared" si="139"/>
        <v>0</v>
      </c>
      <c r="AB89" s="652">
        <f t="shared" si="139"/>
        <v>0</v>
      </c>
      <c r="AC89" s="907">
        <f t="shared" si="139"/>
        <v>0</v>
      </c>
      <c r="AD89" s="907">
        <f t="shared" si="139"/>
        <v>0</v>
      </c>
      <c r="AE89" s="652">
        <f t="shared" si="139"/>
        <v>0</v>
      </c>
      <c r="AF89" s="653"/>
      <c r="AG89" s="653"/>
      <c r="AH89" s="652"/>
      <c r="AI89" s="653"/>
      <c r="AJ89" s="653"/>
      <c r="AK89" s="652"/>
      <c r="AL89" s="653"/>
      <c r="AM89" s="651">
        <f t="shared" si="76"/>
        <v>1792001</v>
      </c>
      <c r="AN89" s="907">
        <f t="shared" si="77"/>
        <v>0</v>
      </c>
      <c r="AO89" s="652">
        <f t="shared" si="78"/>
        <v>1792000</v>
      </c>
      <c r="AP89" s="878"/>
      <c r="AQ89" s="879"/>
      <c r="AR89" s="879"/>
      <c r="AS89" s="889"/>
      <c r="AT89" s="889"/>
      <c r="AU89" s="889"/>
      <c r="AV89" s="889"/>
      <c r="AW89" s="889"/>
      <c r="AX89" s="889"/>
    </row>
    <row r="90" spans="2:50" s="297" customFormat="1" ht="23.25" hidden="1" customHeight="1" x14ac:dyDescent="0.35">
      <c r="B90" s="740" t="s">
        <v>129</v>
      </c>
      <c r="C90" s="787">
        <v>1400000</v>
      </c>
      <c r="D90" s="771">
        <v>168000</v>
      </c>
      <c r="E90" s="771">
        <v>1568001</v>
      </c>
      <c r="F90" s="771"/>
      <c r="G90" s="771"/>
      <c r="H90" s="771"/>
      <c r="I90" s="771">
        <f>E90</f>
        <v>1568001</v>
      </c>
      <c r="J90" s="548">
        <v>0</v>
      </c>
      <c r="K90" s="295">
        <v>0.4</v>
      </c>
      <c r="L90" s="295">
        <v>0.6</v>
      </c>
      <c r="M90" s="295">
        <v>0</v>
      </c>
      <c r="N90" s="549">
        <v>0</v>
      </c>
      <c r="O90" s="295"/>
      <c r="P90" s="295"/>
      <c r="Q90" s="768">
        <f t="shared" ref="Q90:Q91" si="140">$E90*J90</f>
        <v>0</v>
      </c>
      <c r="R90" s="769">
        <f t="shared" ref="R90:R91" si="141">$H90*J90</f>
        <v>0</v>
      </c>
      <c r="S90" s="770">
        <f t="shared" si="74"/>
        <v>0</v>
      </c>
      <c r="T90" s="768">
        <f t="shared" ref="T90:T91" si="142">$E90*K90</f>
        <v>627200.4</v>
      </c>
      <c r="U90" s="769">
        <f t="shared" ref="U90:U91" si="143">$H90*K90</f>
        <v>0</v>
      </c>
      <c r="V90" s="770">
        <f t="shared" si="75"/>
        <v>627200.4</v>
      </c>
      <c r="W90" s="768">
        <f t="shared" ref="W90:W91" si="144">$E90*L90</f>
        <v>940800.6</v>
      </c>
      <c r="X90" s="769">
        <f t="shared" ref="X90:X91" si="145">$H90*L90</f>
        <v>0</v>
      </c>
      <c r="Y90" s="770">
        <f t="shared" ref="Y90:Y91" si="146">W90+X90</f>
        <v>940800.6</v>
      </c>
      <c r="Z90" s="768">
        <f t="shared" ref="Z90:Z91" si="147">$E90*M90</f>
        <v>0</v>
      </c>
      <c r="AA90" s="769">
        <v>0</v>
      </c>
      <c r="AB90" s="770">
        <f t="shared" ref="AB90:AB91" si="148">Z90+AA90</f>
        <v>0</v>
      </c>
      <c r="AC90" s="768">
        <f t="shared" ref="AC90:AC91" si="149">$E90*N90</f>
        <v>0</v>
      </c>
      <c r="AD90" s="769">
        <f t="shared" ref="AD90:AD91" si="150">$H90*N90</f>
        <v>0</v>
      </c>
      <c r="AE90" s="770">
        <f t="shared" ref="AE90:AE91" si="151">AC90+AD90</f>
        <v>0</v>
      </c>
      <c r="AF90" s="773"/>
      <c r="AG90" s="773"/>
      <c r="AH90" s="775"/>
      <c r="AI90" s="773"/>
      <c r="AJ90" s="773"/>
      <c r="AK90" s="775"/>
      <c r="AL90" s="776"/>
      <c r="AM90" s="777">
        <f t="shared" si="76"/>
        <v>1568001</v>
      </c>
      <c r="AN90" s="788">
        <f t="shared" si="77"/>
        <v>0</v>
      </c>
      <c r="AO90" s="789">
        <f t="shared" si="78"/>
        <v>1568000</v>
      </c>
      <c r="AP90" s="878"/>
      <c r="AQ90" s="879"/>
      <c r="AR90" s="879"/>
      <c r="AS90" s="889"/>
      <c r="AT90" s="889"/>
      <c r="AU90" s="889"/>
      <c r="AV90" s="889"/>
      <c r="AW90" s="889"/>
      <c r="AX90" s="889"/>
    </row>
    <row r="91" spans="2:50" s="297" customFormat="1" ht="23.25" hidden="1" customHeight="1" x14ac:dyDescent="0.35">
      <c r="B91" s="740" t="s">
        <v>130</v>
      </c>
      <c r="C91" s="787">
        <v>200000</v>
      </c>
      <c r="D91" s="771">
        <v>24000</v>
      </c>
      <c r="E91" s="771">
        <v>224000</v>
      </c>
      <c r="F91" s="771"/>
      <c r="G91" s="771"/>
      <c r="H91" s="771"/>
      <c r="I91" s="771">
        <f>E91</f>
        <v>224000</v>
      </c>
      <c r="J91" s="548">
        <v>0</v>
      </c>
      <c r="K91" s="295">
        <v>0</v>
      </c>
      <c r="L91" s="295">
        <v>1</v>
      </c>
      <c r="M91" s="295">
        <v>0</v>
      </c>
      <c r="N91" s="549">
        <v>0</v>
      </c>
      <c r="O91" s="295"/>
      <c r="P91" s="295"/>
      <c r="Q91" s="768">
        <f t="shared" si="140"/>
        <v>0</v>
      </c>
      <c r="R91" s="769">
        <f t="shared" si="141"/>
        <v>0</v>
      </c>
      <c r="S91" s="770">
        <f t="shared" si="74"/>
        <v>0</v>
      </c>
      <c r="T91" s="768">
        <f t="shared" si="142"/>
        <v>0</v>
      </c>
      <c r="U91" s="769">
        <f t="shared" si="143"/>
        <v>0</v>
      </c>
      <c r="V91" s="770">
        <f t="shared" si="75"/>
        <v>0</v>
      </c>
      <c r="W91" s="768">
        <f t="shared" si="144"/>
        <v>224000</v>
      </c>
      <c r="X91" s="769">
        <f t="shared" si="145"/>
        <v>0</v>
      </c>
      <c r="Y91" s="770">
        <f t="shared" si="146"/>
        <v>224000</v>
      </c>
      <c r="Z91" s="768">
        <f t="shared" si="147"/>
        <v>0</v>
      </c>
      <c r="AA91" s="769">
        <v>0</v>
      </c>
      <c r="AB91" s="770">
        <f t="shared" si="148"/>
        <v>0</v>
      </c>
      <c r="AC91" s="768">
        <f t="shared" si="149"/>
        <v>0</v>
      </c>
      <c r="AD91" s="769">
        <f t="shared" si="150"/>
        <v>0</v>
      </c>
      <c r="AE91" s="770">
        <f t="shared" si="151"/>
        <v>0</v>
      </c>
      <c r="AF91" s="773"/>
      <c r="AG91" s="773"/>
      <c r="AH91" s="775"/>
      <c r="AI91" s="773"/>
      <c r="AJ91" s="773"/>
      <c r="AK91" s="775"/>
      <c r="AL91" s="776"/>
      <c r="AM91" s="777">
        <f t="shared" si="76"/>
        <v>224000</v>
      </c>
      <c r="AN91" s="788">
        <f t="shared" si="77"/>
        <v>0</v>
      </c>
      <c r="AO91" s="789">
        <f t="shared" si="78"/>
        <v>223999</v>
      </c>
      <c r="AP91" s="878"/>
      <c r="AQ91" s="879"/>
      <c r="AR91" s="879"/>
      <c r="AS91" s="889"/>
      <c r="AT91" s="889"/>
      <c r="AU91" s="889"/>
      <c r="AV91" s="889"/>
      <c r="AW91" s="889"/>
      <c r="AX91" s="889"/>
    </row>
    <row r="92" spans="2:50" s="92" customFormat="1" ht="31.5" customHeight="1" outlineLevel="1" x14ac:dyDescent="0.35">
      <c r="B92" s="532" t="s">
        <v>131</v>
      </c>
      <c r="C92" s="357">
        <f>SUM(C93:C95)</f>
        <v>1288600</v>
      </c>
      <c r="D92" s="906">
        <f t="shared" ref="D92:E92" si="152">SUM(D93:D95)</f>
        <v>154632</v>
      </c>
      <c r="E92" s="906">
        <f t="shared" si="152"/>
        <v>1443231</v>
      </c>
      <c r="F92" s="906"/>
      <c r="G92" s="906"/>
      <c r="H92" s="906"/>
      <c r="I92" s="343">
        <f>E92</f>
        <v>1443231</v>
      </c>
      <c r="J92" s="906"/>
      <c r="K92" s="906"/>
      <c r="L92" s="906"/>
      <c r="M92" s="906"/>
      <c r="N92" s="906"/>
      <c r="O92" s="906"/>
      <c r="P92" s="906"/>
      <c r="Q92" s="651">
        <f>Q93+Q94+Q95</f>
        <v>187924.65</v>
      </c>
      <c r="R92" s="907">
        <f t="shared" ref="R92:AE92" si="153">R93+R94+R95</f>
        <v>0</v>
      </c>
      <c r="S92" s="652">
        <f t="shared" si="74"/>
        <v>187924.65</v>
      </c>
      <c r="T92" s="907">
        <f t="shared" si="153"/>
        <v>566249.30000000005</v>
      </c>
      <c r="U92" s="907">
        <f t="shared" si="153"/>
        <v>0</v>
      </c>
      <c r="V92" s="652">
        <f t="shared" si="75"/>
        <v>566249.30000000005</v>
      </c>
      <c r="W92" s="907">
        <f t="shared" si="153"/>
        <v>375849.3</v>
      </c>
      <c r="X92" s="907">
        <f t="shared" si="153"/>
        <v>0</v>
      </c>
      <c r="Y92" s="652">
        <f t="shared" si="153"/>
        <v>375849.3</v>
      </c>
      <c r="Z92" s="907">
        <f t="shared" si="153"/>
        <v>313207.75</v>
      </c>
      <c r="AA92" s="907">
        <f t="shared" si="153"/>
        <v>0</v>
      </c>
      <c r="AB92" s="652">
        <f t="shared" si="153"/>
        <v>313207.75</v>
      </c>
      <c r="AC92" s="907">
        <f t="shared" si="153"/>
        <v>0</v>
      </c>
      <c r="AD92" s="907">
        <f t="shared" si="153"/>
        <v>0</v>
      </c>
      <c r="AE92" s="652">
        <f t="shared" si="153"/>
        <v>0</v>
      </c>
      <c r="AF92" s="653"/>
      <c r="AG92" s="653"/>
      <c r="AH92" s="652"/>
      <c r="AI92" s="653"/>
      <c r="AJ92" s="653"/>
      <c r="AK92" s="652"/>
      <c r="AL92" s="653"/>
      <c r="AM92" s="651">
        <f t="shared" si="76"/>
        <v>1443231</v>
      </c>
      <c r="AN92" s="907">
        <f t="shared" si="77"/>
        <v>0</v>
      </c>
      <c r="AO92" s="652">
        <f t="shared" si="78"/>
        <v>1443230</v>
      </c>
      <c r="AP92" s="878"/>
      <c r="AQ92" s="879"/>
      <c r="AR92" s="879"/>
      <c r="AS92" s="888"/>
      <c r="AT92" s="884"/>
      <c r="AU92" s="884"/>
      <c r="AV92" s="884"/>
      <c r="AW92" s="884"/>
      <c r="AX92" s="884"/>
    </row>
    <row r="93" spans="2:50" s="297" customFormat="1" ht="29" hidden="1" x14ac:dyDescent="0.35">
      <c r="B93" s="740" t="s">
        <v>132</v>
      </c>
      <c r="C93" s="787">
        <v>1118600</v>
      </c>
      <c r="D93" s="771">
        <v>134232</v>
      </c>
      <c r="E93" s="771">
        <v>1252831</v>
      </c>
      <c r="F93" s="771"/>
      <c r="G93" s="771"/>
      <c r="H93" s="771"/>
      <c r="I93" s="771">
        <f>E93</f>
        <v>1252831</v>
      </c>
      <c r="J93" s="548">
        <v>0.15</v>
      </c>
      <c r="K93" s="295">
        <v>0.3</v>
      </c>
      <c r="L93" s="295">
        <v>0.3</v>
      </c>
      <c r="M93" s="295">
        <v>0.25</v>
      </c>
      <c r="N93" s="549">
        <v>0</v>
      </c>
      <c r="O93" s="295"/>
      <c r="P93" s="295"/>
      <c r="Q93" s="768">
        <f t="shared" ref="Q93:Q95" si="154">$E93*J93</f>
        <v>187924.65</v>
      </c>
      <c r="R93" s="769">
        <f t="shared" ref="R93:R95" si="155">$H93*J93</f>
        <v>0</v>
      </c>
      <c r="S93" s="770">
        <f t="shared" si="74"/>
        <v>187924.65</v>
      </c>
      <c r="T93" s="768">
        <f t="shared" ref="T93:T95" si="156">$E93*K93</f>
        <v>375849.3</v>
      </c>
      <c r="U93" s="769">
        <f t="shared" ref="U93:U95" si="157">$H93*K93</f>
        <v>0</v>
      </c>
      <c r="V93" s="770">
        <f t="shared" si="75"/>
        <v>375849.3</v>
      </c>
      <c r="W93" s="768">
        <f t="shared" ref="W93:W95" si="158">$E93*L93</f>
        <v>375849.3</v>
      </c>
      <c r="X93" s="769">
        <f t="shared" ref="X93:X95" si="159">$H93*L93</f>
        <v>0</v>
      </c>
      <c r="Y93" s="770">
        <f t="shared" ref="Y93:Y95" si="160">W93+X93</f>
        <v>375849.3</v>
      </c>
      <c r="Z93" s="768">
        <f t="shared" ref="Z93:Z95" si="161">$E93*M93</f>
        <v>313207.75</v>
      </c>
      <c r="AA93" s="769">
        <v>0</v>
      </c>
      <c r="AB93" s="770">
        <f t="shared" ref="AB93:AB95" si="162">Z93+AA93</f>
        <v>313207.75</v>
      </c>
      <c r="AC93" s="768">
        <f t="shared" ref="AC93:AC95" si="163">$E93*N93</f>
        <v>0</v>
      </c>
      <c r="AD93" s="769">
        <f t="shared" ref="AD93:AD95" si="164">$H93*N93</f>
        <v>0</v>
      </c>
      <c r="AE93" s="770">
        <f t="shared" ref="AE93:AE95" si="165">AC93+AD93</f>
        <v>0</v>
      </c>
      <c r="AF93" s="773"/>
      <c r="AG93" s="773"/>
      <c r="AH93" s="775"/>
      <c r="AI93" s="773"/>
      <c r="AJ93" s="773"/>
      <c r="AK93" s="775"/>
      <c r="AL93" s="776"/>
      <c r="AM93" s="777">
        <f t="shared" si="76"/>
        <v>1252831</v>
      </c>
      <c r="AN93" s="788">
        <f t="shared" si="77"/>
        <v>0</v>
      </c>
      <c r="AO93" s="789">
        <f t="shared" si="78"/>
        <v>1252830</v>
      </c>
      <c r="AP93" s="878"/>
      <c r="AQ93" s="879"/>
      <c r="AR93" s="879"/>
      <c r="AS93" s="889"/>
      <c r="AT93" s="889"/>
      <c r="AU93" s="889"/>
      <c r="AV93" s="889"/>
      <c r="AW93" s="889"/>
      <c r="AX93" s="889"/>
    </row>
    <row r="94" spans="2:50" s="297" customFormat="1" ht="23.25" hidden="1" customHeight="1" x14ac:dyDescent="0.35">
      <c r="B94" s="740" t="s">
        <v>133</v>
      </c>
      <c r="C94" s="787">
        <v>90000</v>
      </c>
      <c r="D94" s="771">
        <v>10800</v>
      </c>
      <c r="E94" s="771">
        <v>100800</v>
      </c>
      <c r="F94" s="771"/>
      <c r="G94" s="771"/>
      <c r="H94" s="771"/>
      <c r="I94" s="771">
        <v>100800</v>
      </c>
      <c r="J94" s="548">
        <v>0</v>
      </c>
      <c r="K94" s="295">
        <v>1</v>
      </c>
      <c r="L94" s="295">
        <v>0</v>
      </c>
      <c r="M94" s="295">
        <v>0</v>
      </c>
      <c r="N94" s="549">
        <v>0</v>
      </c>
      <c r="O94" s="295"/>
      <c r="P94" s="295"/>
      <c r="Q94" s="768">
        <f t="shared" si="154"/>
        <v>0</v>
      </c>
      <c r="R94" s="769">
        <f t="shared" si="155"/>
        <v>0</v>
      </c>
      <c r="S94" s="770">
        <f t="shared" si="74"/>
        <v>0</v>
      </c>
      <c r="T94" s="768">
        <f t="shared" si="156"/>
        <v>100800</v>
      </c>
      <c r="U94" s="769">
        <f t="shared" si="157"/>
        <v>0</v>
      </c>
      <c r="V94" s="770">
        <f t="shared" si="75"/>
        <v>100800</v>
      </c>
      <c r="W94" s="768">
        <f t="shared" si="158"/>
        <v>0</v>
      </c>
      <c r="X94" s="769">
        <f t="shared" si="159"/>
        <v>0</v>
      </c>
      <c r="Y94" s="770">
        <f t="shared" si="160"/>
        <v>0</v>
      </c>
      <c r="Z94" s="768">
        <f t="shared" si="161"/>
        <v>0</v>
      </c>
      <c r="AA94" s="769">
        <v>0</v>
      </c>
      <c r="AB94" s="770">
        <f t="shared" si="162"/>
        <v>0</v>
      </c>
      <c r="AC94" s="768">
        <f t="shared" si="163"/>
        <v>0</v>
      </c>
      <c r="AD94" s="769">
        <f t="shared" si="164"/>
        <v>0</v>
      </c>
      <c r="AE94" s="770">
        <f t="shared" si="165"/>
        <v>0</v>
      </c>
      <c r="AF94" s="773"/>
      <c r="AG94" s="773"/>
      <c r="AH94" s="775"/>
      <c r="AI94" s="773"/>
      <c r="AJ94" s="773"/>
      <c r="AK94" s="775"/>
      <c r="AL94" s="776"/>
      <c r="AM94" s="777">
        <f t="shared" si="76"/>
        <v>100800</v>
      </c>
      <c r="AN94" s="788">
        <f t="shared" si="77"/>
        <v>0</v>
      </c>
      <c r="AO94" s="789">
        <f t="shared" si="78"/>
        <v>100799</v>
      </c>
      <c r="AP94" s="878"/>
      <c r="AQ94" s="879"/>
      <c r="AR94" s="879"/>
      <c r="AS94" s="889"/>
      <c r="AT94" s="889"/>
      <c r="AU94" s="889"/>
      <c r="AV94" s="889"/>
      <c r="AW94" s="889"/>
      <c r="AX94" s="889"/>
    </row>
    <row r="95" spans="2:50" s="297" customFormat="1" ht="23.25" hidden="1" customHeight="1" x14ac:dyDescent="0.35">
      <c r="B95" s="740" t="s">
        <v>134</v>
      </c>
      <c r="C95" s="787">
        <v>80000</v>
      </c>
      <c r="D95" s="771">
        <v>9600</v>
      </c>
      <c r="E95" s="771">
        <v>89600</v>
      </c>
      <c r="F95" s="771"/>
      <c r="G95" s="771"/>
      <c r="H95" s="771"/>
      <c r="I95" s="771">
        <v>89600</v>
      </c>
      <c r="J95" s="548">
        <v>0</v>
      </c>
      <c r="K95" s="295">
        <v>1</v>
      </c>
      <c r="L95" s="295">
        <v>0</v>
      </c>
      <c r="M95" s="295">
        <v>0</v>
      </c>
      <c r="N95" s="549">
        <v>0</v>
      </c>
      <c r="O95" s="295"/>
      <c r="P95" s="295"/>
      <c r="Q95" s="768">
        <f t="shared" si="154"/>
        <v>0</v>
      </c>
      <c r="R95" s="769">
        <f t="shared" si="155"/>
        <v>0</v>
      </c>
      <c r="S95" s="770">
        <f t="shared" si="74"/>
        <v>0</v>
      </c>
      <c r="T95" s="768">
        <f t="shared" si="156"/>
        <v>89600</v>
      </c>
      <c r="U95" s="769">
        <f t="shared" si="157"/>
        <v>0</v>
      </c>
      <c r="V95" s="770">
        <f t="shared" si="75"/>
        <v>89600</v>
      </c>
      <c r="W95" s="768">
        <f t="shared" si="158"/>
        <v>0</v>
      </c>
      <c r="X95" s="769">
        <f t="shared" si="159"/>
        <v>0</v>
      </c>
      <c r="Y95" s="770">
        <f t="shared" si="160"/>
        <v>0</v>
      </c>
      <c r="Z95" s="768">
        <f t="shared" si="161"/>
        <v>0</v>
      </c>
      <c r="AA95" s="769">
        <v>0</v>
      </c>
      <c r="AB95" s="770">
        <f t="shared" si="162"/>
        <v>0</v>
      </c>
      <c r="AC95" s="768">
        <f t="shared" si="163"/>
        <v>0</v>
      </c>
      <c r="AD95" s="769">
        <f t="shared" si="164"/>
        <v>0</v>
      </c>
      <c r="AE95" s="770">
        <f t="shared" si="165"/>
        <v>0</v>
      </c>
      <c r="AF95" s="773"/>
      <c r="AG95" s="773"/>
      <c r="AH95" s="775"/>
      <c r="AI95" s="773"/>
      <c r="AJ95" s="773"/>
      <c r="AK95" s="775"/>
      <c r="AL95" s="776"/>
      <c r="AM95" s="777">
        <f t="shared" si="76"/>
        <v>89600</v>
      </c>
      <c r="AN95" s="788">
        <f t="shared" si="77"/>
        <v>0</v>
      </c>
      <c r="AO95" s="789">
        <f t="shared" si="78"/>
        <v>89599</v>
      </c>
      <c r="AP95" s="878"/>
      <c r="AQ95" s="879"/>
      <c r="AR95" s="879"/>
      <c r="AS95" s="889"/>
      <c r="AT95" s="889"/>
      <c r="AU95" s="889"/>
      <c r="AV95" s="889"/>
      <c r="AW95" s="889"/>
      <c r="AX95" s="889"/>
    </row>
    <row r="96" spans="2:50" s="92" customFormat="1" ht="31.5" customHeight="1" outlineLevel="1" x14ac:dyDescent="0.35">
      <c r="B96" s="532" t="s">
        <v>135</v>
      </c>
      <c r="C96" s="357">
        <f>C97</f>
        <v>93000</v>
      </c>
      <c r="D96" s="906">
        <f>D97</f>
        <v>11160</v>
      </c>
      <c r="E96" s="906">
        <f>E97</f>
        <v>104160</v>
      </c>
      <c r="F96" s="906"/>
      <c r="G96" s="906"/>
      <c r="H96" s="906"/>
      <c r="I96" s="343">
        <f>I97</f>
        <v>104160</v>
      </c>
      <c r="J96" s="906"/>
      <c r="K96" s="906"/>
      <c r="L96" s="906"/>
      <c r="M96" s="906"/>
      <c r="N96" s="906"/>
      <c r="O96" s="906"/>
      <c r="P96" s="906"/>
      <c r="Q96" s="651">
        <f>Q97+Q98</f>
        <v>0</v>
      </c>
      <c r="R96" s="907">
        <f t="shared" ref="R96:AE96" si="166">R97+R98</f>
        <v>0</v>
      </c>
      <c r="S96" s="652">
        <f t="shared" si="74"/>
        <v>0</v>
      </c>
      <c r="T96" s="907">
        <f t="shared" si="166"/>
        <v>20832</v>
      </c>
      <c r="U96" s="907">
        <f t="shared" si="166"/>
        <v>0</v>
      </c>
      <c r="V96" s="652">
        <f t="shared" si="75"/>
        <v>20832</v>
      </c>
      <c r="W96" s="907">
        <f t="shared" si="166"/>
        <v>83328</v>
      </c>
      <c r="X96" s="907">
        <f t="shared" si="166"/>
        <v>0</v>
      </c>
      <c r="Y96" s="652">
        <f t="shared" si="166"/>
        <v>83328</v>
      </c>
      <c r="Z96" s="907">
        <f t="shared" si="166"/>
        <v>0</v>
      </c>
      <c r="AA96" s="907">
        <f t="shared" si="166"/>
        <v>0</v>
      </c>
      <c r="AB96" s="652">
        <f t="shared" si="166"/>
        <v>0</v>
      </c>
      <c r="AC96" s="907">
        <f t="shared" si="166"/>
        <v>0</v>
      </c>
      <c r="AD96" s="907">
        <f t="shared" si="166"/>
        <v>0</v>
      </c>
      <c r="AE96" s="652">
        <f t="shared" si="166"/>
        <v>0</v>
      </c>
      <c r="AF96" s="653"/>
      <c r="AG96" s="653"/>
      <c r="AH96" s="652"/>
      <c r="AI96" s="653"/>
      <c r="AJ96" s="653"/>
      <c r="AK96" s="652"/>
      <c r="AL96" s="653"/>
      <c r="AM96" s="651">
        <f t="shared" si="76"/>
        <v>104160</v>
      </c>
      <c r="AN96" s="907">
        <f t="shared" si="77"/>
        <v>0</v>
      </c>
      <c r="AO96" s="652">
        <f t="shared" si="78"/>
        <v>104159</v>
      </c>
      <c r="AP96" s="878"/>
      <c r="AQ96" s="879"/>
      <c r="AR96" s="879"/>
      <c r="AS96" s="879"/>
      <c r="AT96" s="889"/>
      <c r="AU96" s="889"/>
      <c r="AV96" s="889"/>
      <c r="AW96" s="889"/>
      <c r="AX96" s="889"/>
    </row>
    <row r="97" spans="2:50" s="297" customFormat="1" ht="23.5" hidden="1" x14ac:dyDescent="0.35">
      <c r="B97" s="740" t="s">
        <v>136</v>
      </c>
      <c r="C97" s="787">
        <v>93000</v>
      </c>
      <c r="D97" s="771">
        <v>11160</v>
      </c>
      <c r="E97" s="771">
        <v>104160</v>
      </c>
      <c r="F97" s="771"/>
      <c r="G97" s="771"/>
      <c r="H97" s="766"/>
      <c r="I97" s="771">
        <v>104160</v>
      </c>
      <c r="J97" s="548">
        <v>0</v>
      </c>
      <c r="K97" s="295">
        <v>0.2</v>
      </c>
      <c r="L97" s="295">
        <v>0.8</v>
      </c>
      <c r="M97" s="295">
        <v>0</v>
      </c>
      <c r="N97" s="549">
        <v>0</v>
      </c>
      <c r="O97" s="295"/>
      <c r="P97" s="295"/>
      <c r="Q97" s="768">
        <f t="shared" ref="Q97:Q98" si="167">$E97*J97</f>
        <v>0</v>
      </c>
      <c r="R97" s="769">
        <f t="shared" ref="R97:R98" si="168">$H97*J97</f>
        <v>0</v>
      </c>
      <c r="S97" s="770">
        <f t="shared" si="74"/>
        <v>0</v>
      </c>
      <c r="T97" s="768">
        <f t="shared" ref="T97:T98" si="169">$E97*K97</f>
        <v>20832</v>
      </c>
      <c r="U97" s="769">
        <f t="shared" ref="U97:U98" si="170">$H97*K97</f>
        <v>0</v>
      </c>
      <c r="V97" s="770">
        <f t="shared" si="75"/>
        <v>20832</v>
      </c>
      <c r="W97" s="768">
        <f t="shared" ref="W97:W98" si="171">$E97*L97</f>
        <v>83328</v>
      </c>
      <c r="X97" s="769">
        <f t="shared" ref="X97:X98" si="172">$H97*L97</f>
        <v>0</v>
      </c>
      <c r="Y97" s="770">
        <f t="shared" ref="Y97:Y98" si="173">W97+X97</f>
        <v>83328</v>
      </c>
      <c r="Z97" s="768">
        <f t="shared" ref="Z97:Z98" si="174">$E97*M97</f>
        <v>0</v>
      </c>
      <c r="AA97" s="769">
        <v>0</v>
      </c>
      <c r="AB97" s="770">
        <f t="shared" ref="AB97:AB98" si="175">Z97+AA97</f>
        <v>0</v>
      </c>
      <c r="AC97" s="768">
        <f t="shared" ref="AC97:AC98" si="176">$E97*N97</f>
        <v>0</v>
      </c>
      <c r="AD97" s="769">
        <f t="shared" ref="AD97:AD98" si="177">$H97*N97</f>
        <v>0</v>
      </c>
      <c r="AE97" s="770">
        <f t="shared" ref="AE97:AE98" si="178">AC97+AD97</f>
        <v>0</v>
      </c>
      <c r="AF97" s="773"/>
      <c r="AG97" s="773"/>
      <c r="AH97" s="775"/>
      <c r="AI97" s="773"/>
      <c r="AJ97" s="773"/>
      <c r="AK97" s="775"/>
      <c r="AL97" s="776"/>
      <c r="AM97" s="777">
        <f t="shared" si="76"/>
        <v>104160</v>
      </c>
      <c r="AN97" s="788">
        <f t="shared" si="77"/>
        <v>0</v>
      </c>
      <c r="AO97" s="789">
        <f t="shared" si="78"/>
        <v>104159</v>
      </c>
      <c r="AP97" s="878"/>
      <c r="AQ97" s="879"/>
      <c r="AR97" s="879"/>
      <c r="AS97" s="889"/>
      <c r="AT97" s="877"/>
      <c r="AU97" s="889"/>
      <c r="AV97" s="889"/>
      <c r="AW97" s="889"/>
      <c r="AX97" s="889"/>
    </row>
    <row r="98" spans="2:50" s="297" customFormat="1" ht="2.15" customHeight="1" x14ac:dyDescent="0.35">
      <c r="B98" s="740"/>
      <c r="C98" s="787"/>
      <c r="D98" s="771"/>
      <c r="E98" s="771"/>
      <c r="F98" s="771"/>
      <c r="G98" s="771"/>
      <c r="H98" s="766"/>
      <c r="I98" s="771"/>
      <c r="J98" s="548"/>
      <c r="K98" s="295"/>
      <c r="L98" s="295"/>
      <c r="M98" s="295"/>
      <c r="N98" s="549"/>
      <c r="O98" s="295"/>
      <c r="P98" s="295"/>
      <c r="Q98" s="768">
        <f t="shared" si="167"/>
        <v>0</v>
      </c>
      <c r="R98" s="769">
        <f t="shared" si="168"/>
        <v>0</v>
      </c>
      <c r="S98" s="770">
        <f t="shared" si="74"/>
        <v>0</v>
      </c>
      <c r="T98" s="768">
        <f t="shared" si="169"/>
        <v>0</v>
      </c>
      <c r="U98" s="769">
        <f t="shared" si="170"/>
        <v>0</v>
      </c>
      <c r="V98" s="770">
        <f t="shared" si="75"/>
        <v>0</v>
      </c>
      <c r="W98" s="768">
        <f t="shared" si="171"/>
        <v>0</v>
      </c>
      <c r="X98" s="769">
        <f t="shared" si="172"/>
        <v>0</v>
      </c>
      <c r="Y98" s="770">
        <f t="shared" si="173"/>
        <v>0</v>
      </c>
      <c r="Z98" s="768">
        <f t="shared" si="174"/>
        <v>0</v>
      </c>
      <c r="AA98" s="769">
        <v>0</v>
      </c>
      <c r="AB98" s="770">
        <f t="shared" si="175"/>
        <v>0</v>
      </c>
      <c r="AC98" s="768">
        <f t="shared" si="176"/>
        <v>0</v>
      </c>
      <c r="AD98" s="769">
        <f t="shared" si="177"/>
        <v>0</v>
      </c>
      <c r="AE98" s="770">
        <f t="shared" si="178"/>
        <v>0</v>
      </c>
      <c r="AF98" s="773"/>
      <c r="AG98" s="773"/>
      <c r="AH98" s="775"/>
      <c r="AI98" s="773"/>
      <c r="AJ98" s="773"/>
      <c r="AK98" s="775"/>
      <c r="AL98" s="776"/>
      <c r="AM98" s="777">
        <f t="shared" si="76"/>
        <v>0</v>
      </c>
      <c r="AN98" s="788">
        <f t="shared" si="77"/>
        <v>0</v>
      </c>
      <c r="AO98" s="789">
        <f t="shared" si="78"/>
        <v>-1</v>
      </c>
      <c r="AP98" s="878"/>
      <c r="AQ98" s="879"/>
      <c r="AR98" s="879"/>
      <c r="AS98" s="879"/>
      <c r="AT98" s="889"/>
      <c r="AU98" s="884"/>
      <c r="AV98" s="884"/>
      <c r="AW98" s="884"/>
      <c r="AX98" s="884"/>
    </row>
    <row r="99" spans="2:50" s="92" customFormat="1" ht="31.5" customHeight="1" outlineLevel="1" x14ac:dyDescent="0.35">
      <c r="B99" s="532" t="s">
        <v>137</v>
      </c>
      <c r="C99" s="357">
        <v>324900</v>
      </c>
      <c r="D99" s="906">
        <v>38988</v>
      </c>
      <c r="E99" s="906">
        <v>363888</v>
      </c>
      <c r="F99" s="906"/>
      <c r="G99" s="906"/>
      <c r="H99" s="906"/>
      <c r="I99" s="343">
        <v>363888</v>
      </c>
      <c r="J99" s="906"/>
      <c r="K99" s="906"/>
      <c r="L99" s="906"/>
      <c r="M99" s="906"/>
      <c r="N99" s="906"/>
      <c r="O99" s="906"/>
      <c r="P99" s="906"/>
      <c r="Q99" s="651">
        <f>Q100+Q101+Q102</f>
        <v>0</v>
      </c>
      <c r="R99" s="907">
        <f t="shared" ref="R99:AC99" si="179">R100+R101+R102</f>
        <v>0</v>
      </c>
      <c r="S99" s="652">
        <f t="shared" si="74"/>
        <v>0</v>
      </c>
      <c r="T99" s="907">
        <f t="shared" si="179"/>
        <v>24292.800000000003</v>
      </c>
      <c r="U99" s="907">
        <f t="shared" si="179"/>
        <v>0</v>
      </c>
      <c r="V99" s="652">
        <f t="shared" si="75"/>
        <v>24292.800000000003</v>
      </c>
      <c r="W99" s="907">
        <f t="shared" si="179"/>
        <v>175896</v>
      </c>
      <c r="X99" s="907">
        <f t="shared" si="179"/>
        <v>0</v>
      </c>
      <c r="Y99" s="652">
        <f t="shared" si="179"/>
        <v>175896</v>
      </c>
      <c r="Z99" s="907">
        <f t="shared" si="179"/>
        <v>151603.20000000001</v>
      </c>
      <c r="AA99" s="907">
        <f t="shared" si="179"/>
        <v>0</v>
      </c>
      <c r="AB99" s="652">
        <f t="shared" si="179"/>
        <v>151603.20000000001</v>
      </c>
      <c r="AC99" s="907">
        <f t="shared" si="179"/>
        <v>12096</v>
      </c>
      <c r="AD99" s="907">
        <f t="shared" ref="AD99" si="180">AD100+AD101+AD102</f>
        <v>0</v>
      </c>
      <c r="AE99" s="652">
        <f t="shared" ref="AE99" si="181">AE100+AE101+AE102</f>
        <v>12096</v>
      </c>
      <c r="AF99" s="653"/>
      <c r="AG99" s="653"/>
      <c r="AH99" s="652"/>
      <c r="AI99" s="653"/>
      <c r="AJ99" s="653"/>
      <c r="AK99" s="652"/>
      <c r="AL99" s="653"/>
      <c r="AM99" s="651">
        <f t="shared" si="76"/>
        <v>363888</v>
      </c>
      <c r="AN99" s="907">
        <f t="shared" si="77"/>
        <v>0</v>
      </c>
      <c r="AO99" s="652">
        <f t="shared" si="78"/>
        <v>363887</v>
      </c>
      <c r="AP99" s="878"/>
      <c r="AQ99" s="879"/>
      <c r="AR99" s="879"/>
      <c r="AS99" s="889"/>
      <c r="AT99" s="884"/>
      <c r="AU99" s="889"/>
      <c r="AV99" s="889"/>
      <c r="AW99" s="889"/>
      <c r="AX99" s="889"/>
    </row>
    <row r="100" spans="2:50" s="297" customFormat="1" ht="23.25" hidden="1" customHeight="1" x14ac:dyDescent="0.35">
      <c r="B100" s="740" t="s">
        <v>219</v>
      </c>
      <c r="C100" s="787">
        <v>90000</v>
      </c>
      <c r="D100" s="771">
        <v>10800</v>
      </c>
      <c r="E100" s="771">
        <v>100800</v>
      </c>
      <c r="F100" s="771"/>
      <c r="G100" s="771"/>
      <c r="H100" s="771"/>
      <c r="I100" s="771">
        <v>100800</v>
      </c>
      <c r="J100" s="548">
        <v>0</v>
      </c>
      <c r="K100" s="295">
        <v>0</v>
      </c>
      <c r="L100" s="295">
        <v>0.5</v>
      </c>
      <c r="M100" s="295">
        <v>0.5</v>
      </c>
      <c r="N100" s="549">
        <v>0</v>
      </c>
      <c r="O100" s="295"/>
      <c r="P100" s="295"/>
      <c r="Q100" s="768">
        <f>$E100*J100</f>
        <v>0</v>
      </c>
      <c r="R100" s="769">
        <f t="shared" ref="R100:R102" si="182">$H100*J100</f>
        <v>0</v>
      </c>
      <c r="S100" s="770">
        <f t="shared" si="74"/>
        <v>0</v>
      </c>
      <c r="T100" s="768">
        <f t="shared" ref="T100:T102" si="183">$E100*K100</f>
        <v>0</v>
      </c>
      <c r="U100" s="769">
        <f t="shared" ref="U100:U102" si="184">$H100*K100</f>
        <v>0</v>
      </c>
      <c r="V100" s="770">
        <f t="shared" si="75"/>
        <v>0</v>
      </c>
      <c r="W100" s="768">
        <f t="shared" ref="W100:W102" si="185">$E100*L100</f>
        <v>50400</v>
      </c>
      <c r="X100" s="769">
        <f t="shared" ref="X100:X102" si="186">$H100*L100</f>
        <v>0</v>
      </c>
      <c r="Y100" s="770">
        <f t="shared" ref="Y100:Y102" si="187">W100+X100</f>
        <v>50400</v>
      </c>
      <c r="Z100" s="768">
        <f t="shared" ref="Z100:Z102" si="188">$E100*M100</f>
        <v>50400</v>
      </c>
      <c r="AA100" s="769">
        <v>0</v>
      </c>
      <c r="AB100" s="770">
        <f t="shared" ref="AB100:AB102" si="189">Z100+AA100</f>
        <v>50400</v>
      </c>
      <c r="AC100" s="768">
        <f t="shared" ref="AC100:AC102" si="190">$E100*N100</f>
        <v>0</v>
      </c>
      <c r="AD100" s="769">
        <f t="shared" ref="AD100:AD102" si="191">$H100*N100</f>
        <v>0</v>
      </c>
      <c r="AE100" s="770">
        <f t="shared" ref="AE100:AE102" si="192">AC100+AD100</f>
        <v>0</v>
      </c>
      <c r="AF100" s="773"/>
      <c r="AG100" s="773"/>
      <c r="AH100" s="775"/>
      <c r="AI100" s="773"/>
      <c r="AJ100" s="773"/>
      <c r="AK100" s="775"/>
      <c r="AL100" s="776"/>
      <c r="AM100" s="777">
        <f t="shared" si="76"/>
        <v>100800</v>
      </c>
      <c r="AN100" s="788">
        <f t="shared" si="77"/>
        <v>0</v>
      </c>
      <c r="AO100" s="789">
        <f t="shared" si="78"/>
        <v>100799</v>
      </c>
      <c r="AP100" s="878"/>
      <c r="AQ100" s="879"/>
      <c r="AR100" s="879"/>
      <c r="AS100" s="889"/>
      <c r="AT100" s="884"/>
      <c r="AU100" s="889"/>
      <c r="AV100" s="889"/>
      <c r="AW100" s="889"/>
      <c r="AX100" s="889"/>
    </row>
    <row r="101" spans="2:50" s="297" customFormat="1" ht="23.25" hidden="1" customHeight="1" x14ac:dyDescent="0.35">
      <c r="B101" s="740" t="s">
        <v>139</v>
      </c>
      <c r="C101" s="787">
        <v>18000</v>
      </c>
      <c r="D101" s="771">
        <v>2160</v>
      </c>
      <c r="E101" s="771">
        <v>20160</v>
      </c>
      <c r="F101" s="771"/>
      <c r="G101" s="771"/>
      <c r="H101" s="771"/>
      <c r="I101" s="771">
        <v>20160</v>
      </c>
      <c r="J101" s="548">
        <v>0</v>
      </c>
      <c r="K101" s="295">
        <v>0</v>
      </c>
      <c r="L101" s="295">
        <v>0.2</v>
      </c>
      <c r="M101" s="295">
        <v>0.2</v>
      </c>
      <c r="N101" s="549">
        <v>0.6</v>
      </c>
      <c r="O101" s="295"/>
      <c r="P101" s="295"/>
      <c r="Q101" s="768">
        <f t="shared" ref="Q101:Q102" si="193">$E101*J101</f>
        <v>0</v>
      </c>
      <c r="R101" s="769">
        <f t="shared" si="182"/>
        <v>0</v>
      </c>
      <c r="S101" s="770">
        <f t="shared" si="74"/>
        <v>0</v>
      </c>
      <c r="T101" s="768">
        <f t="shared" si="183"/>
        <v>0</v>
      </c>
      <c r="U101" s="769">
        <f t="shared" si="184"/>
        <v>0</v>
      </c>
      <c r="V101" s="770">
        <f t="shared" si="75"/>
        <v>0</v>
      </c>
      <c r="W101" s="768">
        <f t="shared" si="185"/>
        <v>4032</v>
      </c>
      <c r="X101" s="769">
        <f t="shared" si="186"/>
        <v>0</v>
      </c>
      <c r="Y101" s="770">
        <f t="shared" si="187"/>
        <v>4032</v>
      </c>
      <c r="Z101" s="768">
        <f t="shared" si="188"/>
        <v>4032</v>
      </c>
      <c r="AA101" s="769">
        <v>0</v>
      </c>
      <c r="AB101" s="770">
        <f t="shared" si="189"/>
        <v>4032</v>
      </c>
      <c r="AC101" s="768">
        <f t="shared" si="190"/>
        <v>12096</v>
      </c>
      <c r="AD101" s="769">
        <f t="shared" si="191"/>
        <v>0</v>
      </c>
      <c r="AE101" s="770">
        <f t="shared" si="192"/>
        <v>12096</v>
      </c>
      <c r="AF101" s="773"/>
      <c r="AG101" s="773"/>
      <c r="AH101" s="775"/>
      <c r="AI101" s="773"/>
      <c r="AJ101" s="773"/>
      <c r="AK101" s="775"/>
      <c r="AL101" s="776"/>
      <c r="AM101" s="777">
        <f t="shared" si="76"/>
        <v>20160</v>
      </c>
      <c r="AN101" s="788">
        <f t="shared" si="77"/>
        <v>0</v>
      </c>
      <c r="AO101" s="789">
        <f t="shared" si="78"/>
        <v>20159</v>
      </c>
      <c r="AP101" s="878"/>
      <c r="AQ101" s="879"/>
      <c r="AR101" s="879"/>
      <c r="AS101" s="889"/>
      <c r="AT101" s="884"/>
      <c r="AU101" s="889"/>
      <c r="AV101" s="889"/>
      <c r="AW101" s="889"/>
      <c r="AX101" s="889"/>
    </row>
    <row r="102" spans="2:50" s="297" customFormat="1" ht="23.25" hidden="1" customHeight="1" x14ac:dyDescent="0.35">
      <c r="B102" s="740" t="s">
        <v>140</v>
      </c>
      <c r="C102" s="787">
        <v>216900</v>
      </c>
      <c r="D102" s="771">
        <v>26028</v>
      </c>
      <c r="E102" s="771">
        <v>242928</v>
      </c>
      <c r="F102" s="771"/>
      <c r="G102" s="771"/>
      <c r="H102" s="771"/>
      <c r="I102" s="771">
        <v>242928</v>
      </c>
      <c r="J102" s="548">
        <v>0</v>
      </c>
      <c r="K102" s="295">
        <v>0.1</v>
      </c>
      <c r="L102" s="295">
        <v>0.5</v>
      </c>
      <c r="M102" s="295">
        <v>0.4</v>
      </c>
      <c r="N102" s="549">
        <v>0</v>
      </c>
      <c r="O102" s="295"/>
      <c r="P102" s="295"/>
      <c r="Q102" s="768">
        <f t="shared" si="193"/>
        <v>0</v>
      </c>
      <c r="R102" s="769">
        <f t="shared" si="182"/>
        <v>0</v>
      </c>
      <c r="S102" s="770">
        <f t="shared" si="74"/>
        <v>0</v>
      </c>
      <c r="T102" s="768">
        <f t="shared" si="183"/>
        <v>24292.800000000003</v>
      </c>
      <c r="U102" s="769">
        <f t="shared" si="184"/>
        <v>0</v>
      </c>
      <c r="V102" s="770">
        <f t="shared" si="75"/>
        <v>24292.800000000003</v>
      </c>
      <c r="W102" s="768">
        <f t="shared" si="185"/>
        <v>121464</v>
      </c>
      <c r="X102" s="769">
        <f t="shared" si="186"/>
        <v>0</v>
      </c>
      <c r="Y102" s="770">
        <f t="shared" si="187"/>
        <v>121464</v>
      </c>
      <c r="Z102" s="768">
        <f t="shared" si="188"/>
        <v>97171.200000000012</v>
      </c>
      <c r="AA102" s="769">
        <v>0</v>
      </c>
      <c r="AB102" s="770">
        <f t="shared" si="189"/>
        <v>97171.200000000012</v>
      </c>
      <c r="AC102" s="768">
        <f t="shared" si="190"/>
        <v>0</v>
      </c>
      <c r="AD102" s="769">
        <f t="shared" si="191"/>
        <v>0</v>
      </c>
      <c r="AE102" s="770">
        <f t="shared" si="192"/>
        <v>0</v>
      </c>
      <c r="AF102" s="773"/>
      <c r="AG102" s="773"/>
      <c r="AH102" s="775"/>
      <c r="AI102" s="773"/>
      <c r="AJ102" s="773"/>
      <c r="AK102" s="775"/>
      <c r="AL102" s="776"/>
      <c r="AM102" s="777">
        <f t="shared" si="76"/>
        <v>242928</v>
      </c>
      <c r="AN102" s="788">
        <f t="shared" si="77"/>
        <v>0</v>
      </c>
      <c r="AO102" s="789">
        <f t="shared" si="78"/>
        <v>242927</v>
      </c>
      <c r="AP102" s="878"/>
      <c r="AQ102" s="879"/>
      <c r="AR102" s="879"/>
      <c r="AS102" s="889"/>
      <c r="AT102" s="884"/>
      <c r="AU102" s="889"/>
      <c r="AV102" s="889"/>
      <c r="AW102" s="889"/>
      <c r="AX102" s="889"/>
    </row>
    <row r="103" spans="2:50" s="297" customFormat="1" ht="23.25" customHeight="1" x14ac:dyDescent="0.35">
      <c r="B103" s="340" t="s">
        <v>141</v>
      </c>
      <c r="C103" s="363">
        <f>C104+C107</f>
        <v>642500</v>
      </c>
      <c r="D103" s="904">
        <f>D104+D107</f>
        <v>77100</v>
      </c>
      <c r="E103" s="904">
        <f>E104+E107</f>
        <v>719600</v>
      </c>
      <c r="F103" s="904"/>
      <c r="G103" s="904"/>
      <c r="H103" s="904"/>
      <c r="I103" s="904">
        <f>E103</f>
        <v>719600</v>
      </c>
      <c r="J103" s="545">
        <v>0</v>
      </c>
      <c r="K103" s="294">
        <v>0</v>
      </c>
      <c r="L103" s="294">
        <v>0</v>
      </c>
      <c r="M103" s="294">
        <v>0</v>
      </c>
      <c r="N103" s="546">
        <v>0</v>
      </c>
      <c r="O103" s="294"/>
      <c r="P103" s="294"/>
      <c r="Q103" s="901">
        <f>Q104+Q107</f>
        <v>0</v>
      </c>
      <c r="R103" s="901">
        <v>0</v>
      </c>
      <c r="S103" s="901">
        <f t="shared" si="74"/>
        <v>0</v>
      </c>
      <c r="T103" s="901">
        <f>T104+T107</f>
        <v>101136</v>
      </c>
      <c r="U103" s="901">
        <v>0</v>
      </c>
      <c r="V103" s="901">
        <f t="shared" si="75"/>
        <v>101136</v>
      </c>
      <c r="W103" s="901">
        <f>W104+W107</f>
        <v>141848</v>
      </c>
      <c r="X103" s="901">
        <v>0</v>
      </c>
      <c r="Y103" s="901">
        <f t="shared" si="136"/>
        <v>141848</v>
      </c>
      <c r="Z103" s="901">
        <f>Z104+Z107</f>
        <v>235928</v>
      </c>
      <c r="AA103" s="901">
        <v>0</v>
      </c>
      <c r="AB103" s="901">
        <v>0</v>
      </c>
      <c r="AC103" s="901">
        <f>AC104+AC107</f>
        <v>240688</v>
      </c>
      <c r="AD103" s="901">
        <v>0</v>
      </c>
      <c r="AE103" s="540">
        <v>0</v>
      </c>
      <c r="AF103" s="901"/>
      <c r="AG103" s="694"/>
      <c r="AH103" s="694"/>
      <c r="AI103" s="572"/>
      <c r="AJ103" s="694"/>
      <c r="AK103" s="540"/>
      <c r="AL103" s="695"/>
      <c r="AM103" s="572">
        <f t="shared" si="76"/>
        <v>719600</v>
      </c>
      <c r="AN103" s="901">
        <f t="shared" si="77"/>
        <v>0</v>
      </c>
      <c r="AO103" s="540">
        <f t="shared" si="78"/>
        <v>719599</v>
      </c>
      <c r="AP103" s="878"/>
      <c r="AQ103" s="879"/>
      <c r="AR103" s="879"/>
      <c r="AS103" s="889"/>
      <c r="AT103" s="884"/>
      <c r="AU103" s="889"/>
      <c r="AV103" s="889"/>
      <c r="AW103" s="889"/>
      <c r="AX103" s="889"/>
    </row>
    <row r="104" spans="2:50" s="92" customFormat="1" ht="31.5" customHeight="1" outlineLevel="1" x14ac:dyDescent="0.35">
      <c r="B104" s="532" t="s">
        <v>142</v>
      </c>
      <c r="C104" s="357">
        <f>SUM(C105:C106)</f>
        <v>261000</v>
      </c>
      <c r="D104" s="906">
        <f>D105+D106</f>
        <v>31320</v>
      </c>
      <c r="E104" s="906">
        <f>E105+E106</f>
        <v>292320</v>
      </c>
      <c r="F104" s="906"/>
      <c r="G104" s="906"/>
      <c r="H104" s="906"/>
      <c r="I104" s="343">
        <f>E104</f>
        <v>292320</v>
      </c>
      <c r="J104" s="906"/>
      <c r="K104" s="906"/>
      <c r="L104" s="906"/>
      <c r="M104" s="906"/>
      <c r="N104" s="906"/>
      <c r="O104" s="906"/>
      <c r="P104" s="906"/>
      <c r="Q104" s="651">
        <f>Q105+Q106</f>
        <v>0</v>
      </c>
      <c r="R104" s="907">
        <f t="shared" ref="R104:AE104" si="194">R105+R106</f>
        <v>0</v>
      </c>
      <c r="S104" s="652">
        <f t="shared" si="74"/>
        <v>0</v>
      </c>
      <c r="T104" s="907">
        <f t="shared" si="194"/>
        <v>33600</v>
      </c>
      <c r="U104" s="907">
        <f t="shared" si="194"/>
        <v>0</v>
      </c>
      <c r="V104" s="652">
        <f t="shared" si="75"/>
        <v>33600</v>
      </c>
      <c r="W104" s="907">
        <f t="shared" si="194"/>
        <v>51744</v>
      </c>
      <c r="X104" s="907">
        <f t="shared" si="194"/>
        <v>0</v>
      </c>
      <c r="Y104" s="652">
        <f t="shared" si="194"/>
        <v>51744</v>
      </c>
      <c r="Z104" s="907">
        <f t="shared" si="194"/>
        <v>51744</v>
      </c>
      <c r="AA104" s="907">
        <f t="shared" si="194"/>
        <v>0</v>
      </c>
      <c r="AB104" s="652">
        <f t="shared" si="194"/>
        <v>51744</v>
      </c>
      <c r="AC104" s="907">
        <f t="shared" si="194"/>
        <v>155232</v>
      </c>
      <c r="AD104" s="907">
        <f t="shared" si="194"/>
        <v>0</v>
      </c>
      <c r="AE104" s="652">
        <f t="shared" si="194"/>
        <v>155232</v>
      </c>
      <c r="AF104" s="653"/>
      <c r="AG104" s="653"/>
      <c r="AH104" s="652"/>
      <c r="AI104" s="653"/>
      <c r="AJ104" s="653"/>
      <c r="AK104" s="652"/>
      <c r="AL104" s="653"/>
      <c r="AM104" s="651">
        <f t="shared" si="76"/>
        <v>292320</v>
      </c>
      <c r="AN104" s="907">
        <f t="shared" si="77"/>
        <v>0</v>
      </c>
      <c r="AO104" s="652">
        <f t="shared" si="78"/>
        <v>292319</v>
      </c>
      <c r="AP104" s="878"/>
      <c r="AQ104" s="879"/>
      <c r="AR104" s="879"/>
      <c r="AS104" s="889"/>
      <c r="AT104" s="884"/>
      <c r="AU104" s="889"/>
      <c r="AV104" s="889"/>
      <c r="AW104" s="889"/>
      <c r="AX104" s="889"/>
    </row>
    <row r="105" spans="2:50" s="297" customFormat="1" ht="23.25" hidden="1" customHeight="1" x14ac:dyDescent="0.35">
      <c r="B105" s="740" t="s">
        <v>143</v>
      </c>
      <c r="C105" s="787">
        <v>30000</v>
      </c>
      <c r="D105" s="771">
        <v>3600</v>
      </c>
      <c r="E105" s="771">
        <v>33600</v>
      </c>
      <c r="F105" s="771"/>
      <c r="G105" s="771"/>
      <c r="H105" s="771"/>
      <c r="I105" s="771">
        <v>33600</v>
      </c>
      <c r="J105" s="548">
        <v>0</v>
      </c>
      <c r="K105" s="295">
        <v>1</v>
      </c>
      <c r="L105" s="295">
        <v>0</v>
      </c>
      <c r="M105" s="295">
        <v>0</v>
      </c>
      <c r="N105" s="549">
        <v>0</v>
      </c>
      <c r="O105" s="295"/>
      <c r="P105" s="295"/>
      <c r="Q105" s="768">
        <f t="shared" ref="Q105:Q106" si="195">$E105*J105</f>
        <v>0</v>
      </c>
      <c r="R105" s="769">
        <f t="shared" ref="R105:R106" si="196">$H105*J105</f>
        <v>0</v>
      </c>
      <c r="S105" s="770">
        <f t="shared" si="74"/>
        <v>0</v>
      </c>
      <c r="T105" s="768">
        <f t="shared" ref="T105:T106" si="197">$E105*K105</f>
        <v>33600</v>
      </c>
      <c r="U105" s="769">
        <f t="shared" ref="U105:U106" si="198">$H105*K105</f>
        <v>0</v>
      </c>
      <c r="V105" s="770">
        <f t="shared" si="75"/>
        <v>33600</v>
      </c>
      <c r="W105" s="768">
        <f t="shared" ref="W105:W106" si="199">$E105*L105</f>
        <v>0</v>
      </c>
      <c r="X105" s="769">
        <f t="shared" ref="X105:X106" si="200">$H105*L105</f>
        <v>0</v>
      </c>
      <c r="Y105" s="770">
        <f t="shared" ref="Y105:Y106" si="201">W105+X105</f>
        <v>0</v>
      </c>
      <c r="Z105" s="768">
        <f t="shared" ref="Z105:Z106" si="202">$E105*M105</f>
        <v>0</v>
      </c>
      <c r="AA105" s="769">
        <v>0</v>
      </c>
      <c r="AB105" s="770">
        <f t="shared" ref="AB105:AB106" si="203">Z105+AA105</f>
        <v>0</v>
      </c>
      <c r="AC105" s="768">
        <f t="shared" ref="AC105:AC106" si="204">$E105*N105</f>
        <v>0</v>
      </c>
      <c r="AD105" s="769">
        <f t="shared" ref="AD105:AD106" si="205">$H105*N105</f>
        <v>0</v>
      </c>
      <c r="AE105" s="770">
        <f t="shared" ref="AE105:AE106" si="206">AC105+AD105</f>
        <v>0</v>
      </c>
      <c r="AF105" s="773"/>
      <c r="AG105" s="773"/>
      <c r="AH105" s="775"/>
      <c r="AI105" s="773"/>
      <c r="AJ105" s="773"/>
      <c r="AK105" s="775"/>
      <c r="AL105" s="776"/>
      <c r="AM105" s="777">
        <f t="shared" si="76"/>
        <v>33600</v>
      </c>
      <c r="AN105" s="788">
        <f t="shared" si="77"/>
        <v>0</v>
      </c>
      <c r="AO105" s="789">
        <f t="shared" si="78"/>
        <v>33599</v>
      </c>
      <c r="AP105" s="878"/>
      <c r="AQ105" s="879"/>
      <c r="AR105" s="879"/>
      <c r="AS105" s="889"/>
      <c r="AT105" s="884"/>
      <c r="AU105" s="889"/>
      <c r="AV105" s="889"/>
      <c r="AW105" s="889"/>
      <c r="AX105" s="889"/>
    </row>
    <row r="106" spans="2:50" s="297" customFormat="1" ht="36.65" hidden="1" customHeight="1" x14ac:dyDescent="0.35">
      <c r="B106" s="740" t="s">
        <v>144</v>
      </c>
      <c r="C106" s="787">
        <v>231000</v>
      </c>
      <c r="D106" s="771">
        <v>27720</v>
      </c>
      <c r="E106" s="771">
        <v>258720</v>
      </c>
      <c r="F106" s="771"/>
      <c r="G106" s="771"/>
      <c r="H106" s="771"/>
      <c r="I106" s="771">
        <f>E106</f>
        <v>258720</v>
      </c>
      <c r="J106" s="548">
        <v>0</v>
      </c>
      <c r="K106" s="295">
        <v>0</v>
      </c>
      <c r="L106" s="295">
        <v>0.2</v>
      </c>
      <c r="M106" s="295">
        <v>0.2</v>
      </c>
      <c r="N106" s="549">
        <v>0.6</v>
      </c>
      <c r="O106" s="295"/>
      <c r="P106" s="295"/>
      <c r="Q106" s="768">
        <f t="shared" si="195"/>
        <v>0</v>
      </c>
      <c r="R106" s="769">
        <f t="shared" si="196"/>
        <v>0</v>
      </c>
      <c r="S106" s="770">
        <f t="shared" si="74"/>
        <v>0</v>
      </c>
      <c r="T106" s="768">
        <f t="shared" si="197"/>
        <v>0</v>
      </c>
      <c r="U106" s="769">
        <f t="shared" si="198"/>
        <v>0</v>
      </c>
      <c r="V106" s="770">
        <f t="shared" si="75"/>
        <v>0</v>
      </c>
      <c r="W106" s="768">
        <f t="shared" si="199"/>
        <v>51744</v>
      </c>
      <c r="X106" s="769">
        <f t="shared" si="200"/>
        <v>0</v>
      </c>
      <c r="Y106" s="770">
        <f t="shared" si="201"/>
        <v>51744</v>
      </c>
      <c r="Z106" s="768">
        <f t="shared" si="202"/>
        <v>51744</v>
      </c>
      <c r="AA106" s="769">
        <v>0</v>
      </c>
      <c r="AB106" s="770">
        <f t="shared" si="203"/>
        <v>51744</v>
      </c>
      <c r="AC106" s="768">
        <f t="shared" si="204"/>
        <v>155232</v>
      </c>
      <c r="AD106" s="769">
        <f t="shared" si="205"/>
        <v>0</v>
      </c>
      <c r="AE106" s="770">
        <f t="shared" si="206"/>
        <v>155232</v>
      </c>
      <c r="AF106" s="773"/>
      <c r="AG106" s="773"/>
      <c r="AH106" s="775"/>
      <c r="AI106" s="773"/>
      <c r="AJ106" s="773"/>
      <c r="AK106" s="775"/>
      <c r="AL106" s="776"/>
      <c r="AM106" s="777">
        <f t="shared" si="76"/>
        <v>258720</v>
      </c>
      <c r="AN106" s="788">
        <f t="shared" si="77"/>
        <v>0</v>
      </c>
      <c r="AO106" s="789">
        <f t="shared" si="78"/>
        <v>258719</v>
      </c>
      <c r="AP106" s="878"/>
      <c r="AQ106" s="879"/>
      <c r="AR106" s="879"/>
      <c r="AS106" s="889"/>
      <c r="AT106" s="884"/>
      <c r="AU106" s="889"/>
      <c r="AV106" s="889"/>
      <c r="AW106" s="889"/>
      <c r="AX106" s="889"/>
    </row>
    <row r="107" spans="2:50" s="92" customFormat="1" ht="31.5" customHeight="1" outlineLevel="1" x14ac:dyDescent="0.35">
      <c r="B107" s="532" t="s">
        <v>145</v>
      </c>
      <c r="C107" s="357">
        <f>SUM(C108:C111)</f>
        <v>381500</v>
      </c>
      <c r="D107" s="906">
        <f>SUM(D108:D111)</f>
        <v>45780</v>
      </c>
      <c r="E107" s="906">
        <f>SUM(E108:E111)</f>
        <v>427280</v>
      </c>
      <c r="F107" s="906"/>
      <c r="G107" s="906"/>
      <c r="H107" s="906"/>
      <c r="I107" s="343">
        <f>E107</f>
        <v>427280</v>
      </c>
      <c r="J107" s="906"/>
      <c r="K107" s="906"/>
      <c r="L107" s="906"/>
      <c r="M107" s="906"/>
      <c r="N107" s="906"/>
      <c r="O107" s="906"/>
      <c r="P107" s="906"/>
      <c r="Q107" s="651">
        <f>Q108+Q109+Q110+Q111</f>
        <v>0</v>
      </c>
      <c r="R107" s="907">
        <f t="shared" ref="R107:AE107" si="207">R108+R109+R110+R111</f>
        <v>0</v>
      </c>
      <c r="S107" s="652">
        <f t="shared" si="74"/>
        <v>0</v>
      </c>
      <c r="T107" s="907">
        <f t="shared" si="207"/>
        <v>67536</v>
      </c>
      <c r="U107" s="907">
        <f t="shared" si="207"/>
        <v>0</v>
      </c>
      <c r="V107" s="652">
        <f t="shared" si="75"/>
        <v>67536</v>
      </c>
      <c r="W107" s="907">
        <f t="shared" si="207"/>
        <v>90104</v>
      </c>
      <c r="X107" s="907">
        <f t="shared" si="207"/>
        <v>0</v>
      </c>
      <c r="Y107" s="652">
        <f t="shared" si="207"/>
        <v>90104</v>
      </c>
      <c r="Z107" s="907">
        <f t="shared" si="207"/>
        <v>184184</v>
      </c>
      <c r="AA107" s="907">
        <f t="shared" si="207"/>
        <v>0</v>
      </c>
      <c r="AB107" s="652">
        <f t="shared" si="207"/>
        <v>184184</v>
      </c>
      <c r="AC107" s="907">
        <f t="shared" si="207"/>
        <v>85456</v>
      </c>
      <c r="AD107" s="907">
        <f t="shared" si="207"/>
        <v>0</v>
      </c>
      <c r="AE107" s="652">
        <f t="shared" si="207"/>
        <v>85456</v>
      </c>
      <c r="AF107" s="653"/>
      <c r="AG107" s="653"/>
      <c r="AH107" s="652"/>
      <c r="AI107" s="653"/>
      <c r="AJ107" s="653"/>
      <c r="AK107" s="652"/>
      <c r="AL107" s="653"/>
      <c r="AM107" s="651">
        <f t="shared" si="76"/>
        <v>427280</v>
      </c>
      <c r="AN107" s="907">
        <f t="shared" si="77"/>
        <v>0</v>
      </c>
      <c r="AO107" s="652">
        <f t="shared" si="78"/>
        <v>427279</v>
      </c>
      <c r="AP107" s="878"/>
      <c r="AQ107" s="879"/>
      <c r="AR107" s="879"/>
      <c r="AS107" s="889"/>
      <c r="AT107" s="889"/>
      <c r="AU107" s="889"/>
      <c r="AV107" s="889"/>
      <c r="AW107" s="889"/>
      <c r="AX107" s="889"/>
    </row>
    <row r="108" spans="2:50" s="297" customFormat="1" ht="23.25" hidden="1" customHeight="1" x14ac:dyDescent="0.35">
      <c r="B108" s="791" t="s">
        <v>146</v>
      </c>
      <c r="C108" s="787">
        <v>20000</v>
      </c>
      <c r="D108" s="771">
        <v>2400</v>
      </c>
      <c r="E108" s="771">
        <v>22400</v>
      </c>
      <c r="F108" s="771"/>
      <c r="G108" s="771"/>
      <c r="H108" s="771"/>
      <c r="I108" s="771">
        <f>E108</f>
        <v>22400</v>
      </c>
      <c r="J108" s="548">
        <v>0</v>
      </c>
      <c r="K108" s="295">
        <v>0.6</v>
      </c>
      <c r="L108" s="295">
        <v>0.4</v>
      </c>
      <c r="M108" s="295">
        <v>0</v>
      </c>
      <c r="N108" s="549">
        <v>0</v>
      </c>
      <c r="O108" s="295"/>
      <c r="P108" s="295"/>
      <c r="Q108" s="768">
        <f t="shared" ref="Q108:Q111" si="208">$E108*J108</f>
        <v>0</v>
      </c>
      <c r="R108" s="769">
        <f t="shared" ref="R108:R111" si="209">$H108*J108</f>
        <v>0</v>
      </c>
      <c r="S108" s="770">
        <f t="shared" si="74"/>
        <v>0</v>
      </c>
      <c r="T108" s="768">
        <f t="shared" ref="T108:T111" si="210">$E108*K108</f>
        <v>13440</v>
      </c>
      <c r="U108" s="769">
        <f t="shared" ref="U108:U111" si="211">$H108*K108</f>
        <v>0</v>
      </c>
      <c r="V108" s="770">
        <f t="shared" si="75"/>
        <v>13440</v>
      </c>
      <c r="W108" s="768">
        <f t="shared" ref="W108:W111" si="212">$E108*L108</f>
        <v>8960</v>
      </c>
      <c r="X108" s="769">
        <f t="shared" ref="X108:X111" si="213">$H108*L108</f>
        <v>0</v>
      </c>
      <c r="Y108" s="770">
        <f t="shared" ref="Y108:Y111" si="214">W108+X108</f>
        <v>8960</v>
      </c>
      <c r="Z108" s="768">
        <f t="shared" ref="Z108:Z111" si="215">$E108*M108</f>
        <v>0</v>
      </c>
      <c r="AA108" s="769">
        <v>0</v>
      </c>
      <c r="AB108" s="770">
        <f t="shared" ref="AB108:AB111" si="216">Z108+AA108</f>
        <v>0</v>
      </c>
      <c r="AC108" s="768">
        <f t="shared" ref="AC108:AC111" si="217">$E108*N108</f>
        <v>0</v>
      </c>
      <c r="AD108" s="769">
        <f t="shared" ref="AD108:AD111" si="218">$H108*N108</f>
        <v>0</v>
      </c>
      <c r="AE108" s="770">
        <f t="shared" ref="AE108:AE111" si="219">AC108+AD108</f>
        <v>0</v>
      </c>
      <c r="AF108" s="773"/>
      <c r="AG108" s="773"/>
      <c r="AH108" s="775"/>
      <c r="AI108" s="773"/>
      <c r="AJ108" s="773"/>
      <c r="AK108" s="775"/>
      <c r="AL108" s="776"/>
      <c r="AM108" s="777">
        <f t="shared" si="76"/>
        <v>22400</v>
      </c>
      <c r="AN108" s="788">
        <f t="shared" si="77"/>
        <v>0</v>
      </c>
      <c r="AO108" s="789">
        <f t="shared" si="78"/>
        <v>22399</v>
      </c>
      <c r="AP108" s="878"/>
      <c r="AQ108" s="879"/>
      <c r="AR108" s="879"/>
      <c r="AS108" s="889"/>
      <c r="AT108" s="889"/>
      <c r="AU108" s="889"/>
      <c r="AV108" s="889"/>
      <c r="AW108" s="889"/>
      <c r="AX108" s="889"/>
    </row>
    <row r="109" spans="2:50" s="297" customFormat="1" ht="23.25" hidden="1" customHeight="1" x14ac:dyDescent="0.35">
      <c r="B109" s="791" t="s">
        <v>147</v>
      </c>
      <c r="C109" s="787">
        <v>50000</v>
      </c>
      <c r="D109" s="771">
        <v>6000</v>
      </c>
      <c r="E109" s="771">
        <v>56000</v>
      </c>
      <c r="F109" s="771"/>
      <c r="G109" s="771"/>
      <c r="H109" s="771"/>
      <c r="I109" s="771">
        <f t="shared" ref="I109:I111" si="220">E109</f>
        <v>56000</v>
      </c>
      <c r="J109" s="548">
        <v>0</v>
      </c>
      <c r="K109" s="295">
        <v>0</v>
      </c>
      <c r="L109" s="295">
        <v>0</v>
      </c>
      <c r="M109" s="295">
        <v>1</v>
      </c>
      <c r="N109" s="549">
        <v>0</v>
      </c>
      <c r="O109" s="295"/>
      <c r="P109" s="295"/>
      <c r="Q109" s="768">
        <f t="shared" si="208"/>
        <v>0</v>
      </c>
      <c r="R109" s="769">
        <f t="shared" si="209"/>
        <v>0</v>
      </c>
      <c r="S109" s="770">
        <f t="shared" si="74"/>
        <v>0</v>
      </c>
      <c r="T109" s="768">
        <f t="shared" si="210"/>
        <v>0</v>
      </c>
      <c r="U109" s="769">
        <f t="shared" si="211"/>
        <v>0</v>
      </c>
      <c r="V109" s="770">
        <f t="shared" si="75"/>
        <v>0</v>
      </c>
      <c r="W109" s="768">
        <f t="shared" si="212"/>
        <v>0</v>
      </c>
      <c r="X109" s="769">
        <f t="shared" si="213"/>
        <v>0</v>
      </c>
      <c r="Y109" s="770">
        <f t="shared" si="214"/>
        <v>0</v>
      </c>
      <c r="Z109" s="768">
        <f t="shared" si="215"/>
        <v>56000</v>
      </c>
      <c r="AA109" s="769">
        <v>0</v>
      </c>
      <c r="AB109" s="770">
        <f t="shared" si="216"/>
        <v>56000</v>
      </c>
      <c r="AC109" s="768">
        <f t="shared" si="217"/>
        <v>0</v>
      </c>
      <c r="AD109" s="769">
        <f t="shared" si="218"/>
        <v>0</v>
      </c>
      <c r="AE109" s="770">
        <f t="shared" si="219"/>
        <v>0</v>
      </c>
      <c r="AF109" s="773"/>
      <c r="AG109" s="773"/>
      <c r="AH109" s="775"/>
      <c r="AI109" s="773"/>
      <c r="AJ109" s="773"/>
      <c r="AK109" s="775"/>
      <c r="AL109" s="776"/>
      <c r="AM109" s="777">
        <f t="shared" si="76"/>
        <v>56000</v>
      </c>
      <c r="AN109" s="788">
        <f t="shared" si="77"/>
        <v>0</v>
      </c>
      <c r="AO109" s="789">
        <f t="shared" si="78"/>
        <v>55999</v>
      </c>
      <c r="AP109" s="878"/>
      <c r="AQ109" s="879"/>
      <c r="AR109" s="879"/>
      <c r="AS109" s="889"/>
      <c r="AT109" s="877"/>
      <c r="AU109" s="889"/>
      <c r="AV109" s="889"/>
      <c r="AW109" s="889"/>
      <c r="AX109" s="889"/>
    </row>
    <row r="110" spans="2:50" s="297" customFormat="1" ht="23.25" hidden="1" customHeight="1" x14ac:dyDescent="0.35">
      <c r="B110" s="791" t="s">
        <v>148</v>
      </c>
      <c r="C110" s="787">
        <v>70000</v>
      </c>
      <c r="D110" s="771">
        <v>8400</v>
      </c>
      <c r="E110" s="771">
        <v>78400</v>
      </c>
      <c r="F110" s="771"/>
      <c r="G110" s="771"/>
      <c r="H110" s="771"/>
      <c r="I110" s="771">
        <f t="shared" si="220"/>
        <v>78400</v>
      </c>
      <c r="J110" s="548">
        <v>0</v>
      </c>
      <c r="K110" s="295">
        <v>0</v>
      </c>
      <c r="L110" s="295">
        <v>0</v>
      </c>
      <c r="M110" s="295">
        <v>0.6</v>
      </c>
      <c r="N110" s="549">
        <v>0.4</v>
      </c>
      <c r="O110" s="295"/>
      <c r="P110" s="295"/>
      <c r="Q110" s="768">
        <f t="shared" si="208"/>
        <v>0</v>
      </c>
      <c r="R110" s="769">
        <f t="shared" si="209"/>
        <v>0</v>
      </c>
      <c r="S110" s="770">
        <f t="shared" si="74"/>
        <v>0</v>
      </c>
      <c r="T110" s="768">
        <f t="shared" si="210"/>
        <v>0</v>
      </c>
      <c r="U110" s="769">
        <f t="shared" si="211"/>
        <v>0</v>
      </c>
      <c r="V110" s="770">
        <f t="shared" si="75"/>
        <v>0</v>
      </c>
      <c r="W110" s="768">
        <f t="shared" si="212"/>
        <v>0</v>
      </c>
      <c r="X110" s="769">
        <f t="shared" si="213"/>
        <v>0</v>
      </c>
      <c r="Y110" s="770">
        <f t="shared" si="214"/>
        <v>0</v>
      </c>
      <c r="Z110" s="768">
        <f t="shared" si="215"/>
        <v>47040</v>
      </c>
      <c r="AA110" s="769">
        <v>0</v>
      </c>
      <c r="AB110" s="770">
        <f t="shared" si="216"/>
        <v>47040</v>
      </c>
      <c r="AC110" s="768">
        <f t="shared" si="217"/>
        <v>31360</v>
      </c>
      <c r="AD110" s="769">
        <f t="shared" si="218"/>
        <v>0</v>
      </c>
      <c r="AE110" s="770">
        <f t="shared" si="219"/>
        <v>31360</v>
      </c>
      <c r="AF110" s="773"/>
      <c r="AG110" s="773"/>
      <c r="AH110" s="775"/>
      <c r="AI110" s="773"/>
      <c r="AJ110" s="773"/>
      <c r="AK110" s="775"/>
      <c r="AL110" s="776"/>
      <c r="AM110" s="777">
        <f t="shared" si="76"/>
        <v>78400</v>
      </c>
      <c r="AN110" s="788">
        <f t="shared" si="77"/>
        <v>0</v>
      </c>
      <c r="AO110" s="789">
        <f t="shared" si="78"/>
        <v>78399</v>
      </c>
      <c r="AP110" s="878"/>
      <c r="AQ110" s="879"/>
      <c r="AR110" s="879"/>
      <c r="AS110" s="889"/>
      <c r="AT110" s="877"/>
      <c r="AU110" s="889"/>
      <c r="AV110" s="889"/>
      <c r="AW110" s="889"/>
      <c r="AX110" s="889"/>
    </row>
    <row r="111" spans="2:50" s="297" customFormat="1" ht="23.25" hidden="1" customHeight="1" x14ac:dyDescent="0.35">
      <c r="B111" s="791" t="s">
        <v>149</v>
      </c>
      <c r="C111" s="787">
        <v>241500</v>
      </c>
      <c r="D111" s="771">
        <v>28980</v>
      </c>
      <c r="E111" s="771">
        <v>270480</v>
      </c>
      <c r="F111" s="771"/>
      <c r="G111" s="771"/>
      <c r="H111" s="771"/>
      <c r="I111" s="771">
        <f t="shared" si="220"/>
        <v>270480</v>
      </c>
      <c r="J111" s="548">
        <v>0</v>
      </c>
      <c r="K111" s="295">
        <v>0.2</v>
      </c>
      <c r="L111" s="295">
        <v>0.3</v>
      </c>
      <c r="M111" s="295">
        <v>0.3</v>
      </c>
      <c r="N111" s="549">
        <v>0.2</v>
      </c>
      <c r="O111" s="295"/>
      <c r="P111" s="295"/>
      <c r="Q111" s="768">
        <f t="shared" si="208"/>
        <v>0</v>
      </c>
      <c r="R111" s="769">
        <f t="shared" si="209"/>
        <v>0</v>
      </c>
      <c r="S111" s="770">
        <f t="shared" si="74"/>
        <v>0</v>
      </c>
      <c r="T111" s="768">
        <f t="shared" si="210"/>
        <v>54096</v>
      </c>
      <c r="U111" s="769">
        <f t="shared" si="211"/>
        <v>0</v>
      </c>
      <c r="V111" s="770">
        <f t="shared" si="75"/>
        <v>54096</v>
      </c>
      <c r="W111" s="768">
        <f t="shared" si="212"/>
        <v>81144</v>
      </c>
      <c r="X111" s="769">
        <f t="shared" si="213"/>
        <v>0</v>
      </c>
      <c r="Y111" s="770">
        <f t="shared" si="214"/>
        <v>81144</v>
      </c>
      <c r="Z111" s="768">
        <f t="shared" si="215"/>
        <v>81144</v>
      </c>
      <c r="AA111" s="769">
        <v>0</v>
      </c>
      <c r="AB111" s="770">
        <f t="shared" si="216"/>
        <v>81144</v>
      </c>
      <c r="AC111" s="768">
        <f t="shared" si="217"/>
        <v>54096</v>
      </c>
      <c r="AD111" s="769">
        <f t="shared" si="218"/>
        <v>0</v>
      </c>
      <c r="AE111" s="770">
        <f t="shared" si="219"/>
        <v>54096</v>
      </c>
      <c r="AF111" s="773"/>
      <c r="AG111" s="773"/>
      <c r="AH111" s="775"/>
      <c r="AI111" s="773"/>
      <c r="AJ111" s="773"/>
      <c r="AK111" s="775"/>
      <c r="AL111" s="776"/>
      <c r="AM111" s="777">
        <f t="shared" si="76"/>
        <v>270480</v>
      </c>
      <c r="AN111" s="788">
        <f t="shared" si="77"/>
        <v>0</v>
      </c>
      <c r="AO111" s="789">
        <f t="shared" si="78"/>
        <v>270479</v>
      </c>
      <c r="AP111" s="878"/>
      <c r="AQ111" s="879"/>
      <c r="AR111" s="879"/>
      <c r="AS111" s="889"/>
      <c r="AT111" s="889"/>
      <c r="AU111" s="889"/>
      <c r="AV111" s="889"/>
      <c r="AW111" s="889"/>
      <c r="AX111" s="889"/>
    </row>
    <row r="112" spans="2:50" s="297" customFormat="1" ht="23.25" customHeight="1" x14ac:dyDescent="0.35">
      <c r="B112" s="531" t="s">
        <v>220</v>
      </c>
      <c r="C112" s="358">
        <f>C113+C116+C119</f>
        <v>2089788.07</v>
      </c>
      <c r="D112" s="902">
        <f>D113+D116+D119</f>
        <v>251494.96840000001</v>
      </c>
      <c r="E112" s="902">
        <f>E113+E116+E119</f>
        <v>2341284.0384</v>
      </c>
      <c r="F112" s="902">
        <f t="shared" ref="F112:I112" si="221">F113+F116+F119</f>
        <v>2505806</v>
      </c>
      <c r="G112" s="902">
        <f t="shared" si="221"/>
        <v>0</v>
      </c>
      <c r="H112" s="902">
        <f>H113+H116+H119</f>
        <v>2505806</v>
      </c>
      <c r="I112" s="902">
        <f t="shared" si="221"/>
        <v>4847090.5384</v>
      </c>
      <c r="J112" s="358"/>
      <c r="K112" s="902"/>
      <c r="L112" s="902"/>
      <c r="M112" s="902"/>
      <c r="N112" s="342"/>
      <c r="O112" s="902"/>
      <c r="P112" s="902"/>
      <c r="Q112" s="913">
        <f t="shared" ref="Q112:AE112" si="222">Q113+Q116+Q119</f>
        <v>314809.40000000002</v>
      </c>
      <c r="R112" s="913">
        <f t="shared" si="222"/>
        <v>501161.2</v>
      </c>
      <c r="S112" s="656">
        <f t="shared" si="74"/>
        <v>815970.60000000009</v>
      </c>
      <c r="T112" s="913">
        <f t="shared" si="222"/>
        <v>419533.10384</v>
      </c>
      <c r="U112" s="913">
        <f t="shared" si="222"/>
        <v>501161.2</v>
      </c>
      <c r="V112" s="656">
        <f t="shared" si="75"/>
        <v>920694.30383999995</v>
      </c>
      <c r="W112" s="913">
        <f t="shared" si="222"/>
        <v>464333.10384</v>
      </c>
      <c r="X112" s="913">
        <f t="shared" si="222"/>
        <v>501161.2</v>
      </c>
      <c r="Y112" s="656">
        <f t="shared" si="222"/>
        <v>965494.30384000007</v>
      </c>
      <c r="Z112" s="913">
        <f t="shared" si="222"/>
        <v>440256.80768000003</v>
      </c>
      <c r="AA112" s="913">
        <f t="shared" si="222"/>
        <v>501161.2</v>
      </c>
      <c r="AB112" s="656">
        <f t="shared" si="222"/>
        <v>941418.00768000004</v>
      </c>
      <c r="AC112" s="913">
        <f t="shared" si="222"/>
        <v>702351.62303999998</v>
      </c>
      <c r="AD112" s="913">
        <f t="shared" si="222"/>
        <v>501161.2</v>
      </c>
      <c r="AE112" s="656">
        <f t="shared" si="222"/>
        <v>1203512.8230400002</v>
      </c>
      <c r="AF112" s="698"/>
      <c r="AG112" s="698"/>
      <c r="AH112" s="656"/>
      <c r="AI112" s="698"/>
      <c r="AJ112" s="698"/>
      <c r="AK112" s="656"/>
      <c r="AL112" s="699"/>
      <c r="AM112" s="921">
        <f t="shared" si="76"/>
        <v>2341284.0384</v>
      </c>
      <c r="AN112" s="913">
        <f t="shared" si="77"/>
        <v>2505806</v>
      </c>
      <c r="AO112" s="656">
        <f t="shared" si="78"/>
        <v>4847089.0384</v>
      </c>
      <c r="AP112" s="878"/>
      <c r="AQ112" s="879"/>
      <c r="AR112" s="879"/>
      <c r="AS112" s="889"/>
      <c r="AT112" s="877"/>
      <c r="AU112" s="889"/>
      <c r="AV112" s="889"/>
      <c r="AW112" s="889"/>
      <c r="AX112" s="889"/>
    </row>
    <row r="113" spans="2:50" s="92" customFormat="1" ht="31.5" customHeight="1" outlineLevel="1" x14ac:dyDescent="0.35">
      <c r="B113" s="532" t="s">
        <v>221</v>
      </c>
      <c r="C113" s="357">
        <f>+C114+C115</f>
        <v>1404755</v>
      </c>
      <c r="D113" s="906">
        <f t="shared" ref="D113:I113" si="223">+D114+D115</f>
        <v>169291.00000000003</v>
      </c>
      <c r="E113" s="906">
        <f t="shared" si="223"/>
        <v>1574047</v>
      </c>
      <c r="F113" s="906">
        <f t="shared" si="223"/>
        <v>2505806</v>
      </c>
      <c r="G113" s="906">
        <f t="shared" si="223"/>
        <v>0</v>
      </c>
      <c r="H113" s="906">
        <f t="shared" si="223"/>
        <v>2505806</v>
      </c>
      <c r="I113" s="343">
        <f t="shared" si="223"/>
        <v>4079853.5</v>
      </c>
      <c r="J113" s="906"/>
      <c r="K113" s="906"/>
      <c r="L113" s="906"/>
      <c r="M113" s="906"/>
      <c r="N113" s="906"/>
      <c r="O113" s="906"/>
      <c r="P113" s="906"/>
      <c r="Q113" s="651">
        <f t="shared" ref="Q113:AE113" si="224">+Q114+Q115</f>
        <v>314809.40000000002</v>
      </c>
      <c r="R113" s="907">
        <f t="shared" si="224"/>
        <v>501161.2</v>
      </c>
      <c r="S113" s="652">
        <f t="shared" si="74"/>
        <v>815970.60000000009</v>
      </c>
      <c r="T113" s="907">
        <f t="shared" si="224"/>
        <v>314809.40000000002</v>
      </c>
      <c r="U113" s="907">
        <f t="shared" si="224"/>
        <v>501161.2</v>
      </c>
      <c r="V113" s="652">
        <f t="shared" si="75"/>
        <v>815970.60000000009</v>
      </c>
      <c r="W113" s="907">
        <f t="shared" si="224"/>
        <v>314809.40000000002</v>
      </c>
      <c r="X113" s="907">
        <f t="shared" si="224"/>
        <v>501161.2</v>
      </c>
      <c r="Y113" s="652">
        <f t="shared" si="224"/>
        <v>815970.60000000009</v>
      </c>
      <c r="Z113" s="907">
        <f t="shared" si="224"/>
        <v>314809.40000000002</v>
      </c>
      <c r="AA113" s="907">
        <f t="shared" si="224"/>
        <v>501161.2</v>
      </c>
      <c r="AB113" s="652">
        <f t="shared" si="224"/>
        <v>815970.60000000009</v>
      </c>
      <c r="AC113" s="907">
        <f t="shared" si="224"/>
        <v>314809.40000000002</v>
      </c>
      <c r="AD113" s="907">
        <f t="shared" si="224"/>
        <v>501161.2</v>
      </c>
      <c r="AE113" s="652">
        <f t="shared" si="224"/>
        <v>815970.60000000009</v>
      </c>
      <c r="AF113" s="653"/>
      <c r="AG113" s="653"/>
      <c r="AH113" s="652"/>
      <c r="AI113" s="653"/>
      <c r="AJ113" s="653"/>
      <c r="AK113" s="652"/>
      <c r="AL113" s="653"/>
      <c r="AM113" s="651">
        <f t="shared" si="76"/>
        <v>1574047</v>
      </c>
      <c r="AN113" s="907">
        <f t="shared" si="77"/>
        <v>2505806</v>
      </c>
      <c r="AO113" s="652">
        <f t="shared" si="78"/>
        <v>4079852</v>
      </c>
      <c r="AP113" s="878"/>
      <c r="AQ113" s="879"/>
      <c r="AR113" s="879"/>
      <c r="AS113" s="889"/>
      <c r="AT113" s="877"/>
      <c r="AU113" s="889"/>
      <c r="AV113" s="889"/>
      <c r="AW113" s="889"/>
      <c r="AX113" s="889"/>
    </row>
    <row r="114" spans="2:50" s="352" customFormat="1" ht="20.149999999999999" hidden="1" customHeight="1" outlineLevel="2" x14ac:dyDescent="0.35">
      <c r="B114" s="581" t="s">
        <v>151</v>
      </c>
      <c r="C114" s="579">
        <v>49235</v>
      </c>
      <c r="D114" s="910">
        <v>6628.6</v>
      </c>
      <c r="E114" s="910">
        <v>55863.6</v>
      </c>
      <c r="F114" s="910">
        <v>1789636</v>
      </c>
      <c r="G114" s="910">
        <v>0</v>
      </c>
      <c r="H114" s="910">
        <f>F114</f>
        <v>1789636</v>
      </c>
      <c r="I114" s="580">
        <f>E114+H114+0.5</f>
        <v>1845500.1</v>
      </c>
      <c r="J114" s="555">
        <v>0.2</v>
      </c>
      <c r="K114" s="555">
        <v>0.2</v>
      </c>
      <c r="L114" s="555">
        <v>0.2</v>
      </c>
      <c r="M114" s="555">
        <v>0.2</v>
      </c>
      <c r="N114" s="555">
        <v>0.2</v>
      </c>
      <c r="O114" s="555"/>
      <c r="P114" s="555"/>
      <c r="Q114" s="768">
        <f t="shared" ref="Q114:Q115" si="225">$E114*J114</f>
        <v>11172.720000000001</v>
      </c>
      <c r="R114" s="769">
        <f t="shared" ref="R114:R115" si="226">$H114*J114</f>
        <v>357927.2</v>
      </c>
      <c r="S114" s="770">
        <f t="shared" si="74"/>
        <v>369099.92000000004</v>
      </c>
      <c r="T114" s="768">
        <f t="shared" ref="T114:T115" si="227">$E114*K114</f>
        <v>11172.720000000001</v>
      </c>
      <c r="U114" s="769">
        <f t="shared" ref="U114:U115" si="228">$H114*K114</f>
        <v>357927.2</v>
      </c>
      <c r="V114" s="770">
        <f t="shared" si="75"/>
        <v>369099.92000000004</v>
      </c>
      <c r="W114" s="768">
        <f t="shared" ref="W114:W115" si="229">$E114*L114</f>
        <v>11172.720000000001</v>
      </c>
      <c r="X114" s="769">
        <f t="shared" ref="X114:X115" si="230">$H114*L114</f>
        <v>357927.2</v>
      </c>
      <c r="Y114" s="770">
        <f t="shared" ref="Y114:Y115" si="231">W114+X114</f>
        <v>369099.92000000004</v>
      </c>
      <c r="Z114" s="768">
        <f t="shared" ref="Z114:Z115" si="232">$E114*M114</f>
        <v>11172.720000000001</v>
      </c>
      <c r="AA114" s="769">
        <f>H114*M114</f>
        <v>357927.2</v>
      </c>
      <c r="AB114" s="770">
        <f t="shared" ref="AB114:AB115" si="233">Z114+AA114</f>
        <v>369099.92000000004</v>
      </c>
      <c r="AC114" s="768">
        <f t="shared" ref="AC114:AC115" si="234">$E114*N114</f>
        <v>11172.720000000001</v>
      </c>
      <c r="AD114" s="769">
        <f t="shared" ref="AD114:AD115" si="235">$H114*N114</f>
        <v>357927.2</v>
      </c>
      <c r="AE114" s="770">
        <f t="shared" ref="AE114:AE115" si="236">AC114+AD114</f>
        <v>369099.92000000004</v>
      </c>
      <c r="AF114" s="578"/>
      <c r="AG114" s="578"/>
      <c r="AH114" s="654"/>
      <c r="AI114" s="578"/>
      <c r="AJ114" s="578"/>
      <c r="AK114" s="654"/>
      <c r="AL114" s="578"/>
      <c r="AM114" s="777">
        <f t="shared" si="76"/>
        <v>55863.600000000006</v>
      </c>
      <c r="AN114" s="788">
        <f t="shared" si="77"/>
        <v>1789636</v>
      </c>
      <c r="AO114" s="789">
        <f t="shared" si="78"/>
        <v>1845498.6</v>
      </c>
      <c r="AP114" s="878"/>
      <c r="AQ114" s="879"/>
      <c r="AR114" s="879"/>
      <c r="AS114" s="889"/>
      <c r="AT114" s="889"/>
      <c r="AU114" s="889"/>
      <c r="AV114" s="889"/>
      <c r="AW114" s="889"/>
      <c r="AX114" s="889"/>
    </row>
    <row r="115" spans="2:50" s="352" customFormat="1" ht="20.149999999999999" hidden="1" customHeight="1" outlineLevel="2" x14ac:dyDescent="0.35">
      <c r="B115" s="581" t="s">
        <v>222</v>
      </c>
      <c r="C115" s="552">
        <v>1355520</v>
      </c>
      <c r="D115" s="553">
        <v>162662.40000000002</v>
      </c>
      <c r="E115" s="553">
        <v>1518183.4</v>
      </c>
      <c r="F115" s="553">
        <v>716170</v>
      </c>
      <c r="G115" s="553">
        <v>0</v>
      </c>
      <c r="H115" s="553">
        <f>F115</f>
        <v>716170</v>
      </c>
      <c r="I115" s="580">
        <f>E115+H115</f>
        <v>2234353.4</v>
      </c>
      <c r="J115" s="555">
        <v>0.2</v>
      </c>
      <c r="K115" s="555">
        <v>0.2</v>
      </c>
      <c r="L115" s="555">
        <v>0.2</v>
      </c>
      <c r="M115" s="555">
        <v>0.2</v>
      </c>
      <c r="N115" s="555">
        <v>0.2</v>
      </c>
      <c r="O115" s="555"/>
      <c r="P115" s="555"/>
      <c r="Q115" s="768">
        <f t="shared" si="225"/>
        <v>303636.68</v>
      </c>
      <c r="R115" s="769">
        <f t="shared" si="226"/>
        <v>143234</v>
      </c>
      <c r="S115" s="770">
        <f t="shared" si="74"/>
        <v>446870.68</v>
      </c>
      <c r="T115" s="768">
        <f t="shared" si="227"/>
        <v>303636.68</v>
      </c>
      <c r="U115" s="769">
        <f t="shared" si="228"/>
        <v>143234</v>
      </c>
      <c r="V115" s="770">
        <f t="shared" si="75"/>
        <v>446870.68</v>
      </c>
      <c r="W115" s="768">
        <f t="shared" si="229"/>
        <v>303636.68</v>
      </c>
      <c r="X115" s="769">
        <f t="shared" si="230"/>
        <v>143234</v>
      </c>
      <c r="Y115" s="770">
        <f t="shared" si="231"/>
        <v>446870.68</v>
      </c>
      <c r="Z115" s="768">
        <f t="shared" si="232"/>
        <v>303636.68</v>
      </c>
      <c r="AA115" s="769">
        <f>X115</f>
        <v>143234</v>
      </c>
      <c r="AB115" s="770">
        <f t="shared" si="233"/>
        <v>446870.68</v>
      </c>
      <c r="AC115" s="768">
        <f t="shared" si="234"/>
        <v>303636.68</v>
      </c>
      <c r="AD115" s="769">
        <f t="shared" si="235"/>
        <v>143234</v>
      </c>
      <c r="AE115" s="770">
        <f t="shared" si="236"/>
        <v>446870.68</v>
      </c>
      <c r="AF115" s="578"/>
      <c r="AG115" s="578"/>
      <c r="AH115" s="654"/>
      <c r="AI115" s="578"/>
      <c r="AJ115" s="578"/>
      <c r="AK115" s="654"/>
      <c r="AL115" s="578"/>
      <c r="AM115" s="777">
        <f t="shared" si="76"/>
        <v>1518183.4</v>
      </c>
      <c r="AN115" s="788">
        <f t="shared" si="77"/>
        <v>716170</v>
      </c>
      <c r="AO115" s="789">
        <f t="shared" si="78"/>
        <v>2234352.4</v>
      </c>
      <c r="AP115" s="878"/>
      <c r="AQ115" s="879"/>
      <c r="AR115" s="879"/>
      <c r="AS115" s="889"/>
      <c r="AT115" s="889"/>
      <c r="AU115" s="889"/>
      <c r="AV115" s="889"/>
      <c r="AW115" s="889"/>
      <c r="AX115" s="889"/>
    </row>
    <row r="116" spans="2:50" s="92" customFormat="1" ht="31.5" customHeight="1" outlineLevel="1" collapsed="1" x14ac:dyDescent="0.35">
      <c r="B116" s="532" t="s">
        <v>223</v>
      </c>
      <c r="C116" s="357">
        <f>C117+C118</f>
        <v>500000</v>
      </c>
      <c r="D116" s="906">
        <f t="shared" ref="D116:I116" si="237">D117+D118</f>
        <v>60000</v>
      </c>
      <c r="E116" s="906">
        <f t="shared" si="237"/>
        <v>560000</v>
      </c>
      <c r="F116" s="906">
        <f t="shared" si="237"/>
        <v>0</v>
      </c>
      <c r="G116" s="906">
        <f t="shared" si="237"/>
        <v>0</v>
      </c>
      <c r="H116" s="906">
        <f t="shared" si="237"/>
        <v>0</v>
      </c>
      <c r="I116" s="343">
        <f t="shared" si="237"/>
        <v>560000</v>
      </c>
      <c r="J116" s="906"/>
      <c r="K116" s="906"/>
      <c r="L116" s="906"/>
      <c r="M116" s="906"/>
      <c r="N116" s="906">
        <f t="shared" ref="N116:AE116" si="238">N117+N118</f>
        <v>1.05</v>
      </c>
      <c r="O116" s="906"/>
      <c r="P116" s="906"/>
      <c r="Q116" s="651">
        <f t="shared" si="238"/>
        <v>0</v>
      </c>
      <c r="R116" s="907">
        <f t="shared" si="238"/>
        <v>0</v>
      </c>
      <c r="S116" s="652">
        <f t="shared" si="74"/>
        <v>0</v>
      </c>
      <c r="T116" s="907">
        <f t="shared" si="238"/>
        <v>84000</v>
      </c>
      <c r="U116" s="907">
        <f t="shared" si="238"/>
        <v>0</v>
      </c>
      <c r="V116" s="652">
        <f t="shared" si="75"/>
        <v>84000</v>
      </c>
      <c r="W116" s="907">
        <f t="shared" si="238"/>
        <v>128800</v>
      </c>
      <c r="X116" s="907">
        <f t="shared" si="238"/>
        <v>0</v>
      </c>
      <c r="Y116" s="652">
        <f t="shared" si="238"/>
        <v>128800</v>
      </c>
      <c r="Z116" s="907">
        <f t="shared" si="238"/>
        <v>84000</v>
      </c>
      <c r="AA116" s="907">
        <f t="shared" si="238"/>
        <v>0</v>
      </c>
      <c r="AB116" s="652">
        <f t="shared" si="238"/>
        <v>84000</v>
      </c>
      <c r="AC116" s="907">
        <f t="shared" si="238"/>
        <v>263200</v>
      </c>
      <c r="AD116" s="907">
        <f t="shared" si="238"/>
        <v>0</v>
      </c>
      <c r="AE116" s="652">
        <f t="shared" si="238"/>
        <v>263200</v>
      </c>
      <c r="AF116" s="653"/>
      <c r="AG116" s="653"/>
      <c r="AH116" s="652"/>
      <c r="AI116" s="653"/>
      <c r="AJ116" s="653"/>
      <c r="AK116" s="652"/>
      <c r="AL116" s="653"/>
      <c r="AM116" s="651">
        <f t="shared" si="76"/>
        <v>560000</v>
      </c>
      <c r="AN116" s="907">
        <f t="shared" si="77"/>
        <v>0</v>
      </c>
      <c r="AO116" s="652">
        <f t="shared" si="78"/>
        <v>559999</v>
      </c>
      <c r="AP116" s="878"/>
      <c r="AQ116" s="879"/>
      <c r="AR116" s="879"/>
      <c r="AS116" s="879"/>
      <c r="AT116" s="884"/>
      <c r="AU116" s="884"/>
      <c r="AV116" s="884"/>
      <c r="AW116" s="884"/>
      <c r="AX116" s="884"/>
    </row>
    <row r="117" spans="2:50" ht="20.149999999999999" hidden="1" customHeight="1" outlineLevel="2" x14ac:dyDescent="0.35">
      <c r="B117" s="792" t="s">
        <v>224</v>
      </c>
      <c r="C117" s="787">
        <v>300000</v>
      </c>
      <c r="D117" s="771">
        <v>36000</v>
      </c>
      <c r="E117" s="771">
        <v>336000</v>
      </c>
      <c r="F117" s="771">
        <v>0</v>
      </c>
      <c r="G117" s="771">
        <v>0</v>
      </c>
      <c r="H117" s="771">
        <v>0</v>
      </c>
      <c r="I117" s="772">
        <v>336000</v>
      </c>
      <c r="J117" s="555">
        <v>0</v>
      </c>
      <c r="K117" s="555">
        <v>0.25</v>
      </c>
      <c r="L117" s="555">
        <v>0.25</v>
      </c>
      <c r="M117" s="555">
        <v>0.25</v>
      </c>
      <c r="N117" s="555">
        <v>0.25</v>
      </c>
      <c r="O117" s="295"/>
      <c r="P117" s="295"/>
      <c r="Q117" s="768">
        <f t="shared" ref="Q117:Q118" si="239">$E117*J117</f>
        <v>0</v>
      </c>
      <c r="R117" s="769">
        <f t="shared" ref="R117:R118" si="240">$H117*J117</f>
        <v>0</v>
      </c>
      <c r="S117" s="770">
        <f t="shared" si="74"/>
        <v>0</v>
      </c>
      <c r="T117" s="768">
        <f t="shared" ref="T117:T118" si="241">$E117*K117</f>
        <v>84000</v>
      </c>
      <c r="U117" s="769">
        <f t="shared" ref="U117:U118" si="242">$H117*K117</f>
        <v>0</v>
      </c>
      <c r="V117" s="770">
        <f t="shared" si="75"/>
        <v>84000</v>
      </c>
      <c r="W117" s="768">
        <f t="shared" ref="W117:W118" si="243">$E117*L117</f>
        <v>84000</v>
      </c>
      <c r="X117" s="769">
        <f t="shared" ref="X117:X118" si="244">$H117*L117</f>
        <v>0</v>
      </c>
      <c r="Y117" s="770">
        <f t="shared" ref="Y117:Y118" si="245">W117+X117</f>
        <v>84000</v>
      </c>
      <c r="Z117" s="768">
        <f t="shared" ref="Z117:Z118" si="246">$E117*M117</f>
        <v>84000</v>
      </c>
      <c r="AA117" s="769">
        <v>0</v>
      </c>
      <c r="AB117" s="770">
        <f t="shared" ref="AB117:AB118" si="247">Z117+AA117</f>
        <v>84000</v>
      </c>
      <c r="AC117" s="768">
        <f t="shared" ref="AC117:AC118" si="248">$E117*N117</f>
        <v>84000</v>
      </c>
      <c r="AD117" s="769">
        <f t="shared" ref="AD117:AD118" si="249">$H117*N117</f>
        <v>0</v>
      </c>
      <c r="AE117" s="770">
        <f t="shared" ref="AE117:AE118" si="250">AC117+AD117</f>
        <v>84000</v>
      </c>
      <c r="AF117" s="773"/>
      <c r="AG117" s="773"/>
      <c r="AH117" s="775"/>
      <c r="AI117" s="773"/>
      <c r="AJ117" s="773"/>
      <c r="AK117" s="775"/>
      <c r="AL117" s="776"/>
      <c r="AM117" s="777">
        <f t="shared" si="76"/>
        <v>336000</v>
      </c>
      <c r="AN117" s="788">
        <f t="shared" si="77"/>
        <v>0</v>
      </c>
      <c r="AO117" s="789">
        <f t="shared" si="78"/>
        <v>335999</v>
      </c>
      <c r="AP117" s="878"/>
      <c r="AQ117" s="879"/>
      <c r="AR117" s="879"/>
    </row>
    <row r="118" spans="2:50" ht="20.149999999999999" hidden="1" customHeight="1" outlineLevel="2" x14ac:dyDescent="0.35">
      <c r="B118" s="793" t="s">
        <v>225</v>
      </c>
      <c r="C118" s="787">
        <v>200000</v>
      </c>
      <c r="D118" s="771">
        <v>24000</v>
      </c>
      <c r="E118" s="771">
        <v>224000</v>
      </c>
      <c r="F118" s="771">
        <v>0</v>
      </c>
      <c r="G118" s="771">
        <v>0</v>
      </c>
      <c r="H118" s="771">
        <v>0</v>
      </c>
      <c r="I118" s="772">
        <v>224000</v>
      </c>
      <c r="J118" s="555">
        <v>0</v>
      </c>
      <c r="K118" s="555">
        <v>0</v>
      </c>
      <c r="L118" s="555">
        <v>0.2</v>
      </c>
      <c r="M118" s="555">
        <v>0</v>
      </c>
      <c r="N118" s="555">
        <v>0.8</v>
      </c>
      <c r="O118" s="295"/>
      <c r="P118" s="295"/>
      <c r="Q118" s="768">
        <f t="shared" si="239"/>
        <v>0</v>
      </c>
      <c r="R118" s="769">
        <f t="shared" si="240"/>
        <v>0</v>
      </c>
      <c r="S118" s="770">
        <f t="shared" si="74"/>
        <v>0</v>
      </c>
      <c r="T118" s="768">
        <f t="shared" si="241"/>
        <v>0</v>
      </c>
      <c r="U118" s="769">
        <f t="shared" si="242"/>
        <v>0</v>
      </c>
      <c r="V118" s="770">
        <f t="shared" si="75"/>
        <v>0</v>
      </c>
      <c r="W118" s="768">
        <f t="shared" si="243"/>
        <v>44800</v>
      </c>
      <c r="X118" s="769">
        <f t="shared" si="244"/>
        <v>0</v>
      </c>
      <c r="Y118" s="770">
        <f t="shared" si="245"/>
        <v>44800</v>
      </c>
      <c r="Z118" s="768">
        <f t="shared" si="246"/>
        <v>0</v>
      </c>
      <c r="AA118" s="769">
        <v>0</v>
      </c>
      <c r="AB118" s="770">
        <f t="shared" si="247"/>
        <v>0</v>
      </c>
      <c r="AC118" s="768">
        <f t="shared" si="248"/>
        <v>179200</v>
      </c>
      <c r="AD118" s="769">
        <f t="shared" si="249"/>
        <v>0</v>
      </c>
      <c r="AE118" s="770">
        <f t="shared" si="250"/>
        <v>179200</v>
      </c>
      <c r="AF118" s="773"/>
      <c r="AG118" s="773"/>
      <c r="AH118" s="775"/>
      <c r="AI118" s="773"/>
      <c r="AJ118" s="773"/>
      <c r="AK118" s="775"/>
      <c r="AL118" s="776"/>
      <c r="AM118" s="777">
        <f t="shared" si="76"/>
        <v>224000</v>
      </c>
      <c r="AN118" s="788">
        <f t="shared" si="77"/>
        <v>0</v>
      </c>
      <c r="AO118" s="789">
        <f t="shared" si="78"/>
        <v>223999</v>
      </c>
      <c r="AP118" s="878"/>
      <c r="AQ118" s="879"/>
      <c r="AR118" s="879"/>
    </row>
    <row r="119" spans="2:50" s="92" customFormat="1" ht="31.5" customHeight="1" outlineLevel="1" collapsed="1" thickBot="1" x14ac:dyDescent="0.4">
      <c r="B119" s="914" t="s">
        <v>226</v>
      </c>
      <c r="C119" s="915">
        <f>+C120+C121</f>
        <v>185033.07</v>
      </c>
      <c r="D119" s="916">
        <f>+D120+D121</f>
        <v>22203.968399999998</v>
      </c>
      <c r="E119" s="916">
        <f>+E120+E121</f>
        <v>207237.03840000002</v>
      </c>
      <c r="F119" s="916">
        <f t="shared" ref="F119:I119" si="251">F120+F121</f>
        <v>0</v>
      </c>
      <c r="G119" s="916">
        <f t="shared" si="251"/>
        <v>0</v>
      </c>
      <c r="H119" s="916">
        <f t="shared" si="251"/>
        <v>0</v>
      </c>
      <c r="I119" s="917">
        <f t="shared" si="251"/>
        <v>207237.03840000002</v>
      </c>
      <c r="J119" s="916"/>
      <c r="K119" s="916"/>
      <c r="L119" s="916"/>
      <c r="M119" s="916"/>
      <c r="N119" s="916"/>
      <c r="O119" s="916"/>
      <c r="P119" s="916"/>
      <c r="Q119" s="918">
        <f t="shared" ref="Q119:AE119" si="252">Q120+Q121</f>
        <v>0</v>
      </c>
      <c r="R119" s="919">
        <f t="shared" si="252"/>
        <v>0</v>
      </c>
      <c r="S119" s="920">
        <f t="shared" si="74"/>
        <v>0</v>
      </c>
      <c r="T119" s="919">
        <f t="shared" si="252"/>
        <v>20723.703840000002</v>
      </c>
      <c r="U119" s="919">
        <f t="shared" si="252"/>
        <v>0</v>
      </c>
      <c r="V119" s="920">
        <f t="shared" si="75"/>
        <v>20723.703840000002</v>
      </c>
      <c r="W119" s="919">
        <f t="shared" si="252"/>
        <v>20723.703840000002</v>
      </c>
      <c r="X119" s="919">
        <f t="shared" si="252"/>
        <v>0</v>
      </c>
      <c r="Y119" s="920">
        <f t="shared" si="252"/>
        <v>20723.703840000002</v>
      </c>
      <c r="Z119" s="919">
        <f t="shared" si="252"/>
        <v>41447.407680000004</v>
      </c>
      <c r="AA119" s="919">
        <f t="shared" si="252"/>
        <v>0</v>
      </c>
      <c r="AB119" s="920">
        <f t="shared" si="252"/>
        <v>41447.407680000004</v>
      </c>
      <c r="AC119" s="919">
        <f t="shared" si="252"/>
        <v>124342.22304000001</v>
      </c>
      <c r="AD119" s="919">
        <f t="shared" si="252"/>
        <v>0</v>
      </c>
      <c r="AE119" s="920">
        <f t="shared" si="252"/>
        <v>124342.22304000001</v>
      </c>
      <c r="AF119" s="653"/>
      <c r="AG119" s="653"/>
      <c r="AH119" s="652"/>
      <c r="AI119" s="653"/>
      <c r="AJ119" s="653"/>
      <c r="AK119" s="652"/>
      <c r="AL119" s="653"/>
      <c r="AM119" s="918">
        <f t="shared" si="76"/>
        <v>207237.03840000002</v>
      </c>
      <c r="AN119" s="919">
        <f t="shared" si="77"/>
        <v>0</v>
      </c>
      <c r="AO119" s="920">
        <f t="shared" si="78"/>
        <v>207236.03840000002</v>
      </c>
      <c r="AP119" s="878"/>
      <c r="AQ119" s="879"/>
      <c r="AR119" s="879"/>
      <c r="AS119" s="889"/>
      <c r="AT119" s="889"/>
      <c r="AU119" s="889"/>
      <c r="AV119" s="889"/>
      <c r="AW119" s="889"/>
      <c r="AX119" s="889"/>
    </row>
    <row r="120" spans="2:50" ht="20.149999999999999" hidden="1" customHeight="1" outlineLevel="2" x14ac:dyDescent="0.35">
      <c r="B120" s="792" t="s">
        <v>227</v>
      </c>
      <c r="C120" s="787">
        <f>+'1. Detailed Budget'!B116</f>
        <v>111019.842</v>
      </c>
      <c r="D120" s="771">
        <f>+'1. Detailed Budget'!C116</f>
        <v>13322.38104</v>
      </c>
      <c r="E120" s="771">
        <f>+C120+D120</f>
        <v>124342.22304000001</v>
      </c>
      <c r="F120" s="771">
        <v>0</v>
      </c>
      <c r="G120" s="771">
        <v>0</v>
      </c>
      <c r="H120" s="771">
        <v>0</v>
      </c>
      <c r="I120" s="772">
        <f>E120</f>
        <v>124342.22304000001</v>
      </c>
      <c r="J120" s="295"/>
      <c r="K120" s="295">
        <v>0.1</v>
      </c>
      <c r="L120" s="295">
        <v>0.1</v>
      </c>
      <c r="M120" s="295">
        <v>0.2</v>
      </c>
      <c r="N120" s="295">
        <v>0.6</v>
      </c>
      <c r="O120" s="295"/>
      <c r="P120" s="295"/>
      <c r="Q120" s="768">
        <f t="shared" ref="Q120:Q121" si="253">$E120*J120</f>
        <v>0</v>
      </c>
      <c r="R120" s="769">
        <f t="shared" ref="R120:R121" si="254">$H120*J120</f>
        <v>0</v>
      </c>
      <c r="S120" s="770">
        <f t="shared" si="74"/>
        <v>0</v>
      </c>
      <c r="T120" s="768">
        <f>$E120*K120</f>
        <v>12434.222304000003</v>
      </c>
      <c r="U120" s="769">
        <f t="shared" ref="U120:U121" si="255">$H120*K120</f>
        <v>0</v>
      </c>
      <c r="V120" s="770">
        <f t="shared" si="75"/>
        <v>12434.222304000003</v>
      </c>
      <c r="W120" s="768">
        <f t="shared" ref="W120:W121" si="256">$E120*L120</f>
        <v>12434.222304000003</v>
      </c>
      <c r="X120" s="769">
        <f t="shared" ref="X120:X121" si="257">$H120*L120</f>
        <v>0</v>
      </c>
      <c r="Y120" s="770">
        <f t="shared" ref="Y120:Y121" si="258">W120+X120</f>
        <v>12434.222304000003</v>
      </c>
      <c r="Z120" s="768">
        <f t="shared" ref="Z120:Z121" si="259">$E120*M120</f>
        <v>24868.444608000005</v>
      </c>
      <c r="AA120" s="769">
        <v>0</v>
      </c>
      <c r="AB120" s="770">
        <f t="shared" ref="AB120:AB121" si="260">Z120+AA120</f>
        <v>24868.444608000005</v>
      </c>
      <c r="AC120" s="768">
        <f t="shared" ref="AC120:AC121" si="261">$E120*N120</f>
        <v>74605.333824000001</v>
      </c>
      <c r="AD120" s="769">
        <f t="shared" ref="AD120:AD121" si="262">$H120*N120</f>
        <v>0</v>
      </c>
      <c r="AE120" s="770">
        <f t="shared" ref="AE120:AE121" si="263">AC120+AD120</f>
        <v>74605.333824000001</v>
      </c>
      <c r="AF120" s="773"/>
      <c r="AG120" s="773"/>
      <c r="AH120" s="775"/>
      <c r="AI120" s="773"/>
      <c r="AJ120" s="773"/>
      <c r="AK120" s="775"/>
      <c r="AL120" s="776"/>
      <c r="AM120" s="777">
        <f t="shared" si="76"/>
        <v>124342.22304000001</v>
      </c>
      <c r="AN120" s="788">
        <f t="shared" si="77"/>
        <v>0</v>
      </c>
      <c r="AO120" s="789">
        <f t="shared" si="78"/>
        <v>124341.22304000001</v>
      </c>
      <c r="AP120" s="878"/>
      <c r="AQ120" s="879"/>
      <c r="AR120" s="879"/>
    </row>
    <row r="121" spans="2:50" ht="20.149999999999999" hidden="1" customHeight="1" outlineLevel="2" thickBot="1" x14ac:dyDescent="0.4">
      <c r="B121" s="794" t="s">
        <v>228</v>
      </c>
      <c r="C121" s="787">
        <f>+'1. Detailed Budget'!B117</f>
        <v>74013.228000000003</v>
      </c>
      <c r="D121" s="771">
        <f>+'1. Detailed Budget'!C117</f>
        <v>8881.5873599999995</v>
      </c>
      <c r="E121" s="795">
        <f>+C121+D121</f>
        <v>82894.815360000008</v>
      </c>
      <c r="F121" s="795">
        <v>0</v>
      </c>
      <c r="G121" s="795">
        <v>0</v>
      </c>
      <c r="H121" s="795">
        <v>0</v>
      </c>
      <c r="I121" s="772">
        <f>E121</f>
        <v>82894.815360000008</v>
      </c>
      <c r="J121" s="344">
        <v>0</v>
      </c>
      <c r="K121" s="295">
        <v>0.1</v>
      </c>
      <c r="L121" s="295">
        <v>0.1</v>
      </c>
      <c r="M121" s="295">
        <v>0.2</v>
      </c>
      <c r="N121" s="295">
        <v>0.6</v>
      </c>
      <c r="O121" s="344"/>
      <c r="P121" s="344"/>
      <c r="Q121" s="796">
        <f t="shared" si="253"/>
        <v>0</v>
      </c>
      <c r="R121" s="797">
        <f t="shared" si="254"/>
        <v>0</v>
      </c>
      <c r="S121" s="798">
        <f t="shared" si="74"/>
        <v>0</v>
      </c>
      <c r="T121" s="768">
        <f>$E121*K121</f>
        <v>8289.4815360000011</v>
      </c>
      <c r="U121" s="797">
        <f t="shared" si="255"/>
        <v>0</v>
      </c>
      <c r="V121" s="798">
        <f t="shared" si="75"/>
        <v>8289.4815360000011</v>
      </c>
      <c r="W121" s="796">
        <f t="shared" si="256"/>
        <v>8289.4815360000011</v>
      </c>
      <c r="X121" s="797">
        <f t="shared" si="257"/>
        <v>0</v>
      </c>
      <c r="Y121" s="798">
        <f t="shared" si="258"/>
        <v>8289.4815360000011</v>
      </c>
      <c r="Z121" s="796">
        <f t="shared" si="259"/>
        <v>16578.963072000002</v>
      </c>
      <c r="AA121" s="797">
        <v>0</v>
      </c>
      <c r="AB121" s="798">
        <f t="shared" si="260"/>
        <v>16578.963072000002</v>
      </c>
      <c r="AC121" s="796">
        <f t="shared" si="261"/>
        <v>49736.889216000003</v>
      </c>
      <c r="AD121" s="797">
        <f t="shared" si="262"/>
        <v>0</v>
      </c>
      <c r="AE121" s="798">
        <f t="shared" si="263"/>
        <v>49736.889216000003</v>
      </c>
      <c r="AF121" s="799"/>
      <c r="AG121" s="799"/>
      <c r="AH121" s="800"/>
      <c r="AI121" s="799"/>
      <c r="AJ121" s="799"/>
      <c r="AK121" s="800"/>
      <c r="AL121" s="801"/>
      <c r="AM121" s="802">
        <f t="shared" si="76"/>
        <v>82894.815360000008</v>
      </c>
      <c r="AN121" s="803">
        <f t="shared" si="77"/>
        <v>0</v>
      </c>
      <c r="AO121" s="804">
        <f t="shared" si="78"/>
        <v>82893.815360000008</v>
      </c>
      <c r="AP121" s="878"/>
      <c r="AQ121" s="879"/>
      <c r="AR121" s="879"/>
      <c r="AS121" s="880"/>
      <c r="AT121" s="880"/>
      <c r="AU121" s="880"/>
      <c r="AV121" s="880"/>
      <c r="AW121" s="880"/>
      <c r="AX121" s="880"/>
    </row>
    <row r="122" spans="2:50" x14ac:dyDescent="0.35">
      <c r="Q122" s="657"/>
      <c r="R122" s="657"/>
      <c r="S122" s="657"/>
      <c r="T122" s="657"/>
      <c r="U122" s="657"/>
      <c r="V122" s="657"/>
      <c r="W122" s="657"/>
      <c r="X122" s="657"/>
      <c r="Y122" s="657"/>
      <c r="Z122" s="657"/>
      <c r="AA122" s="657"/>
      <c r="AB122" s="657"/>
      <c r="AC122" s="657"/>
      <c r="AD122" s="657"/>
      <c r="AE122" s="657"/>
      <c r="AF122" s="657"/>
      <c r="AG122" s="657"/>
      <c r="AH122" s="657"/>
      <c r="AI122" s="657"/>
      <c r="AJ122" s="657"/>
      <c r="AK122" s="657"/>
      <c r="AL122" s="657"/>
      <c r="AM122" s="657"/>
      <c r="AN122" s="657"/>
      <c r="AO122" s="657"/>
      <c r="AQ122" s="879"/>
      <c r="AR122" s="879"/>
      <c r="AS122" s="879"/>
      <c r="AT122" s="884"/>
      <c r="AU122" s="884"/>
      <c r="AV122" s="884"/>
      <c r="AW122" s="884"/>
      <c r="AX122" s="884"/>
    </row>
    <row r="123" spans="2:50" x14ac:dyDescent="0.35">
      <c r="AQ123" s="879"/>
      <c r="AR123" s="879"/>
      <c r="AS123" s="879"/>
    </row>
    <row r="124" spans="2:50" x14ac:dyDescent="0.35">
      <c r="AQ124" s="879"/>
      <c r="AR124" s="879"/>
      <c r="AS124" s="879"/>
    </row>
    <row r="125" spans="2:50" x14ac:dyDescent="0.35">
      <c r="Q125" s="805"/>
      <c r="R125" s="805"/>
      <c r="S125" s="805"/>
      <c r="T125" s="805"/>
      <c r="U125" s="805"/>
      <c r="V125" s="805"/>
      <c r="W125" s="805"/>
      <c r="X125" s="805"/>
      <c r="Y125" s="805"/>
      <c r="Z125" s="805"/>
      <c r="AA125" s="805"/>
      <c r="AB125" s="805"/>
      <c r="AC125" s="805"/>
      <c r="AD125" s="805"/>
      <c r="AE125" s="805"/>
      <c r="AF125" s="805"/>
      <c r="AG125" s="805"/>
      <c r="AH125" s="805"/>
      <c r="AI125" s="805"/>
      <c r="AJ125" s="805"/>
      <c r="AK125" s="805"/>
      <c r="AL125" s="806"/>
      <c r="AM125" s="805"/>
      <c r="AN125" s="805"/>
      <c r="AO125" s="805"/>
      <c r="AQ125" s="879"/>
      <c r="AR125" s="879"/>
      <c r="AS125" s="879"/>
      <c r="AT125" s="884"/>
      <c r="AU125" s="884"/>
      <c r="AV125" s="884"/>
      <c r="AW125" s="884"/>
      <c r="AX125" s="884"/>
    </row>
    <row r="126" spans="2:50" x14ac:dyDescent="0.35">
      <c r="Q126" s="805"/>
      <c r="R126" s="805"/>
      <c r="S126" s="805"/>
      <c r="T126" s="805"/>
      <c r="U126" s="805"/>
      <c r="V126" s="805"/>
      <c r="W126" s="805"/>
      <c r="X126" s="805"/>
      <c r="Y126" s="805"/>
      <c r="Z126" s="805"/>
      <c r="AA126" s="805"/>
      <c r="AB126" s="805"/>
      <c r="AC126" s="805"/>
      <c r="AD126" s="805"/>
      <c r="AE126" s="805"/>
      <c r="AF126" s="805"/>
      <c r="AG126" s="805"/>
      <c r="AH126" s="805"/>
      <c r="AI126" s="805"/>
      <c r="AJ126" s="805"/>
      <c r="AK126" s="805"/>
      <c r="AL126" s="806"/>
      <c r="AM126" s="805"/>
      <c r="AN126" s="805"/>
      <c r="AO126" s="805"/>
      <c r="AQ126" s="879"/>
      <c r="AR126" s="879"/>
      <c r="AS126" s="879"/>
    </row>
    <row r="127" spans="2:50" x14ac:dyDescent="0.35">
      <c r="Q127" s="805"/>
      <c r="R127" s="805"/>
      <c r="S127" s="805"/>
      <c r="T127" s="805"/>
      <c r="U127" s="805"/>
      <c r="V127" s="805"/>
      <c r="W127" s="805"/>
      <c r="X127" s="805"/>
      <c r="Y127" s="805"/>
      <c r="Z127" s="805"/>
      <c r="AA127" s="805"/>
      <c r="AB127" s="805"/>
      <c r="AC127" s="805"/>
      <c r="AD127" s="805"/>
      <c r="AE127" s="805"/>
      <c r="AF127" s="805"/>
      <c r="AG127" s="805"/>
      <c r="AH127" s="805"/>
      <c r="AI127" s="805"/>
      <c r="AJ127" s="805"/>
      <c r="AK127" s="805"/>
      <c r="AL127" s="806"/>
      <c r="AM127" s="805"/>
      <c r="AN127" s="805"/>
      <c r="AO127" s="805"/>
      <c r="AQ127" s="879"/>
      <c r="AR127" s="879"/>
      <c r="AS127" s="879"/>
    </row>
    <row r="128" spans="2:50" x14ac:dyDescent="0.35">
      <c r="AQ128" s="879"/>
      <c r="AR128" s="879"/>
      <c r="AS128" s="879"/>
      <c r="AT128" s="884"/>
      <c r="AU128" s="884"/>
      <c r="AV128" s="884"/>
      <c r="AW128" s="884"/>
      <c r="AX128" s="884"/>
    </row>
    <row r="129" spans="43:45" x14ac:dyDescent="0.35">
      <c r="AQ129" s="879"/>
      <c r="AR129" s="879"/>
      <c r="AS129" s="879"/>
    </row>
    <row r="130" spans="43:45" x14ac:dyDescent="0.35">
      <c r="AQ130" s="879"/>
      <c r="AR130" s="879"/>
      <c r="AS130" s="879"/>
    </row>
    <row r="131" spans="43:45" x14ac:dyDescent="0.35">
      <c r="AR131" s="877"/>
      <c r="AS131" s="877"/>
    </row>
    <row r="132" spans="43:45" x14ac:dyDescent="0.35">
      <c r="AR132" s="877"/>
      <c r="AS132" s="877"/>
    </row>
    <row r="133" spans="43:45" x14ac:dyDescent="0.35">
      <c r="AR133" s="877"/>
      <c r="AS133" s="877"/>
    </row>
    <row r="134" spans="43:45" x14ac:dyDescent="0.35">
      <c r="AS134" s="890"/>
    </row>
    <row r="135" spans="43:45" x14ac:dyDescent="0.35">
      <c r="AS135" s="890"/>
    </row>
    <row r="136" spans="43:45" x14ac:dyDescent="0.35">
      <c r="AS136" s="890"/>
    </row>
    <row r="137" spans="43:45" x14ac:dyDescent="0.35">
      <c r="AS137" s="890"/>
    </row>
    <row r="138" spans="43:45" x14ac:dyDescent="0.35">
      <c r="AS138" s="890"/>
    </row>
    <row r="139" spans="43:45" x14ac:dyDescent="0.35">
      <c r="AS139" s="890"/>
    </row>
  </sheetData>
  <mergeCells count="15">
    <mergeCell ref="AF2:AK2"/>
    <mergeCell ref="AM3:AM4"/>
    <mergeCell ref="B4:B5"/>
    <mergeCell ref="Q3:S3"/>
    <mergeCell ref="T3:V3"/>
    <mergeCell ref="W3:Y3"/>
    <mergeCell ref="AC3:AE3"/>
    <mergeCell ref="A2:B2"/>
    <mergeCell ref="AP3:AP4"/>
    <mergeCell ref="AR4:AS4"/>
    <mergeCell ref="AN3:AN4"/>
    <mergeCell ref="AO3:AO4"/>
    <mergeCell ref="Z3:AB3"/>
    <mergeCell ref="AF3:AH3"/>
    <mergeCell ref="AI3:AK3"/>
  </mergeCells>
  <phoneticPr fontId="34" type="noConversion"/>
  <pageMargins left="0.7" right="0.7" top="0.75" bottom="0.75" header="0.3" footer="0.3"/>
  <pageSetup scale="40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189"/>
  <sheetViews>
    <sheetView showGridLines="0" zoomScale="55" zoomScaleNormal="55" workbookViewId="0">
      <selection activeCell="A2" sqref="A2"/>
    </sheetView>
  </sheetViews>
  <sheetFormatPr defaultColWidth="8.08203125" defaultRowHeight="14.5" x14ac:dyDescent="0.35"/>
  <cols>
    <col min="1" max="1" width="26.08203125" style="184" customWidth="1"/>
    <col min="2" max="2" width="10.08203125" style="185" customWidth="1"/>
    <col min="3" max="3" width="46.08203125" style="185" customWidth="1"/>
    <col min="4" max="4" width="26" style="185" customWidth="1"/>
    <col min="5" max="5" width="22" style="185" customWidth="1"/>
    <col min="6" max="6" width="41.33203125" style="185" customWidth="1"/>
    <col min="7" max="7" width="23.58203125" style="186" customWidth="1"/>
    <col min="8" max="8" width="17.08203125" style="186" customWidth="1"/>
    <col min="9" max="9" width="16.5" style="187" customWidth="1"/>
    <col min="10" max="10" width="14" style="187" customWidth="1"/>
    <col min="11" max="11" width="18.58203125" style="188" customWidth="1"/>
    <col min="12" max="12" width="10" style="185" customWidth="1"/>
    <col min="13" max="13" width="14" style="189" customWidth="1"/>
    <col min="14" max="14" width="13.5" style="189" customWidth="1"/>
    <col min="15" max="15" width="31.08203125" style="185" customWidth="1"/>
    <col min="16" max="17" width="8.08203125" style="185" customWidth="1"/>
    <col min="18" max="18" width="61.58203125" style="185" customWidth="1"/>
    <col min="19" max="19" width="51.58203125" style="185" customWidth="1"/>
    <col min="20" max="21" width="8.08203125" style="185" customWidth="1"/>
    <col min="22" max="16384" width="8.08203125" style="185"/>
  </cols>
  <sheetData>
    <row r="2" spans="1:21" ht="16.399999999999999" customHeight="1" x14ac:dyDescent="0.35">
      <c r="A2" s="190"/>
      <c r="B2" s="190" t="s">
        <v>229</v>
      </c>
      <c r="C2" s="191"/>
      <c r="D2" s="191"/>
      <c r="E2" s="191"/>
      <c r="F2" s="191"/>
      <c r="G2" s="389"/>
      <c r="H2" s="191"/>
      <c r="I2" s="191"/>
      <c r="J2" s="191"/>
      <c r="K2" s="192"/>
      <c r="L2" s="191"/>
      <c r="M2" s="191"/>
      <c r="N2" s="191"/>
      <c r="O2" s="191"/>
      <c r="P2" s="193"/>
      <c r="Q2" s="193"/>
      <c r="R2" s="194"/>
      <c r="S2" s="193"/>
      <c r="T2" s="193"/>
      <c r="U2" s="193"/>
    </row>
    <row r="3" spans="1:21" ht="16" hidden="1" thickBot="1" x14ac:dyDescent="0.4">
      <c r="B3" s="1015" t="s">
        <v>230</v>
      </c>
      <c r="C3" s="1016"/>
      <c r="D3" s="1016"/>
      <c r="E3" s="1016"/>
      <c r="F3" s="1016"/>
      <c r="G3" s="1016"/>
      <c r="H3" s="1016"/>
      <c r="I3" s="1016"/>
      <c r="J3" s="1016"/>
      <c r="K3" s="1016"/>
      <c r="L3" s="1016"/>
      <c r="M3" s="1016"/>
      <c r="N3" s="1016"/>
      <c r="O3" s="1017"/>
      <c r="P3" s="193"/>
      <c r="Q3" s="193"/>
      <c r="R3" s="195"/>
      <c r="S3" s="193"/>
      <c r="T3" s="193"/>
      <c r="U3" s="193"/>
    </row>
    <row r="4" spans="1:21" ht="14.9" hidden="1" customHeight="1" x14ac:dyDescent="0.35">
      <c r="A4" s="1006" t="s">
        <v>231</v>
      </c>
      <c r="B4" s="980" t="s">
        <v>232</v>
      </c>
      <c r="C4" s="978" t="s">
        <v>233</v>
      </c>
      <c r="D4" s="978" t="s">
        <v>234</v>
      </c>
      <c r="E4" s="978" t="s">
        <v>235</v>
      </c>
      <c r="F4" s="979" t="s">
        <v>236</v>
      </c>
      <c r="G4" s="999" t="s">
        <v>237</v>
      </c>
      <c r="H4" s="1000"/>
      <c r="I4" s="1000"/>
      <c r="J4" s="1001"/>
      <c r="K4" s="978" t="s">
        <v>238</v>
      </c>
      <c r="L4" s="978" t="s">
        <v>239</v>
      </c>
      <c r="M4" s="978" t="s">
        <v>240</v>
      </c>
      <c r="N4" s="978"/>
      <c r="O4" s="984" t="s">
        <v>241</v>
      </c>
      <c r="P4" s="193"/>
      <c r="Q4" s="193"/>
      <c r="R4" s="195"/>
      <c r="S4" s="193"/>
      <c r="T4" s="193"/>
      <c r="U4" s="193"/>
    </row>
    <row r="5" spans="1:21" ht="41.5" hidden="1" customHeight="1" thickBot="1" x14ac:dyDescent="0.4">
      <c r="A5" s="1007"/>
      <c r="B5" s="980"/>
      <c r="C5" s="978"/>
      <c r="D5" s="978"/>
      <c r="E5" s="978"/>
      <c r="F5" s="1021"/>
      <c r="G5" s="196" t="s">
        <v>242</v>
      </c>
      <c r="H5" s="196" t="s">
        <v>243</v>
      </c>
      <c r="I5" s="197" t="s">
        <v>244</v>
      </c>
      <c r="J5" s="197" t="s">
        <v>245</v>
      </c>
      <c r="K5" s="978"/>
      <c r="L5" s="978"/>
      <c r="M5" s="198" t="s">
        <v>246</v>
      </c>
      <c r="N5" s="198" t="s">
        <v>247</v>
      </c>
      <c r="O5" s="984"/>
      <c r="P5" s="193"/>
      <c r="Q5" s="193"/>
      <c r="S5" s="193"/>
      <c r="T5" s="193"/>
      <c r="U5" s="193"/>
    </row>
    <row r="6" spans="1:21" s="267" customFormat="1" ht="15" hidden="1" thickBot="1" x14ac:dyDescent="0.4">
      <c r="A6" s="299"/>
      <c r="B6" s="274"/>
      <c r="C6" s="300"/>
      <c r="D6" s="268"/>
      <c r="E6" s="268"/>
      <c r="F6" s="268"/>
      <c r="G6" s="300"/>
      <c r="H6" s="269"/>
      <c r="I6" s="328"/>
      <c r="J6" s="328"/>
      <c r="K6" s="301"/>
      <c r="L6" s="268"/>
      <c r="M6" s="270"/>
      <c r="N6" s="270"/>
      <c r="O6" s="271"/>
      <c r="P6" s="265"/>
      <c r="Q6" s="265"/>
      <c r="R6" s="266"/>
      <c r="S6" s="265"/>
      <c r="T6" s="265"/>
      <c r="U6" s="265"/>
    </row>
    <row r="7" spans="1:21" s="302" customFormat="1" ht="42" hidden="1" customHeight="1" thickBot="1" x14ac:dyDescent="0.4">
      <c r="A7" s="336"/>
      <c r="B7" s="313"/>
      <c r="C7" s="314"/>
      <c r="D7" s="334"/>
      <c r="E7" s="315"/>
      <c r="F7" s="314"/>
      <c r="G7" s="314"/>
      <c r="H7" s="337"/>
      <c r="I7" s="317"/>
      <c r="J7" s="317"/>
      <c r="K7" s="335"/>
      <c r="L7" s="315"/>
      <c r="M7" s="319"/>
      <c r="N7" s="319"/>
      <c r="O7" s="320"/>
      <c r="P7" s="193"/>
      <c r="Q7" s="193"/>
      <c r="R7" s="195"/>
      <c r="S7" s="193"/>
      <c r="T7" s="193"/>
      <c r="U7" s="193"/>
    </row>
    <row r="8" spans="1:21" hidden="1" x14ac:dyDescent="0.35">
      <c r="A8" s="281"/>
      <c r="B8" s="292"/>
      <c r="C8" s="369"/>
      <c r="D8" s="200"/>
      <c r="E8" s="370"/>
      <c r="F8" s="282"/>
      <c r="G8" s="283"/>
      <c r="H8" s="227"/>
      <c r="I8" s="201"/>
      <c r="J8" s="201"/>
      <c r="K8" s="204"/>
      <c r="L8" s="282"/>
      <c r="M8" s="319"/>
      <c r="N8" s="202"/>
      <c r="O8" s="285"/>
      <c r="P8" s="193"/>
      <c r="Q8" s="193"/>
      <c r="R8" s="195"/>
      <c r="S8" s="193"/>
      <c r="T8" s="193"/>
      <c r="U8" s="193"/>
    </row>
    <row r="9" spans="1:21" ht="20.25" hidden="1" customHeight="1" thickBot="1" x14ac:dyDescent="0.4">
      <c r="A9" s="205"/>
      <c r="B9" s="206"/>
      <c r="C9" s="207"/>
      <c r="D9" s="371"/>
      <c r="E9" s="207"/>
      <c r="F9" s="207"/>
      <c r="G9" s="208"/>
      <c r="H9" s="208"/>
      <c r="I9" s="209"/>
      <c r="J9" s="209"/>
      <c r="K9" s="210"/>
      <c r="L9" s="207"/>
      <c r="M9" s="211"/>
      <c r="N9" s="211"/>
      <c r="O9" s="212"/>
      <c r="P9" s="193"/>
      <c r="Q9" s="193"/>
      <c r="R9" s="195"/>
      <c r="S9" s="193"/>
      <c r="T9" s="193"/>
      <c r="U9" s="193"/>
    </row>
    <row r="10" spans="1:21" s="214" customFormat="1" ht="20.25" hidden="1" customHeight="1" x14ac:dyDescent="0.35">
      <c r="A10" s="213"/>
      <c r="E10" s="215"/>
      <c r="G10" s="278">
        <f>SUM(G6:G9)</f>
        <v>0</v>
      </c>
      <c r="H10" s="216">
        <f>SUM(H6:H9)</f>
        <v>0</v>
      </c>
      <c r="I10" s="217"/>
      <c r="J10" s="217"/>
      <c r="K10" s="218"/>
      <c r="M10" s="219"/>
      <c r="N10" s="220"/>
      <c r="R10" s="221"/>
    </row>
    <row r="11" spans="1:21" s="214" customFormat="1" ht="20.25" customHeight="1" thickBot="1" x14ac:dyDescent="0.4">
      <c r="A11" s="213"/>
      <c r="G11" s="389"/>
      <c r="H11" s="216"/>
      <c r="I11" s="217"/>
      <c r="J11" s="217"/>
      <c r="K11" s="218"/>
      <c r="M11" s="222"/>
      <c r="N11" s="220"/>
      <c r="R11" s="221"/>
    </row>
    <row r="12" spans="1:21" ht="16" thickBot="1" x14ac:dyDescent="0.4">
      <c r="B12" s="1027" t="s">
        <v>248</v>
      </c>
      <c r="C12" s="1028"/>
      <c r="D12" s="1028"/>
      <c r="E12" s="1028"/>
      <c r="F12" s="1028"/>
      <c r="G12" s="1028"/>
      <c r="H12" s="1028"/>
      <c r="I12" s="1028"/>
      <c r="J12" s="1028"/>
      <c r="K12" s="1028"/>
      <c r="L12" s="1028"/>
      <c r="M12" s="1028"/>
      <c r="N12" s="1028"/>
      <c r="O12" s="1029"/>
      <c r="P12" s="193"/>
      <c r="Q12" s="193"/>
      <c r="R12" s="195"/>
      <c r="S12" s="193"/>
      <c r="T12" s="193"/>
      <c r="U12" s="193"/>
    </row>
    <row r="13" spans="1:21" ht="15" customHeight="1" x14ac:dyDescent="0.35">
      <c r="A13" s="1006" t="s">
        <v>231</v>
      </c>
      <c r="B13" s="1008" t="s">
        <v>232</v>
      </c>
      <c r="C13" s="1022" t="s">
        <v>233</v>
      </c>
      <c r="D13" s="1022" t="s">
        <v>249</v>
      </c>
      <c r="E13" s="1022" t="s">
        <v>235</v>
      </c>
      <c r="F13" s="1026" t="s">
        <v>236</v>
      </c>
      <c r="G13" s="1023" t="s">
        <v>237</v>
      </c>
      <c r="H13" s="1024"/>
      <c r="I13" s="1024"/>
      <c r="J13" s="1025"/>
      <c r="K13" s="1022" t="s">
        <v>238</v>
      </c>
      <c r="L13" s="1022" t="s">
        <v>239</v>
      </c>
      <c r="M13" s="1022" t="s">
        <v>240</v>
      </c>
      <c r="N13" s="1022"/>
      <c r="O13" s="1030" t="s">
        <v>241</v>
      </c>
      <c r="P13" s="193"/>
      <c r="Q13" s="193"/>
      <c r="R13" s="195"/>
      <c r="S13" s="193"/>
      <c r="T13" s="193"/>
      <c r="U13" s="193"/>
    </row>
    <row r="14" spans="1:21" ht="36" customHeight="1" thickBot="1" x14ac:dyDescent="0.4">
      <c r="A14" s="1007"/>
      <c r="B14" s="980"/>
      <c r="C14" s="978"/>
      <c r="D14" s="978"/>
      <c r="E14" s="978"/>
      <c r="F14" s="1021"/>
      <c r="G14" s="197" t="s">
        <v>242</v>
      </c>
      <c r="H14" s="197" t="s">
        <v>243</v>
      </c>
      <c r="I14" s="197" t="s">
        <v>244</v>
      </c>
      <c r="J14" s="197" t="s">
        <v>245</v>
      </c>
      <c r="K14" s="978"/>
      <c r="L14" s="978"/>
      <c r="M14" s="198" t="s">
        <v>246</v>
      </c>
      <c r="N14" s="198" t="s">
        <v>247</v>
      </c>
      <c r="O14" s="984"/>
      <c r="P14" s="193"/>
      <c r="Q14" s="193"/>
      <c r="R14" s="194"/>
      <c r="S14" s="193"/>
      <c r="T14" s="193"/>
      <c r="U14" s="193"/>
    </row>
    <row r="15" spans="1:21" s="267" customFormat="1" ht="38.15" hidden="1" customHeight="1" x14ac:dyDescent="0.35">
      <c r="A15" s="1038" t="s">
        <v>43</v>
      </c>
      <c r="B15" s="257" t="s">
        <v>250</v>
      </c>
      <c r="C15" s="268" t="str">
        <f>+'[1]2. Pluriannual Plan PEP v.2'!B17</f>
        <v>Adquisición de equipos de conectividad lan y wan (equipos de red y comunicaciones para agencias, centro de datos principal y alterno)</v>
      </c>
      <c r="D15" s="268" t="s">
        <v>251</v>
      </c>
      <c r="E15" s="268"/>
      <c r="F15" s="268"/>
      <c r="G15" s="269"/>
      <c r="H15" s="269"/>
      <c r="I15" s="261" t="e">
        <f t="shared" ref="I15:I42" si="0">(G15/(G15+H15))</f>
        <v>#DIV/0!</v>
      </c>
      <c r="J15" s="261" t="e">
        <f t="shared" ref="J15:J42" si="1">(H15/(G15+H15))</f>
        <v>#DIV/0!</v>
      </c>
      <c r="K15" s="262" t="s">
        <v>252</v>
      </c>
      <c r="L15" s="259" t="s">
        <v>253</v>
      </c>
      <c r="M15" s="270"/>
      <c r="N15" s="270"/>
      <c r="O15" s="271"/>
      <c r="P15" s="265"/>
      <c r="Q15" s="265"/>
      <c r="R15" s="266"/>
      <c r="S15" s="265"/>
      <c r="T15" s="265"/>
      <c r="U15" s="265"/>
    </row>
    <row r="16" spans="1:21" s="267" customFormat="1" ht="38.15" hidden="1" customHeight="1" x14ac:dyDescent="0.35">
      <c r="A16" s="1039"/>
      <c r="B16" s="257" t="s">
        <v>250</v>
      </c>
      <c r="C16" s="268" t="str">
        <f>+'[1]2. Pluriannual Plan PEP v.2'!B18</f>
        <v xml:space="preserve">Adquisición de equipos QoS (equipo que controla el ancho de banda de una red al gestionar los paquetes que viajan en la misma). </v>
      </c>
      <c r="D16" s="268" t="s">
        <v>251</v>
      </c>
      <c r="E16" s="268"/>
      <c r="F16" s="268"/>
      <c r="G16" s="269"/>
      <c r="H16" s="269"/>
      <c r="I16" s="261" t="e">
        <f t="shared" si="0"/>
        <v>#DIV/0!</v>
      </c>
      <c r="J16" s="261" t="e">
        <f t="shared" si="1"/>
        <v>#DIV/0!</v>
      </c>
      <c r="K16" s="262" t="s">
        <v>252</v>
      </c>
      <c r="L16" s="259" t="s">
        <v>253</v>
      </c>
      <c r="M16" s="270"/>
      <c r="N16" s="270"/>
      <c r="O16" s="271"/>
      <c r="P16" s="265"/>
      <c r="Q16" s="265"/>
      <c r="R16" s="266"/>
      <c r="S16" s="265"/>
      <c r="T16" s="265"/>
      <c r="U16" s="265"/>
    </row>
    <row r="17" spans="1:21" s="267" customFormat="1" ht="38.15" hidden="1" customHeight="1" x14ac:dyDescent="0.35">
      <c r="A17" s="1039"/>
      <c r="B17" s="257" t="s">
        <v>250</v>
      </c>
      <c r="C17" s="268" t="str">
        <f>+'[1]2. Pluriannual Plan PEP v.2'!B19</f>
        <v>Adquisición de infraestructura de almacenamiento para el centro de datos principal (bandejas de disco)</v>
      </c>
      <c r="D17" s="268" t="s">
        <v>251</v>
      </c>
      <c r="E17" s="268"/>
      <c r="F17" s="268"/>
      <c r="G17" s="269"/>
      <c r="H17" s="269"/>
      <c r="I17" s="261" t="e">
        <f t="shared" si="0"/>
        <v>#DIV/0!</v>
      </c>
      <c r="J17" s="261" t="e">
        <f t="shared" si="1"/>
        <v>#DIV/0!</v>
      </c>
      <c r="K17" s="262" t="s">
        <v>252</v>
      </c>
      <c r="L17" s="259" t="s">
        <v>253</v>
      </c>
      <c r="M17" s="270"/>
      <c r="N17" s="270"/>
      <c r="O17" s="271"/>
      <c r="P17" s="265"/>
      <c r="Q17" s="265"/>
      <c r="R17" s="266"/>
      <c r="S17" s="265"/>
      <c r="T17" s="265"/>
      <c r="U17" s="265"/>
    </row>
    <row r="18" spans="1:21" s="267" customFormat="1" ht="38.15" hidden="1" customHeight="1" x14ac:dyDescent="0.35">
      <c r="A18" s="1039"/>
      <c r="B18" s="257" t="s">
        <v>250</v>
      </c>
      <c r="C18" s="268" t="str">
        <f>+'[1]2. Pluriannual Plan PEP v.2'!B20</f>
        <v>Adquisición de Infraestructura de Capa Media para el Centro de Datos Principal (Servidores que poseen memoria, disco, CPU, tarjeta gráfica y tarjeta de red)</v>
      </c>
      <c r="D18" s="268" t="s">
        <v>251</v>
      </c>
      <c r="E18" s="268"/>
      <c r="F18" s="268"/>
      <c r="G18" s="269"/>
      <c r="H18" s="269"/>
      <c r="I18" s="261" t="e">
        <f t="shared" si="0"/>
        <v>#DIV/0!</v>
      </c>
      <c r="J18" s="261" t="e">
        <f t="shared" si="1"/>
        <v>#DIV/0!</v>
      </c>
      <c r="K18" s="262" t="s">
        <v>252</v>
      </c>
      <c r="L18" s="259" t="s">
        <v>253</v>
      </c>
      <c r="M18" s="270"/>
      <c r="N18" s="270"/>
      <c r="O18" s="271"/>
      <c r="P18" s="265"/>
      <c r="Q18" s="265"/>
      <c r="R18" s="266"/>
      <c r="S18" s="265"/>
      <c r="T18" s="265"/>
      <c r="U18" s="265"/>
    </row>
    <row r="19" spans="1:21" s="267" customFormat="1" ht="38.15" hidden="1" customHeight="1" x14ac:dyDescent="0.35">
      <c r="A19" s="1039"/>
      <c r="B19" s="257" t="s">
        <v>250</v>
      </c>
      <c r="C19" s="268" t="str">
        <f>+'[1]2. Pluriannual Plan PEP v.2'!B21</f>
        <v>Adquisición de infraestructura de Respaldos (librería de respaldos que permite se guarden los respaldos de información hacia las cintas magnéticas de manera automática).</v>
      </c>
      <c r="D19" s="268" t="s">
        <v>254</v>
      </c>
      <c r="E19" s="268"/>
      <c r="F19" s="268"/>
      <c r="G19" s="269"/>
      <c r="H19" s="269"/>
      <c r="I19" s="261" t="e">
        <f t="shared" si="0"/>
        <v>#DIV/0!</v>
      </c>
      <c r="J19" s="261" t="e">
        <f t="shared" si="1"/>
        <v>#DIV/0!</v>
      </c>
      <c r="K19" s="262" t="s">
        <v>252</v>
      </c>
      <c r="L19" s="259" t="s">
        <v>253</v>
      </c>
      <c r="M19" s="270"/>
      <c r="N19" s="270"/>
      <c r="O19" s="271"/>
      <c r="P19" s="265"/>
      <c r="Q19" s="265"/>
      <c r="R19" s="266"/>
      <c r="S19" s="265"/>
      <c r="T19" s="265"/>
      <c r="U19" s="265"/>
    </row>
    <row r="20" spans="1:21" s="267" customFormat="1" ht="38.15" hidden="1" customHeight="1" x14ac:dyDescent="0.35">
      <c r="A20" s="1039"/>
      <c r="B20" s="257" t="s">
        <v>250</v>
      </c>
      <c r="C20" s="268" t="str">
        <f>+'[1]2. Pluriannual Plan PEP v.2'!B22</f>
        <v>Adquisición de infraestructura de Videoconferencia (equipos que permiten realizar conferencias o reuniones virtuales)</v>
      </c>
      <c r="D20" s="268" t="s">
        <v>251</v>
      </c>
      <c r="E20" s="268"/>
      <c r="F20" s="268"/>
      <c r="G20" s="269"/>
      <c r="H20" s="269"/>
      <c r="I20" s="261" t="e">
        <f t="shared" si="0"/>
        <v>#DIV/0!</v>
      </c>
      <c r="J20" s="261" t="e">
        <f t="shared" si="1"/>
        <v>#DIV/0!</v>
      </c>
      <c r="K20" s="262" t="s">
        <v>252</v>
      </c>
      <c r="L20" s="259" t="s">
        <v>253</v>
      </c>
      <c r="M20" s="270"/>
      <c r="N20" s="270"/>
      <c r="O20" s="271"/>
      <c r="P20" s="265"/>
      <c r="Q20" s="265"/>
      <c r="R20" s="266"/>
      <c r="S20" s="265"/>
      <c r="T20" s="265"/>
      <c r="U20" s="265"/>
    </row>
    <row r="21" spans="1:21" s="267" customFormat="1" ht="38.15" hidden="1" customHeight="1" x14ac:dyDescent="0.35">
      <c r="A21" s="1039"/>
      <c r="B21" s="257" t="s">
        <v>250</v>
      </c>
      <c r="C21" s="268" t="str">
        <f>+'[1]2. Pluriannual Plan PEP v.2'!B23</f>
        <v>Adquisición equipos aceleradores de agencia (equipo optimizador del tráfico de la red al comprimir/descomprimir la data que viaja a través del enlace de comunicación)</v>
      </c>
      <c r="D21" s="268" t="s">
        <v>251</v>
      </c>
      <c r="E21" s="268"/>
      <c r="F21" s="268"/>
      <c r="G21" s="269"/>
      <c r="H21" s="269"/>
      <c r="I21" s="261" t="e">
        <f t="shared" si="0"/>
        <v>#DIV/0!</v>
      </c>
      <c r="J21" s="261" t="e">
        <f t="shared" si="1"/>
        <v>#DIV/0!</v>
      </c>
      <c r="K21" s="262" t="s">
        <v>252</v>
      </c>
      <c r="L21" s="259" t="s">
        <v>253</v>
      </c>
      <c r="M21" s="270"/>
      <c r="N21" s="270"/>
      <c r="O21" s="271"/>
      <c r="P21" s="265"/>
      <c r="Q21" s="265"/>
      <c r="R21" s="266"/>
      <c r="S21" s="265"/>
      <c r="T21" s="265"/>
      <c r="U21" s="265"/>
    </row>
    <row r="22" spans="1:21" s="267" customFormat="1" ht="38.15" hidden="1" customHeight="1" x14ac:dyDescent="0.35">
      <c r="A22" s="1039"/>
      <c r="B22" s="257" t="s">
        <v>250</v>
      </c>
      <c r="C22" s="268" t="str">
        <f>+'[1]2. Pluriannual Plan PEP v.2'!B24</f>
        <v>Adquisición plataforma escritorios virtuales</v>
      </c>
      <c r="D22" s="268" t="s">
        <v>251</v>
      </c>
      <c r="E22" s="268"/>
      <c r="F22" s="268"/>
      <c r="G22" s="269"/>
      <c r="H22" s="269"/>
      <c r="I22" s="261" t="e">
        <f t="shared" si="0"/>
        <v>#DIV/0!</v>
      </c>
      <c r="J22" s="261" t="e">
        <f t="shared" si="1"/>
        <v>#DIV/0!</v>
      </c>
      <c r="K22" s="262" t="s">
        <v>252</v>
      </c>
      <c r="L22" s="259" t="s">
        <v>253</v>
      </c>
      <c r="M22" s="270"/>
      <c r="N22" s="270"/>
      <c r="O22" s="271"/>
      <c r="P22" s="265"/>
      <c r="Q22" s="265"/>
      <c r="R22" s="266"/>
      <c r="S22" s="265"/>
      <c r="T22" s="265"/>
      <c r="U22" s="265"/>
    </row>
    <row r="23" spans="1:21" s="267" customFormat="1" ht="38.15" hidden="1" customHeight="1" x14ac:dyDescent="0.35">
      <c r="A23" s="1039"/>
      <c r="B23" s="257" t="s">
        <v>250</v>
      </c>
      <c r="C23" s="268" t="str">
        <f>+'[1]2. Pluriannual Plan PEP v.2'!B25</f>
        <v>Data Loss Prevention (DLP) (Sistema que monitorea el uso de la información digital y previene fugas masivas de información a destinos no autorizados)</v>
      </c>
      <c r="D23" s="268" t="s">
        <v>251</v>
      </c>
      <c r="E23" s="268"/>
      <c r="F23" s="268"/>
      <c r="G23" s="269"/>
      <c r="H23" s="269"/>
      <c r="I23" s="261" t="e">
        <f t="shared" si="0"/>
        <v>#DIV/0!</v>
      </c>
      <c r="J23" s="261" t="e">
        <f t="shared" si="1"/>
        <v>#DIV/0!</v>
      </c>
      <c r="K23" s="262" t="s">
        <v>252</v>
      </c>
      <c r="L23" s="259" t="s">
        <v>253</v>
      </c>
      <c r="M23" s="270"/>
      <c r="N23" s="270"/>
      <c r="O23" s="271"/>
      <c r="P23" s="265"/>
      <c r="Q23" s="265"/>
      <c r="R23" s="266"/>
      <c r="S23" s="265"/>
      <c r="T23" s="265"/>
      <c r="U23" s="265"/>
    </row>
    <row r="24" spans="1:21" s="267" customFormat="1" ht="38.15" hidden="1" customHeight="1" x14ac:dyDescent="0.35">
      <c r="A24" s="1039"/>
      <c r="B24" s="257" t="s">
        <v>250</v>
      </c>
      <c r="C24" s="268" t="str">
        <f>+'[1]2. Pluriannual Plan PEP v.2'!B26</f>
        <v>Fortalecimiento infraestructura de respaldos (nube)</v>
      </c>
      <c r="D24" s="268" t="s">
        <v>251</v>
      </c>
      <c r="E24" s="268"/>
      <c r="F24" s="268"/>
      <c r="G24" s="269"/>
      <c r="H24" s="269"/>
      <c r="I24" s="261" t="e">
        <f t="shared" si="0"/>
        <v>#DIV/0!</v>
      </c>
      <c r="J24" s="261" t="e">
        <f t="shared" si="1"/>
        <v>#DIV/0!</v>
      </c>
      <c r="K24" s="262" t="s">
        <v>252</v>
      </c>
      <c r="L24" s="259" t="s">
        <v>253</v>
      </c>
      <c r="M24" s="270"/>
      <c r="N24" s="270"/>
      <c r="O24" s="271"/>
      <c r="P24" s="265"/>
      <c r="Q24" s="265"/>
      <c r="R24" s="266"/>
      <c r="S24" s="265"/>
      <c r="T24" s="265"/>
      <c r="U24" s="265"/>
    </row>
    <row r="25" spans="1:21" s="267" customFormat="1" ht="38.15" hidden="1" customHeight="1" x14ac:dyDescent="0.35">
      <c r="A25" s="1039"/>
      <c r="B25" s="257" t="s">
        <v>250</v>
      </c>
      <c r="C25" s="268" t="str">
        <f>+'[1]2. Pluriannual Plan PEP v.2'!B27</f>
        <v>Gestión de Vulnerabilidades (Sistema que permite detectar y reportar las vulnerabilidades de sistemas de datacenter y punto final para habilitar su remediación mediante su integración de sistemas de parchado)</v>
      </c>
      <c r="D25" s="268" t="s">
        <v>251</v>
      </c>
      <c r="E25" s="268"/>
      <c r="F25" s="268"/>
      <c r="G25" s="269"/>
      <c r="H25" s="269"/>
      <c r="I25" s="261" t="e">
        <f t="shared" si="0"/>
        <v>#DIV/0!</v>
      </c>
      <c r="J25" s="261" t="e">
        <f t="shared" si="1"/>
        <v>#DIV/0!</v>
      </c>
      <c r="K25" s="262" t="s">
        <v>252</v>
      </c>
      <c r="L25" s="259" t="s">
        <v>253</v>
      </c>
      <c r="M25" s="270"/>
      <c r="N25" s="270"/>
      <c r="O25" s="271"/>
      <c r="P25" s="265"/>
      <c r="Q25" s="265"/>
      <c r="R25" s="266"/>
      <c r="S25" s="265"/>
      <c r="T25" s="265"/>
      <c r="U25" s="265"/>
    </row>
    <row r="26" spans="1:21" s="267" customFormat="1" ht="38.15" hidden="1" customHeight="1" x14ac:dyDescent="0.35">
      <c r="A26" s="1039"/>
      <c r="B26" s="257" t="s">
        <v>250</v>
      </c>
      <c r="C26" s="268" t="str">
        <f>+'[1]2. Pluriannual Plan PEP v.2'!B28</f>
        <v>HSM
(HSM, CA Institucional, implementar un equipo se seguridad especializado para proteger las llaves criptográficas institucionales e implementar una nueva entidad certificadora)</v>
      </c>
      <c r="D26" s="268" t="s">
        <v>251</v>
      </c>
      <c r="E26" s="268"/>
      <c r="F26" s="268"/>
      <c r="G26" s="269"/>
      <c r="H26" s="269"/>
      <c r="I26" s="261" t="e">
        <f t="shared" si="0"/>
        <v>#DIV/0!</v>
      </c>
      <c r="J26" s="261" t="e">
        <f t="shared" si="1"/>
        <v>#DIV/0!</v>
      </c>
      <c r="K26" s="262" t="s">
        <v>252</v>
      </c>
      <c r="L26" s="259" t="s">
        <v>253</v>
      </c>
      <c r="M26" s="270"/>
      <c r="N26" s="270"/>
      <c r="O26" s="271"/>
      <c r="P26" s="265"/>
      <c r="Q26" s="265"/>
      <c r="R26" s="266"/>
      <c r="S26" s="265"/>
      <c r="T26" s="265"/>
      <c r="U26" s="265"/>
    </row>
    <row r="27" spans="1:21" s="267" customFormat="1" ht="38.15" hidden="1" customHeight="1" x14ac:dyDescent="0.35">
      <c r="A27" s="1039"/>
      <c r="B27" s="257" t="s">
        <v>250</v>
      </c>
      <c r="C27" s="268" t="str">
        <f>+'[1]2. Pluriannual Plan PEP v.2'!B29</f>
        <v>Identity Management (software que se encarga de la gestión de credenciales de red y de privilegios sobre servicios informáticos institucionales)</v>
      </c>
      <c r="D27" s="268" t="s">
        <v>251</v>
      </c>
      <c r="E27" s="268"/>
      <c r="F27" s="268"/>
      <c r="G27" s="269"/>
      <c r="H27" s="269"/>
      <c r="I27" s="261" t="e">
        <f t="shared" si="0"/>
        <v>#DIV/0!</v>
      </c>
      <c r="J27" s="261" t="e">
        <f t="shared" si="1"/>
        <v>#DIV/0!</v>
      </c>
      <c r="K27" s="262" t="s">
        <v>252</v>
      </c>
      <c r="L27" s="259" t="s">
        <v>253</v>
      </c>
      <c r="M27" s="270"/>
      <c r="N27" s="270"/>
      <c r="O27" s="271"/>
      <c r="P27" s="265"/>
      <c r="Q27" s="265"/>
      <c r="R27" s="266"/>
      <c r="S27" s="265"/>
      <c r="T27" s="265"/>
      <c r="U27" s="265"/>
    </row>
    <row r="28" spans="1:21" s="267" customFormat="1" ht="38.15" hidden="1" customHeight="1" x14ac:dyDescent="0.35">
      <c r="A28" s="1039"/>
      <c r="B28" s="257" t="s">
        <v>250</v>
      </c>
      <c r="C28" s="268" t="str">
        <f>+'[1]2. Pluriannual Plan PEP v.2'!B30</f>
        <v>Identity Management (software que se encarga de la gestión de credenciales de red y de privilegios sobre servicios informáticos institucionales) Migración</v>
      </c>
      <c r="D28" s="268" t="s">
        <v>254</v>
      </c>
      <c r="E28" s="268"/>
      <c r="F28" s="268"/>
      <c r="G28" s="269"/>
      <c r="H28" s="269"/>
      <c r="I28" s="261" t="e">
        <f t="shared" si="0"/>
        <v>#DIV/0!</v>
      </c>
      <c r="J28" s="261" t="e">
        <f t="shared" si="1"/>
        <v>#DIV/0!</v>
      </c>
      <c r="K28" s="262" t="s">
        <v>252</v>
      </c>
      <c r="L28" s="259" t="s">
        <v>253</v>
      </c>
      <c r="M28" s="270"/>
      <c r="N28" s="270"/>
      <c r="O28" s="271"/>
      <c r="P28" s="265"/>
      <c r="Q28" s="265"/>
      <c r="R28" s="266"/>
      <c r="S28" s="265"/>
      <c r="T28" s="265"/>
      <c r="U28" s="265"/>
    </row>
    <row r="29" spans="1:21" s="267" customFormat="1" ht="38.15" hidden="1" customHeight="1" x14ac:dyDescent="0.35">
      <c r="A29" s="1039"/>
      <c r="B29" s="257" t="s">
        <v>250</v>
      </c>
      <c r="C29" s="268" t="str">
        <f>+'[1]2. Pluriannual Plan PEP v.2'!B31</f>
        <v>NGFW (Datacenter):(Firewall,  IPS, SandBox, URL Filtering, Control de Aplicaciones, Protección de Punto Final)</v>
      </c>
      <c r="D29" s="268" t="s">
        <v>251</v>
      </c>
      <c r="E29" s="268"/>
      <c r="F29" s="268"/>
      <c r="G29" s="269"/>
      <c r="H29" s="269"/>
      <c r="I29" s="261" t="e">
        <f t="shared" si="0"/>
        <v>#DIV/0!</v>
      </c>
      <c r="J29" s="261" t="e">
        <f t="shared" si="1"/>
        <v>#DIV/0!</v>
      </c>
      <c r="K29" s="262" t="s">
        <v>252</v>
      </c>
      <c r="L29" s="259" t="s">
        <v>253</v>
      </c>
      <c r="M29" s="270"/>
      <c r="N29" s="270"/>
      <c r="O29" s="271"/>
      <c r="P29" s="265"/>
      <c r="Q29" s="265"/>
      <c r="R29" s="266"/>
      <c r="S29" s="265"/>
      <c r="T29" s="265"/>
      <c r="U29" s="265"/>
    </row>
    <row r="30" spans="1:21" s="267" customFormat="1" ht="38.15" hidden="1" customHeight="1" x14ac:dyDescent="0.35">
      <c r="A30" s="1039"/>
      <c r="B30" s="257" t="s">
        <v>250</v>
      </c>
      <c r="C30" s="268" t="str">
        <f>+'[1]2. Pluriannual Plan PEP v.2'!B32</f>
        <v>NGFW (Datacenter):(Firewall,  IPS, SandBox, URL Filtering, Control de Aplicaciones, Protección de Punto Final) Migración</v>
      </c>
      <c r="D30" s="268" t="s">
        <v>255</v>
      </c>
      <c r="E30" s="268"/>
      <c r="F30" s="268"/>
      <c r="G30" s="269"/>
      <c r="H30" s="269"/>
      <c r="I30" s="261" t="e">
        <f t="shared" si="0"/>
        <v>#DIV/0!</v>
      </c>
      <c r="J30" s="261" t="e">
        <f t="shared" si="1"/>
        <v>#DIV/0!</v>
      </c>
      <c r="K30" s="262" t="s">
        <v>252</v>
      </c>
      <c r="L30" s="259" t="s">
        <v>253</v>
      </c>
      <c r="M30" s="270"/>
      <c r="N30" s="270"/>
      <c r="O30" s="271"/>
      <c r="P30" s="265"/>
      <c r="Q30" s="265"/>
      <c r="R30" s="266"/>
      <c r="S30" s="265"/>
      <c r="T30" s="265"/>
      <c r="U30" s="265"/>
    </row>
    <row r="31" spans="1:21" s="267" customFormat="1" ht="38.15" hidden="1" customHeight="1" x14ac:dyDescent="0.35">
      <c r="A31" s="1039"/>
      <c r="B31" s="257" t="s">
        <v>250</v>
      </c>
      <c r="C31" s="268" t="str">
        <f>+'[1]2. Pluriannual Plan PEP v.2'!B33</f>
        <v>Protección Avanzada de Email (fwde correo electrónico con protección especializadas para amenazas emergentes de correo electrónico)</v>
      </c>
      <c r="D31" s="268" t="s">
        <v>251</v>
      </c>
      <c r="E31" s="268"/>
      <c r="F31" s="268"/>
      <c r="G31" s="269"/>
      <c r="H31" s="269"/>
      <c r="I31" s="261" t="e">
        <f t="shared" si="0"/>
        <v>#DIV/0!</v>
      </c>
      <c r="J31" s="261" t="e">
        <f t="shared" si="1"/>
        <v>#DIV/0!</v>
      </c>
      <c r="K31" s="262" t="s">
        <v>252</v>
      </c>
      <c r="L31" s="259" t="s">
        <v>253</v>
      </c>
      <c r="M31" s="270"/>
      <c r="N31" s="270"/>
      <c r="O31" s="271"/>
      <c r="P31" s="265"/>
      <c r="Q31" s="265"/>
      <c r="R31" s="266"/>
      <c r="S31" s="265"/>
      <c r="T31" s="265"/>
      <c r="U31" s="265"/>
    </row>
    <row r="32" spans="1:21" s="267" customFormat="1" ht="38.15" hidden="1" customHeight="1" x14ac:dyDescent="0.35">
      <c r="A32" s="1039"/>
      <c r="B32" s="257" t="s">
        <v>250</v>
      </c>
      <c r="C32" s="268" t="str">
        <f>+'[1]2. Pluriannual Plan PEP v.2'!B34</f>
        <v>Protección de Contribuyentes contra Phishing (Servicio que monitorea el uso no autorizado de la marca o imagen del SRI para fines fraudolentes tales como robar información de los contribuyentes)</v>
      </c>
      <c r="D32" s="268" t="s">
        <v>251</v>
      </c>
      <c r="E32" s="268"/>
      <c r="F32" s="268"/>
      <c r="G32" s="269"/>
      <c r="H32" s="269"/>
      <c r="I32" s="261" t="e">
        <f t="shared" si="0"/>
        <v>#DIV/0!</v>
      </c>
      <c r="J32" s="261" t="e">
        <f t="shared" si="1"/>
        <v>#DIV/0!</v>
      </c>
      <c r="K32" s="262" t="s">
        <v>252</v>
      </c>
      <c r="L32" s="259" t="s">
        <v>253</v>
      </c>
      <c r="M32" s="270"/>
      <c r="N32" s="270"/>
      <c r="O32" s="271"/>
      <c r="P32" s="265"/>
      <c r="Q32" s="265"/>
      <c r="R32" s="266"/>
      <c r="S32" s="265"/>
      <c r="T32" s="265"/>
      <c r="U32" s="265"/>
    </row>
    <row r="33" spans="1:21" s="267" customFormat="1" ht="52" hidden="1" x14ac:dyDescent="0.35">
      <c r="A33" s="1039"/>
      <c r="B33" s="257" t="s">
        <v>250</v>
      </c>
      <c r="C33" s="268" t="str">
        <f>+'[1]2. Pluriannual Plan PEP v.2'!B35</f>
        <v>Servicio de Centro de Operaciones de Seguridad Servicio de Centro de Operaciones de Seguridad (servicio especializado de monitoreo de eventos de si, gestión de incidentes de si, y de asistencia especializada de si)  (implementación)</v>
      </c>
      <c r="D33" s="268" t="s">
        <v>251</v>
      </c>
      <c r="E33" s="268"/>
      <c r="F33" s="268"/>
      <c r="G33" s="269"/>
      <c r="H33" s="269"/>
      <c r="I33" s="261" t="e">
        <f t="shared" si="0"/>
        <v>#DIV/0!</v>
      </c>
      <c r="J33" s="261" t="e">
        <f t="shared" si="1"/>
        <v>#DIV/0!</v>
      </c>
      <c r="K33" s="262" t="s">
        <v>252</v>
      </c>
      <c r="L33" s="268" t="s">
        <v>256</v>
      </c>
      <c r="M33" s="270">
        <v>44197</v>
      </c>
      <c r="N33" s="270">
        <v>44348</v>
      </c>
      <c r="O33" s="271"/>
      <c r="P33" s="265"/>
      <c r="Q33" s="265"/>
      <c r="R33" s="266"/>
      <c r="S33" s="265"/>
      <c r="T33" s="265"/>
      <c r="U33" s="265"/>
    </row>
    <row r="34" spans="1:21" s="267" customFormat="1" ht="25.5" hidden="1" customHeight="1" x14ac:dyDescent="0.35">
      <c r="A34" s="1039"/>
      <c r="B34" s="257" t="s">
        <v>250</v>
      </c>
      <c r="C34" s="268" t="str">
        <f>+'[1]2. Pluriannual Plan PEP v.2'!B36</f>
        <v>Sistema de Administración Unificada de Políticas de Seguridad  (Sistema que permite orquestar y homologar la política de si, transversalmente a los equipos de seguridad informática)</v>
      </c>
      <c r="D34" s="268" t="s">
        <v>251</v>
      </c>
      <c r="E34" s="268"/>
      <c r="F34" s="268"/>
      <c r="G34" s="269"/>
      <c r="H34" s="269"/>
      <c r="I34" s="261" t="e">
        <f t="shared" si="0"/>
        <v>#DIV/0!</v>
      </c>
      <c r="J34" s="261" t="e">
        <f t="shared" si="1"/>
        <v>#DIV/0!</v>
      </c>
      <c r="K34" s="262" t="s">
        <v>252</v>
      </c>
      <c r="L34" s="268" t="s">
        <v>256</v>
      </c>
      <c r="M34" s="270">
        <v>44228</v>
      </c>
      <c r="N34" s="270">
        <v>44378</v>
      </c>
      <c r="O34" s="271"/>
      <c r="P34" s="265"/>
      <c r="Q34" s="265"/>
      <c r="R34" s="266"/>
      <c r="S34" s="265"/>
      <c r="T34" s="265"/>
      <c r="U34" s="265"/>
    </row>
    <row r="35" spans="1:21" s="267" customFormat="1" ht="39" hidden="1" x14ac:dyDescent="0.35">
      <c r="A35" s="1039"/>
      <c r="B35" s="257" t="s">
        <v>250</v>
      </c>
      <c r="C35" s="268" t="str">
        <f>+'[1]2. Pluriannual Plan PEP v.2'!B37</f>
        <v>Data Loss Prevention (DLP) (Sistema que monitorea el uso de la información digital y previene fugas masivas de información a destinos no autorizados) servicio</v>
      </c>
      <c r="D35" s="268" t="s">
        <v>254</v>
      </c>
      <c r="E35" s="268"/>
      <c r="F35" s="268"/>
      <c r="G35" s="269"/>
      <c r="H35" s="269"/>
      <c r="I35" s="261" t="e">
        <f t="shared" si="0"/>
        <v>#DIV/0!</v>
      </c>
      <c r="J35" s="261" t="e">
        <f t="shared" si="1"/>
        <v>#DIV/0!</v>
      </c>
      <c r="K35" s="262" t="s">
        <v>252</v>
      </c>
      <c r="L35" s="268" t="s">
        <v>256</v>
      </c>
      <c r="M35" s="270">
        <v>44197</v>
      </c>
      <c r="N35" s="270">
        <v>44348</v>
      </c>
      <c r="O35" s="271"/>
      <c r="P35" s="265"/>
      <c r="Q35" s="265"/>
      <c r="R35" s="266"/>
      <c r="S35" s="265"/>
      <c r="T35" s="265"/>
      <c r="U35" s="265"/>
    </row>
    <row r="36" spans="1:21" s="267" customFormat="1" ht="37.5" hidden="1" customHeight="1" x14ac:dyDescent="0.35">
      <c r="A36" s="1039"/>
      <c r="B36" s="257" t="s">
        <v>250</v>
      </c>
      <c r="C36" s="268" t="str">
        <f>+'[1]2. Pluriannual Plan PEP v.2'!B38</f>
        <v>Fortalecimiento de la infraestructura de procesamiento de base de datos</v>
      </c>
      <c r="D36" s="268" t="s">
        <v>251</v>
      </c>
      <c r="E36" s="268"/>
      <c r="F36" s="268"/>
      <c r="G36" s="269"/>
      <c r="H36" s="269"/>
      <c r="I36" s="261" t="e">
        <f t="shared" si="0"/>
        <v>#DIV/0!</v>
      </c>
      <c r="J36" s="261" t="e">
        <f t="shared" si="1"/>
        <v>#DIV/0!</v>
      </c>
      <c r="K36" s="262" t="s">
        <v>252</v>
      </c>
      <c r="L36" s="268" t="s">
        <v>256</v>
      </c>
      <c r="M36" s="270">
        <v>44228</v>
      </c>
      <c r="N36" s="270">
        <v>44378</v>
      </c>
      <c r="O36" s="271"/>
      <c r="P36" s="265"/>
      <c r="Q36" s="265"/>
      <c r="R36" s="266"/>
      <c r="S36" s="265"/>
      <c r="T36" s="265"/>
      <c r="U36" s="265"/>
    </row>
    <row r="37" spans="1:21" s="267" customFormat="1" ht="66.75" hidden="1" customHeight="1" x14ac:dyDescent="0.35">
      <c r="A37" s="1039" t="s">
        <v>202</v>
      </c>
      <c r="B37" s="257" t="s">
        <v>250</v>
      </c>
      <c r="C37" s="268" t="str">
        <f>+'[1]2. Pluriannual Plan PEP v.2'!B40</f>
        <v>Herramienta de automatización de liberaciones con DEVOPS (Adquisición de la licencia Enterprise de la herramienta Gitlab con soporte del fabricante, lo que permite documentar pruebas de usabilidad, revisión de código y accesibilidad.)</v>
      </c>
      <c r="D37" s="268" t="s">
        <v>254</v>
      </c>
      <c r="E37" s="268"/>
      <c r="F37" s="268"/>
      <c r="G37" s="269"/>
      <c r="H37" s="269"/>
      <c r="I37" s="261" t="e">
        <f t="shared" si="0"/>
        <v>#DIV/0!</v>
      </c>
      <c r="J37" s="261" t="e">
        <f t="shared" si="1"/>
        <v>#DIV/0!</v>
      </c>
      <c r="K37" s="262" t="s">
        <v>252</v>
      </c>
      <c r="L37" s="268" t="s">
        <v>256</v>
      </c>
      <c r="M37" s="270">
        <v>44197</v>
      </c>
      <c r="N37" s="270">
        <v>44348</v>
      </c>
      <c r="O37" s="271"/>
      <c r="P37" s="265"/>
      <c r="Q37" s="265"/>
      <c r="R37" s="266"/>
      <c r="S37" s="265"/>
      <c r="T37" s="265"/>
      <c r="U37" s="265"/>
    </row>
    <row r="38" spans="1:21" s="267" customFormat="1" ht="56.25" hidden="1" customHeight="1" x14ac:dyDescent="0.35">
      <c r="A38" s="1039"/>
      <c r="B38" s="257" t="s">
        <v>250</v>
      </c>
      <c r="C38" s="268" t="str">
        <f>+'[1]2. Pluriannual Plan PEP v.2'!B41</f>
        <v>Migración herramienta de gestión de servicios tecnológicos (Software que permite la gestión de procesos de mesa, requerimiento, incidentes, problemas, catálogo, niveles de servicio y configuraciones)</v>
      </c>
      <c r="D38" s="268" t="s">
        <v>251</v>
      </c>
      <c r="E38" s="268"/>
      <c r="F38" s="268"/>
      <c r="G38" s="269"/>
      <c r="H38" s="269"/>
      <c r="I38" s="261" t="e">
        <f t="shared" si="0"/>
        <v>#DIV/0!</v>
      </c>
      <c r="J38" s="261" t="e">
        <f t="shared" si="1"/>
        <v>#DIV/0!</v>
      </c>
      <c r="K38" s="262" t="s">
        <v>252</v>
      </c>
      <c r="L38" s="268" t="s">
        <v>256</v>
      </c>
      <c r="M38" s="270">
        <v>44197</v>
      </c>
      <c r="N38" s="270">
        <v>44348</v>
      </c>
      <c r="O38" s="271"/>
      <c r="P38" s="265"/>
      <c r="Q38" s="265"/>
      <c r="R38" s="266"/>
      <c r="S38" s="265"/>
      <c r="T38" s="265"/>
      <c r="U38" s="265"/>
    </row>
    <row r="39" spans="1:21" s="267" customFormat="1" ht="56.25" hidden="1" customHeight="1" x14ac:dyDescent="0.35">
      <c r="A39" s="1039"/>
      <c r="B39" s="257" t="s">
        <v>250</v>
      </c>
      <c r="C39" s="268" t="str">
        <f>+'[1]2. Pluriannual Plan PEP v.2'!B42</f>
        <v>Renovación Herramienta de Validación de Código Estático (Renovación de la licencia de la herramienta Sonarqube enterprise por el periodo de 4 años, que cuenta con actualizaciones de versiones y soporte del fabricante)</v>
      </c>
      <c r="D39" s="268" t="s">
        <v>251</v>
      </c>
      <c r="E39" s="268"/>
      <c r="F39" s="268"/>
      <c r="G39" s="269"/>
      <c r="H39" s="269"/>
      <c r="I39" s="261" t="e">
        <f t="shared" si="0"/>
        <v>#DIV/0!</v>
      </c>
      <c r="J39" s="261" t="e">
        <f t="shared" si="1"/>
        <v>#DIV/0!</v>
      </c>
      <c r="K39" s="262" t="s">
        <v>257</v>
      </c>
      <c r="L39" s="268" t="s">
        <v>256</v>
      </c>
      <c r="M39" s="270"/>
      <c r="N39" s="270"/>
      <c r="O39" s="271"/>
      <c r="P39" s="265"/>
      <c r="Q39" s="265"/>
      <c r="R39" s="266"/>
      <c r="S39" s="265"/>
      <c r="T39" s="265"/>
      <c r="U39" s="265"/>
    </row>
    <row r="40" spans="1:21" s="267" customFormat="1" ht="56.25" hidden="1" customHeight="1" x14ac:dyDescent="0.35">
      <c r="A40" s="1040"/>
      <c r="B40" s="257" t="s">
        <v>250</v>
      </c>
      <c r="C40" s="268" t="str">
        <f>+'[1]2. Pluriannual Plan PEP v.2'!B43</f>
        <v>Servicio análisis dinámico de aplicaciones Web(Servicio de análisis dinámico para detectar vulnerabilidades en las aplicaciones web.)</v>
      </c>
      <c r="D40" s="268" t="s">
        <v>251</v>
      </c>
      <c r="E40" s="268"/>
      <c r="F40" s="268"/>
      <c r="G40" s="269"/>
      <c r="H40" s="269"/>
      <c r="I40" s="261" t="e">
        <f t="shared" si="0"/>
        <v>#DIV/0!</v>
      </c>
      <c r="J40" s="261" t="e">
        <f t="shared" si="1"/>
        <v>#DIV/0!</v>
      </c>
      <c r="K40" s="262" t="s">
        <v>258</v>
      </c>
      <c r="L40" s="268" t="s">
        <v>256</v>
      </c>
      <c r="M40" s="270"/>
      <c r="N40" s="270"/>
      <c r="O40" s="271"/>
      <c r="P40" s="265"/>
      <c r="Q40" s="265"/>
      <c r="R40" s="266"/>
      <c r="S40" s="265"/>
      <c r="T40" s="265"/>
      <c r="U40" s="265"/>
    </row>
    <row r="41" spans="1:21" s="267" customFormat="1" ht="26" hidden="1" x14ac:dyDescent="0.35">
      <c r="A41" s="272" t="str">
        <f>+'[1]1. Detailed Budget'!A43</f>
        <v>1.5 Gestión de la Información y Comprobantes Electrónicos</v>
      </c>
      <c r="B41" s="257" t="s">
        <v>250</v>
      </c>
      <c r="C41" s="268" t="str">
        <f>+'[1]1. Detailed Budget'!AD43</f>
        <v>Servidores de base de datos principales para Procesamiento masivo Big data</v>
      </c>
      <c r="D41" s="268" t="s">
        <v>251</v>
      </c>
      <c r="E41" s="268"/>
      <c r="F41" s="273"/>
      <c r="G41" s="269"/>
      <c r="H41" s="269"/>
      <c r="I41" s="261" t="e">
        <f t="shared" si="0"/>
        <v>#DIV/0!</v>
      </c>
      <c r="J41" s="261" t="e">
        <f t="shared" si="1"/>
        <v>#DIV/0!</v>
      </c>
      <c r="K41" s="262" t="s">
        <v>258</v>
      </c>
      <c r="L41" s="268" t="s">
        <v>256</v>
      </c>
      <c r="M41" s="270">
        <v>44958</v>
      </c>
      <c r="N41" s="270">
        <v>45108</v>
      </c>
      <c r="O41" s="271"/>
      <c r="P41" s="265"/>
      <c r="Q41" s="265"/>
      <c r="R41" s="266"/>
      <c r="S41" s="265"/>
      <c r="T41" s="265"/>
      <c r="U41" s="265"/>
    </row>
    <row r="42" spans="1:21" s="267" customFormat="1" ht="26.5" hidden="1" thickBot="1" x14ac:dyDescent="0.4">
      <c r="A42" s="272" t="str">
        <f>+A41</f>
        <v>1.5 Gestión de la Información y Comprobantes Electrónicos</v>
      </c>
      <c r="B42" s="274" t="s">
        <v>250</v>
      </c>
      <c r="C42" s="268" t="str">
        <f>+'[1]1. Detailed Budget'!AD44</f>
        <v>Hardware y software para la gestión de infraestructura de base de datos para Procesamiento masivo Big data</v>
      </c>
      <c r="D42" s="268" t="s">
        <v>251</v>
      </c>
      <c r="E42" s="268"/>
      <c r="F42" s="273"/>
      <c r="G42" s="269"/>
      <c r="H42" s="269"/>
      <c r="I42" s="328" t="e">
        <f t="shared" si="0"/>
        <v>#DIV/0!</v>
      </c>
      <c r="J42" s="328" t="e">
        <f t="shared" si="1"/>
        <v>#DIV/0!</v>
      </c>
      <c r="K42" s="301" t="s">
        <v>258</v>
      </c>
      <c r="L42" s="268"/>
      <c r="M42" s="270"/>
      <c r="N42" s="270"/>
      <c r="O42" s="271"/>
      <c r="P42" s="265"/>
      <c r="Q42" s="265"/>
      <c r="R42" s="266"/>
      <c r="S42" s="265"/>
      <c r="T42" s="265"/>
      <c r="U42" s="265"/>
    </row>
    <row r="43" spans="1:21" s="302" customFormat="1" ht="38.15" customHeight="1" thickBot="1" x14ac:dyDescent="0.4">
      <c r="A43" s="986" t="s">
        <v>259</v>
      </c>
      <c r="B43" s="313" t="s">
        <v>250</v>
      </c>
      <c r="C43" s="591" t="s">
        <v>44</v>
      </c>
      <c r="D43" s="334" t="s">
        <v>251</v>
      </c>
      <c r="E43" s="334"/>
      <c r="F43" s="592"/>
      <c r="G43" s="227">
        <v>1173883.0992000001</v>
      </c>
      <c r="H43" s="227">
        <v>0</v>
      </c>
      <c r="I43" s="593">
        <f>+G43/(G43+H43)</f>
        <v>1</v>
      </c>
      <c r="J43" s="201">
        <f>+H43/(H43+G43)</f>
        <v>0</v>
      </c>
      <c r="K43" s="280" t="s">
        <v>252</v>
      </c>
      <c r="L43" s="334" t="s">
        <v>256</v>
      </c>
      <c r="M43" s="284">
        <v>45047</v>
      </c>
      <c r="N43" s="594">
        <v>45200</v>
      </c>
      <c r="O43" s="595" t="s">
        <v>260</v>
      </c>
      <c r="P43" s="193"/>
      <c r="Q43" s="193"/>
      <c r="R43" s="195"/>
      <c r="S43" s="193"/>
      <c r="T43" s="193"/>
      <c r="U43" s="193"/>
    </row>
    <row r="44" spans="1:21" s="302" customFormat="1" ht="38.15" customHeight="1" x14ac:dyDescent="0.35">
      <c r="A44" s="987"/>
      <c r="B44" s="279" t="s">
        <v>250</v>
      </c>
      <c r="C44" s="591" t="s">
        <v>45</v>
      </c>
      <c r="D44" s="282" t="s">
        <v>251</v>
      </c>
      <c r="E44" s="282"/>
      <c r="F44" s="596"/>
      <c r="G44" s="227">
        <v>764989.58</v>
      </c>
      <c r="H44" s="227">
        <v>0</v>
      </c>
      <c r="I44" s="593">
        <f t="shared" ref="I44:I64" si="2">+G44/(G44+H44)</f>
        <v>1</v>
      </c>
      <c r="J44" s="201">
        <f t="shared" ref="J44:J69" si="3">+H44/(H44+G44)</f>
        <v>0</v>
      </c>
      <c r="K44" s="280" t="s">
        <v>252</v>
      </c>
      <c r="L44" s="282" t="s">
        <v>256</v>
      </c>
      <c r="M44" s="284">
        <v>45047</v>
      </c>
      <c r="N44" s="594">
        <v>45200</v>
      </c>
      <c r="O44" s="285" t="s">
        <v>260</v>
      </c>
      <c r="P44" s="193"/>
      <c r="Q44" s="193"/>
      <c r="R44" s="195"/>
      <c r="S44" s="193"/>
      <c r="T44" s="193"/>
      <c r="U44" s="193"/>
    </row>
    <row r="45" spans="1:21" s="302" customFormat="1" ht="38.15" customHeight="1" x14ac:dyDescent="0.35">
      <c r="A45" s="987"/>
      <c r="B45" s="279" t="s">
        <v>250</v>
      </c>
      <c r="C45" s="591" t="s">
        <v>46</v>
      </c>
      <c r="D45" s="282" t="s">
        <v>251</v>
      </c>
      <c r="E45" s="282"/>
      <c r="F45" s="596"/>
      <c r="G45" s="227">
        <v>3441543.4560000002</v>
      </c>
      <c r="H45" s="227">
        <v>0</v>
      </c>
      <c r="I45" s="593">
        <f t="shared" si="2"/>
        <v>1</v>
      </c>
      <c r="J45" s="201">
        <f t="shared" si="3"/>
        <v>0</v>
      </c>
      <c r="K45" s="280" t="s">
        <v>252</v>
      </c>
      <c r="L45" s="282" t="s">
        <v>256</v>
      </c>
      <c r="M45" s="284">
        <v>44958</v>
      </c>
      <c r="N45" s="284">
        <v>45108</v>
      </c>
      <c r="O45" s="285" t="s">
        <v>260</v>
      </c>
      <c r="P45" s="193"/>
      <c r="Q45" s="193"/>
      <c r="R45" s="195"/>
      <c r="S45" s="193"/>
      <c r="T45" s="193"/>
      <c r="U45" s="193"/>
    </row>
    <row r="46" spans="1:21" s="302" customFormat="1" ht="38.15" customHeight="1" x14ac:dyDescent="0.35">
      <c r="A46" s="987"/>
      <c r="B46" s="279" t="s">
        <v>250</v>
      </c>
      <c r="C46" s="591" t="s">
        <v>47</v>
      </c>
      <c r="D46" s="282" t="s">
        <v>251</v>
      </c>
      <c r="E46" s="282"/>
      <c r="F46" s="596"/>
      <c r="G46" s="227">
        <v>1148085.1499999999</v>
      </c>
      <c r="H46" s="227">
        <v>0</v>
      </c>
      <c r="I46" s="593">
        <f t="shared" si="2"/>
        <v>1</v>
      </c>
      <c r="J46" s="201">
        <f t="shared" si="3"/>
        <v>0</v>
      </c>
      <c r="K46" s="280" t="s">
        <v>252</v>
      </c>
      <c r="L46" s="282" t="s">
        <v>256</v>
      </c>
      <c r="M46" s="284">
        <v>45047</v>
      </c>
      <c r="N46" s="284">
        <v>45200</v>
      </c>
      <c r="O46" s="285" t="s">
        <v>260</v>
      </c>
      <c r="P46" s="193"/>
      <c r="Q46" s="193"/>
      <c r="R46" s="195"/>
      <c r="S46" s="193"/>
      <c r="T46" s="193"/>
      <c r="U46" s="193"/>
    </row>
    <row r="47" spans="1:21" s="302" customFormat="1" ht="38.15" customHeight="1" x14ac:dyDescent="0.35">
      <c r="A47" s="987"/>
      <c r="B47" s="279" t="s">
        <v>250</v>
      </c>
      <c r="C47" s="591" t="s">
        <v>48</v>
      </c>
      <c r="D47" s="282" t="s">
        <v>251</v>
      </c>
      <c r="E47" s="282"/>
      <c r="F47" s="596"/>
      <c r="G47" s="227">
        <v>1976958.7199999997</v>
      </c>
      <c r="H47" s="227">
        <v>296543.80799999996</v>
      </c>
      <c r="I47" s="593">
        <f t="shared" si="2"/>
        <v>0.86956521739130421</v>
      </c>
      <c r="J47" s="201">
        <f t="shared" si="3"/>
        <v>0.13043478260869565</v>
      </c>
      <c r="K47" s="280" t="s">
        <v>252</v>
      </c>
      <c r="L47" s="282" t="s">
        <v>256</v>
      </c>
      <c r="M47" s="284">
        <v>44986</v>
      </c>
      <c r="N47" s="284">
        <v>45139</v>
      </c>
      <c r="O47" s="285" t="s">
        <v>260</v>
      </c>
      <c r="P47" s="193"/>
      <c r="Q47" s="193"/>
      <c r="R47" s="195"/>
      <c r="S47" s="193"/>
      <c r="T47" s="193"/>
      <c r="U47" s="193"/>
    </row>
    <row r="48" spans="1:21" s="302" customFormat="1" ht="38.15" customHeight="1" x14ac:dyDescent="0.35">
      <c r="A48" s="987"/>
      <c r="B48" s="279" t="s">
        <v>250</v>
      </c>
      <c r="C48" s="591" t="s">
        <v>51</v>
      </c>
      <c r="D48" s="282" t="s">
        <v>251</v>
      </c>
      <c r="E48" s="282"/>
      <c r="F48" s="596"/>
      <c r="G48" s="227">
        <v>2683408</v>
      </c>
      <c r="H48" s="227">
        <v>402511.19999999995</v>
      </c>
      <c r="I48" s="593">
        <f t="shared" si="2"/>
        <v>0.86956521739130432</v>
      </c>
      <c r="J48" s="201">
        <f t="shared" si="3"/>
        <v>0.13043478260869562</v>
      </c>
      <c r="K48" s="280" t="s">
        <v>252</v>
      </c>
      <c r="L48" s="282" t="s">
        <v>256</v>
      </c>
      <c r="M48" s="284">
        <v>44986</v>
      </c>
      <c r="N48" s="284">
        <v>45139</v>
      </c>
      <c r="O48" s="285" t="s">
        <v>260</v>
      </c>
      <c r="P48" s="193"/>
      <c r="Q48" s="193"/>
      <c r="R48" s="195"/>
      <c r="S48" s="193"/>
      <c r="T48" s="193"/>
      <c r="U48" s="193"/>
    </row>
    <row r="49" spans="1:21" s="302" customFormat="1" ht="38.15" customHeight="1" x14ac:dyDescent="0.35">
      <c r="A49" s="987"/>
      <c r="B49" s="279" t="s">
        <v>250</v>
      </c>
      <c r="C49" s="591" t="s">
        <v>53</v>
      </c>
      <c r="D49" s="282" t="s">
        <v>251</v>
      </c>
      <c r="E49" s="282"/>
      <c r="F49" s="596"/>
      <c r="G49" s="227">
        <v>1090880</v>
      </c>
      <c r="H49" s="227">
        <v>163632</v>
      </c>
      <c r="I49" s="593">
        <f t="shared" si="2"/>
        <v>0.86956521739130432</v>
      </c>
      <c r="J49" s="201">
        <f t="shared" si="3"/>
        <v>0.13043478260869565</v>
      </c>
      <c r="K49" s="280" t="s">
        <v>252</v>
      </c>
      <c r="L49" s="282" t="s">
        <v>256</v>
      </c>
      <c r="M49" s="284">
        <v>44958</v>
      </c>
      <c r="N49" s="284">
        <v>45108</v>
      </c>
      <c r="O49" s="285" t="s">
        <v>260</v>
      </c>
      <c r="P49" s="193"/>
      <c r="Q49" s="193"/>
      <c r="R49" s="195"/>
      <c r="S49" s="193"/>
      <c r="T49" s="193"/>
      <c r="U49" s="193"/>
    </row>
    <row r="50" spans="1:21" s="302" customFormat="1" ht="38.15" customHeight="1" x14ac:dyDescent="0.35">
      <c r="A50" s="987"/>
      <c r="B50" s="279" t="s">
        <v>250</v>
      </c>
      <c r="C50" s="591" t="s">
        <v>55</v>
      </c>
      <c r="D50" s="282" t="s">
        <v>251</v>
      </c>
      <c r="E50" s="282"/>
      <c r="F50" s="596"/>
      <c r="G50" s="227">
        <v>504000</v>
      </c>
      <c r="H50" s="227">
        <v>47040</v>
      </c>
      <c r="I50" s="593">
        <f t="shared" si="2"/>
        <v>0.91463414634146345</v>
      </c>
      <c r="J50" s="201">
        <f t="shared" si="3"/>
        <v>8.5365853658536592E-2</v>
      </c>
      <c r="K50" s="280" t="s">
        <v>252</v>
      </c>
      <c r="L50" s="282" t="s">
        <v>256</v>
      </c>
      <c r="M50" s="284">
        <v>44986</v>
      </c>
      <c r="N50" s="284">
        <v>45108</v>
      </c>
      <c r="O50" s="285" t="s">
        <v>260</v>
      </c>
      <c r="P50" s="193"/>
      <c r="Q50" s="193"/>
      <c r="R50" s="195"/>
      <c r="S50" s="193"/>
      <c r="T50" s="193"/>
      <c r="U50" s="193"/>
    </row>
    <row r="51" spans="1:21" s="302" customFormat="1" ht="38.15" customHeight="1" x14ac:dyDescent="0.35">
      <c r="A51" s="987"/>
      <c r="B51" s="279" t="s">
        <v>250</v>
      </c>
      <c r="C51" s="591" t="s">
        <v>57</v>
      </c>
      <c r="D51" s="282" t="s">
        <v>251</v>
      </c>
      <c r="E51" s="282"/>
      <c r="F51" s="596"/>
      <c r="G51" s="227">
        <v>398653</v>
      </c>
      <c r="H51" s="227">
        <v>234207</v>
      </c>
      <c r="I51" s="593">
        <f t="shared" si="2"/>
        <v>0.62992288973864674</v>
      </c>
      <c r="J51" s="201">
        <f t="shared" si="3"/>
        <v>0.3700771102613532</v>
      </c>
      <c r="K51" s="280" t="s">
        <v>252</v>
      </c>
      <c r="L51" s="282" t="s">
        <v>256</v>
      </c>
      <c r="M51" s="284">
        <v>45047</v>
      </c>
      <c r="N51" s="284">
        <v>45200</v>
      </c>
      <c r="O51" s="285" t="s">
        <v>260</v>
      </c>
      <c r="P51" s="193"/>
      <c r="Q51" s="193"/>
      <c r="R51" s="195"/>
      <c r="S51" s="193"/>
      <c r="T51" s="193"/>
      <c r="U51" s="193"/>
    </row>
    <row r="52" spans="1:21" s="302" customFormat="1" ht="38.15" customHeight="1" x14ac:dyDescent="0.35">
      <c r="A52" s="987"/>
      <c r="B52" s="279" t="s">
        <v>250</v>
      </c>
      <c r="C52" s="591" t="s">
        <v>59</v>
      </c>
      <c r="D52" s="282" t="s">
        <v>251</v>
      </c>
      <c r="E52" s="282"/>
      <c r="F52" s="596"/>
      <c r="G52" s="227">
        <v>292500</v>
      </c>
      <c r="H52" s="227">
        <v>0</v>
      </c>
      <c r="I52" s="593">
        <f t="shared" si="2"/>
        <v>1</v>
      </c>
      <c r="J52" s="201">
        <f t="shared" si="3"/>
        <v>0</v>
      </c>
      <c r="K52" s="280" t="s">
        <v>252</v>
      </c>
      <c r="L52" s="282" t="s">
        <v>256</v>
      </c>
      <c r="M52" s="284">
        <v>44986</v>
      </c>
      <c r="N52" s="284">
        <v>45139</v>
      </c>
      <c r="O52" s="285" t="s">
        <v>260</v>
      </c>
      <c r="P52" s="193"/>
      <c r="Q52" s="193"/>
      <c r="R52" s="195"/>
      <c r="S52" s="193"/>
      <c r="T52" s="193"/>
      <c r="U52" s="193"/>
    </row>
    <row r="53" spans="1:21" s="302" customFormat="1" ht="38.15" customHeight="1" x14ac:dyDescent="0.35">
      <c r="A53" s="987"/>
      <c r="B53" s="279" t="s">
        <v>250</v>
      </c>
      <c r="C53" s="591" t="s">
        <v>60</v>
      </c>
      <c r="D53" s="282" t="s">
        <v>251</v>
      </c>
      <c r="E53" s="282"/>
      <c r="F53" s="596"/>
      <c r="G53" s="227">
        <v>300000</v>
      </c>
      <c r="H53" s="227">
        <v>180000</v>
      </c>
      <c r="I53" s="593">
        <f t="shared" si="2"/>
        <v>0.625</v>
      </c>
      <c r="J53" s="201">
        <f t="shared" si="3"/>
        <v>0.375</v>
      </c>
      <c r="K53" s="280" t="s">
        <v>252</v>
      </c>
      <c r="L53" s="282" t="s">
        <v>256</v>
      </c>
      <c r="M53" s="284">
        <v>45047</v>
      </c>
      <c r="N53" s="284">
        <v>45200</v>
      </c>
      <c r="O53" s="285" t="s">
        <v>260</v>
      </c>
      <c r="P53" s="193"/>
      <c r="Q53" s="193"/>
      <c r="R53" s="195"/>
      <c r="S53" s="193"/>
      <c r="T53" s="193"/>
      <c r="U53" s="193"/>
    </row>
    <row r="54" spans="1:21" s="302" customFormat="1" ht="38.15" customHeight="1" x14ac:dyDescent="0.35">
      <c r="A54" s="987"/>
      <c r="B54" s="279" t="s">
        <v>250</v>
      </c>
      <c r="C54" s="591" t="s">
        <v>62</v>
      </c>
      <c r="D54" s="282" t="s">
        <v>251</v>
      </c>
      <c r="E54" s="282"/>
      <c r="F54" s="596"/>
      <c r="G54" s="227">
        <v>730111.2</v>
      </c>
      <c r="H54" s="227">
        <v>55440</v>
      </c>
      <c r="I54" s="593">
        <f t="shared" si="2"/>
        <v>0.92942535126927439</v>
      </c>
      <c r="J54" s="201">
        <f t="shared" si="3"/>
        <v>7.0574648730725636E-2</v>
      </c>
      <c r="K54" s="280" t="s">
        <v>252</v>
      </c>
      <c r="L54" s="282" t="s">
        <v>256</v>
      </c>
      <c r="M54" s="284">
        <v>45352</v>
      </c>
      <c r="N54" s="284">
        <v>45505</v>
      </c>
      <c r="O54" s="285" t="s">
        <v>260</v>
      </c>
      <c r="P54" s="193"/>
      <c r="Q54" s="193"/>
      <c r="R54" s="195"/>
      <c r="S54" s="193"/>
      <c r="T54" s="193"/>
      <c r="U54" s="193"/>
    </row>
    <row r="55" spans="1:21" s="302" customFormat="1" ht="38.15" customHeight="1" x14ac:dyDescent="0.35">
      <c r="A55" s="987"/>
      <c r="B55" s="279" t="s">
        <v>250</v>
      </c>
      <c r="C55" s="591" t="s">
        <v>64</v>
      </c>
      <c r="D55" s="282" t="s">
        <v>251</v>
      </c>
      <c r="E55" s="282"/>
      <c r="F55" s="596"/>
      <c r="G55" s="227">
        <v>1708000</v>
      </c>
      <c r="H55" s="227">
        <v>117600</v>
      </c>
      <c r="I55" s="593">
        <f t="shared" ref="I55:I60" si="4">+G55/(G55+H55)</f>
        <v>0.93558282208588961</v>
      </c>
      <c r="J55" s="201">
        <f t="shared" ref="J55:J60" si="5">+H55/(H55+G55)</f>
        <v>6.4417177914110432E-2</v>
      </c>
      <c r="K55" s="280" t="s">
        <v>252</v>
      </c>
      <c r="L55" s="282" t="s">
        <v>256</v>
      </c>
      <c r="M55" s="284">
        <v>45352</v>
      </c>
      <c r="N55" s="284">
        <v>45505</v>
      </c>
      <c r="O55" s="285" t="s">
        <v>260</v>
      </c>
      <c r="P55" s="193"/>
      <c r="Q55" s="193"/>
      <c r="R55" s="195"/>
      <c r="S55" s="193"/>
      <c r="T55" s="193"/>
      <c r="U55" s="193"/>
    </row>
    <row r="56" spans="1:21" s="302" customFormat="1" ht="38.15" customHeight="1" x14ac:dyDescent="0.35">
      <c r="A56" s="987"/>
      <c r="B56" s="279" t="s">
        <v>250</v>
      </c>
      <c r="C56" s="591" t="s">
        <v>66</v>
      </c>
      <c r="D56" s="282" t="s">
        <v>251</v>
      </c>
      <c r="E56" s="282"/>
      <c r="F56" s="596"/>
      <c r="G56" s="227">
        <v>225000</v>
      </c>
      <c r="H56" s="227">
        <v>67500</v>
      </c>
      <c r="I56" s="593">
        <f t="shared" si="4"/>
        <v>0.76923076923076927</v>
      </c>
      <c r="J56" s="201">
        <f t="shared" si="5"/>
        <v>0.23076923076923078</v>
      </c>
      <c r="K56" s="280" t="s">
        <v>252</v>
      </c>
      <c r="L56" s="282" t="s">
        <v>256</v>
      </c>
      <c r="M56" s="284">
        <v>45352</v>
      </c>
      <c r="N56" s="284">
        <v>45505</v>
      </c>
      <c r="O56" s="285" t="s">
        <v>260</v>
      </c>
      <c r="P56" s="193"/>
      <c r="Q56" s="193"/>
      <c r="R56" s="195"/>
      <c r="S56" s="193"/>
      <c r="T56" s="193"/>
      <c r="U56" s="193"/>
    </row>
    <row r="57" spans="1:21" s="302" customFormat="1" ht="38.15" customHeight="1" x14ac:dyDescent="0.35">
      <c r="A57" s="987"/>
      <c r="B57" s="279" t="s">
        <v>250</v>
      </c>
      <c r="C57" s="591" t="s">
        <v>68</v>
      </c>
      <c r="D57" s="282" t="s">
        <v>251</v>
      </c>
      <c r="E57" s="282"/>
      <c r="F57" s="596"/>
      <c r="G57" s="227">
        <v>2000000</v>
      </c>
      <c r="H57" s="227">
        <v>260869.5652173913</v>
      </c>
      <c r="I57" s="593">
        <f t="shared" si="4"/>
        <v>0.88461538461538469</v>
      </c>
      <c r="J57" s="201">
        <f t="shared" si="5"/>
        <v>0.11538461538461539</v>
      </c>
      <c r="K57" s="280" t="s">
        <v>252</v>
      </c>
      <c r="L57" s="282" t="s">
        <v>256</v>
      </c>
      <c r="M57" s="284">
        <v>45352</v>
      </c>
      <c r="N57" s="284">
        <v>45505</v>
      </c>
      <c r="O57" s="285" t="s">
        <v>260</v>
      </c>
      <c r="P57" s="193"/>
      <c r="Q57" s="193"/>
      <c r="R57" s="195"/>
      <c r="S57" s="193"/>
      <c r="T57" s="193"/>
      <c r="U57" s="193"/>
    </row>
    <row r="58" spans="1:21" s="302" customFormat="1" ht="38.15" customHeight="1" x14ac:dyDescent="0.35">
      <c r="A58" s="987"/>
      <c r="B58" s="279" t="s">
        <v>250</v>
      </c>
      <c r="C58" s="591" t="s">
        <v>70</v>
      </c>
      <c r="D58" s="282" t="s">
        <v>251</v>
      </c>
      <c r="E58" s="282"/>
      <c r="F58" s="596"/>
      <c r="G58" s="227">
        <v>777273</v>
      </c>
      <c r="H58" s="227">
        <v>116590.95000000001</v>
      </c>
      <c r="I58" s="593">
        <f t="shared" si="4"/>
        <v>0.86956521739130443</v>
      </c>
      <c r="J58" s="201">
        <f t="shared" si="5"/>
        <v>0.13043478260869568</v>
      </c>
      <c r="K58" s="280" t="s">
        <v>252</v>
      </c>
      <c r="L58" s="282" t="s">
        <v>256</v>
      </c>
      <c r="M58" s="284">
        <v>45352</v>
      </c>
      <c r="N58" s="284">
        <v>45505</v>
      </c>
      <c r="O58" s="285" t="s">
        <v>260</v>
      </c>
      <c r="P58" s="193"/>
      <c r="Q58" s="193"/>
      <c r="R58" s="195"/>
      <c r="S58" s="193"/>
      <c r="T58" s="193"/>
      <c r="U58" s="193"/>
    </row>
    <row r="59" spans="1:21" s="302" customFormat="1" ht="38.15" customHeight="1" x14ac:dyDescent="0.35">
      <c r="A59" s="987"/>
      <c r="B59" s="279" t="s">
        <v>250</v>
      </c>
      <c r="C59" s="591" t="s">
        <v>72</v>
      </c>
      <c r="D59" s="282" t="s">
        <v>251</v>
      </c>
      <c r="E59" s="282"/>
      <c r="F59" s="596"/>
      <c r="G59" s="227">
        <v>600000</v>
      </c>
      <c r="H59" s="227">
        <v>0</v>
      </c>
      <c r="I59" s="593">
        <f t="shared" si="4"/>
        <v>1</v>
      </c>
      <c r="J59" s="201">
        <f t="shared" si="5"/>
        <v>0</v>
      </c>
      <c r="K59" s="280" t="s">
        <v>252</v>
      </c>
      <c r="L59" s="282" t="s">
        <v>256</v>
      </c>
      <c r="M59" s="284">
        <v>45352</v>
      </c>
      <c r="N59" s="284">
        <v>45505</v>
      </c>
      <c r="O59" s="285" t="s">
        <v>260</v>
      </c>
      <c r="P59" s="193"/>
      <c r="Q59" s="193"/>
      <c r="R59" s="195"/>
      <c r="S59" s="193"/>
      <c r="T59" s="193"/>
      <c r="U59" s="193"/>
    </row>
    <row r="60" spans="1:21" s="302" customFormat="1" ht="38.15" customHeight="1" x14ac:dyDescent="0.35">
      <c r="A60" s="987"/>
      <c r="B60" s="279" t="s">
        <v>250</v>
      </c>
      <c r="C60" s="591" t="s">
        <v>73</v>
      </c>
      <c r="D60" s="282" t="s">
        <v>251</v>
      </c>
      <c r="E60" s="282"/>
      <c r="F60" s="596"/>
      <c r="G60" s="227">
        <v>1534008</v>
      </c>
      <c r="H60" s="227">
        <v>240105.59999999998</v>
      </c>
      <c r="I60" s="593">
        <f t="shared" si="4"/>
        <v>0.86466165413533835</v>
      </c>
      <c r="J60" s="201">
        <f t="shared" si="5"/>
        <v>0.13533834586466165</v>
      </c>
      <c r="K60" s="280" t="s">
        <v>252</v>
      </c>
      <c r="L60" s="282" t="s">
        <v>256</v>
      </c>
      <c r="M60" s="284">
        <v>45352</v>
      </c>
      <c r="N60" s="284">
        <v>45505</v>
      </c>
      <c r="O60" s="285" t="s">
        <v>260</v>
      </c>
      <c r="P60" s="193"/>
      <c r="Q60" s="193"/>
      <c r="R60" s="195"/>
      <c r="S60" s="193"/>
      <c r="T60" s="193"/>
      <c r="U60" s="193"/>
    </row>
    <row r="61" spans="1:21" s="302" customFormat="1" ht="38.15" customHeight="1" x14ac:dyDescent="0.35">
      <c r="A61" s="987"/>
      <c r="B61" s="279" t="s">
        <v>250</v>
      </c>
      <c r="C61" s="591" t="s">
        <v>75</v>
      </c>
      <c r="D61" s="282" t="s">
        <v>251</v>
      </c>
      <c r="E61" s="282"/>
      <c r="F61" s="596"/>
      <c r="G61" s="227">
        <v>2704800</v>
      </c>
      <c r="H61" s="227">
        <f>429727.682798609+53686</f>
        <v>483413.68279860902</v>
      </c>
      <c r="I61" s="593">
        <f t="shared" si="2"/>
        <v>0.84837475436267828</v>
      </c>
      <c r="J61" s="201">
        <f t="shared" si="3"/>
        <v>0.15162524563732166</v>
      </c>
      <c r="K61" s="280" t="s">
        <v>252</v>
      </c>
      <c r="L61" s="282" t="s">
        <v>256</v>
      </c>
      <c r="M61" s="284">
        <v>45717</v>
      </c>
      <c r="N61" s="284">
        <v>45870</v>
      </c>
      <c r="O61" s="285" t="s">
        <v>260</v>
      </c>
      <c r="P61" s="193"/>
      <c r="Q61" s="193"/>
      <c r="R61" s="195"/>
      <c r="S61" s="193"/>
      <c r="T61" s="193"/>
      <c r="U61" s="193"/>
    </row>
    <row r="62" spans="1:21" s="302" customFormat="1" ht="38.15" customHeight="1" x14ac:dyDescent="0.35">
      <c r="A62" s="987"/>
      <c r="B62" s="279" t="s">
        <v>250</v>
      </c>
      <c r="C62" s="591" t="s">
        <v>77</v>
      </c>
      <c r="D62" s="282" t="s">
        <v>251</v>
      </c>
      <c r="E62" s="282"/>
      <c r="F62" s="596"/>
      <c r="G62" s="227">
        <v>1932224</v>
      </c>
      <c r="H62" s="227">
        <v>300148.80000000005</v>
      </c>
      <c r="I62" s="593">
        <f t="shared" si="2"/>
        <v>0.8655471881757385</v>
      </c>
      <c r="J62" s="201">
        <f t="shared" si="3"/>
        <v>0.13445281182426164</v>
      </c>
      <c r="K62" s="280" t="s">
        <v>252</v>
      </c>
      <c r="L62" s="282" t="s">
        <v>256</v>
      </c>
      <c r="M62" s="284">
        <v>45778</v>
      </c>
      <c r="N62" s="284">
        <v>45931</v>
      </c>
      <c r="O62" s="285" t="s">
        <v>260</v>
      </c>
      <c r="P62" s="193"/>
      <c r="Q62" s="193"/>
      <c r="R62" s="195"/>
      <c r="S62" s="193"/>
      <c r="T62" s="193"/>
      <c r="U62" s="193"/>
    </row>
    <row r="63" spans="1:21" s="302" customFormat="1" ht="38.15" customHeight="1" x14ac:dyDescent="0.35">
      <c r="A63" s="987"/>
      <c r="B63" s="279" t="s">
        <v>250</v>
      </c>
      <c r="C63" s="591" t="s">
        <v>79</v>
      </c>
      <c r="D63" s="282" t="s">
        <v>251</v>
      </c>
      <c r="E63" s="282"/>
      <c r="F63" s="596"/>
      <c r="G63" s="227">
        <v>186368</v>
      </c>
      <c r="H63" s="227">
        <v>27955.199999999997</v>
      </c>
      <c r="I63" s="593">
        <f t="shared" si="2"/>
        <v>0.86956521739130432</v>
      </c>
      <c r="J63" s="201">
        <f t="shared" si="3"/>
        <v>0.13043478260869562</v>
      </c>
      <c r="K63" s="280" t="s">
        <v>252</v>
      </c>
      <c r="L63" s="282" t="s">
        <v>256</v>
      </c>
      <c r="M63" s="284">
        <v>45717</v>
      </c>
      <c r="N63" s="284">
        <v>45870</v>
      </c>
      <c r="O63" s="285" t="s">
        <v>260</v>
      </c>
      <c r="P63" s="193"/>
      <c r="Q63" s="193"/>
      <c r="R63" s="195"/>
      <c r="S63" s="193"/>
      <c r="T63" s="193"/>
      <c r="U63" s="193"/>
    </row>
    <row r="64" spans="1:21" s="302" customFormat="1" ht="38.15" customHeight="1" x14ac:dyDescent="0.35">
      <c r="A64" s="987"/>
      <c r="B64" s="279" t="s">
        <v>250</v>
      </c>
      <c r="C64" s="591" t="s">
        <v>81</v>
      </c>
      <c r="D64" s="282" t="s">
        <v>251</v>
      </c>
      <c r="E64" s="282"/>
      <c r="F64" s="596"/>
      <c r="G64" s="227">
        <v>1878388.9331199999</v>
      </c>
      <c r="H64" s="227">
        <v>251569.94639999999</v>
      </c>
      <c r="I64" s="593">
        <f t="shared" si="2"/>
        <v>0.88188976377952755</v>
      </c>
      <c r="J64" s="201">
        <f t="shared" si="3"/>
        <v>0.11811023622047244</v>
      </c>
      <c r="K64" s="280" t="s">
        <v>252</v>
      </c>
      <c r="L64" s="282" t="s">
        <v>256</v>
      </c>
      <c r="M64" s="284">
        <v>45748</v>
      </c>
      <c r="N64" s="284">
        <v>45901</v>
      </c>
      <c r="O64" s="285" t="s">
        <v>260</v>
      </c>
      <c r="P64" s="193"/>
      <c r="Q64" s="193"/>
      <c r="R64" s="195"/>
      <c r="S64" s="193"/>
      <c r="T64" s="193"/>
      <c r="U64" s="193"/>
    </row>
    <row r="65" spans="1:21" s="302" customFormat="1" ht="38.15" customHeight="1" x14ac:dyDescent="0.35">
      <c r="A65" s="987"/>
      <c r="B65" s="279" t="s">
        <v>250</v>
      </c>
      <c r="C65" s="591" t="s">
        <v>83</v>
      </c>
      <c r="D65" s="282" t="s">
        <v>251</v>
      </c>
      <c r="E65" s="282"/>
      <c r="F65" s="596"/>
      <c r="G65" s="227">
        <v>1460400.5785600003</v>
      </c>
      <c r="H65" s="227">
        <v>219060.08678400004</v>
      </c>
      <c r="I65" s="593">
        <f>+G65/(G65+H65)</f>
        <v>0.86956521739130432</v>
      </c>
      <c r="J65" s="201">
        <f t="shared" si="3"/>
        <v>0.13043478260869565</v>
      </c>
      <c r="K65" s="280" t="s">
        <v>252</v>
      </c>
      <c r="L65" s="282" t="s">
        <v>256</v>
      </c>
      <c r="M65" s="284">
        <v>45717</v>
      </c>
      <c r="N65" s="284">
        <v>45870</v>
      </c>
      <c r="O65" s="285" t="s">
        <v>260</v>
      </c>
      <c r="P65" s="193"/>
      <c r="Q65" s="193"/>
      <c r="R65" s="195"/>
      <c r="S65" s="193"/>
      <c r="T65" s="193"/>
      <c r="U65" s="193"/>
    </row>
    <row r="66" spans="1:21" s="302" customFormat="1" ht="38.15" customHeight="1" x14ac:dyDescent="0.35">
      <c r="A66" s="986" t="s">
        <v>261</v>
      </c>
      <c r="B66" s="279" t="s">
        <v>250</v>
      </c>
      <c r="C66" s="597" t="s">
        <v>87</v>
      </c>
      <c r="D66" s="282" t="s">
        <v>251</v>
      </c>
      <c r="E66" s="282"/>
      <c r="F66" s="596"/>
      <c r="G66" s="276">
        <v>750000</v>
      </c>
      <c r="H66" s="276">
        <v>0</v>
      </c>
      <c r="I66" s="593">
        <f t="shared" ref="I66:I69" si="6">+G66/(G66+H66)</f>
        <v>1</v>
      </c>
      <c r="J66" s="201">
        <f t="shared" si="3"/>
        <v>0</v>
      </c>
      <c r="K66" s="280" t="s">
        <v>252</v>
      </c>
      <c r="L66" s="282" t="s">
        <v>256</v>
      </c>
      <c r="M66" s="284">
        <v>45717</v>
      </c>
      <c r="N66" s="284">
        <v>45870</v>
      </c>
      <c r="O66" s="285"/>
      <c r="P66" s="193"/>
      <c r="Q66" s="193"/>
      <c r="R66" s="195"/>
      <c r="S66" s="193"/>
      <c r="T66" s="193"/>
      <c r="U66" s="193"/>
    </row>
    <row r="67" spans="1:21" s="302" customFormat="1" ht="38.15" customHeight="1" x14ac:dyDescent="0.35">
      <c r="A67" s="987"/>
      <c r="B67" s="279" t="s">
        <v>250</v>
      </c>
      <c r="C67" s="597" t="s">
        <v>88</v>
      </c>
      <c r="D67" s="282" t="s">
        <v>251</v>
      </c>
      <c r="E67" s="282"/>
      <c r="F67" s="596"/>
      <c r="G67" s="276">
        <v>200000</v>
      </c>
      <c r="H67" s="276">
        <v>0</v>
      </c>
      <c r="I67" s="593">
        <f t="shared" si="6"/>
        <v>1</v>
      </c>
      <c r="J67" s="201">
        <f t="shared" si="3"/>
        <v>0</v>
      </c>
      <c r="K67" s="280" t="s">
        <v>252</v>
      </c>
      <c r="L67" s="282" t="s">
        <v>256</v>
      </c>
      <c r="M67" s="284">
        <v>45717</v>
      </c>
      <c r="N67" s="284">
        <v>45870</v>
      </c>
      <c r="O67" s="285"/>
      <c r="P67" s="193"/>
      <c r="Q67" s="193"/>
      <c r="R67" s="195"/>
      <c r="S67" s="193"/>
      <c r="T67" s="193"/>
      <c r="U67" s="193"/>
    </row>
    <row r="68" spans="1:21" s="302" customFormat="1" ht="38.15" customHeight="1" x14ac:dyDescent="0.35">
      <c r="A68" s="987"/>
      <c r="B68" s="279" t="s">
        <v>250</v>
      </c>
      <c r="C68" s="597" t="s">
        <v>89</v>
      </c>
      <c r="D68" s="282" t="s">
        <v>251</v>
      </c>
      <c r="E68" s="282"/>
      <c r="F68" s="596"/>
      <c r="G68" s="276">
        <v>255360</v>
      </c>
      <c r="H68" s="276">
        <v>0</v>
      </c>
      <c r="I68" s="593">
        <f t="shared" si="6"/>
        <v>1</v>
      </c>
      <c r="J68" s="201">
        <f t="shared" si="3"/>
        <v>0</v>
      </c>
      <c r="K68" s="280" t="s">
        <v>252</v>
      </c>
      <c r="L68" s="282" t="s">
        <v>256</v>
      </c>
      <c r="M68" s="284">
        <v>45717</v>
      </c>
      <c r="N68" s="284">
        <v>45870</v>
      </c>
      <c r="O68" s="285"/>
      <c r="P68" s="193"/>
      <c r="Q68" s="193"/>
      <c r="R68" s="195"/>
      <c r="S68" s="193"/>
      <c r="T68" s="193"/>
      <c r="U68" s="193"/>
    </row>
    <row r="69" spans="1:21" s="302" customFormat="1" ht="38.15" customHeight="1" x14ac:dyDescent="0.35">
      <c r="A69" s="988"/>
      <c r="B69" s="279" t="s">
        <v>250</v>
      </c>
      <c r="C69" s="597" t="s">
        <v>90</v>
      </c>
      <c r="D69" s="282" t="s">
        <v>251</v>
      </c>
      <c r="E69" s="282"/>
      <c r="F69" s="596"/>
      <c r="G69" s="276">
        <v>300000</v>
      </c>
      <c r="H69" s="276">
        <v>0</v>
      </c>
      <c r="I69" s="593">
        <f t="shared" si="6"/>
        <v>1</v>
      </c>
      <c r="J69" s="201">
        <f t="shared" si="3"/>
        <v>0</v>
      </c>
      <c r="K69" s="280" t="s">
        <v>252</v>
      </c>
      <c r="L69" s="282" t="s">
        <v>256</v>
      </c>
      <c r="M69" s="284">
        <v>45717</v>
      </c>
      <c r="N69" s="284">
        <v>45870</v>
      </c>
      <c r="O69" s="285"/>
      <c r="P69" s="193"/>
      <c r="Q69" s="193"/>
      <c r="R69" s="195"/>
      <c r="S69" s="193"/>
      <c r="T69" s="193"/>
      <c r="U69" s="193"/>
    </row>
    <row r="70" spans="1:21" s="302" customFormat="1" ht="38.15" customHeight="1" x14ac:dyDescent="0.35">
      <c r="A70" s="982" t="s">
        <v>262</v>
      </c>
      <c r="B70" s="292" t="s">
        <v>250</v>
      </c>
      <c r="C70" s="601" t="s">
        <v>102</v>
      </c>
      <c r="D70" s="282" t="s">
        <v>251</v>
      </c>
      <c r="E70" s="282"/>
      <c r="F70" s="596"/>
      <c r="G70" s="276">
        <v>1770822.7462655301</v>
      </c>
      <c r="H70" s="276">
        <v>0</v>
      </c>
      <c r="I70" s="593">
        <f t="shared" ref="I70:I71" si="7">+G70/(G70+H70)</f>
        <v>1</v>
      </c>
      <c r="J70" s="201"/>
      <c r="K70" s="280" t="s">
        <v>252</v>
      </c>
      <c r="L70" s="282" t="s">
        <v>256</v>
      </c>
      <c r="M70" s="284">
        <v>45717</v>
      </c>
      <c r="N70" s="284">
        <v>45870</v>
      </c>
      <c r="O70" s="285"/>
      <c r="P70" s="193"/>
      <c r="Q70" s="193"/>
      <c r="R70" s="195"/>
      <c r="S70" s="193"/>
      <c r="T70" s="193"/>
      <c r="U70" s="193"/>
    </row>
    <row r="71" spans="1:21" s="302" customFormat="1" ht="38.15" customHeight="1" x14ac:dyDescent="0.35">
      <c r="A71" s="983"/>
      <c r="B71" s="292" t="s">
        <v>250</v>
      </c>
      <c r="C71" s="601" t="s">
        <v>103</v>
      </c>
      <c r="D71" s="282" t="s">
        <v>251</v>
      </c>
      <c r="E71" s="282"/>
      <c r="F71" s="596"/>
      <c r="G71" s="276">
        <v>72319.3967686549</v>
      </c>
      <c r="H71" s="276">
        <v>0</v>
      </c>
      <c r="I71" s="593">
        <f t="shared" si="7"/>
        <v>1</v>
      </c>
      <c r="J71" s="201"/>
      <c r="K71" s="280" t="s">
        <v>252</v>
      </c>
      <c r="L71" s="282" t="s">
        <v>256</v>
      </c>
      <c r="M71" s="284">
        <v>45717</v>
      </c>
      <c r="N71" s="284">
        <v>45870</v>
      </c>
      <c r="O71" s="285"/>
      <c r="P71" s="193"/>
      <c r="Q71" s="193"/>
      <c r="R71" s="195"/>
      <c r="S71" s="193"/>
      <c r="T71" s="193"/>
      <c r="U71" s="193"/>
    </row>
    <row r="72" spans="1:21" s="302" customFormat="1" ht="20.25" customHeight="1" x14ac:dyDescent="0.35">
      <c r="A72" s="291" t="s">
        <v>151</v>
      </c>
      <c r="B72" s="292" t="s">
        <v>250</v>
      </c>
      <c r="C72" s="303" t="s">
        <v>263</v>
      </c>
      <c r="D72" s="282" t="s">
        <v>255</v>
      </c>
      <c r="E72" s="303"/>
      <c r="F72" s="387"/>
      <c r="G72" s="304">
        <v>51266</v>
      </c>
      <c r="H72" s="304">
        <v>0</v>
      </c>
      <c r="I72" s="305">
        <v>1</v>
      </c>
      <c r="J72" s="305">
        <v>0</v>
      </c>
      <c r="K72" s="280" t="s">
        <v>252</v>
      </c>
      <c r="L72" s="303" t="s">
        <v>253</v>
      </c>
      <c r="M72" s="306">
        <v>44013</v>
      </c>
      <c r="N72" s="306">
        <v>44896</v>
      </c>
      <c r="O72" s="307" t="s">
        <v>260</v>
      </c>
      <c r="P72" s="193"/>
      <c r="Q72" s="193"/>
      <c r="R72" s="195"/>
      <c r="S72" s="193"/>
      <c r="T72" s="193"/>
      <c r="U72" s="193"/>
    </row>
    <row r="73" spans="1:21" s="302" customFormat="1" ht="33" customHeight="1" x14ac:dyDescent="0.35">
      <c r="A73" s="986" t="s">
        <v>119</v>
      </c>
      <c r="B73" s="292" t="s">
        <v>264</v>
      </c>
      <c r="C73" s="282" t="s">
        <v>265</v>
      </c>
      <c r="D73" s="282" t="s">
        <v>251</v>
      </c>
      <c r="E73" s="282"/>
      <c r="F73" s="387"/>
      <c r="G73" s="276">
        <v>386400</v>
      </c>
      <c r="H73" s="276">
        <v>0</v>
      </c>
      <c r="I73" s="201">
        <f t="shared" ref="I73:I90" si="8">(G73/(G73+H73))</f>
        <v>1</v>
      </c>
      <c r="J73" s="201">
        <f t="shared" ref="J73:J90" si="9">(H73/(G73+H73))</f>
        <v>0</v>
      </c>
      <c r="K73" s="204" t="s">
        <v>257</v>
      </c>
      <c r="L73" s="282" t="s">
        <v>256</v>
      </c>
      <c r="M73" s="306">
        <v>45108</v>
      </c>
      <c r="N73" s="284">
        <v>45170</v>
      </c>
      <c r="O73" s="285"/>
      <c r="P73" s="193"/>
      <c r="Q73" s="193"/>
      <c r="R73" s="195"/>
      <c r="S73" s="193"/>
      <c r="T73" s="193"/>
      <c r="U73" s="193"/>
    </row>
    <row r="74" spans="1:21" s="302" customFormat="1" ht="20.25" customHeight="1" x14ac:dyDescent="0.35">
      <c r="A74" s="987"/>
      <c r="B74" s="292" t="s">
        <v>264</v>
      </c>
      <c r="C74" s="282" t="s">
        <v>266</v>
      </c>
      <c r="D74" s="282" t="s">
        <v>251</v>
      </c>
      <c r="E74" s="282"/>
      <c r="F74" s="387"/>
      <c r="G74" s="276">
        <v>317325.12</v>
      </c>
      <c r="H74" s="276">
        <v>0</v>
      </c>
      <c r="I74" s="201">
        <f t="shared" si="8"/>
        <v>1</v>
      </c>
      <c r="J74" s="201">
        <f t="shared" si="9"/>
        <v>0</v>
      </c>
      <c r="K74" s="204" t="s">
        <v>257</v>
      </c>
      <c r="L74" s="282" t="s">
        <v>256</v>
      </c>
      <c r="M74" s="306">
        <v>45108</v>
      </c>
      <c r="N74" s="284">
        <v>45170</v>
      </c>
      <c r="O74" s="307" t="s">
        <v>260</v>
      </c>
      <c r="P74" s="193"/>
      <c r="Q74" s="193"/>
      <c r="R74" s="195"/>
      <c r="S74" s="193"/>
      <c r="T74" s="193"/>
      <c r="U74" s="193"/>
    </row>
    <row r="75" spans="1:21" s="302" customFormat="1" ht="20.25" customHeight="1" x14ac:dyDescent="0.35">
      <c r="A75" s="987"/>
      <c r="B75" s="292" t="s">
        <v>264</v>
      </c>
      <c r="C75" s="282" t="s">
        <v>267</v>
      </c>
      <c r="D75" s="282" t="s">
        <v>251</v>
      </c>
      <c r="E75" s="282"/>
      <c r="F75" s="387"/>
      <c r="G75" s="276">
        <v>398160</v>
      </c>
      <c r="H75" s="276">
        <v>0</v>
      </c>
      <c r="I75" s="201">
        <f t="shared" si="8"/>
        <v>1</v>
      </c>
      <c r="J75" s="201">
        <f t="shared" si="9"/>
        <v>0</v>
      </c>
      <c r="K75" s="204" t="s">
        <v>257</v>
      </c>
      <c r="L75" s="282" t="s">
        <v>256</v>
      </c>
      <c r="M75" s="306">
        <v>45108</v>
      </c>
      <c r="N75" s="284">
        <v>45170</v>
      </c>
      <c r="O75" s="307" t="s">
        <v>260</v>
      </c>
      <c r="P75" s="193"/>
      <c r="Q75" s="193"/>
      <c r="R75" s="195"/>
      <c r="S75" s="193"/>
      <c r="T75" s="193"/>
      <c r="U75" s="193"/>
    </row>
    <row r="76" spans="1:21" s="302" customFormat="1" ht="28.5" customHeight="1" x14ac:dyDescent="0.35">
      <c r="A76" s="987"/>
      <c r="B76" s="292" t="s">
        <v>264</v>
      </c>
      <c r="C76" s="282" t="s">
        <v>268</v>
      </c>
      <c r="D76" s="200" t="s">
        <v>251</v>
      </c>
      <c r="E76" s="282"/>
      <c r="F76" s="387"/>
      <c r="G76" s="276">
        <v>1680000</v>
      </c>
      <c r="H76" s="276"/>
      <c r="I76" s="201">
        <f t="shared" si="8"/>
        <v>1</v>
      </c>
      <c r="J76" s="201">
        <f t="shared" si="9"/>
        <v>0</v>
      </c>
      <c r="K76" s="204" t="s">
        <v>257</v>
      </c>
      <c r="L76" s="282" t="s">
        <v>256</v>
      </c>
      <c r="M76" s="306">
        <v>45108</v>
      </c>
      <c r="N76" s="284">
        <v>45170</v>
      </c>
      <c r="O76" s="307" t="s">
        <v>260</v>
      </c>
      <c r="P76" s="193"/>
      <c r="Q76" s="193"/>
      <c r="R76" s="195"/>
      <c r="S76" s="193"/>
      <c r="T76" s="193"/>
      <c r="U76" s="193"/>
    </row>
    <row r="77" spans="1:21" s="302" customFormat="1" ht="28.5" customHeight="1" x14ac:dyDescent="0.35">
      <c r="A77" s="987"/>
      <c r="B77" s="292" t="s">
        <v>264</v>
      </c>
      <c r="C77" s="282" t="s">
        <v>269</v>
      </c>
      <c r="D77" s="200" t="s">
        <v>251</v>
      </c>
      <c r="E77" s="282"/>
      <c r="F77" s="387"/>
      <c r="G77" s="276">
        <v>0</v>
      </c>
      <c r="H77" s="276">
        <v>340781.28</v>
      </c>
      <c r="I77" s="201">
        <f t="shared" si="8"/>
        <v>0</v>
      </c>
      <c r="J77" s="201">
        <f t="shared" si="9"/>
        <v>1</v>
      </c>
      <c r="K77" s="204" t="s">
        <v>257</v>
      </c>
      <c r="L77" s="282" t="s">
        <v>256</v>
      </c>
      <c r="M77" s="306">
        <v>45108</v>
      </c>
      <c r="N77" s="284">
        <v>45170</v>
      </c>
      <c r="O77" s="307"/>
      <c r="P77" s="193"/>
      <c r="Q77" s="193"/>
      <c r="R77" s="195"/>
      <c r="S77" s="193"/>
      <c r="T77" s="193"/>
      <c r="U77" s="193"/>
    </row>
    <row r="78" spans="1:21" s="302" customFormat="1" ht="28.5" customHeight="1" x14ac:dyDescent="0.35">
      <c r="A78" s="987"/>
      <c r="B78" s="292" t="s">
        <v>264</v>
      </c>
      <c r="C78" s="282" t="s">
        <v>270</v>
      </c>
      <c r="D78" s="200" t="s">
        <v>251</v>
      </c>
      <c r="E78" s="282"/>
      <c r="F78" s="387"/>
      <c r="G78" s="276">
        <v>0</v>
      </c>
      <c r="H78" s="276">
        <v>400000</v>
      </c>
      <c r="I78" s="201">
        <f t="shared" si="8"/>
        <v>0</v>
      </c>
      <c r="J78" s="201">
        <f t="shared" si="9"/>
        <v>1</v>
      </c>
      <c r="K78" s="204" t="s">
        <v>257</v>
      </c>
      <c r="L78" s="282" t="s">
        <v>256</v>
      </c>
      <c r="M78" s="306">
        <v>45108</v>
      </c>
      <c r="N78" s="284">
        <v>45170</v>
      </c>
      <c r="O78" s="307"/>
      <c r="P78" s="193"/>
      <c r="Q78" s="193"/>
      <c r="R78" s="195"/>
      <c r="S78" s="193"/>
      <c r="T78" s="193"/>
      <c r="U78" s="193"/>
    </row>
    <row r="79" spans="1:21" s="302" customFormat="1" ht="28.5" customHeight="1" x14ac:dyDescent="0.35">
      <c r="A79" s="987"/>
      <c r="B79" s="292" t="s">
        <v>264</v>
      </c>
      <c r="C79" s="282" t="s">
        <v>271</v>
      </c>
      <c r="D79" s="200" t="s">
        <v>251</v>
      </c>
      <c r="E79" s="282"/>
      <c r="F79" s="387"/>
      <c r="G79" s="276">
        <v>0</v>
      </c>
      <c r="H79" s="276">
        <v>400000</v>
      </c>
      <c r="I79" s="201">
        <f t="shared" si="8"/>
        <v>0</v>
      </c>
      <c r="J79" s="201">
        <f t="shared" si="9"/>
        <v>1</v>
      </c>
      <c r="K79" s="204" t="s">
        <v>257</v>
      </c>
      <c r="L79" s="282" t="s">
        <v>256</v>
      </c>
      <c r="M79" s="306">
        <v>45108</v>
      </c>
      <c r="N79" s="284">
        <v>45170</v>
      </c>
      <c r="O79" s="307"/>
      <c r="P79" s="193"/>
      <c r="Q79" s="193"/>
      <c r="R79" s="195"/>
      <c r="S79" s="193"/>
      <c r="T79" s="193"/>
      <c r="U79" s="193"/>
    </row>
    <row r="80" spans="1:21" s="302" customFormat="1" ht="28.5" customHeight="1" x14ac:dyDescent="0.35">
      <c r="A80" s="987"/>
      <c r="B80" s="292" t="s">
        <v>264</v>
      </c>
      <c r="C80" s="282" t="s">
        <v>272</v>
      </c>
      <c r="D80" s="200" t="s">
        <v>251</v>
      </c>
      <c r="E80" s="282"/>
      <c r="F80" s="387"/>
      <c r="G80" s="276">
        <v>0</v>
      </c>
      <c r="H80" s="276">
        <v>500000</v>
      </c>
      <c r="I80" s="201">
        <f t="shared" si="8"/>
        <v>0</v>
      </c>
      <c r="J80" s="201">
        <f t="shared" si="9"/>
        <v>1</v>
      </c>
      <c r="K80" s="204" t="s">
        <v>257</v>
      </c>
      <c r="L80" s="282" t="s">
        <v>256</v>
      </c>
      <c r="M80" s="306">
        <v>45108</v>
      </c>
      <c r="N80" s="284">
        <v>45170</v>
      </c>
      <c r="O80" s="307"/>
      <c r="P80" s="193"/>
      <c r="Q80" s="193"/>
      <c r="R80" s="195"/>
      <c r="S80" s="193"/>
      <c r="T80" s="193"/>
      <c r="U80" s="193"/>
    </row>
    <row r="81" spans="1:21" s="302" customFormat="1" ht="28.5" customHeight="1" x14ac:dyDescent="0.35">
      <c r="A81" s="988"/>
      <c r="B81" s="292" t="s">
        <v>264</v>
      </c>
      <c r="C81" s="282" t="s">
        <v>273</v>
      </c>
      <c r="D81" s="200" t="s">
        <v>251</v>
      </c>
      <c r="E81" s="282"/>
      <c r="F81" s="387"/>
      <c r="G81" s="276">
        <v>0</v>
      </c>
      <c r="H81" s="276">
        <v>150000</v>
      </c>
      <c r="I81" s="201">
        <f t="shared" si="8"/>
        <v>0</v>
      </c>
      <c r="J81" s="201">
        <f t="shared" si="9"/>
        <v>1</v>
      </c>
      <c r="K81" s="204" t="s">
        <v>257</v>
      </c>
      <c r="L81" s="282" t="s">
        <v>256</v>
      </c>
      <c r="M81" s="306">
        <v>45108</v>
      </c>
      <c r="N81" s="284">
        <v>45170</v>
      </c>
      <c r="O81" s="307"/>
      <c r="P81" s="193"/>
      <c r="Q81" s="193"/>
      <c r="R81" s="195"/>
      <c r="S81" s="193"/>
      <c r="T81" s="193"/>
      <c r="U81" s="193"/>
    </row>
    <row r="82" spans="1:21" s="302" customFormat="1" x14ac:dyDescent="0.35">
      <c r="A82" s="1002" t="s">
        <v>274</v>
      </c>
      <c r="B82" s="292" t="s">
        <v>264</v>
      </c>
      <c r="C82" s="282" t="s">
        <v>129</v>
      </c>
      <c r="D82" s="559" t="s">
        <v>254</v>
      </c>
      <c r="E82" s="282"/>
      <c r="F82" s="387"/>
      <c r="G82" s="276">
        <v>1568000</v>
      </c>
      <c r="H82" s="276">
        <v>0</v>
      </c>
      <c r="I82" s="201">
        <f t="shared" si="8"/>
        <v>1</v>
      </c>
      <c r="J82" s="201">
        <f t="shared" si="9"/>
        <v>0</v>
      </c>
      <c r="K82" s="204" t="s">
        <v>257</v>
      </c>
      <c r="L82" s="282" t="s">
        <v>256</v>
      </c>
      <c r="M82" s="306">
        <v>45108</v>
      </c>
      <c r="N82" s="284">
        <v>45170</v>
      </c>
      <c r="O82" s="307" t="s">
        <v>260</v>
      </c>
      <c r="P82" s="193"/>
      <c r="Q82" s="193"/>
      <c r="R82" s="195"/>
      <c r="S82" s="193"/>
      <c r="T82" s="193"/>
      <c r="U82" s="193"/>
    </row>
    <row r="83" spans="1:21" s="302" customFormat="1" ht="20.25" customHeight="1" x14ac:dyDescent="0.35">
      <c r="A83" s="1003"/>
      <c r="B83" s="292" t="s">
        <v>264</v>
      </c>
      <c r="C83" s="282" t="s">
        <v>130</v>
      </c>
      <c r="D83" s="559" t="s">
        <v>254</v>
      </c>
      <c r="E83" s="282"/>
      <c r="F83" s="387"/>
      <c r="G83" s="276">
        <v>224000</v>
      </c>
      <c r="H83" s="276">
        <v>0</v>
      </c>
      <c r="I83" s="201">
        <f t="shared" si="8"/>
        <v>1</v>
      </c>
      <c r="J83" s="201">
        <f t="shared" si="9"/>
        <v>0</v>
      </c>
      <c r="K83" s="204" t="s">
        <v>257</v>
      </c>
      <c r="L83" s="282" t="s">
        <v>256</v>
      </c>
      <c r="M83" s="306">
        <v>45108</v>
      </c>
      <c r="N83" s="284">
        <v>45170</v>
      </c>
      <c r="O83" s="307" t="s">
        <v>260</v>
      </c>
      <c r="P83" s="193"/>
      <c r="Q83" s="193"/>
      <c r="R83" s="195"/>
      <c r="S83" s="193"/>
      <c r="T83" s="193"/>
      <c r="U83" s="193"/>
    </row>
    <row r="84" spans="1:21" s="302" customFormat="1" ht="20.25" customHeight="1" x14ac:dyDescent="0.35">
      <c r="A84" s="1004" t="s">
        <v>275</v>
      </c>
      <c r="B84" s="1005" t="s">
        <v>264</v>
      </c>
      <c r="C84" s="282" t="s">
        <v>132</v>
      </c>
      <c r="D84" s="282" t="s">
        <v>251</v>
      </c>
      <c r="E84" s="282"/>
      <c r="F84" s="387"/>
      <c r="G84" s="276">
        <v>1252832</v>
      </c>
      <c r="H84" s="276">
        <v>0</v>
      </c>
      <c r="I84" s="201">
        <f t="shared" si="8"/>
        <v>1</v>
      </c>
      <c r="J84" s="201">
        <f t="shared" si="9"/>
        <v>0</v>
      </c>
      <c r="K84" s="204" t="s">
        <v>257</v>
      </c>
      <c r="L84" s="282" t="s">
        <v>256</v>
      </c>
      <c r="M84" s="306">
        <v>45108</v>
      </c>
      <c r="N84" s="284">
        <v>45170</v>
      </c>
      <c r="O84" s="307" t="s">
        <v>260</v>
      </c>
      <c r="P84" s="193"/>
      <c r="Q84" s="193"/>
      <c r="R84" s="195"/>
      <c r="S84" s="193"/>
      <c r="T84" s="193"/>
      <c r="U84" s="193"/>
    </row>
    <row r="85" spans="1:21" s="302" customFormat="1" ht="20.25" customHeight="1" x14ac:dyDescent="0.35">
      <c r="A85" s="1004"/>
      <c r="B85" s="995"/>
      <c r="C85" s="282" t="s">
        <v>133</v>
      </c>
      <c r="D85" s="282" t="s">
        <v>251</v>
      </c>
      <c r="E85" s="282"/>
      <c r="F85" s="387"/>
      <c r="G85" s="276">
        <v>100800</v>
      </c>
      <c r="H85" s="276">
        <v>0</v>
      </c>
      <c r="I85" s="201">
        <f t="shared" si="8"/>
        <v>1</v>
      </c>
      <c r="J85" s="201">
        <f t="shared" si="9"/>
        <v>0</v>
      </c>
      <c r="K85" s="204" t="s">
        <v>257</v>
      </c>
      <c r="L85" s="282" t="s">
        <v>256</v>
      </c>
      <c r="M85" s="306">
        <v>45108</v>
      </c>
      <c r="N85" s="284">
        <v>45170</v>
      </c>
      <c r="O85" s="307" t="s">
        <v>260</v>
      </c>
      <c r="P85" s="193"/>
      <c r="Q85" s="193"/>
      <c r="R85" s="195"/>
      <c r="S85" s="193"/>
      <c r="T85" s="193"/>
      <c r="U85" s="193"/>
    </row>
    <row r="86" spans="1:21" s="302" customFormat="1" ht="20.25" customHeight="1" x14ac:dyDescent="0.35">
      <c r="A86" s="1004"/>
      <c r="B86" s="995"/>
      <c r="C86" s="282" t="s">
        <v>134</v>
      </c>
      <c r="D86" s="282" t="s">
        <v>251</v>
      </c>
      <c r="E86" s="282"/>
      <c r="F86" s="387"/>
      <c r="G86" s="276">
        <v>89600</v>
      </c>
      <c r="H86" s="276">
        <v>0</v>
      </c>
      <c r="I86" s="201">
        <f t="shared" si="8"/>
        <v>1</v>
      </c>
      <c r="J86" s="201">
        <f t="shared" si="9"/>
        <v>0</v>
      </c>
      <c r="K86" s="204" t="s">
        <v>257</v>
      </c>
      <c r="L86" s="282" t="s">
        <v>256</v>
      </c>
      <c r="M86" s="306">
        <v>45108</v>
      </c>
      <c r="N86" s="284">
        <v>45170</v>
      </c>
      <c r="O86" s="307" t="s">
        <v>260</v>
      </c>
      <c r="P86" s="193"/>
      <c r="Q86" s="193"/>
      <c r="R86" s="195"/>
      <c r="S86" s="193"/>
      <c r="T86" s="193"/>
      <c r="U86" s="193"/>
    </row>
    <row r="87" spans="1:21" s="302" customFormat="1" x14ac:dyDescent="0.35">
      <c r="A87" s="560"/>
      <c r="B87" s="292"/>
      <c r="C87" s="282"/>
      <c r="D87" s="282"/>
      <c r="E87" s="282"/>
      <c r="F87" s="387"/>
      <c r="G87" s="276"/>
      <c r="H87" s="276"/>
      <c r="I87" s="201"/>
      <c r="J87" s="201"/>
      <c r="K87" s="204"/>
      <c r="L87" s="303"/>
      <c r="M87" s="306"/>
      <c r="N87" s="284"/>
      <c r="O87" s="285"/>
      <c r="P87" s="193"/>
      <c r="Q87" s="193"/>
      <c r="R87" s="195"/>
      <c r="S87" s="193"/>
      <c r="T87" s="193"/>
      <c r="U87" s="193"/>
    </row>
    <row r="88" spans="1:21" s="302" customFormat="1" ht="33.75" customHeight="1" x14ac:dyDescent="0.35">
      <c r="A88" s="560" t="s">
        <v>137</v>
      </c>
      <c r="B88" s="292" t="s">
        <v>264</v>
      </c>
      <c r="C88" s="282" t="s">
        <v>140</v>
      </c>
      <c r="D88" s="282" t="s">
        <v>254</v>
      </c>
      <c r="E88" s="282"/>
      <c r="F88" s="387"/>
      <c r="G88" s="276">
        <v>242928</v>
      </c>
      <c r="H88" s="276">
        <v>0</v>
      </c>
      <c r="I88" s="201">
        <f t="shared" si="8"/>
        <v>1</v>
      </c>
      <c r="J88" s="201">
        <f t="shared" si="9"/>
        <v>0</v>
      </c>
      <c r="K88" s="204" t="s">
        <v>257</v>
      </c>
      <c r="L88" s="303" t="s">
        <v>253</v>
      </c>
      <c r="M88" s="306">
        <v>45108</v>
      </c>
      <c r="N88" s="284">
        <v>45170</v>
      </c>
      <c r="O88" s="285"/>
      <c r="P88" s="193"/>
      <c r="Q88" s="193"/>
      <c r="R88" s="195"/>
      <c r="S88" s="193"/>
      <c r="T88" s="193"/>
      <c r="U88" s="193"/>
    </row>
    <row r="89" spans="1:21" s="448" customFormat="1" ht="39" x14ac:dyDescent="0.35">
      <c r="A89" s="561" t="s">
        <v>142</v>
      </c>
      <c r="B89" s="451" t="s">
        <v>264</v>
      </c>
      <c r="C89" s="303" t="s">
        <v>144</v>
      </c>
      <c r="D89" s="303" t="s">
        <v>254</v>
      </c>
      <c r="E89" s="303"/>
      <c r="F89" s="452"/>
      <c r="G89" s="276">
        <v>231000</v>
      </c>
      <c r="H89" s="304">
        <v>0</v>
      </c>
      <c r="I89" s="558">
        <v>1</v>
      </c>
      <c r="J89" s="558">
        <v>0</v>
      </c>
      <c r="K89" s="244" t="s">
        <v>257</v>
      </c>
      <c r="L89" s="303" t="s">
        <v>253</v>
      </c>
      <c r="M89" s="306">
        <v>45108</v>
      </c>
      <c r="N89" s="284">
        <v>45170</v>
      </c>
      <c r="O89" s="307"/>
      <c r="R89" s="453"/>
    </row>
    <row r="90" spans="1:21" s="302" customFormat="1" ht="33.75" customHeight="1" x14ac:dyDescent="0.35">
      <c r="A90" s="560" t="s">
        <v>145</v>
      </c>
      <c r="B90" s="292" t="s">
        <v>264</v>
      </c>
      <c r="C90" s="282" t="s">
        <v>147</v>
      </c>
      <c r="D90" s="282" t="s">
        <v>254</v>
      </c>
      <c r="E90" s="282"/>
      <c r="F90" s="387"/>
      <c r="G90" s="276">
        <v>56000</v>
      </c>
      <c r="H90" s="276">
        <v>0</v>
      </c>
      <c r="I90" s="201">
        <f t="shared" si="8"/>
        <v>1</v>
      </c>
      <c r="J90" s="201">
        <f t="shared" si="9"/>
        <v>0</v>
      </c>
      <c r="K90" s="204" t="s">
        <v>257</v>
      </c>
      <c r="L90" s="303" t="s">
        <v>253</v>
      </c>
      <c r="M90" s="306">
        <v>45108</v>
      </c>
      <c r="N90" s="284">
        <v>45170</v>
      </c>
      <c r="O90" s="285"/>
      <c r="P90" s="193"/>
      <c r="Q90" s="193"/>
      <c r="R90" s="195"/>
      <c r="S90" s="193"/>
      <c r="T90" s="193"/>
      <c r="U90" s="193"/>
    </row>
    <row r="91" spans="1:21" ht="20.25" customHeight="1" thickBot="1" x14ac:dyDescent="0.4">
      <c r="A91" s="224"/>
      <c r="B91" s="206"/>
      <c r="C91" s="207"/>
      <c r="D91" s="225"/>
      <c r="E91" s="207"/>
      <c r="F91" s="207"/>
      <c r="G91" s="208"/>
      <c r="H91" s="208"/>
      <c r="I91" s="209"/>
      <c r="J91" s="209"/>
      <c r="K91" s="210"/>
      <c r="L91" s="207"/>
      <c r="M91" s="211"/>
      <c r="N91" s="226"/>
      <c r="O91" s="212"/>
      <c r="P91" s="193"/>
      <c r="Q91" s="193"/>
      <c r="R91" s="195"/>
      <c r="S91" s="193"/>
      <c r="T91" s="193"/>
      <c r="U91" s="193"/>
    </row>
    <row r="92" spans="1:21" s="214" customFormat="1" ht="20.25" customHeight="1" x14ac:dyDescent="0.35">
      <c r="A92" s="213"/>
      <c r="G92" s="278">
        <f>+SUM(G43:G91)+362330</f>
        <v>39820617.979914188</v>
      </c>
      <c r="H92" s="216">
        <f>+SUM(H15:H91)</f>
        <v>5254969.1192000005</v>
      </c>
      <c r="I92" s="217"/>
      <c r="J92" s="217"/>
      <c r="K92" s="218"/>
      <c r="M92" s="220"/>
      <c r="N92" s="220"/>
      <c r="R92" s="221"/>
    </row>
    <row r="93" spans="1:21" s="214" customFormat="1" ht="20.25" customHeight="1" thickBot="1" x14ac:dyDescent="0.4">
      <c r="A93" s="213"/>
      <c r="G93" s="455"/>
      <c r="H93" s="216"/>
      <c r="I93" s="217"/>
      <c r="J93" s="217"/>
      <c r="K93" s="218"/>
      <c r="M93" s="220"/>
      <c r="N93" s="220"/>
      <c r="R93" s="221"/>
    </row>
    <row r="94" spans="1:21" ht="16" thickBot="1" x14ac:dyDescent="0.4">
      <c r="B94" s="1015" t="s">
        <v>276</v>
      </c>
      <c r="C94" s="1016"/>
      <c r="D94" s="1016"/>
      <c r="E94" s="1016"/>
      <c r="F94" s="1016"/>
      <c r="G94" s="1016"/>
      <c r="H94" s="1016"/>
      <c r="I94" s="1016"/>
      <c r="J94" s="1016"/>
      <c r="K94" s="1016"/>
      <c r="L94" s="1016"/>
      <c r="M94" s="1016"/>
      <c r="N94" s="1016"/>
      <c r="O94" s="1017"/>
      <c r="R94" s="195"/>
    </row>
    <row r="95" spans="1:21" ht="15" customHeight="1" x14ac:dyDescent="0.35">
      <c r="A95" s="1006" t="s">
        <v>231</v>
      </c>
      <c r="B95" s="980" t="s">
        <v>232</v>
      </c>
      <c r="C95" s="978" t="s">
        <v>233</v>
      </c>
      <c r="D95" s="978" t="s">
        <v>249</v>
      </c>
      <c r="E95" s="978" t="s">
        <v>235</v>
      </c>
      <c r="F95" s="979" t="s">
        <v>236</v>
      </c>
      <c r="G95" s="999" t="s">
        <v>237</v>
      </c>
      <c r="H95" s="1000"/>
      <c r="I95" s="1000"/>
      <c r="J95" s="1001"/>
      <c r="K95" s="978" t="s">
        <v>238</v>
      </c>
      <c r="L95" s="978" t="s">
        <v>239</v>
      </c>
      <c r="M95" s="978" t="s">
        <v>240</v>
      </c>
      <c r="N95" s="978"/>
      <c r="O95" s="984" t="s">
        <v>241</v>
      </c>
      <c r="R95" s="195"/>
    </row>
    <row r="96" spans="1:21" ht="36.75" customHeight="1" thickBot="1" x14ac:dyDescent="0.4">
      <c r="A96" s="1007"/>
      <c r="B96" s="980"/>
      <c r="C96" s="978"/>
      <c r="D96" s="978"/>
      <c r="E96" s="978"/>
      <c r="F96" s="1021"/>
      <c r="G96" s="196" t="s">
        <v>242</v>
      </c>
      <c r="H96" s="196" t="s">
        <v>243</v>
      </c>
      <c r="I96" s="197" t="s">
        <v>244</v>
      </c>
      <c r="J96" s="197" t="s">
        <v>245</v>
      </c>
      <c r="K96" s="978"/>
      <c r="L96" s="978"/>
      <c r="M96" s="198" t="s">
        <v>277</v>
      </c>
      <c r="N96" s="198" t="s">
        <v>247</v>
      </c>
      <c r="O96" s="984"/>
      <c r="R96" s="195"/>
    </row>
    <row r="97" spans="1:21" s="267" customFormat="1" ht="26.5" hidden="1" thickBot="1" x14ac:dyDescent="0.4">
      <c r="A97" s="272" t="s">
        <v>200</v>
      </c>
      <c r="B97" s="257" t="s">
        <v>250</v>
      </c>
      <c r="C97" s="259" t="s">
        <v>39</v>
      </c>
      <c r="D97" s="259" t="s">
        <v>251</v>
      </c>
      <c r="E97" s="259"/>
      <c r="F97" s="259"/>
      <c r="G97" s="258"/>
      <c r="H97" s="269">
        <v>0</v>
      </c>
      <c r="I97" s="261" t="e">
        <f>(G97/(G97+H97))</f>
        <v>#DIV/0!</v>
      </c>
      <c r="J97" s="261" t="e">
        <f>(H97/(G97+H97))</f>
        <v>#DIV/0!</v>
      </c>
      <c r="K97" s="262" t="s">
        <v>252</v>
      </c>
      <c r="L97" s="259" t="s">
        <v>256</v>
      </c>
      <c r="M97" s="263">
        <v>45139</v>
      </c>
      <c r="N97" s="263">
        <v>45323</v>
      </c>
      <c r="O97" s="264"/>
      <c r="R97" s="275"/>
    </row>
    <row r="98" spans="1:21" s="267" customFormat="1" ht="26" hidden="1" x14ac:dyDescent="0.35">
      <c r="A98" s="272" t="str">
        <f>+A42</f>
        <v>1.5 Gestión de la Información y Comprobantes Electrónicos</v>
      </c>
      <c r="B98" s="274" t="s">
        <v>250</v>
      </c>
      <c r="C98" s="268" t="str">
        <f>+'[1]1. Detailed Budget'!AK45</f>
        <v xml:space="preserve"> Implementación de software, hardware y transfenrencia de conocimiento para Procesamiento masivo Big data</v>
      </c>
      <c r="D98" s="268" t="s">
        <v>251</v>
      </c>
      <c r="E98" s="268"/>
      <c r="F98" s="273"/>
      <c r="G98" s="269"/>
      <c r="H98" s="269"/>
      <c r="I98" s="328" t="e">
        <f>(G98/(G98+H98))</f>
        <v>#DIV/0!</v>
      </c>
      <c r="J98" s="328" t="e">
        <f>(H98/(G98+H98))</f>
        <v>#DIV/0!</v>
      </c>
      <c r="K98" s="301" t="s">
        <v>258</v>
      </c>
      <c r="L98" s="268"/>
      <c r="M98" s="270"/>
      <c r="N98" s="270"/>
      <c r="O98" s="271"/>
      <c r="P98" s="265"/>
      <c r="Q98" s="265"/>
      <c r="R98" s="266"/>
      <c r="S98" s="265"/>
      <c r="T98" s="265"/>
      <c r="U98" s="265"/>
    </row>
    <row r="99" spans="1:21" s="302" customFormat="1" ht="26" x14ac:dyDescent="0.35">
      <c r="A99" s="308" t="s">
        <v>200</v>
      </c>
      <c r="B99" s="313" t="s">
        <v>250</v>
      </c>
      <c r="C99" s="329" t="s">
        <v>39</v>
      </c>
      <c r="D99" s="329" t="s">
        <v>251</v>
      </c>
      <c r="E99" s="329"/>
      <c r="F99" s="329"/>
      <c r="G99" s="332">
        <v>952000</v>
      </c>
      <c r="H99" s="333">
        <v>0</v>
      </c>
      <c r="I99" s="330">
        <v>1</v>
      </c>
      <c r="J99" s="330">
        <v>0</v>
      </c>
      <c r="K99" s="318" t="s">
        <v>252</v>
      </c>
      <c r="L99" s="329" t="s">
        <v>256</v>
      </c>
      <c r="M99" s="319">
        <v>45413</v>
      </c>
      <c r="N99" s="319">
        <v>45962</v>
      </c>
      <c r="O99" s="331"/>
      <c r="R99" s="194"/>
    </row>
    <row r="100" spans="1:21" s="448" customFormat="1" ht="26" x14ac:dyDescent="0.35">
      <c r="A100" s="308" t="s">
        <v>278</v>
      </c>
      <c r="B100" s="451" t="s">
        <v>250</v>
      </c>
      <c r="C100" s="303" t="s">
        <v>214</v>
      </c>
      <c r="D100" s="303" t="s">
        <v>251</v>
      </c>
      <c r="E100" s="303"/>
      <c r="F100" s="452"/>
      <c r="G100" s="276">
        <v>1657385.6768</v>
      </c>
      <c r="H100" s="304"/>
      <c r="I100" s="305">
        <v>1</v>
      </c>
      <c r="J100" s="305">
        <v>0</v>
      </c>
      <c r="K100" s="223" t="s">
        <v>252</v>
      </c>
      <c r="L100" s="303" t="s">
        <v>256</v>
      </c>
      <c r="M100" s="306">
        <v>45139</v>
      </c>
      <c r="N100" s="306">
        <v>45352</v>
      </c>
      <c r="O100" s="307"/>
      <c r="R100" s="453"/>
    </row>
    <row r="101" spans="1:21" s="448" customFormat="1" ht="38.25" hidden="1" customHeight="1" x14ac:dyDescent="0.35">
      <c r="A101" s="996"/>
      <c r="B101" s="451"/>
      <c r="C101" s="303"/>
      <c r="D101" s="303"/>
      <c r="E101" s="303"/>
      <c r="F101" s="452"/>
      <c r="G101" s="276"/>
      <c r="H101" s="304"/>
      <c r="I101" s="558"/>
      <c r="J101" s="558"/>
      <c r="K101" s="244"/>
      <c r="L101" s="303"/>
      <c r="M101" s="306"/>
      <c r="N101" s="306"/>
      <c r="O101" s="307"/>
      <c r="R101" s="453"/>
    </row>
    <row r="102" spans="1:21" s="448" customFormat="1" hidden="1" x14ac:dyDescent="0.35">
      <c r="A102" s="998"/>
      <c r="B102" s="451"/>
      <c r="C102" s="303"/>
      <c r="D102" s="303"/>
      <c r="E102" s="303"/>
      <c r="F102" s="452"/>
      <c r="G102" s="276"/>
      <c r="H102" s="304"/>
      <c r="I102" s="558"/>
      <c r="J102" s="558"/>
      <c r="K102" s="244"/>
      <c r="L102" s="303"/>
      <c r="M102" s="306"/>
      <c r="N102" s="306"/>
      <c r="O102" s="307"/>
      <c r="R102" s="453"/>
    </row>
    <row r="103" spans="1:21" s="448" customFormat="1" ht="26" x14ac:dyDescent="0.35">
      <c r="A103" s="996" t="s">
        <v>137</v>
      </c>
      <c r="B103" s="451" t="s">
        <v>264</v>
      </c>
      <c r="C103" s="303" t="s">
        <v>219</v>
      </c>
      <c r="D103" s="303" t="s">
        <v>254</v>
      </c>
      <c r="E103" s="303"/>
      <c r="F103" s="452"/>
      <c r="G103" s="276">
        <v>100800</v>
      </c>
      <c r="H103" s="304">
        <v>0</v>
      </c>
      <c r="I103" s="558">
        <v>1</v>
      </c>
      <c r="J103" s="558">
        <v>0</v>
      </c>
      <c r="K103" s="244" t="s">
        <v>257</v>
      </c>
      <c r="L103" s="303" t="s">
        <v>253</v>
      </c>
      <c r="M103" s="306">
        <v>45139</v>
      </c>
      <c r="N103" s="306">
        <v>45352</v>
      </c>
      <c r="O103" s="307"/>
      <c r="R103" s="453"/>
    </row>
    <row r="104" spans="1:21" s="448" customFormat="1" x14ac:dyDescent="0.35">
      <c r="A104" s="998"/>
      <c r="B104" s="451"/>
      <c r="C104" s="303"/>
      <c r="D104" s="303"/>
      <c r="E104" s="303"/>
      <c r="F104" s="452"/>
      <c r="G104" s="276">
        <v>0</v>
      </c>
      <c r="H104" s="304">
        <v>0</v>
      </c>
      <c r="I104" s="558"/>
      <c r="J104" s="558"/>
      <c r="K104" s="244"/>
      <c r="L104" s="303"/>
      <c r="M104" s="306">
        <v>45139</v>
      </c>
      <c r="N104" s="306">
        <v>45352</v>
      </c>
      <c r="O104" s="307"/>
      <c r="R104" s="453"/>
    </row>
    <row r="105" spans="1:21" s="448" customFormat="1" ht="33.75" customHeight="1" x14ac:dyDescent="0.35">
      <c r="A105" s="561" t="s">
        <v>145</v>
      </c>
      <c r="B105" s="451" t="s">
        <v>264</v>
      </c>
      <c r="C105" s="303" t="s">
        <v>148</v>
      </c>
      <c r="D105" s="303" t="s">
        <v>254</v>
      </c>
      <c r="E105" s="303"/>
      <c r="F105" s="452"/>
      <c r="G105" s="276">
        <v>78400</v>
      </c>
      <c r="H105" s="304"/>
      <c r="I105" s="558">
        <v>1</v>
      </c>
      <c r="J105" s="558">
        <v>0</v>
      </c>
      <c r="K105" s="244" t="s">
        <v>257</v>
      </c>
      <c r="L105" s="303" t="s">
        <v>253</v>
      </c>
      <c r="M105" s="306">
        <v>45108</v>
      </c>
      <c r="N105" s="284">
        <v>45170</v>
      </c>
      <c r="O105" s="307"/>
      <c r="R105" s="453"/>
    </row>
    <row r="106" spans="1:21" ht="20.25" customHeight="1" thickBot="1" x14ac:dyDescent="0.4">
      <c r="A106" s="228"/>
      <c r="B106" s="229"/>
      <c r="C106" s="225"/>
      <c r="D106" s="225"/>
      <c r="E106" s="225"/>
      <c r="F106" s="225"/>
      <c r="G106" s="225"/>
      <c r="H106" s="225"/>
      <c r="I106" s="225"/>
      <c r="J106" s="225"/>
      <c r="K106" s="230"/>
      <c r="L106" s="225"/>
      <c r="M106" s="226"/>
      <c r="N106" s="226"/>
      <c r="O106" s="231"/>
      <c r="R106" s="194"/>
    </row>
    <row r="107" spans="1:21" s="214" customFormat="1" ht="20.25" customHeight="1" x14ac:dyDescent="0.35">
      <c r="A107" s="213"/>
      <c r="G107" s="278">
        <f>SUM(G97:G106)</f>
        <v>2788585.6768</v>
      </c>
      <c r="H107" s="216">
        <f>SUM(H97:H106)</f>
        <v>0</v>
      </c>
      <c r="I107" s="217"/>
      <c r="J107" s="217"/>
      <c r="K107" s="218"/>
      <c r="M107" s="220"/>
      <c r="N107" s="220"/>
      <c r="R107" s="221"/>
    </row>
    <row r="108" spans="1:21" s="214" customFormat="1" ht="20.25" customHeight="1" thickBot="1" x14ac:dyDescent="0.4">
      <c r="A108" s="213"/>
      <c r="G108" s="389"/>
      <c r="H108" s="216"/>
      <c r="I108" s="217"/>
      <c r="J108" s="217"/>
      <c r="K108" s="218"/>
      <c r="M108" s="220"/>
      <c r="N108" s="220"/>
      <c r="R108" s="221"/>
    </row>
    <row r="109" spans="1:21" ht="15.75" customHeight="1" thickBot="1" x14ac:dyDescent="0.4">
      <c r="B109" s="1015" t="s">
        <v>279</v>
      </c>
      <c r="C109" s="1016"/>
      <c r="D109" s="1016"/>
      <c r="E109" s="1016"/>
      <c r="F109" s="1016"/>
      <c r="G109" s="1016"/>
      <c r="H109" s="1016"/>
      <c r="I109" s="1016"/>
      <c r="J109" s="1016"/>
      <c r="K109" s="1016"/>
      <c r="L109" s="1016"/>
      <c r="M109" s="1016"/>
      <c r="N109" s="1016"/>
      <c r="O109" s="1017"/>
      <c r="R109" s="195"/>
    </row>
    <row r="110" spans="1:21" ht="15" customHeight="1" x14ac:dyDescent="0.35">
      <c r="A110" s="1006" t="s">
        <v>231</v>
      </c>
      <c r="B110" s="981" t="s">
        <v>232</v>
      </c>
      <c r="C110" s="978" t="s">
        <v>233</v>
      </c>
      <c r="D110" s="979" t="s">
        <v>280</v>
      </c>
      <c r="E110" s="1034" t="s">
        <v>236</v>
      </c>
      <c r="F110" s="1035"/>
      <c r="G110" s="999" t="s">
        <v>237</v>
      </c>
      <c r="H110" s="1000"/>
      <c r="I110" s="1000"/>
      <c r="J110" s="1001"/>
      <c r="K110" s="978" t="s">
        <v>238</v>
      </c>
      <c r="L110" s="978" t="s">
        <v>239</v>
      </c>
      <c r="M110" s="978" t="s">
        <v>240</v>
      </c>
      <c r="N110" s="978"/>
      <c r="O110" s="984" t="s">
        <v>241</v>
      </c>
      <c r="R110" s="195"/>
    </row>
    <row r="111" spans="1:21" ht="39.5" thickBot="1" x14ac:dyDescent="0.4">
      <c r="A111" s="1007"/>
      <c r="B111" s="1033"/>
      <c r="C111" s="978"/>
      <c r="D111" s="1021"/>
      <c r="E111" s="232" t="s">
        <v>281</v>
      </c>
      <c r="F111" s="386" t="s">
        <v>282</v>
      </c>
      <c r="G111" s="385" t="s">
        <v>242</v>
      </c>
      <c r="H111" s="196" t="s">
        <v>243</v>
      </c>
      <c r="I111" s="196" t="s">
        <v>244</v>
      </c>
      <c r="J111" s="197" t="s">
        <v>245</v>
      </c>
      <c r="K111" s="978"/>
      <c r="L111" s="978"/>
      <c r="M111" s="198" t="s">
        <v>283</v>
      </c>
      <c r="N111" s="198" t="s">
        <v>247</v>
      </c>
      <c r="O111" s="984"/>
      <c r="R111" s="195"/>
    </row>
    <row r="112" spans="1:21" s="267" customFormat="1" ht="26.5" hidden="1" thickBot="1" x14ac:dyDescent="0.4">
      <c r="A112" s="990" t="s">
        <v>200</v>
      </c>
      <c r="B112" s="257" t="s">
        <v>250</v>
      </c>
      <c r="C112" s="259" t="str">
        <f>+'[1]2. Pluriannual Plan PEP v.2'!B10</f>
        <v xml:space="preserve">Diseño del Data center </v>
      </c>
      <c r="D112" s="259" t="s">
        <v>284</v>
      </c>
      <c r="E112" s="259"/>
      <c r="F112" s="259"/>
      <c r="G112" s="260"/>
      <c r="H112" s="260">
        <v>0</v>
      </c>
      <c r="I112" s="261" t="e">
        <f>(G112/(G112+H112))</f>
        <v>#DIV/0!</v>
      </c>
      <c r="J112" s="261" t="e">
        <f>(H112/(G112+H112))</f>
        <v>#DIV/0!</v>
      </c>
      <c r="K112" s="262" t="s">
        <v>252</v>
      </c>
      <c r="L112" s="259" t="s">
        <v>253</v>
      </c>
      <c r="M112" s="263">
        <v>44652</v>
      </c>
      <c r="N112" s="263">
        <v>44805</v>
      </c>
      <c r="O112" s="264"/>
      <c r="R112" s="275"/>
      <c r="S112" s="275"/>
    </row>
    <row r="113" spans="1:19" s="267" customFormat="1" ht="26.5" hidden="1" thickBot="1" x14ac:dyDescent="0.4">
      <c r="A113" s="991"/>
      <c r="B113" s="257" t="s">
        <v>250</v>
      </c>
      <c r="C113" s="259" t="str">
        <f>+'[1]2. Pluriannual Plan PEP v.2'!B12</f>
        <v>Data Center Center Certificado TIER III</v>
      </c>
      <c r="D113" s="259" t="s">
        <v>284</v>
      </c>
      <c r="E113" s="259"/>
      <c r="F113" s="259"/>
      <c r="G113" s="260"/>
      <c r="H113" s="260"/>
      <c r="I113" s="261"/>
      <c r="J113" s="261"/>
      <c r="K113" s="262"/>
      <c r="L113" s="259"/>
      <c r="M113" s="263"/>
      <c r="N113" s="263"/>
      <c r="O113" s="264"/>
      <c r="R113" s="275"/>
      <c r="S113" s="275"/>
    </row>
    <row r="114" spans="1:19" s="267" customFormat="1" ht="26.5" hidden="1" thickBot="1" x14ac:dyDescent="0.4">
      <c r="A114" s="992"/>
      <c r="B114" s="274" t="s">
        <v>250</v>
      </c>
      <c r="C114" s="268" t="s">
        <v>285</v>
      </c>
      <c r="D114" s="268" t="s">
        <v>286</v>
      </c>
      <c r="E114" s="268"/>
      <c r="F114" s="268"/>
      <c r="G114" s="269"/>
      <c r="H114" s="269">
        <v>0</v>
      </c>
      <c r="I114" s="328" t="e">
        <f>(G114/(G114+H114))</f>
        <v>#DIV/0!</v>
      </c>
      <c r="J114" s="328" t="e">
        <f>(H114/(G114+H114))</f>
        <v>#DIV/0!</v>
      </c>
      <c r="K114" s="301" t="s">
        <v>252</v>
      </c>
      <c r="L114" s="268" t="s">
        <v>256</v>
      </c>
      <c r="M114" s="270">
        <v>44621</v>
      </c>
      <c r="N114" s="270">
        <v>44774</v>
      </c>
      <c r="O114" s="271"/>
      <c r="R114" s="275"/>
      <c r="S114" s="275"/>
    </row>
    <row r="115" spans="1:19" s="302" customFormat="1" x14ac:dyDescent="0.35">
      <c r="A115" s="982"/>
      <c r="B115" s="313"/>
      <c r="C115" s="315"/>
      <c r="D115" s="200"/>
      <c r="E115" s="315"/>
      <c r="F115" s="315"/>
      <c r="G115" s="388"/>
      <c r="H115" s="316"/>
      <c r="I115" s="330"/>
      <c r="J115" s="330"/>
      <c r="K115" s="318"/>
      <c r="L115" s="200"/>
      <c r="M115" s="454"/>
      <c r="N115" s="454"/>
      <c r="O115" s="331"/>
      <c r="R115" s="194"/>
      <c r="S115" s="194"/>
    </row>
    <row r="116" spans="1:19" s="302" customFormat="1" x14ac:dyDescent="0.35">
      <c r="A116" s="1018"/>
      <c r="B116" s="279"/>
      <c r="C116" s="200"/>
      <c r="D116" s="200"/>
      <c r="E116" s="200"/>
      <c r="F116" s="200"/>
      <c r="G116" s="227"/>
      <c r="H116" s="233"/>
      <c r="I116" s="562"/>
      <c r="J116" s="305"/>
      <c r="K116" s="223"/>
      <c r="L116" s="200"/>
      <c r="M116" s="563"/>
      <c r="N116" s="563"/>
      <c r="O116" s="309"/>
      <c r="R116" s="194"/>
      <c r="S116" s="194"/>
    </row>
    <row r="117" spans="1:19" s="302" customFormat="1" ht="52" x14ac:dyDescent="0.35">
      <c r="A117" s="281" t="s">
        <v>112</v>
      </c>
      <c r="B117" s="292" t="s">
        <v>264</v>
      </c>
      <c r="C117" s="200" t="s">
        <v>114</v>
      </c>
      <c r="D117" s="200" t="s">
        <v>286</v>
      </c>
      <c r="E117" s="200"/>
      <c r="F117" s="200"/>
      <c r="G117" s="227">
        <v>14574612.800000001</v>
      </c>
      <c r="H117" s="227">
        <v>0</v>
      </c>
      <c r="I117" s="201">
        <v>1</v>
      </c>
      <c r="J117" s="201">
        <v>0</v>
      </c>
      <c r="K117" s="204" t="s">
        <v>257</v>
      </c>
      <c r="L117" s="200" t="s">
        <v>256</v>
      </c>
      <c r="M117" s="202">
        <v>45108</v>
      </c>
      <c r="N117" s="202">
        <v>45191</v>
      </c>
      <c r="O117" s="203"/>
      <c r="R117" s="194"/>
      <c r="S117" s="194"/>
    </row>
    <row r="118" spans="1:19" s="302" customFormat="1" ht="78" x14ac:dyDescent="0.35">
      <c r="A118" s="287" t="s">
        <v>115</v>
      </c>
      <c r="B118" s="292" t="s">
        <v>264</v>
      </c>
      <c r="C118" s="200" t="s">
        <v>116</v>
      </c>
      <c r="D118" s="200" t="s">
        <v>286</v>
      </c>
      <c r="E118" s="200"/>
      <c r="F118" s="200"/>
      <c r="G118" s="227">
        <v>2563171.1616000002</v>
      </c>
      <c r="H118" s="227">
        <v>0</v>
      </c>
      <c r="I118" s="201">
        <v>1</v>
      </c>
      <c r="J118" s="201">
        <v>0</v>
      </c>
      <c r="K118" s="204" t="s">
        <v>257</v>
      </c>
      <c r="L118" s="200" t="s">
        <v>256</v>
      </c>
      <c r="M118" s="202">
        <v>45108</v>
      </c>
      <c r="N118" s="202">
        <v>45191</v>
      </c>
      <c r="O118" s="203"/>
      <c r="R118" s="194"/>
      <c r="S118" s="194"/>
    </row>
    <row r="119" spans="1:19" s="302" customFormat="1" ht="65" x14ac:dyDescent="0.35">
      <c r="A119" s="247" t="s">
        <v>117</v>
      </c>
      <c r="B119" s="279" t="s">
        <v>264</v>
      </c>
      <c r="C119" s="200" t="s">
        <v>118</v>
      </c>
      <c r="D119" s="200" t="s">
        <v>286</v>
      </c>
      <c r="E119" s="200"/>
      <c r="F119" s="200"/>
      <c r="G119" s="227">
        <v>840068.32</v>
      </c>
      <c r="H119" s="227">
        <v>0</v>
      </c>
      <c r="I119" s="201">
        <v>1</v>
      </c>
      <c r="J119" s="201">
        <v>0</v>
      </c>
      <c r="K119" s="280" t="s">
        <v>257</v>
      </c>
      <c r="L119" s="200" t="s">
        <v>256</v>
      </c>
      <c r="M119" s="202">
        <v>45108</v>
      </c>
      <c r="N119" s="202">
        <v>45191</v>
      </c>
      <c r="O119" s="203"/>
      <c r="R119" s="194"/>
      <c r="S119" s="194"/>
    </row>
    <row r="120" spans="1:19" s="302" customFormat="1" ht="26" x14ac:dyDescent="0.35">
      <c r="A120" s="247" t="s">
        <v>151</v>
      </c>
      <c r="B120" s="279" t="s">
        <v>250</v>
      </c>
      <c r="C120" s="200" t="s">
        <v>224</v>
      </c>
      <c r="D120" s="200" t="s">
        <v>287</v>
      </c>
      <c r="E120" s="200"/>
      <c r="F120" s="288"/>
      <c r="G120" s="227">
        <v>201600</v>
      </c>
      <c r="H120" s="233"/>
      <c r="I120" s="305">
        <v>1</v>
      </c>
      <c r="J120" s="305">
        <v>0</v>
      </c>
      <c r="K120" s="223" t="s">
        <v>252</v>
      </c>
      <c r="L120" s="200" t="s">
        <v>256</v>
      </c>
      <c r="M120" s="202">
        <v>45108</v>
      </c>
      <c r="N120" s="202">
        <v>45191</v>
      </c>
      <c r="O120" s="309"/>
      <c r="R120" s="194"/>
      <c r="S120" s="194"/>
    </row>
    <row r="121" spans="1:19" s="302" customFormat="1" ht="26" x14ac:dyDescent="0.35">
      <c r="A121" s="247" t="s">
        <v>288</v>
      </c>
      <c r="B121" s="279" t="s">
        <v>264</v>
      </c>
      <c r="C121" s="200" t="s">
        <v>224</v>
      </c>
      <c r="D121" s="200" t="s">
        <v>287</v>
      </c>
      <c r="E121" s="200"/>
      <c r="F121" s="288"/>
      <c r="G121" s="227">
        <v>134400</v>
      </c>
      <c r="H121" s="233"/>
      <c r="I121" s="305">
        <v>1</v>
      </c>
      <c r="J121" s="305">
        <v>0</v>
      </c>
      <c r="K121" s="223" t="s">
        <v>252</v>
      </c>
      <c r="L121" s="200" t="s">
        <v>256</v>
      </c>
      <c r="M121" s="202">
        <v>45108</v>
      </c>
      <c r="N121" s="202">
        <v>45191</v>
      </c>
      <c r="O121" s="309"/>
      <c r="R121" s="194"/>
      <c r="S121" s="194"/>
    </row>
    <row r="122" spans="1:19" s="302" customFormat="1" ht="27.65" customHeight="1" x14ac:dyDescent="0.35">
      <c r="A122" s="982" t="s">
        <v>151</v>
      </c>
      <c r="B122" s="279" t="s">
        <v>250</v>
      </c>
      <c r="C122" s="200" t="s">
        <v>289</v>
      </c>
      <c r="D122" s="200" t="s">
        <v>284</v>
      </c>
      <c r="E122" s="200"/>
      <c r="F122" s="288"/>
      <c r="G122" s="227">
        <v>24000</v>
      </c>
      <c r="H122" s="227"/>
      <c r="I122" s="305">
        <v>1</v>
      </c>
      <c r="J122" s="305">
        <v>0</v>
      </c>
      <c r="K122" s="223" t="s">
        <v>252</v>
      </c>
      <c r="L122" s="200" t="s">
        <v>256</v>
      </c>
      <c r="M122" s="202">
        <v>45108</v>
      </c>
      <c r="N122" s="202">
        <v>45191</v>
      </c>
      <c r="O122" s="203"/>
      <c r="R122" s="194"/>
      <c r="S122" s="194"/>
    </row>
    <row r="123" spans="1:19" s="302" customFormat="1" ht="27.65" customHeight="1" x14ac:dyDescent="0.35">
      <c r="A123" s="1018"/>
      <c r="B123" s="279" t="s">
        <v>250</v>
      </c>
      <c r="C123" s="200" t="s">
        <v>290</v>
      </c>
      <c r="D123" s="200" t="s">
        <v>284</v>
      </c>
      <c r="E123" s="200"/>
      <c r="F123" s="288"/>
      <c r="G123" s="227">
        <v>24000</v>
      </c>
      <c r="H123" s="227"/>
      <c r="I123" s="305">
        <v>1</v>
      </c>
      <c r="J123" s="305">
        <v>0</v>
      </c>
      <c r="K123" s="223" t="s">
        <v>252</v>
      </c>
      <c r="L123" s="200" t="s">
        <v>256</v>
      </c>
      <c r="M123" s="563">
        <v>45413</v>
      </c>
      <c r="N123" s="563">
        <v>45536</v>
      </c>
      <c r="O123" s="203"/>
      <c r="R123" s="194"/>
      <c r="S123" s="194"/>
    </row>
    <row r="124" spans="1:19" s="302" customFormat="1" ht="27.65" customHeight="1" x14ac:dyDescent="0.35">
      <c r="A124" s="1018"/>
      <c r="B124" s="279" t="s">
        <v>250</v>
      </c>
      <c r="C124" s="200" t="s">
        <v>291</v>
      </c>
      <c r="D124" s="200" t="s">
        <v>284</v>
      </c>
      <c r="E124" s="200"/>
      <c r="F124" s="288"/>
      <c r="G124" s="227">
        <v>62400</v>
      </c>
      <c r="H124" s="227"/>
      <c r="I124" s="305">
        <v>1</v>
      </c>
      <c r="J124" s="305">
        <v>0</v>
      </c>
      <c r="K124" s="223" t="s">
        <v>252</v>
      </c>
      <c r="L124" s="200" t="s">
        <v>256</v>
      </c>
      <c r="M124" s="563">
        <v>45413</v>
      </c>
      <c r="N124" s="563">
        <v>45536</v>
      </c>
      <c r="O124" s="203"/>
      <c r="R124" s="194"/>
      <c r="S124" s="194"/>
    </row>
    <row r="125" spans="1:19" s="302" customFormat="1" ht="27.65" customHeight="1" x14ac:dyDescent="0.35">
      <c r="A125" s="1018"/>
      <c r="B125" s="279" t="s">
        <v>250</v>
      </c>
      <c r="C125" s="200" t="s">
        <v>292</v>
      </c>
      <c r="D125" s="200" t="s">
        <v>284</v>
      </c>
      <c r="E125" s="200"/>
      <c r="F125" s="200"/>
      <c r="G125" s="227">
        <v>12000</v>
      </c>
      <c r="H125" s="227">
        <v>0</v>
      </c>
      <c r="I125" s="201">
        <f>(G125/(G125+H125))</f>
        <v>1</v>
      </c>
      <c r="J125" s="201">
        <f>(H125/(G125+H125))</f>
        <v>0</v>
      </c>
      <c r="K125" s="223" t="s">
        <v>252</v>
      </c>
      <c r="L125" s="200" t="s">
        <v>256</v>
      </c>
      <c r="M125" s="202">
        <v>45108</v>
      </c>
      <c r="N125" s="202">
        <v>45191</v>
      </c>
      <c r="O125" s="203"/>
      <c r="R125" s="194"/>
      <c r="S125" s="194"/>
    </row>
    <row r="126" spans="1:19" s="302" customFormat="1" ht="27.65" customHeight="1" thickBot="1" x14ac:dyDescent="0.4">
      <c r="A126" s="1019"/>
      <c r="B126" s="279" t="s">
        <v>250</v>
      </c>
      <c r="C126" s="225" t="s">
        <v>293</v>
      </c>
      <c r="D126" s="225" t="s">
        <v>284</v>
      </c>
      <c r="E126" s="225"/>
      <c r="F126" s="225"/>
      <c r="G126" s="227">
        <v>12000</v>
      </c>
      <c r="H126" s="235"/>
      <c r="I126" s="201">
        <f t="shared" ref="I126:I129" si="10">(G126/(G126+H126))</f>
        <v>1</v>
      </c>
      <c r="J126" s="201">
        <f t="shared" ref="J126:J129" si="11">(H126/(G126+H126))</f>
        <v>0</v>
      </c>
      <c r="K126" s="223" t="s">
        <v>252</v>
      </c>
      <c r="L126" s="200" t="s">
        <v>256</v>
      </c>
      <c r="M126" s="202">
        <v>45108</v>
      </c>
      <c r="N126" s="202">
        <v>45191</v>
      </c>
      <c r="O126" s="231"/>
      <c r="R126" s="194"/>
      <c r="S126" s="194"/>
    </row>
    <row r="127" spans="1:19" s="302" customFormat="1" ht="27.65" customHeight="1" x14ac:dyDescent="0.35">
      <c r="A127" s="982" t="s">
        <v>288</v>
      </c>
      <c r="B127" s="279" t="s">
        <v>264</v>
      </c>
      <c r="C127" s="200" t="s">
        <v>289</v>
      </c>
      <c r="D127" s="200" t="s">
        <v>284</v>
      </c>
      <c r="E127" s="200"/>
      <c r="F127" s="288"/>
      <c r="G127" s="227">
        <v>16000</v>
      </c>
      <c r="H127" s="227"/>
      <c r="I127" s="201">
        <f t="shared" si="10"/>
        <v>1</v>
      </c>
      <c r="J127" s="201">
        <f t="shared" si="11"/>
        <v>0</v>
      </c>
      <c r="K127" s="280" t="s">
        <v>257</v>
      </c>
      <c r="L127" s="200" t="s">
        <v>256</v>
      </c>
      <c r="M127" s="202">
        <v>45108</v>
      </c>
      <c r="N127" s="202">
        <v>45191</v>
      </c>
      <c r="O127" s="203"/>
      <c r="R127" s="194"/>
      <c r="S127" s="194"/>
    </row>
    <row r="128" spans="1:19" s="302" customFormat="1" ht="27.65" customHeight="1" x14ac:dyDescent="0.35">
      <c r="A128" s="1018"/>
      <c r="B128" s="279" t="s">
        <v>264</v>
      </c>
      <c r="C128" s="200" t="s">
        <v>290</v>
      </c>
      <c r="D128" s="200" t="s">
        <v>284</v>
      </c>
      <c r="E128" s="200"/>
      <c r="F128" s="288"/>
      <c r="G128" s="227">
        <v>16000</v>
      </c>
      <c r="H128" s="227"/>
      <c r="I128" s="201">
        <f t="shared" si="10"/>
        <v>1</v>
      </c>
      <c r="J128" s="201">
        <f t="shared" si="11"/>
        <v>0</v>
      </c>
      <c r="K128" s="280" t="s">
        <v>257</v>
      </c>
      <c r="L128" s="200" t="s">
        <v>256</v>
      </c>
      <c r="M128" s="563">
        <v>45413</v>
      </c>
      <c r="N128" s="563">
        <v>45536</v>
      </c>
      <c r="O128" s="203"/>
      <c r="R128" s="194"/>
      <c r="S128" s="194"/>
    </row>
    <row r="129" spans="1:19" s="302" customFormat="1" ht="27.65" customHeight="1" x14ac:dyDescent="0.35">
      <c r="A129" s="1018"/>
      <c r="B129" s="279" t="s">
        <v>264</v>
      </c>
      <c r="C129" s="200" t="s">
        <v>291</v>
      </c>
      <c r="D129" s="200" t="s">
        <v>284</v>
      </c>
      <c r="E129" s="200"/>
      <c r="F129" s="288"/>
      <c r="G129" s="227">
        <v>41600</v>
      </c>
      <c r="H129" s="227"/>
      <c r="I129" s="201">
        <f t="shared" si="10"/>
        <v>1</v>
      </c>
      <c r="J129" s="201">
        <f t="shared" si="11"/>
        <v>0</v>
      </c>
      <c r="K129" s="280" t="s">
        <v>257</v>
      </c>
      <c r="L129" s="200" t="s">
        <v>256</v>
      </c>
      <c r="M129" s="563">
        <v>45413</v>
      </c>
      <c r="N129" s="563">
        <v>45536</v>
      </c>
      <c r="O129" s="203"/>
      <c r="R129" s="194"/>
      <c r="S129" s="194"/>
    </row>
    <row r="130" spans="1:19" s="302" customFormat="1" ht="27.65" customHeight="1" x14ac:dyDescent="0.35">
      <c r="A130" s="1018"/>
      <c r="B130" s="279" t="s">
        <v>264</v>
      </c>
      <c r="C130" s="200" t="s">
        <v>292</v>
      </c>
      <c r="D130" s="200" t="s">
        <v>284</v>
      </c>
      <c r="E130" s="200"/>
      <c r="F130" s="200"/>
      <c r="G130" s="227">
        <v>8000</v>
      </c>
      <c r="H130" s="227">
        <v>0</v>
      </c>
      <c r="I130" s="201">
        <f>(G130/(G130+H130))</f>
        <v>1</v>
      </c>
      <c r="J130" s="201">
        <f>(H130/(G130+H130))</f>
        <v>0</v>
      </c>
      <c r="K130" s="280" t="s">
        <v>257</v>
      </c>
      <c r="L130" s="200" t="s">
        <v>256</v>
      </c>
      <c r="M130" s="202">
        <v>45108</v>
      </c>
      <c r="N130" s="202">
        <v>45191</v>
      </c>
      <c r="O130" s="203"/>
      <c r="R130" s="194"/>
      <c r="S130" s="194"/>
    </row>
    <row r="131" spans="1:19" s="302" customFormat="1" ht="27.65" customHeight="1" thickBot="1" x14ac:dyDescent="0.4">
      <c r="A131" s="1019"/>
      <c r="B131" s="390" t="s">
        <v>264</v>
      </c>
      <c r="C131" s="225" t="s">
        <v>293</v>
      </c>
      <c r="D131" s="225" t="s">
        <v>284</v>
      </c>
      <c r="E131" s="225"/>
      <c r="F131" s="225"/>
      <c r="G131" s="227">
        <v>8000</v>
      </c>
      <c r="H131" s="235"/>
      <c r="I131" s="201">
        <f>(G131/(G131+H131))</f>
        <v>1</v>
      </c>
      <c r="J131" s="201">
        <f>(H131/(G131+H131))</f>
        <v>0</v>
      </c>
      <c r="K131" s="210" t="s">
        <v>257</v>
      </c>
      <c r="L131" s="200" t="s">
        <v>256</v>
      </c>
      <c r="M131" s="563">
        <v>45413</v>
      </c>
      <c r="N131" s="563">
        <v>45536</v>
      </c>
      <c r="O131" s="231"/>
      <c r="R131" s="194"/>
      <c r="S131" s="194"/>
    </row>
    <row r="132" spans="1:19" s="214" customFormat="1" ht="20.25" customHeight="1" x14ac:dyDescent="0.35">
      <c r="A132" s="236"/>
      <c r="B132" s="237"/>
      <c r="C132" s="237"/>
      <c r="D132" s="237"/>
      <c r="E132" s="238"/>
      <c r="F132" s="237"/>
      <c r="G132" s="278">
        <v>19152000.277649384</v>
      </c>
      <c r="H132" s="216">
        <f>SUM(H112:H119)</f>
        <v>0</v>
      </c>
      <c r="I132" s="239"/>
      <c r="J132" s="239"/>
      <c r="K132" s="240"/>
      <c r="L132" s="237"/>
      <c r="M132" s="241"/>
      <c r="N132" s="241"/>
      <c r="O132" s="237"/>
      <c r="R132" s="242"/>
      <c r="S132" s="242"/>
    </row>
    <row r="133" spans="1:19" ht="15" thickBot="1" x14ac:dyDescent="0.4">
      <c r="R133" s="243"/>
      <c r="S133" s="243"/>
    </row>
    <row r="134" spans="1:19" ht="16" thickBot="1" x14ac:dyDescent="0.4">
      <c r="B134" s="1015" t="s">
        <v>294</v>
      </c>
      <c r="C134" s="1016"/>
      <c r="D134" s="1016"/>
      <c r="E134" s="1016"/>
      <c r="F134" s="1016"/>
      <c r="G134" s="1016"/>
      <c r="H134" s="1016"/>
      <c r="I134" s="1016"/>
      <c r="J134" s="1016"/>
      <c r="K134" s="1016"/>
      <c r="L134" s="1016"/>
      <c r="M134" s="1016"/>
      <c r="N134" s="1016"/>
      <c r="O134" s="1017"/>
      <c r="R134" s="243"/>
      <c r="S134" s="243"/>
    </row>
    <row r="135" spans="1:19" ht="15" customHeight="1" x14ac:dyDescent="0.35">
      <c r="A135" s="1006" t="s">
        <v>231</v>
      </c>
      <c r="B135" s="980" t="s">
        <v>232</v>
      </c>
      <c r="C135" s="978" t="s">
        <v>233</v>
      </c>
      <c r="D135" s="978" t="s">
        <v>249</v>
      </c>
      <c r="E135" s="978" t="s">
        <v>236</v>
      </c>
      <c r="F135" s="999" t="s">
        <v>237</v>
      </c>
      <c r="G135" s="1000"/>
      <c r="H135" s="1000"/>
      <c r="I135" s="1001"/>
      <c r="J135" s="1036" t="s">
        <v>295</v>
      </c>
      <c r="K135" s="978" t="s">
        <v>238</v>
      </c>
      <c r="L135" s="978" t="s">
        <v>239</v>
      </c>
      <c r="M135" s="978" t="s">
        <v>240</v>
      </c>
      <c r="N135" s="978"/>
      <c r="O135" s="984" t="s">
        <v>241</v>
      </c>
      <c r="R135" s="243"/>
      <c r="S135" s="243"/>
    </row>
    <row r="136" spans="1:19" ht="37.5" customHeight="1" thickBot="1" x14ac:dyDescent="0.4">
      <c r="A136" s="1007"/>
      <c r="B136" s="1011"/>
      <c r="C136" s="989"/>
      <c r="D136" s="989"/>
      <c r="E136" s="989"/>
      <c r="F136" s="381" t="s">
        <v>242</v>
      </c>
      <c r="G136" s="382" t="s">
        <v>243</v>
      </c>
      <c r="H136" s="382" t="s">
        <v>244</v>
      </c>
      <c r="I136" s="383" t="s">
        <v>245</v>
      </c>
      <c r="J136" s="1037"/>
      <c r="K136" s="989"/>
      <c r="L136" s="989"/>
      <c r="M136" s="384" t="s">
        <v>296</v>
      </c>
      <c r="N136" s="384" t="s">
        <v>297</v>
      </c>
      <c r="O136" s="985"/>
      <c r="R136" s="243"/>
      <c r="S136" s="243"/>
    </row>
    <row r="137" spans="1:19" ht="15" hidden="1" thickBot="1" x14ac:dyDescent="0.4">
      <c r="A137" s="993" t="s">
        <v>298</v>
      </c>
      <c r="B137" s="995" t="s">
        <v>250</v>
      </c>
      <c r="C137" s="372" t="str">
        <f>+'[1]1. Detailed Budget'!I41</f>
        <v>Expertos</v>
      </c>
      <c r="D137" s="373" t="s">
        <v>299</v>
      </c>
      <c r="E137" s="368"/>
      <c r="F137" s="374"/>
      <c r="G137" s="374"/>
      <c r="H137" s="375" t="e">
        <f>(F137/(F137+G137))</f>
        <v>#DIV/0!</v>
      </c>
      <c r="I137" s="376" t="e">
        <f>(G137/(F137+G137))</f>
        <v>#DIV/0!</v>
      </c>
      <c r="J137" s="377">
        <v>9</v>
      </c>
      <c r="K137" s="378" t="s">
        <v>252</v>
      </c>
      <c r="L137" s="368" t="s">
        <v>253</v>
      </c>
      <c r="M137" s="379">
        <v>44013</v>
      </c>
      <c r="N137" s="379">
        <v>44105</v>
      </c>
      <c r="O137" s="380"/>
      <c r="R137" s="243"/>
      <c r="S137" s="243"/>
    </row>
    <row r="138" spans="1:19" ht="15" hidden="1" thickBot="1" x14ac:dyDescent="0.4">
      <c r="A138" s="994"/>
      <c r="B138" s="995"/>
      <c r="C138" s="283" t="str">
        <f>+'[1]1. Detailed Budget'!I42</f>
        <v>Especialistas</v>
      </c>
      <c r="D138" s="303" t="s">
        <v>299</v>
      </c>
      <c r="E138" s="282"/>
      <c r="F138" s="310"/>
      <c r="G138" s="310"/>
      <c r="H138" s="311" t="e">
        <f>(F138/(F138+G138))</f>
        <v>#DIV/0!</v>
      </c>
      <c r="I138" s="286" t="e">
        <f>(G138/(F138+G138))</f>
        <v>#DIV/0!</v>
      </c>
      <c r="J138" s="312"/>
      <c r="K138" s="244"/>
      <c r="L138" s="282"/>
      <c r="M138" s="284"/>
      <c r="N138" s="284"/>
      <c r="O138" s="285"/>
      <c r="R138" s="243"/>
      <c r="S138" s="243"/>
    </row>
    <row r="139" spans="1:19" ht="18" customHeight="1" x14ac:dyDescent="0.35">
      <c r="A139" s="570" t="s">
        <v>200</v>
      </c>
      <c r="B139" s="538" t="s">
        <v>250</v>
      </c>
      <c r="C139" s="372" t="s">
        <v>40</v>
      </c>
      <c r="D139" s="445" t="s">
        <v>300</v>
      </c>
      <c r="E139" s="200"/>
      <c r="F139" s="374">
        <v>152142.98800000001</v>
      </c>
      <c r="G139" s="374"/>
      <c r="H139" s="245">
        <f t="shared" ref="H139:H149" si="12">(F139/(F139+G139))</f>
        <v>1</v>
      </c>
      <c r="I139" s="201">
        <f t="shared" ref="I139:I149" si="13">(G139/(F139+G139))</f>
        <v>0</v>
      </c>
      <c r="J139" s="377">
        <v>3</v>
      </c>
      <c r="K139" s="223" t="s">
        <v>252</v>
      </c>
      <c r="L139" s="447" t="s">
        <v>253</v>
      </c>
      <c r="M139" s="379">
        <v>46143</v>
      </c>
      <c r="N139" s="379">
        <v>46327</v>
      </c>
      <c r="O139" s="380"/>
      <c r="R139" s="243"/>
      <c r="S139" s="243"/>
    </row>
    <row r="140" spans="1:19" s="448" customFormat="1" ht="82" customHeight="1" x14ac:dyDescent="0.35">
      <c r="A140" s="1031" t="s">
        <v>301</v>
      </c>
      <c r="B140" s="564" t="s">
        <v>250</v>
      </c>
      <c r="C140" s="565" t="s">
        <v>302</v>
      </c>
      <c r="D140" s="445" t="s">
        <v>300</v>
      </c>
      <c r="E140" s="566"/>
      <c r="F140" s="567">
        <v>4526738.0052000005</v>
      </c>
      <c r="G140" s="566">
        <v>0</v>
      </c>
      <c r="H140" s="568"/>
      <c r="I140" s="562"/>
      <c r="J140" s="566">
        <v>78</v>
      </c>
      <c r="K140" s="378" t="s">
        <v>252</v>
      </c>
      <c r="L140" s="373" t="s">
        <v>253</v>
      </c>
      <c r="M140" s="202">
        <v>45108</v>
      </c>
      <c r="N140" s="202">
        <v>45191</v>
      </c>
      <c r="O140" s="569" t="s">
        <v>303</v>
      </c>
      <c r="R140" s="449"/>
      <c r="S140" s="449"/>
    </row>
    <row r="141" spans="1:19" s="448" customFormat="1" ht="82" customHeight="1" x14ac:dyDescent="0.35">
      <c r="A141" s="1032"/>
      <c r="B141" s="234" t="s">
        <v>250</v>
      </c>
      <c r="C141" s="450" t="s">
        <v>304</v>
      </c>
      <c r="D141" s="445" t="s">
        <v>300</v>
      </c>
      <c r="E141" s="446"/>
      <c r="F141" s="446">
        <f>10149503.104-1424392.07</f>
        <v>8725111.034</v>
      </c>
      <c r="G141" s="446">
        <v>0</v>
      </c>
      <c r="H141" s="456"/>
      <c r="I141" s="305"/>
      <c r="J141" s="446">
        <v>154.66666666666669</v>
      </c>
      <c r="K141" s="223" t="s">
        <v>252</v>
      </c>
      <c r="L141" s="447" t="s">
        <v>253</v>
      </c>
      <c r="M141" s="202">
        <v>45108</v>
      </c>
      <c r="N141" s="202">
        <v>45191</v>
      </c>
      <c r="O141" s="309"/>
      <c r="R141" s="449"/>
      <c r="S141" s="449"/>
    </row>
    <row r="142" spans="1:19" s="448" customFormat="1" ht="27.65" customHeight="1" x14ac:dyDescent="0.35">
      <c r="A142" s="1012" t="s">
        <v>202</v>
      </c>
      <c r="B142" s="234" t="s">
        <v>250</v>
      </c>
      <c r="C142" s="444" t="s">
        <v>305</v>
      </c>
      <c r="D142" s="445" t="s">
        <v>300</v>
      </c>
      <c r="E142" s="446"/>
      <c r="F142" s="446">
        <v>4104949.0856000008</v>
      </c>
      <c r="G142" s="446">
        <v>0</v>
      </c>
      <c r="H142" s="245">
        <f t="shared" si="12"/>
        <v>1</v>
      </c>
      <c r="I142" s="201">
        <f t="shared" si="13"/>
        <v>0</v>
      </c>
      <c r="J142" s="446">
        <v>23</v>
      </c>
      <c r="K142" s="223" t="s">
        <v>252</v>
      </c>
      <c r="L142" s="447" t="s">
        <v>253</v>
      </c>
      <c r="M142" s="202">
        <v>45108</v>
      </c>
      <c r="N142" s="202">
        <v>45191</v>
      </c>
      <c r="O142" s="309"/>
      <c r="R142" s="449"/>
      <c r="S142" s="449"/>
    </row>
    <row r="143" spans="1:19" s="448" customFormat="1" ht="26" x14ac:dyDescent="0.35">
      <c r="A143" s="1013"/>
      <c r="B143" s="234" t="s">
        <v>250</v>
      </c>
      <c r="C143" s="444" t="s">
        <v>306</v>
      </c>
      <c r="D143" s="445" t="s">
        <v>300</v>
      </c>
      <c r="E143" s="446"/>
      <c r="F143" s="446">
        <v>1337525.8400000001</v>
      </c>
      <c r="G143" s="446">
        <v>0</v>
      </c>
      <c r="H143" s="245">
        <f t="shared" si="12"/>
        <v>1</v>
      </c>
      <c r="I143" s="201">
        <f t="shared" si="13"/>
        <v>0</v>
      </c>
      <c r="J143" s="446">
        <v>10</v>
      </c>
      <c r="K143" s="223" t="s">
        <v>252</v>
      </c>
      <c r="L143" s="447" t="s">
        <v>253</v>
      </c>
      <c r="M143" s="202">
        <v>45108</v>
      </c>
      <c r="N143" s="202">
        <v>45191</v>
      </c>
      <c r="O143" s="309"/>
      <c r="R143" s="449"/>
      <c r="S143" s="449"/>
    </row>
    <row r="144" spans="1:19" s="448" customFormat="1" ht="28.5" customHeight="1" x14ac:dyDescent="0.35">
      <c r="A144" s="1013"/>
      <c r="B144" s="234" t="s">
        <v>250</v>
      </c>
      <c r="C144" s="444" t="s">
        <v>307</v>
      </c>
      <c r="D144" s="445" t="s">
        <v>300</v>
      </c>
      <c r="E144" s="446"/>
      <c r="F144" s="446">
        <v>601006.98</v>
      </c>
      <c r="G144" s="446">
        <v>0</v>
      </c>
      <c r="H144" s="245">
        <f t="shared" si="12"/>
        <v>1</v>
      </c>
      <c r="I144" s="201">
        <f t="shared" si="13"/>
        <v>0</v>
      </c>
      <c r="J144" s="446">
        <v>5</v>
      </c>
      <c r="K144" s="223" t="s">
        <v>252</v>
      </c>
      <c r="L144" s="447" t="s">
        <v>253</v>
      </c>
      <c r="M144" s="202">
        <v>45108</v>
      </c>
      <c r="N144" s="202">
        <v>45191</v>
      </c>
      <c r="O144" s="309"/>
      <c r="R144" s="449"/>
      <c r="S144" s="449"/>
    </row>
    <row r="145" spans="1:19" s="448" customFormat="1" ht="28.5" customHeight="1" x14ac:dyDescent="0.35">
      <c r="A145" s="1014"/>
      <c r="B145" s="234" t="s">
        <v>250</v>
      </c>
      <c r="C145" s="450" t="s">
        <v>308</v>
      </c>
      <c r="D145" s="445" t="s">
        <v>300</v>
      </c>
      <c r="E145" s="446"/>
      <c r="F145" s="446">
        <v>484062.27600000007</v>
      </c>
      <c r="G145" s="446"/>
      <c r="H145" s="245">
        <f t="shared" si="12"/>
        <v>1</v>
      </c>
      <c r="I145" s="201">
        <f t="shared" si="13"/>
        <v>0</v>
      </c>
      <c r="J145" s="446">
        <v>5</v>
      </c>
      <c r="K145" s="223" t="s">
        <v>252</v>
      </c>
      <c r="L145" s="447" t="s">
        <v>256</v>
      </c>
      <c r="M145" s="202">
        <v>45108</v>
      </c>
      <c r="N145" s="202">
        <v>45191</v>
      </c>
      <c r="O145" s="309"/>
      <c r="R145" s="449"/>
      <c r="S145" s="449"/>
    </row>
    <row r="146" spans="1:19" s="448" customFormat="1" ht="20.25" customHeight="1" x14ac:dyDescent="0.35">
      <c r="A146" s="996" t="s">
        <v>151</v>
      </c>
      <c r="B146" s="234" t="s">
        <v>250</v>
      </c>
      <c r="C146" s="450" t="s">
        <v>155</v>
      </c>
      <c r="D146" s="445" t="s">
        <v>300</v>
      </c>
      <c r="E146" s="446"/>
      <c r="F146" s="446">
        <v>0</v>
      </c>
      <c r="G146" s="446">
        <v>248208.63599999997</v>
      </c>
      <c r="H146" s="245">
        <f t="shared" si="12"/>
        <v>0</v>
      </c>
      <c r="I146" s="201">
        <f t="shared" si="13"/>
        <v>1</v>
      </c>
      <c r="J146" s="446">
        <v>1</v>
      </c>
      <c r="K146" s="223" t="s">
        <v>252</v>
      </c>
      <c r="L146" s="447" t="s">
        <v>256</v>
      </c>
      <c r="M146" s="202">
        <v>44927</v>
      </c>
      <c r="N146" s="202">
        <v>45007</v>
      </c>
      <c r="O146" s="309"/>
      <c r="R146" s="449"/>
      <c r="S146" s="449"/>
    </row>
    <row r="147" spans="1:19" s="448" customFormat="1" ht="20.25" customHeight="1" x14ac:dyDescent="0.35">
      <c r="A147" s="997"/>
      <c r="B147" s="234" t="s">
        <v>250</v>
      </c>
      <c r="C147" s="450" t="s">
        <v>156</v>
      </c>
      <c r="D147" s="445" t="s">
        <v>300</v>
      </c>
      <c r="E147" s="446"/>
      <c r="F147" s="446">
        <v>0</v>
      </c>
      <c r="G147" s="446">
        <v>248208.63599999997</v>
      </c>
      <c r="H147" s="245">
        <f t="shared" si="12"/>
        <v>0</v>
      </c>
      <c r="I147" s="201">
        <f t="shared" si="13"/>
        <v>1</v>
      </c>
      <c r="J147" s="446">
        <v>1</v>
      </c>
      <c r="K147" s="223" t="s">
        <v>252</v>
      </c>
      <c r="L147" s="447" t="s">
        <v>256</v>
      </c>
      <c r="M147" s="202">
        <v>44928</v>
      </c>
      <c r="N147" s="202">
        <v>45007</v>
      </c>
      <c r="O147" s="309"/>
      <c r="R147" s="449"/>
      <c r="S147" s="449"/>
    </row>
    <row r="148" spans="1:19" s="448" customFormat="1" ht="30.65" customHeight="1" x14ac:dyDescent="0.35">
      <c r="A148" s="997"/>
      <c r="B148" s="234" t="s">
        <v>250</v>
      </c>
      <c r="C148" s="444" t="s">
        <v>309</v>
      </c>
      <c r="D148" s="445" t="s">
        <v>300</v>
      </c>
      <c r="E148" s="446"/>
      <c r="F148" s="446">
        <v>0</v>
      </c>
      <c r="G148" s="446">
        <v>114435.84</v>
      </c>
      <c r="H148" s="245">
        <f t="shared" si="12"/>
        <v>0</v>
      </c>
      <c r="I148" s="201">
        <f t="shared" si="13"/>
        <v>1</v>
      </c>
      <c r="J148" s="446">
        <v>2</v>
      </c>
      <c r="K148" s="223" t="s">
        <v>252</v>
      </c>
      <c r="L148" s="447" t="s">
        <v>256</v>
      </c>
      <c r="M148" s="202">
        <v>44929</v>
      </c>
      <c r="N148" s="202">
        <v>45007</v>
      </c>
      <c r="O148" s="309"/>
      <c r="R148" s="449"/>
      <c r="S148" s="449"/>
    </row>
    <row r="149" spans="1:19" s="448" customFormat="1" ht="39" x14ac:dyDescent="0.35">
      <c r="A149" s="998"/>
      <c r="B149" s="234" t="s">
        <v>250</v>
      </c>
      <c r="C149" s="444" t="s">
        <v>310</v>
      </c>
      <c r="D149" s="445" t="s">
        <v>300</v>
      </c>
      <c r="E149" s="446"/>
      <c r="F149" s="446">
        <v>0</v>
      </c>
      <c r="G149" s="446">
        <v>1561143.156</v>
      </c>
      <c r="H149" s="245">
        <f t="shared" si="12"/>
        <v>0</v>
      </c>
      <c r="I149" s="201">
        <f t="shared" si="13"/>
        <v>1</v>
      </c>
      <c r="J149" s="446">
        <v>10</v>
      </c>
      <c r="K149" s="223" t="s">
        <v>252</v>
      </c>
      <c r="L149" s="447" t="s">
        <v>256</v>
      </c>
      <c r="M149" s="202">
        <v>44930</v>
      </c>
      <c r="N149" s="202">
        <v>45007</v>
      </c>
      <c r="O149" s="309"/>
      <c r="R149" s="449"/>
      <c r="S149" s="449"/>
    </row>
    <row r="150" spans="1:19" s="448" customFormat="1" ht="30" customHeight="1" x14ac:dyDescent="0.35">
      <c r="A150" s="583" t="s">
        <v>112</v>
      </c>
      <c r="B150" s="279" t="s">
        <v>264</v>
      </c>
      <c r="C150" s="199" t="s">
        <v>113</v>
      </c>
      <c r="D150" s="368" t="s">
        <v>311</v>
      </c>
      <c r="E150" s="227"/>
      <c r="F150" s="227">
        <v>201600</v>
      </c>
      <c r="G150" s="227"/>
      <c r="H150" s="245">
        <v>1</v>
      </c>
      <c r="I150" s="201">
        <v>0</v>
      </c>
      <c r="J150" s="227">
        <v>6</v>
      </c>
      <c r="K150" s="204" t="s">
        <v>257</v>
      </c>
      <c r="L150" s="200" t="s">
        <v>253</v>
      </c>
      <c r="M150" s="202">
        <v>45108</v>
      </c>
      <c r="N150" s="202">
        <v>45191</v>
      </c>
      <c r="O150" s="203"/>
      <c r="R150" s="449"/>
      <c r="S150" s="449"/>
    </row>
    <row r="151" spans="1:19" s="448" customFormat="1" ht="36.75" customHeight="1" x14ac:dyDescent="0.35">
      <c r="A151" s="584" t="s">
        <v>119</v>
      </c>
      <c r="B151" s="279" t="s">
        <v>264</v>
      </c>
      <c r="C151" s="199" t="s">
        <v>120</v>
      </c>
      <c r="D151" s="200"/>
      <c r="E151" s="227"/>
      <c r="F151" s="227">
        <v>0</v>
      </c>
      <c r="G151" s="227">
        <v>546313.30000000005</v>
      </c>
      <c r="H151" s="245">
        <v>0</v>
      </c>
      <c r="I151" s="201">
        <v>1</v>
      </c>
      <c r="J151" s="227">
        <v>10</v>
      </c>
      <c r="K151" s="204" t="s">
        <v>257</v>
      </c>
      <c r="L151" s="200"/>
      <c r="M151" s="202">
        <v>45108</v>
      </c>
      <c r="N151" s="202">
        <v>45191</v>
      </c>
      <c r="O151" s="203"/>
      <c r="R151" s="449"/>
      <c r="S151" s="449"/>
    </row>
    <row r="152" spans="1:19" s="448" customFormat="1" ht="39" x14ac:dyDescent="0.35">
      <c r="A152" s="291" t="s">
        <v>123</v>
      </c>
      <c r="B152" s="279" t="s">
        <v>264</v>
      </c>
      <c r="C152" s="199" t="s">
        <v>124</v>
      </c>
      <c r="D152" s="200" t="s">
        <v>311</v>
      </c>
      <c r="E152" s="227"/>
      <c r="F152" s="227">
        <v>33600</v>
      </c>
      <c r="G152" s="227"/>
      <c r="H152" s="245">
        <v>1</v>
      </c>
      <c r="I152" s="201">
        <v>0</v>
      </c>
      <c r="J152" s="227">
        <v>2</v>
      </c>
      <c r="K152" s="204" t="s">
        <v>257</v>
      </c>
      <c r="L152" s="200" t="s">
        <v>253</v>
      </c>
      <c r="M152" s="202">
        <v>45108</v>
      </c>
      <c r="N152" s="202">
        <v>45191</v>
      </c>
      <c r="O152" s="203"/>
      <c r="R152" s="449"/>
      <c r="S152" s="449"/>
    </row>
    <row r="153" spans="1:19" s="448" customFormat="1" ht="26" x14ac:dyDescent="0.35">
      <c r="A153" s="539" t="s">
        <v>137</v>
      </c>
      <c r="B153" s="279" t="s">
        <v>264</v>
      </c>
      <c r="C153" s="199" t="s">
        <v>139</v>
      </c>
      <c r="D153" s="200" t="s">
        <v>311</v>
      </c>
      <c r="E153" s="227"/>
      <c r="F153" s="227">
        <v>20160</v>
      </c>
      <c r="G153" s="227"/>
      <c r="H153" s="245">
        <v>1</v>
      </c>
      <c r="I153" s="201">
        <v>0</v>
      </c>
      <c r="J153" s="227">
        <v>8</v>
      </c>
      <c r="K153" s="204" t="s">
        <v>257</v>
      </c>
      <c r="L153" s="200" t="s">
        <v>253</v>
      </c>
      <c r="M153" s="202">
        <v>45108</v>
      </c>
      <c r="N153" s="202">
        <v>45191</v>
      </c>
      <c r="O153" s="203"/>
      <c r="R153" s="449"/>
      <c r="S153" s="449"/>
    </row>
    <row r="154" spans="1:19" s="448" customFormat="1" ht="26" x14ac:dyDescent="0.35">
      <c r="A154" s="287" t="s">
        <v>142</v>
      </c>
      <c r="B154" s="292" t="s">
        <v>264</v>
      </c>
      <c r="C154" s="200" t="s">
        <v>143</v>
      </c>
      <c r="D154" s="200" t="s">
        <v>311</v>
      </c>
      <c r="E154" s="227"/>
      <c r="F154" s="227">
        <v>33600</v>
      </c>
      <c r="G154" s="227"/>
      <c r="H154" s="245">
        <v>1</v>
      </c>
      <c r="I154" s="201">
        <v>0</v>
      </c>
      <c r="J154" s="227">
        <v>3</v>
      </c>
      <c r="K154" s="204" t="s">
        <v>257</v>
      </c>
      <c r="L154" s="200" t="s">
        <v>253</v>
      </c>
      <c r="M154" s="202">
        <v>45108</v>
      </c>
      <c r="N154" s="202">
        <v>45191</v>
      </c>
      <c r="O154" s="203"/>
      <c r="R154" s="449"/>
      <c r="S154" s="449"/>
    </row>
    <row r="155" spans="1:19" s="448" customFormat="1" x14ac:dyDescent="0.35">
      <c r="A155" s="982" t="s">
        <v>145</v>
      </c>
      <c r="B155" s="292" t="s">
        <v>264</v>
      </c>
      <c r="C155" s="200" t="s">
        <v>146</v>
      </c>
      <c r="D155" s="200" t="s">
        <v>311</v>
      </c>
      <c r="E155" s="227"/>
      <c r="F155" s="227">
        <v>22400</v>
      </c>
      <c r="G155" s="227"/>
      <c r="H155" s="245"/>
      <c r="I155" s="201"/>
      <c r="J155" s="227"/>
      <c r="K155" s="204"/>
      <c r="L155" s="200"/>
      <c r="M155" s="202">
        <v>45108</v>
      </c>
      <c r="N155" s="202">
        <v>45191</v>
      </c>
      <c r="O155" s="203"/>
      <c r="R155" s="449"/>
      <c r="S155" s="449"/>
    </row>
    <row r="156" spans="1:19" s="448" customFormat="1" ht="26" x14ac:dyDescent="0.35">
      <c r="A156" s="983"/>
      <c r="B156" s="292" t="s">
        <v>264</v>
      </c>
      <c r="C156" s="200" t="s">
        <v>149</v>
      </c>
      <c r="D156" s="200" t="s">
        <v>311</v>
      </c>
      <c r="E156" s="227"/>
      <c r="F156" s="227">
        <v>270480</v>
      </c>
      <c r="G156" s="227"/>
      <c r="H156" s="245"/>
      <c r="I156" s="201"/>
      <c r="J156" s="227"/>
      <c r="K156" s="204"/>
      <c r="L156" s="200"/>
      <c r="M156" s="202">
        <v>45108</v>
      </c>
      <c r="N156" s="202">
        <v>45191</v>
      </c>
      <c r="O156" s="203"/>
      <c r="R156" s="449"/>
      <c r="S156" s="449"/>
    </row>
    <row r="157" spans="1:19" s="448" customFormat="1" x14ac:dyDescent="0.35">
      <c r="A157" s="982" t="s">
        <v>288</v>
      </c>
      <c r="B157" s="279" t="s">
        <v>264</v>
      </c>
      <c r="C157" s="199" t="s">
        <v>163</v>
      </c>
      <c r="D157" s="200" t="s">
        <v>311</v>
      </c>
      <c r="E157" s="199"/>
      <c r="F157" s="199">
        <v>295680</v>
      </c>
      <c r="G157" s="199"/>
      <c r="H157" s="245">
        <v>1</v>
      </c>
      <c r="I157" s="201">
        <v>0</v>
      </c>
      <c r="J157" s="227">
        <v>1</v>
      </c>
      <c r="K157" s="204" t="s">
        <v>257</v>
      </c>
      <c r="L157" s="200" t="s">
        <v>253</v>
      </c>
      <c r="M157" s="202">
        <v>44930</v>
      </c>
      <c r="N157" s="202">
        <v>45007</v>
      </c>
      <c r="O157" s="203"/>
      <c r="R157" s="449"/>
      <c r="S157" s="449"/>
    </row>
    <row r="158" spans="1:19" s="448" customFormat="1" x14ac:dyDescent="0.35">
      <c r="A158" s="1018"/>
      <c r="B158" s="279" t="s">
        <v>264</v>
      </c>
      <c r="C158" s="199" t="s">
        <v>164</v>
      </c>
      <c r="D158" s="200" t="s">
        <v>311</v>
      </c>
      <c r="E158" s="199"/>
      <c r="F158" s="199">
        <v>165580.79999999999</v>
      </c>
      <c r="G158" s="199"/>
      <c r="H158" s="245">
        <v>1</v>
      </c>
      <c r="I158" s="201">
        <v>0</v>
      </c>
      <c r="J158" s="227">
        <v>1</v>
      </c>
      <c r="K158" s="204" t="s">
        <v>257</v>
      </c>
      <c r="L158" s="200" t="s">
        <v>253</v>
      </c>
      <c r="M158" s="202">
        <v>44930</v>
      </c>
      <c r="N158" s="202">
        <v>45007</v>
      </c>
      <c r="O158" s="203"/>
      <c r="R158" s="449"/>
      <c r="S158" s="449"/>
    </row>
    <row r="159" spans="1:19" s="448" customFormat="1" x14ac:dyDescent="0.35">
      <c r="A159" s="1018"/>
      <c r="B159" s="279" t="s">
        <v>264</v>
      </c>
      <c r="C159" s="199" t="s">
        <v>165</v>
      </c>
      <c r="D159" s="200" t="s">
        <v>311</v>
      </c>
      <c r="E159" s="199"/>
      <c r="F159" s="199">
        <v>165580.79999999999</v>
      </c>
      <c r="G159" s="199"/>
      <c r="H159" s="245">
        <v>1</v>
      </c>
      <c r="I159" s="201">
        <v>0</v>
      </c>
      <c r="J159" s="227">
        <v>1</v>
      </c>
      <c r="K159" s="204" t="s">
        <v>257</v>
      </c>
      <c r="L159" s="200" t="s">
        <v>253</v>
      </c>
      <c r="M159" s="202">
        <v>44930</v>
      </c>
      <c r="N159" s="202">
        <v>45007</v>
      </c>
      <c r="O159" s="203"/>
      <c r="R159" s="449"/>
      <c r="S159" s="449"/>
    </row>
    <row r="160" spans="1:19" s="448" customFormat="1" x14ac:dyDescent="0.35">
      <c r="A160" s="1018"/>
      <c r="B160" s="279" t="s">
        <v>264</v>
      </c>
      <c r="C160" s="199" t="s">
        <v>166</v>
      </c>
      <c r="D160" s="200" t="s">
        <v>311</v>
      </c>
      <c r="E160" s="199"/>
      <c r="F160" s="199">
        <v>165580.79999999999</v>
      </c>
      <c r="G160" s="199"/>
      <c r="H160" s="245">
        <v>1</v>
      </c>
      <c r="I160" s="201">
        <v>0</v>
      </c>
      <c r="J160" s="227">
        <v>1</v>
      </c>
      <c r="K160" s="204" t="s">
        <v>257</v>
      </c>
      <c r="L160" s="200" t="s">
        <v>253</v>
      </c>
      <c r="M160" s="202">
        <v>44930</v>
      </c>
      <c r="N160" s="202">
        <v>45007</v>
      </c>
      <c r="O160" s="203"/>
      <c r="R160" s="449"/>
      <c r="S160" s="449"/>
    </row>
    <row r="161" spans="1:21" s="448" customFormat="1" ht="15" thickBot="1" x14ac:dyDescent="0.4">
      <c r="A161" s="1019"/>
      <c r="B161" s="289" t="s">
        <v>264</v>
      </c>
      <c r="C161" s="321" t="s">
        <v>167</v>
      </c>
      <c r="D161" s="207" t="s">
        <v>311</v>
      </c>
      <c r="E161" s="321"/>
      <c r="F161" s="321">
        <v>725760</v>
      </c>
      <c r="G161" s="321"/>
      <c r="H161" s="322">
        <v>1</v>
      </c>
      <c r="I161" s="209">
        <v>0</v>
      </c>
      <c r="J161" s="290">
        <v>1</v>
      </c>
      <c r="K161" s="210" t="s">
        <v>257</v>
      </c>
      <c r="L161" s="207" t="s">
        <v>253</v>
      </c>
      <c r="M161" s="211">
        <v>44930</v>
      </c>
      <c r="N161" s="211">
        <v>45007</v>
      </c>
      <c r="O161" s="212"/>
      <c r="R161" s="449"/>
      <c r="S161" s="449"/>
    </row>
    <row r="162" spans="1:21" s="214" customFormat="1" ht="24.65" customHeight="1" x14ac:dyDescent="0.35">
      <c r="A162" s="213"/>
      <c r="F162" s="278">
        <f>SUM(F139:F161)</f>
        <v>22031558.608800005</v>
      </c>
      <c r="G162" s="216">
        <f>SUM(G137:G161)</f>
        <v>2718309.568</v>
      </c>
      <c r="H162" s="216"/>
      <c r="I162" s="217"/>
      <c r="J162" s="217"/>
      <c r="K162" s="218"/>
      <c r="M162" s="220"/>
      <c r="N162" s="220"/>
      <c r="R162" s="246"/>
      <c r="S162" s="246"/>
    </row>
    <row r="163" spans="1:21" s="214" customFormat="1" ht="24.65" customHeight="1" thickBot="1" x14ac:dyDescent="0.4">
      <c r="A163" s="213"/>
      <c r="I163" s="217"/>
      <c r="J163" s="217"/>
      <c r="K163" s="218"/>
      <c r="M163" s="220"/>
      <c r="N163" s="220"/>
      <c r="R163" s="246"/>
      <c r="S163" s="246"/>
    </row>
    <row r="164" spans="1:21" ht="24.65" customHeight="1" thickBot="1" x14ac:dyDescent="0.4">
      <c r="B164" s="1015" t="s">
        <v>312</v>
      </c>
      <c r="C164" s="1016"/>
      <c r="D164" s="1016"/>
      <c r="E164" s="1016"/>
      <c r="F164" s="1016"/>
      <c r="G164" s="1016"/>
      <c r="H164" s="1016"/>
      <c r="I164" s="1016"/>
      <c r="J164" s="1016"/>
      <c r="K164" s="1016"/>
      <c r="L164" s="1016"/>
      <c r="M164" s="1016"/>
      <c r="N164" s="1016"/>
      <c r="O164" s="1017"/>
      <c r="P164" s="193"/>
      <c r="Q164" s="193"/>
      <c r="R164" s="195"/>
      <c r="S164" s="193"/>
      <c r="T164" s="193"/>
      <c r="U164" s="193"/>
    </row>
    <row r="165" spans="1:21" ht="24.65" customHeight="1" x14ac:dyDescent="0.35">
      <c r="A165" s="1006" t="s">
        <v>231</v>
      </c>
      <c r="B165" s="980" t="s">
        <v>232</v>
      </c>
      <c r="C165" s="978" t="s">
        <v>233</v>
      </c>
      <c r="D165" s="978" t="s">
        <v>234</v>
      </c>
      <c r="E165" s="978" t="s">
        <v>235</v>
      </c>
      <c r="F165" s="978" t="s">
        <v>236</v>
      </c>
      <c r="G165" s="977" t="s">
        <v>237</v>
      </c>
      <c r="H165" s="977"/>
      <c r="I165" s="977"/>
      <c r="J165" s="977"/>
      <c r="K165" s="978" t="s">
        <v>238</v>
      </c>
      <c r="L165" s="978" t="s">
        <v>239</v>
      </c>
      <c r="M165" s="978" t="s">
        <v>240</v>
      </c>
      <c r="N165" s="978"/>
      <c r="O165" s="984" t="s">
        <v>241</v>
      </c>
      <c r="P165" s="193"/>
      <c r="Q165" s="193"/>
      <c r="R165" s="195"/>
      <c r="S165" s="193"/>
      <c r="T165" s="193"/>
      <c r="U165" s="193"/>
    </row>
    <row r="166" spans="1:21" ht="24.65" customHeight="1" thickBot="1" x14ac:dyDescent="0.4">
      <c r="A166" s="1007"/>
      <c r="B166" s="981"/>
      <c r="C166" s="979"/>
      <c r="D166" s="979"/>
      <c r="E166" s="979"/>
      <c r="F166" s="979"/>
      <c r="G166" s="323" t="s">
        <v>242</v>
      </c>
      <c r="H166" s="323" t="s">
        <v>243</v>
      </c>
      <c r="I166" s="324" t="s">
        <v>244</v>
      </c>
      <c r="J166" s="324" t="s">
        <v>245</v>
      </c>
      <c r="K166" s="979"/>
      <c r="L166" s="979"/>
      <c r="M166" s="325" t="s">
        <v>246</v>
      </c>
      <c r="N166" s="325" t="s">
        <v>247</v>
      </c>
      <c r="O166" s="1020"/>
      <c r="P166" s="193"/>
      <c r="Q166" s="193"/>
      <c r="S166" s="193"/>
      <c r="T166" s="193"/>
      <c r="U166" s="193"/>
    </row>
    <row r="167" spans="1:21" ht="24.65" customHeight="1" x14ac:dyDescent="0.35">
      <c r="A167" s="247"/>
      <c r="B167" s="326" t="s">
        <v>250</v>
      </c>
      <c r="C167" s="315" t="s">
        <v>313</v>
      </c>
      <c r="D167" s="315"/>
      <c r="E167" s="315"/>
      <c r="F167" s="315"/>
      <c r="G167" s="199">
        <f>+'2. Pluriannual Plan PEP'!E120</f>
        <v>124342.22304000001</v>
      </c>
      <c r="H167" s="314"/>
      <c r="I167" s="317">
        <v>1</v>
      </c>
      <c r="J167" s="317"/>
      <c r="K167" s="327" t="s">
        <v>252</v>
      </c>
      <c r="L167" s="315"/>
      <c r="M167" s="319"/>
      <c r="N167" s="319"/>
      <c r="O167" s="320"/>
      <c r="P167" s="193"/>
      <c r="Q167" s="193"/>
      <c r="R167" s="195"/>
      <c r="S167" s="193"/>
      <c r="T167" s="193"/>
      <c r="U167" s="193"/>
    </row>
    <row r="168" spans="1:21" ht="24.65" customHeight="1" x14ac:dyDescent="0.35">
      <c r="A168" s="247"/>
      <c r="B168" s="234" t="s">
        <v>264</v>
      </c>
      <c r="C168" s="200" t="s">
        <v>314</v>
      </c>
      <c r="D168" s="200"/>
      <c r="E168" s="200"/>
      <c r="F168" s="200"/>
      <c r="G168" s="199">
        <f>+'2. Pluriannual Plan PEP'!E121</f>
        <v>82894.815360000008</v>
      </c>
      <c r="H168" s="199"/>
      <c r="I168" s="201">
        <v>1</v>
      </c>
      <c r="J168" s="201"/>
      <c r="K168" s="204" t="s">
        <v>257</v>
      </c>
      <c r="L168" s="200"/>
      <c r="M168" s="202"/>
      <c r="N168" s="202"/>
      <c r="O168" s="203"/>
      <c r="P168" s="193"/>
      <c r="Q168" s="193"/>
      <c r="R168" s="195"/>
      <c r="S168" s="193"/>
      <c r="T168" s="193"/>
      <c r="U168" s="193"/>
    </row>
    <row r="169" spans="1:21" ht="24.65" customHeight="1" thickBot="1" x14ac:dyDescent="0.4">
      <c r="A169" s="224"/>
      <c r="B169" s="206"/>
      <c r="C169" s="207"/>
      <c r="D169" s="207"/>
      <c r="E169" s="207"/>
      <c r="F169" s="207"/>
      <c r="G169" s="207"/>
      <c r="H169" s="207"/>
      <c r="I169" s="209"/>
      <c r="J169" s="209"/>
      <c r="K169" s="210"/>
      <c r="L169" s="207"/>
      <c r="M169" s="211"/>
      <c r="N169" s="211"/>
      <c r="O169" s="212"/>
      <c r="P169" s="193"/>
      <c r="Q169" s="193"/>
      <c r="R169" s="195"/>
      <c r="S169" s="193"/>
      <c r="T169" s="193"/>
      <c r="U169" s="193"/>
    </row>
    <row r="170" spans="1:21" s="214" customFormat="1" ht="24.65" customHeight="1" x14ac:dyDescent="0.35">
      <c r="A170" s="236"/>
      <c r="B170" s="237"/>
      <c r="C170" s="237"/>
      <c r="D170" s="237"/>
      <c r="E170" s="237"/>
      <c r="F170" s="237"/>
      <c r="G170" s="278">
        <f>G167+G168</f>
        <v>207237.03840000002</v>
      </c>
      <c r="H170" s="216">
        <f>SUM(H168:H169)</f>
        <v>0</v>
      </c>
      <c r="I170" s="238"/>
      <c r="J170" s="239"/>
      <c r="K170" s="248"/>
      <c r="L170" s="237"/>
      <c r="M170" s="241"/>
      <c r="N170" s="241"/>
      <c r="O170" s="237"/>
      <c r="R170" s="246"/>
      <c r="S170" s="246"/>
    </row>
    <row r="171" spans="1:21" s="214" customFormat="1" ht="24.65" customHeight="1" x14ac:dyDescent="0.35">
      <c r="A171" s="236"/>
      <c r="B171" s="237"/>
      <c r="C171" s="237"/>
      <c r="D171" s="237"/>
      <c r="E171" s="237"/>
      <c r="F171" s="237"/>
      <c r="G171" s="216"/>
      <c r="H171" s="216"/>
      <c r="I171" s="238"/>
      <c r="J171" s="239"/>
      <c r="K171" s="248"/>
      <c r="L171" s="237"/>
      <c r="M171" s="241"/>
      <c r="N171" s="241"/>
      <c r="O171" s="237"/>
      <c r="R171" s="246"/>
      <c r="S171" s="246"/>
    </row>
    <row r="172" spans="1:21" hidden="1" x14ac:dyDescent="0.35">
      <c r="R172" s="194"/>
      <c r="S172" s="243"/>
    </row>
    <row r="173" spans="1:21" hidden="1" x14ac:dyDescent="0.35">
      <c r="B173" s="249"/>
      <c r="G173" s="1009" t="s">
        <v>315</v>
      </c>
      <c r="H173" s="1010"/>
      <c r="I173" s="250"/>
      <c r="R173" s="243"/>
      <c r="S173" s="243"/>
    </row>
    <row r="174" spans="1:21" hidden="1" x14ac:dyDescent="0.35">
      <c r="B174" s="188"/>
      <c r="G174" s="251" t="s">
        <v>4</v>
      </c>
      <c r="H174" s="251" t="s">
        <v>198</v>
      </c>
      <c r="I174" s="250"/>
      <c r="R174" s="243"/>
      <c r="S174" s="243"/>
    </row>
    <row r="175" spans="1:21" hidden="1" x14ac:dyDescent="0.35">
      <c r="B175" s="188"/>
      <c r="C175" s="249"/>
      <c r="D175" s="249"/>
      <c r="E175" s="249"/>
      <c r="F175" s="391" t="s">
        <v>24</v>
      </c>
      <c r="G175" s="252">
        <f>+F162+G132+G107+G92+G10+G170</f>
        <v>83999999.581563562</v>
      </c>
      <c r="H175" s="252">
        <f>+H10+H92+H107+H132+G162+H170</f>
        <v>7973278.6872000005</v>
      </c>
      <c r="I175" s="250"/>
      <c r="J175" s="253"/>
    </row>
    <row r="176" spans="1:21" hidden="1" x14ac:dyDescent="0.35">
      <c r="E176" s="188"/>
      <c r="F176" s="391" t="s">
        <v>316</v>
      </c>
      <c r="G176" s="252">
        <f>G175</f>
        <v>83999999.581563562</v>
      </c>
      <c r="H176" s="252">
        <f>H175</f>
        <v>7973278.6872000005</v>
      </c>
      <c r="I176" s="250"/>
      <c r="R176" s="195"/>
      <c r="S176" s="194"/>
    </row>
    <row r="177" spans="2:19" hidden="1" x14ac:dyDescent="0.35">
      <c r="E177" s="250"/>
      <c r="F177" s="250"/>
      <c r="G177" s="254"/>
      <c r="I177" s="250"/>
      <c r="R177" s="195"/>
      <c r="S177" s="194"/>
    </row>
    <row r="178" spans="2:19" ht="16" hidden="1" thickBot="1" x14ac:dyDescent="0.4">
      <c r="E178" s="250"/>
      <c r="F178" s="250"/>
      <c r="G178" s="255" t="s">
        <v>317</v>
      </c>
      <c r="H178" s="256">
        <f>+G176+H176</f>
        <v>91973278.268763557</v>
      </c>
      <c r="I178" s="250"/>
      <c r="R178" s="195"/>
      <c r="S178" s="194"/>
    </row>
    <row r="179" spans="2:19" ht="15" hidden="1" thickTop="1" x14ac:dyDescent="0.35">
      <c r="F179" s="250"/>
      <c r="G179" s="185"/>
      <c r="I179" s="250"/>
      <c r="R179" s="195"/>
    </row>
    <row r="180" spans="2:19" x14ac:dyDescent="0.35">
      <c r="I180" s="250"/>
    </row>
    <row r="181" spans="2:19" x14ac:dyDescent="0.35">
      <c r="I181" s="250"/>
    </row>
    <row r="182" spans="2:19" x14ac:dyDescent="0.35">
      <c r="G182" s="1009" t="s">
        <v>315</v>
      </c>
      <c r="H182" s="1010"/>
      <c r="I182" s="250"/>
    </row>
    <row r="183" spans="2:19" x14ac:dyDescent="0.35">
      <c r="G183" s="251" t="s">
        <v>4</v>
      </c>
      <c r="H183" s="251" t="s">
        <v>198</v>
      </c>
      <c r="I183" s="250"/>
    </row>
    <row r="184" spans="2:19" x14ac:dyDescent="0.35">
      <c r="F184" s="391" t="s">
        <v>316</v>
      </c>
      <c r="G184" s="252">
        <f>+G10+G92+G107+G132+F162+G170</f>
        <v>83999999.581563577</v>
      </c>
      <c r="H184" s="252">
        <f>+H10+H92+H107+H132+G162+H170</f>
        <v>7973278.6872000005</v>
      </c>
      <c r="I184" s="250"/>
    </row>
    <row r="185" spans="2:19" x14ac:dyDescent="0.35">
      <c r="B185" s="186"/>
      <c r="F185" s="250"/>
      <c r="G185" s="254"/>
    </row>
    <row r="186" spans="2:19" ht="16" thickBot="1" x14ac:dyDescent="0.4">
      <c r="B186" s="186"/>
      <c r="C186" s="186"/>
      <c r="F186" s="250"/>
      <c r="G186" s="255" t="s">
        <v>317</v>
      </c>
      <c r="H186" s="256">
        <f>+G184+H184</f>
        <v>91973278.268763572</v>
      </c>
    </row>
    <row r="187" spans="2:19" ht="15" thickTop="1" x14ac:dyDescent="0.35">
      <c r="B187" s="186"/>
    </row>
    <row r="188" spans="2:19" x14ac:dyDescent="0.35">
      <c r="B188" s="186"/>
      <c r="C188" s="186"/>
      <c r="D188" s="186"/>
      <c r="H188" s="573">
        <v>-0.1379999965429306</v>
      </c>
    </row>
    <row r="189" spans="2:19" x14ac:dyDescent="0.35">
      <c r="B189" s="186"/>
      <c r="C189" s="186"/>
    </row>
  </sheetData>
  <mergeCells count="95">
    <mergeCell ref="A15:A36"/>
    <mergeCell ref="A37:A40"/>
    <mergeCell ref="A115:A116"/>
    <mergeCell ref="A70:A71"/>
    <mergeCell ref="A103:A104"/>
    <mergeCell ref="A73:A81"/>
    <mergeCell ref="A101:A102"/>
    <mergeCell ref="B94:O94"/>
    <mergeCell ref="A95:A96"/>
    <mergeCell ref="B95:B96"/>
    <mergeCell ref="O95:O96"/>
    <mergeCell ref="M95:N95"/>
    <mergeCell ref="F95:F96"/>
    <mergeCell ref="G95:J95"/>
    <mergeCell ref="K95:K96"/>
    <mergeCell ref="L95:L96"/>
    <mergeCell ref="C95:C96"/>
    <mergeCell ref="D95:D96"/>
    <mergeCell ref="E95:E96"/>
    <mergeCell ref="A140:A141"/>
    <mergeCell ref="B109:O109"/>
    <mergeCell ref="A110:A111"/>
    <mergeCell ref="B110:B111"/>
    <mergeCell ref="C110:C111"/>
    <mergeCell ref="D110:D111"/>
    <mergeCell ref="E110:F110"/>
    <mergeCell ref="G110:J110"/>
    <mergeCell ref="O110:O111"/>
    <mergeCell ref="A127:A131"/>
    <mergeCell ref="A122:A126"/>
    <mergeCell ref="B134:O134"/>
    <mergeCell ref="L110:L111"/>
    <mergeCell ref="J135:J136"/>
    <mergeCell ref="K135:K136"/>
    <mergeCell ref="C13:C14"/>
    <mergeCell ref="G4:J4"/>
    <mergeCell ref="D13:D14"/>
    <mergeCell ref="M13:N13"/>
    <mergeCell ref="G13:J13"/>
    <mergeCell ref="K13:K14"/>
    <mergeCell ref="L13:L14"/>
    <mergeCell ref="E13:E14"/>
    <mergeCell ref="F13:F14"/>
    <mergeCell ref="B12:O12"/>
    <mergeCell ref="O13:O14"/>
    <mergeCell ref="B3:O3"/>
    <mergeCell ref="A4:A5"/>
    <mergeCell ref="B4:B5"/>
    <mergeCell ref="C4:C5"/>
    <mergeCell ref="D4:D5"/>
    <mergeCell ref="E4:E5"/>
    <mergeCell ref="F4:F5"/>
    <mergeCell ref="K4:K5"/>
    <mergeCell ref="L4:L5"/>
    <mergeCell ref="M4:N4"/>
    <mergeCell ref="O4:O5"/>
    <mergeCell ref="A13:A14"/>
    <mergeCell ref="B13:B14"/>
    <mergeCell ref="G182:H182"/>
    <mergeCell ref="A135:A136"/>
    <mergeCell ref="B135:B136"/>
    <mergeCell ref="C135:C136"/>
    <mergeCell ref="D135:D136"/>
    <mergeCell ref="E135:E136"/>
    <mergeCell ref="A142:A145"/>
    <mergeCell ref="G173:H173"/>
    <mergeCell ref="B164:O164"/>
    <mergeCell ref="F165:F166"/>
    <mergeCell ref="A157:A161"/>
    <mergeCell ref="M165:N165"/>
    <mergeCell ref="O165:O166"/>
    <mergeCell ref="A165:A166"/>
    <mergeCell ref="A155:A156"/>
    <mergeCell ref="O135:O136"/>
    <mergeCell ref="A66:A69"/>
    <mergeCell ref="A43:A65"/>
    <mergeCell ref="L135:L136"/>
    <mergeCell ref="A112:A114"/>
    <mergeCell ref="A137:A138"/>
    <mergeCell ref="B137:B138"/>
    <mergeCell ref="K110:K111"/>
    <mergeCell ref="A146:A149"/>
    <mergeCell ref="F135:I135"/>
    <mergeCell ref="M110:N110"/>
    <mergeCell ref="M135:N135"/>
    <mergeCell ref="A82:A83"/>
    <mergeCell ref="A84:A86"/>
    <mergeCell ref="B84:B86"/>
    <mergeCell ref="G165:J165"/>
    <mergeCell ref="K165:K166"/>
    <mergeCell ref="L165:L166"/>
    <mergeCell ref="B165:B166"/>
    <mergeCell ref="C165:C166"/>
    <mergeCell ref="D165:D166"/>
    <mergeCell ref="E165:E166"/>
  </mergeCells>
  <phoneticPr fontId="34" type="noConversion"/>
  <dataValidations count="15">
    <dataValidation type="list" allowBlank="1" showInputMessage="1" showErrorMessage="1" sqref="D170:D171 D115 D132" xr:uid="{00000000-0002-0000-0200-000000000000}">
      <formula1>$R$107:$R$111</formula1>
    </dataValidation>
    <dataValidation type="list" allowBlank="1" showInputMessage="1" showErrorMessage="1" sqref="L168:L169 L6:L9 L137:L161 L15:L91 L97:L106 L112:L132" xr:uid="{00000000-0002-0000-0200-000001000000}">
      <formula1>$R$3:$R$5</formula1>
    </dataValidation>
    <dataValidation type="list" allowBlank="1" showInputMessage="1" showErrorMessage="1" sqref="D9 D106 D91 D97:D98 D15:D42 D168:D169 D6" xr:uid="{00000000-0002-0000-0200-000002000000}">
      <formula1>$R$92:$R$96</formula1>
    </dataValidation>
    <dataValidation type="list" allowBlank="1" showInputMessage="1" showErrorMessage="1" sqref="L170:L171" xr:uid="{00000000-0002-0000-0200-000003000000}">
      <formula1>$R$3:$R$4</formula1>
    </dataValidation>
    <dataValidation type="list" allowBlank="1" showInputMessage="1" showErrorMessage="1" sqref="D137:D138" xr:uid="{00000000-0002-0000-0200-000004000000}">
      <formula1>$R$176:$R$179</formula1>
    </dataValidation>
    <dataValidation type="list" allowBlank="1" showInputMessage="1" showErrorMessage="1" sqref="D7:D8 D99:D105 D43:D72 D87:D90" xr:uid="{00000000-0002-0000-0200-000005000000}">
      <formula1>$R$38:$R$42</formula1>
    </dataValidation>
    <dataValidation type="list" allowBlank="1" showInputMessage="1" showErrorMessage="1" sqref="D120:D121" xr:uid="{00000000-0002-0000-0200-000006000000}">
      <formula1>$R$46:$R$50</formula1>
    </dataValidation>
    <dataValidation type="list" allowBlank="1" showInputMessage="1" showErrorMessage="1" sqref="D116" xr:uid="{00000000-0002-0000-0200-000007000000}">
      <formula1>$R$61:$R$63</formula1>
    </dataValidation>
    <dataValidation type="list" allowBlank="1" showInputMessage="1" showErrorMessage="1" sqref="D139 D142:D149" xr:uid="{00000000-0002-0000-0200-000008000000}">
      <formula1>$R$96:$R$99</formula1>
    </dataValidation>
    <dataValidation type="list" allowBlank="1" showInputMessage="1" showErrorMessage="1" sqref="D140:D141" xr:uid="{00000000-0002-0000-0200-000009000000}">
      <formula1>$R$106:$R$106</formula1>
    </dataValidation>
    <dataValidation type="list" allowBlank="1" showInputMessage="1" showErrorMessage="1" sqref="D84:D86 D73:D81" xr:uid="{00000000-0002-0000-0200-00000A000000}"/>
    <dataValidation type="list" allowBlank="1" showInputMessage="1" showErrorMessage="1" sqref="D117:D119" xr:uid="{00000000-0002-0000-0200-00000B000000}">
      <formula1>$R$113:$R$116</formula1>
    </dataValidation>
    <dataValidation type="list" allowBlank="1" showInputMessage="1" showErrorMessage="1" sqref="D112:D114" xr:uid="{00000000-0002-0000-0200-00000C000000}">
      <formula1>$R$132:$R$133</formula1>
    </dataValidation>
    <dataValidation type="list" allowBlank="1" showInputMessage="1" showErrorMessage="1" sqref="D150:D161" xr:uid="{00000000-0002-0000-0200-00000E000000}">
      <formula1>$R$175:$R$178</formula1>
    </dataValidation>
    <dataValidation type="list" allowBlank="1" showInputMessage="1" showErrorMessage="1" sqref="D122:D131" xr:uid="{00000000-0002-0000-0200-00000D000000}">
      <formula1>$R$108:$R$112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O27"/>
  <sheetViews>
    <sheetView zoomScale="80" zoomScaleNormal="80" workbookViewId="0">
      <selection activeCell="E11" sqref="E11"/>
    </sheetView>
  </sheetViews>
  <sheetFormatPr defaultColWidth="9" defaultRowHeight="14.5" x14ac:dyDescent="0.35"/>
  <cols>
    <col min="1" max="1" width="55.08203125" style="3" customWidth="1"/>
    <col min="2" max="6" width="11.83203125" style="3" customWidth="1"/>
    <col min="7" max="7" width="9.5" style="3" customWidth="1"/>
    <col min="8" max="8" width="15.58203125" style="839" customWidth="1"/>
    <col min="9" max="9" width="18" style="848" customWidth="1"/>
    <col min="10" max="10" width="9.5" style="848" bestFit="1" customWidth="1"/>
    <col min="11" max="11" width="18.08203125" style="848" customWidth="1"/>
    <col min="12" max="12" width="9" style="849"/>
    <col min="13" max="13" width="9.5" style="3" bestFit="1" customWidth="1"/>
    <col min="14" max="16384" width="9" style="3"/>
  </cols>
  <sheetData>
    <row r="2" spans="1:15" ht="31.5" customHeight="1" x14ac:dyDescent="0.35">
      <c r="A2" s="345" t="s">
        <v>318</v>
      </c>
      <c r="B2" s="346" t="s">
        <v>4</v>
      </c>
      <c r="C2" s="346" t="s">
        <v>319</v>
      </c>
      <c r="D2" s="346" t="s">
        <v>320</v>
      </c>
      <c r="E2" s="346" t="s">
        <v>321</v>
      </c>
      <c r="F2" s="346" t="s">
        <v>316</v>
      </c>
      <c r="G2" s="346" t="s">
        <v>322</v>
      </c>
      <c r="I2" s="923"/>
      <c r="J2" s="923"/>
      <c r="K2" s="923"/>
      <c r="L2" s="923"/>
      <c r="M2" s="923"/>
      <c r="N2" s="923"/>
      <c r="O2" s="849"/>
    </row>
    <row r="3" spans="1:15" s="277" customFormat="1" ht="29.15" customHeight="1" x14ac:dyDescent="0.35">
      <c r="A3" s="737" t="s">
        <v>323</v>
      </c>
      <c r="B3" s="738">
        <f>SUM(B4:B6)</f>
        <v>32317191.114666667</v>
      </c>
      <c r="C3" s="738">
        <f>SUM(C4:C6)</f>
        <v>23083707.703333333</v>
      </c>
      <c r="D3" s="738">
        <f>'1. Detailed Budget'!H6</f>
        <v>55400898.815603703</v>
      </c>
      <c r="E3" s="738">
        <f>SUM(E4:E6)</f>
        <v>0</v>
      </c>
      <c r="F3" s="738">
        <f>SUM(F4:F6)</f>
        <v>55400898.615603708</v>
      </c>
      <c r="G3" s="739">
        <f t="shared" ref="G3:G10" si="0">(F3/$F$19*100)</f>
        <v>62.577988348813804</v>
      </c>
      <c r="H3" s="858"/>
      <c r="I3" s="924"/>
      <c r="J3" s="924"/>
      <c r="K3" s="924"/>
      <c r="L3" s="924"/>
      <c r="M3" s="924"/>
      <c r="N3" s="925"/>
      <c r="O3" s="852"/>
    </row>
    <row r="4" spans="1:15" ht="29.15" customHeight="1" x14ac:dyDescent="0.35">
      <c r="A4" s="807" t="s">
        <v>324</v>
      </c>
      <c r="B4" s="838">
        <v>644083.51466666698</v>
      </c>
      <c r="C4" s="838">
        <v>460059.70333333343</v>
      </c>
      <c r="D4" s="838">
        <f>'1. Detailed Budget'!D8</f>
        <v>1104143.2880000002</v>
      </c>
      <c r="E4" s="838">
        <f>'1. Detailed Budget'!G8</f>
        <v>0</v>
      </c>
      <c r="F4" s="838">
        <f>+D4+E4</f>
        <v>1104143.2880000002</v>
      </c>
      <c r="G4" s="808">
        <f t="shared" si="0"/>
        <v>1.2471831240734479</v>
      </c>
      <c r="H4" s="858"/>
      <c r="I4" s="854"/>
      <c r="J4" s="854"/>
      <c r="K4" s="854"/>
      <c r="L4" s="854"/>
      <c r="M4" s="854"/>
      <c r="N4" s="926"/>
      <c r="O4" s="849"/>
    </row>
    <row r="5" spans="1:15" ht="29.15" customHeight="1" x14ac:dyDescent="0.35">
      <c r="A5" s="807" t="s">
        <v>325</v>
      </c>
      <c r="B5" s="838">
        <v>20446871.600000001</v>
      </c>
      <c r="C5" s="838">
        <v>14589369</v>
      </c>
      <c r="D5" s="838">
        <f>'1. Detailed Budget'!D13</f>
        <v>35036241.327603705</v>
      </c>
      <c r="E5" s="838">
        <f>'1. Detailed Budget'!G13</f>
        <v>0</v>
      </c>
      <c r="F5" s="838">
        <f>+D5+E5</f>
        <v>35036241.327603705</v>
      </c>
      <c r="G5" s="808">
        <f t="shared" si="0"/>
        <v>39.575125248374491</v>
      </c>
      <c r="H5" s="858"/>
      <c r="I5" s="854"/>
      <c r="J5" s="854"/>
      <c r="K5" s="854"/>
      <c r="L5" s="854"/>
      <c r="M5" s="854"/>
      <c r="N5" s="926"/>
      <c r="O5" s="849"/>
    </row>
    <row r="6" spans="1:15" ht="29.15" customHeight="1" x14ac:dyDescent="0.35">
      <c r="A6" s="807" t="s">
        <v>326</v>
      </c>
      <c r="B6" s="838">
        <v>11226236</v>
      </c>
      <c r="C6" s="838">
        <v>8034279</v>
      </c>
      <c r="D6" s="838">
        <f>'1. Detailed Budget'!D44</f>
        <v>19260514</v>
      </c>
      <c r="E6" s="838">
        <f>'1. Detailed Budget'!G44</f>
        <v>0</v>
      </c>
      <c r="F6" s="838">
        <f>+D6+E6</f>
        <v>19260514</v>
      </c>
      <c r="G6" s="808">
        <f t="shared" si="0"/>
        <v>21.755679976365869</v>
      </c>
      <c r="H6" s="858"/>
      <c r="I6" s="854"/>
      <c r="J6" s="854"/>
      <c r="K6" s="854"/>
      <c r="L6" s="854"/>
      <c r="M6" s="854"/>
      <c r="N6" s="926"/>
      <c r="O6" s="849"/>
    </row>
    <row r="7" spans="1:15" s="277" customFormat="1" ht="29.15" customHeight="1" x14ac:dyDescent="0.35">
      <c r="A7" s="662" t="s">
        <v>327</v>
      </c>
      <c r="B7" s="663">
        <v>15317061</v>
      </c>
      <c r="C7" s="663">
        <f t="shared" ref="C7" si="1">SUM(C8:C10)</f>
        <v>10940757.375666671</v>
      </c>
      <c r="D7" s="663">
        <f>SUM(D8:D10)</f>
        <v>26257817.701600004</v>
      </c>
      <c r="E7" s="663">
        <f>SUM(E8:E10)</f>
        <v>2025161.885598609</v>
      </c>
      <c r="F7" s="663">
        <f>SUM(F8:F10)</f>
        <v>28282979.587198611</v>
      </c>
      <c r="G7" s="664">
        <f t="shared" si="0"/>
        <v>31.946990234901389</v>
      </c>
      <c r="H7" s="858"/>
      <c r="I7" s="859"/>
      <c r="J7" s="850"/>
      <c r="K7" s="853"/>
      <c r="L7" s="852"/>
      <c r="M7" s="852"/>
      <c r="N7" s="852"/>
      <c r="O7" s="852"/>
    </row>
    <row r="8" spans="1:15" ht="29.15" customHeight="1" x14ac:dyDescent="0.35">
      <c r="A8" s="809" t="s">
        <v>328</v>
      </c>
      <c r="B8" s="810">
        <f t="shared" ref="B8:B18" si="2">D8*$C$23</f>
        <v>12737046.992600003</v>
      </c>
      <c r="C8" s="810">
        <f>D8*$C$24</f>
        <v>9097890.7090000026</v>
      </c>
      <c r="D8" s="810">
        <f>'1. Detailed Budget'!D66+0.3</f>
        <v>21834937.701600004</v>
      </c>
      <c r="E8" s="810">
        <f>'1. Detailed Budget'!G66</f>
        <v>2025161.885598609</v>
      </c>
      <c r="F8" s="810">
        <f>+D8+E8</f>
        <v>23860099.587198611</v>
      </c>
      <c r="G8" s="811">
        <f t="shared" si="0"/>
        <v>26.951133849455545</v>
      </c>
      <c r="H8" s="840"/>
      <c r="I8" s="850"/>
      <c r="J8" s="850"/>
      <c r="K8" s="853"/>
      <c r="M8" s="849"/>
      <c r="N8" s="849"/>
      <c r="O8" s="849"/>
    </row>
    <row r="9" spans="1:15" ht="29.15" customHeight="1" x14ac:dyDescent="0.35">
      <c r="A9" s="809" t="s">
        <v>329</v>
      </c>
      <c r="B9" s="810">
        <f t="shared" si="2"/>
        <v>2160246.666666667</v>
      </c>
      <c r="C9" s="810">
        <f t="shared" ref="C9:C18" si="3">D9*$C$24</f>
        <v>1543033.3333333335</v>
      </c>
      <c r="D9" s="810">
        <f>'1. Detailed Budget'!D76</f>
        <v>3703280</v>
      </c>
      <c r="E9" s="810">
        <f>'1. Detailed Budget'!G76</f>
        <v>0</v>
      </c>
      <c r="F9" s="810">
        <f>+D9+E9</f>
        <v>3703280</v>
      </c>
      <c r="G9" s="811">
        <f t="shared" si="0"/>
        <v>4.1830334612501101</v>
      </c>
      <c r="H9" s="840"/>
      <c r="I9" s="850"/>
      <c r="J9" s="850"/>
      <c r="K9" s="853"/>
    </row>
    <row r="10" spans="1:15" ht="29.15" customHeight="1" x14ac:dyDescent="0.35">
      <c r="A10" s="809" t="s">
        <v>330</v>
      </c>
      <c r="B10" s="810">
        <f t="shared" si="2"/>
        <v>419766.66666666669</v>
      </c>
      <c r="C10" s="810">
        <f t="shared" si="3"/>
        <v>299833.33333333337</v>
      </c>
      <c r="D10" s="810">
        <f>'1. Detailed Budget'!D89</f>
        <v>719600</v>
      </c>
      <c r="E10" s="810">
        <f>'1. Detailed Budget'!G89</f>
        <v>0</v>
      </c>
      <c r="F10" s="810">
        <f>+D10+E10</f>
        <v>719600</v>
      </c>
      <c r="G10" s="811">
        <f t="shared" si="0"/>
        <v>0.81282292419573432</v>
      </c>
      <c r="H10" s="840"/>
      <c r="I10" s="854"/>
      <c r="J10" s="855"/>
      <c r="K10" s="853"/>
    </row>
    <row r="11" spans="1:15" ht="29.15" customHeight="1" x14ac:dyDescent="0.35">
      <c r="A11" s="737" t="s">
        <v>331</v>
      </c>
      <c r="B11" s="738">
        <f t="shared" ref="B11:G11" si="4">SUM(B12:B18)</f>
        <v>1365748.9724000001</v>
      </c>
      <c r="C11" s="738">
        <f t="shared" si="4"/>
        <v>975534.86600000004</v>
      </c>
      <c r="D11" s="738">
        <f t="shared" si="4"/>
        <v>2341283.4383999999</v>
      </c>
      <c r="E11" s="738">
        <f t="shared" si="4"/>
        <v>2505805.9999999995</v>
      </c>
      <c r="F11" s="738">
        <f t="shared" si="4"/>
        <v>4847089.4384000003</v>
      </c>
      <c r="G11" s="739">
        <f t="shared" si="4"/>
        <v>5.4750214162848074</v>
      </c>
      <c r="H11" s="840"/>
      <c r="I11" s="854"/>
      <c r="J11" s="855"/>
      <c r="K11" s="853"/>
    </row>
    <row r="12" spans="1:15" ht="17.149999999999999" customHeight="1" x14ac:dyDescent="0.35">
      <c r="A12" s="812" t="s">
        <v>332</v>
      </c>
      <c r="B12" s="813">
        <f t="shared" si="2"/>
        <v>32587.100000000002</v>
      </c>
      <c r="C12" s="813">
        <f t="shared" si="3"/>
        <v>23276.5</v>
      </c>
      <c r="D12" s="813">
        <f>'1. Detailed Budget'!D95</f>
        <v>55863.6</v>
      </c>
      <c r="E12" s="813">
        <f>'1. Detailed Budget'!G95</f>
        <v>1789635.9999999995</v>
      </c>
      <c r="F12" s="813">
        <f>+D12+E12</f>
        <v>1845499.5999999996</v>
      </c>
      <c r="G12" s="814">
        <f t="shared" ref="G12:G19" si="5">(F12/$F$19*100)</f>
        <v>2.0845808525209253</v>
      </c>
      <c r="H12" s="840"/>
      <c r="I12" s="856"/>
      <c r="J12" s="853"/>
      <c r="K12" s="851"/>
    </row>
    <row r="13" spans="1:15" ht="17.149999999999999" customHeight="1" x14ac:dyDescent="0.35">
      <c r="A13" s="812" t="s">
        <v>333</v>
      </c>
      <c r="B13" s="813">
        <f t="shared" si="2"/>
        <v>885606.40000000002</v>
      </c>
      <c r="C13" s="813">
        <f t="shared" si="3"/>
        <v>632576</v>
      </c>
      <c r="D13" s="813">
        <f>'1. Detailed Budget'!D102</f>
        <v>1518182.3999999999</v>
      </c>
      <c r="E13" s="813">
        <f>'1. Detailed Budget'!G102</f>
        <v>716170</v>
      </c>
      <c r="F13" s="813">
        <f>+D13+E13</f>
        <v>2234352.4</v>
      </c>
      <c r="G13" s="814">
        <f t="shared" si="5"/>
        <v>2.5238088541575281</v>
      </c>
      <c r="H13" s="840"/>
      <c r="I13" s="854"/>
      <c r="J13" s="853"/>
      <c r="K13" s="851"/>
    </row>
    <row r="14" spans="1:15" ht="17.149999999999999" customHeight="1" x14ac:dyDescent="0.35">
      <c r="A14" s="812" t="s">
        <v>334</v>
      </c>
      <c r="B14" s="813">
        <f>D14*$C$23+0.3</f>
        <v>117600.30000000002</v>
      </c>
      <c r="C14" s="813">
        <f>D14*$C$24+0.1</f>
        <v>84000.1</v>
      </c>
      <c r="D14" s="813">
        <f>'1. Detailed Budget'!D111</f>
        <v>201600</v>
      </c>
      <c r="E14" s="813">
        <f>'1. Detailed Budget'!G111</f>
        <v>0</v>
      </c>
      <c r="F14" s="813">
        <f>+D14+E14</f>
        <v>201600</v>
      </c>
      <c r="G14" s="814">
        <f t="shared" si="5"/>
        <v>0.22771692817934969</v>
      </c>
      <c r="H14" s="840"/>
      <c r="I14" s="850"/>
      <c r="J14" s="850"/>
      <c r="K14" s="851"/>
    </row>
    <row r="15" spans="1:15" ht="17.149999999999999" customHeight="1" x14ac:dyDescent="0.35">
      <c r="A15" s="812" t="s">
        <v>335</v>
      </c>
      <c r="B15" s="813">
        <f t="shared" si="2"/>
        <v>78400</v>
      </c>
      <c r="C15" s="813">
        <f t="shared" si="3"/>
        <v>56000</v>
      </c>
      <c r="D15" s="813">
        <f>'1. Detailed Budget'!D112</f>
        <v>134400</v>
      </c>
      <c r="E15" s="813">
        <v>0</v>
      </c>
      <c r="F15" s="813">
        <f t="shared" ref="F15:F18" si="6">+D15+E15</f>
        <v>134400</v>
      </c>
      <c r="G15" s="814">
        <f t="shared" si="5"/>
        <v>0.15181128545289979</v>
      </c>
      <c r="H15" s="840"/>
      <c r="I15" s="850"/>
      <c r="J15" s="850"/>
      <c r="K15" s="851"/>
    </row>
    <row r="16" spans="1:15" ht="17.149999999999999" customHeight="1" x14ac:dyDescent="0.35">
      <c r="A16" s="812" t="s">
        <v>336</v>
      </c>
      <c r="B16" s="813">
        <f t="shared" si="2"/>
        <v>78400</v>
      </c>
      <c r="C16" s="813">
        <f t="shared" si="3"/>
        <v>56000</v>
      </c>
      <c r="D16" s="813">
        <f>'1. Detailed Budget'!D114</f>
        <v>134400</v>
      </c>
      <c r="E16" s="813">
        <v>0</v>
      </c>
      <c r="F16" s="813">
        <f t="shared" si="6"/>
        <v>134400</v>
      </c>
      <c r="G16" s="814">
        <f t="shared" si="5"/>
        <v>0.15181128545289979</v>
      </c>
      <c r="H16" s="840"/>
      <c r="I16" s="850"/>
      <c r="J16" s="850"/>
      <c r="K16" s="851"/>
    </row>
    <row r="17" spans="1:12" ht="17.149999999999999" customHeight="1" x14ac:dyDescent="0.35">
      <c r="A17" s="812" t="s">
        <v>337</v>
      </c>
      <c r="B17" s="813">
        <f t="shared" si="2"/>
        <v>52266.666666666672</v>
      </c>
      <c r="C17" s="813">
        <f t="shared" si="3"/>
        <v>37333.333333333336</v>
      </c>
      <c r="D17" s="813">
        <f>'1. Detailed Budget'!D115</f>
        <v>89600</v>
      </c>
      <c r="E17" s="813">
        <v>0</v>
      </c>
      <c r="F17" s="813">
        <f t="shared" si="6"/>
        <v>89600</v>
      </c>
      <c r="G17" s="814">
        <f t="shared" si="5"/>
        <v>0.10120752363526654</v>
      </c>
      <c r="H17" s="840"/>
      <c r="I17" s="850"/>
      <c r="J17" s="850"/>
      <c r="K17" s="851"/>
    </row>
    <row r="18" spans="1:12" ht="17.149999999999999" customHeight="1" x14ac:dyDescent="0.35">
      <c r="A18" s="812" t="s">
        <v>313</v>
      </c>
      <c r="B18" s="813">
        <f t="shared" si="2"/>
        <v>120888.50573333337</v>
      </c>
      <c r="C18" s="813">
        <f t="shared" si="3"/>
        <v>86348.932666666689</v>
      </c>
      <c r="D18" s="813">
        <v>207237.43840000004</v>
      </c>
      <c r="E18" s="813">
        <v>0</v>
      </c>
      <c r="F18" s="813">
        <f t="shared" si="6"/>
        <v>207237.43840000004</v>
      </c>
      <c r="G18" s="814">
        <f t="shared" si="5"/>
        <v>0.23408468688593856</v>
      </c>
      <c r="H18" s="841"/>
      <c r="I18" s="850"/>
      <c r="J18" s="850"/>
      <c r="K18" s="851"/>
    </row>
    <row r="19" spans="1:12" ht="20.149999999999999" customHeight="1" x14ac:dyDescent="0.35">
      <c r="A19" s="735" t="s">
        <v>26</v>
      </c>
      <c r="B19" s="736">
        <f>+B3+B7+B11</f>
        <v>49000001.087066673</v>
      </c>
      <c r="C19" s="736">
        <f t="shared" ref="C19:F19" si="7">+C3+C7+C11</f>
        <v>34999999.945</v>
      </c>
      <c r="D19" s="736">
        <f t="shared" si="7"/>
        <v>83999999.955603704</v>
      </c>
      <c r="E19" s="736">
        <f t="shared" si="7"/>
        <v>4530967.8855986083</v>
      </c>
      <c r="F19" s="736">
        <f t="shared" si="7"/>
        <v>88530967.641202316</v>
      </c>
      <c r="G19" s="922">
        <f t="shared" si="5"/>
        <v>100</v>
      </c>
      <c r="K19" s="851"/>
    </row>
    <row r="20" spans="1:12" ht="20.25" customHeight="1" x14ac:dyDescent="0.35">
      <c r="A20" s="345" t="s">
        <v>322</v>
      </c>
      <c r="B20" s="347">
        <v>58.333333333333336</v>
      </c>
      <c r="C20" s="347">
        <f>(C19/$F$19)*100</f>
        <v>39.534188857900837</v>
      </c>
      <c r="D20" s="347">
        <f>(D19/$F$19)*100</f>
        <v>94.882053357914614</v>
      </c>
      <c r="E20" s="347">
        <f>(E19/$F$19)*100</f>
        <v>5.1179468679950313</v>
      </c>
      <c r="F20" s="347">
        <f>(F19/$F$19)*100</f>
        <v>100</v>
      </c>
      <c r="G20" s="347"/>
      <c r="K20" s="851"/>
    </row>
    <row r="21" spans="1:12" x14ac:dyDescent="0.35">
      <c r="A21" s="815"/>
      <c r="B21" s="816"/>
      <c r="C21" s="816"/>
      <c r="D21" s="816"/>
      <c r="E21" s="816"/>
      <c r="F21" s="816">
        <v>8</v>
      </c>
      <c r="G21" s="816"/>
      <c r="K21" s="851"/>
    </row>
    <row r="22" spans="1:12" s="839" customFormat="1" x14ac:dyDescent="0.35">
      <c r="A22" s="842"/>
      <c r="B22" s="843"/>
      <c r="E22" s="844"/>
      <c r="F22" s="845"/>
      <c r="I22" s="857"/>
      <c r="J22" s="857"/>
      <c r="K22" s="856"/>
      <c r="L22" s="857"/>
    </row>
    <row r="23" spans="1:12" s="839" customFormat="1" hidden="1" x14ac:dyDescent="0.35">
      <c r="A23" s="842" t="s">
        <v>4</v>
      </c>
      <c r="B23" s="846">
        <v>49</v>
      </c>
      <c r="C23" s="847">
        <f>B23/84</f>
        <v>0.58333333333333337</v>
      </c>
      <c r="D23" s="846"/>
      <c r="E23" s="844"/>
      <c r="G23" s="843"/>
      <c r="I23" s="857"/>
      <c r="J23" s="857"/>
      <c r="K23" s="856"/>
      <c r="L23" s="857"/>
    </row>
    <row r="24" spans="1:12" s="839" customFormat="1" hidden="1" x14ac:dyDescent="0.35">
      <c r="A24" s="842" t="s">
        <v>319</v>
      </c>
      <c r="B24" s="846">
        <v>35</v>
      </c>
      <c r="C24" s="847">
        <f>B24/84</f>
        <v>0.41666666666666669</v>
      </c>
      <c r="D24" s="846"/>
      <c r="E24" s="844"/>
      <c r="F24" s="843"/>
      <c r="I24" s="857"/>
      <c r="J24" s="857"/>
      <c r="K24" s="856"/>
      <c r="L24" s="857"/>
    </row>
    <row r="25" spans="1:12" s="658" customFormat="1" x14ac:dyDescent="0.35">
      <c r="A25" s="659"/>
      <c r="E25" s="661"/>
      <c r="H25" s="839"/>
      <c r="I25" s="848"/>
      <c r="J25" s="848"/>
      <c r="K25" s="848"/>
      <c r="L25" s="848"/>
    </row>
    <row r="26" spans="1:12" s="658" customFormat="1" x14ac:dyDescent="0.35">
      <c r="B26" s="660"/>
      <c r="C26" s="660"/>
      <c r="D26" s="660"/>
      <c r="E26" s="661"/>
      <c r="H26" s="839"/>
      <c r="I26" s="848"/>
      <c r="J26" s="848"/>
      <c r="K26" s="848"/>
      <c r="L26" s="848"/>
    </row>
    <row r="27" spans="1:12" x14ac:dyDescent="0.35">
      <c r="A27" s="816"/>
      <c r="B27" s="816"/>
      <c r="C27" s="816"/>
      <c r="D27" s="816"/>
      <c r="E27" s="817"/>
      <c r="F27" s="816"/>
      <c r="G27" s="816"/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4"/>
  <sheetViews>
    <sheetView zoomScale="90" zoomScaleNormal="90" workbookViewId="0">
      <selection activeCell="J19" sqref="J19"/>
    </sheetView>
  </sheetViews>
  <sheetFormatPr defaultColWidth="9" defaultRowHeight="15.5" x14ac:dyDescent="0.35"/>
  <cols>
    <col min="1" max="1" width="15" customWidth="1"/>
    <col min="2" max="2" width="13.08203125" customWidth="1"/>
    <col min="3" max="3" width="13.83203125" bestFit="1" customWidth="1"/>
    <col min="4" max="4" width="13.08203125" customWidth="1"/>
    <col min="5" max="5" width="13.83203125" bestFit="1" customWidth="1"/>
    <col min="6" max="6" width="13.08203125" customWidth="1"/>
    <col min="7" max="7" width="13.83203125" bestFit="1" customWidth="1"/>
    <col min="8" max="8" width="13.58203125" bestFit="1" customWidth="1"/>
    <col min="9" max="9" width="12.58203125" bestFit="1" customWidth="1"/>
    <col min="10" max="10" width="13.58203125" bestFit="1" customWidth="1"/>
    <col min="11" max="12" width="12.58203125" bestFit="1" customWidth="1"/>
    <col min="13" max="13" width="13.58203125" bestFit="1" customWidth="1"/>
    <col min="14" max="14" width="9.08203125" bestFit="1" customWidth="1"/>
    <col min="15" max="16" width="11.08203125" bestFit="1" customWidth="1"/>
    <col min="17" max="17" width="9.08203125" bestFit="1" customWidth="1"/>
    <col min="18" max="19" width="11.08203125" bestFit="1" customWidth="1"/>
  </cols>
  <sheetData>
    <row r="1" spans="1:10" ht="7" customHeight="1" x14ac:dyDescent="0.35"/>
    <row r="2" spans="1:10" x14ac:dyDescent="0.35">
      <c r="A2" s="348" t="s">
        <v>338</v>
      </c>
    </row>
    <row r="3" spans="1:10" ht="7" customHeight="1" x14ac:dyDescent="0.35"/>
    <row r="4" spans="1:10" s="351" customFormat="1" ht="21.65" customHeight="1" x14ac:dyDescent="0.35">
      <c r="A4" s="393" t="s">
        <v>339</v>
      </c>
      <c r="B4" s="367" t="s">
        <v>340</v>
      </c>
      <c r="C4" s="367" t="s">
        <v>341</v>
      </c>
      <c r="D4" s="367" t="s">
        <v>342</v>
      </c>
      <c r="E4" s="367" t="s">
        <v>343</v>
      </c>
      <c r="F4" s="367" t="s">
        <v>344</v>
      </c>
      <c r="G4" s="367" t="s">
        <v>316</v>
      </c>
    </row>
    <row r="5" spans="1:10" x14ac:dyDescent="0.35">
      <c r="A5" s="396" t="s">
        <v>4</v>
      </c>
      <c r="B5" s="498">
        <f>B12*(B13/100)</f>
        <v>3279942.75</v>
      </c>
      <c r="C5" s="498">
        <f t="shared" ref="C5:E5" si="0">C12*(C13/100)</f>
        <v>11095929.017166</v>
      </c>
      <c r="D5" s="498">
        <f t="shared" si="0"/>
        <v>16394320.833333334</v>
      </c>
      <c r="E5" s="498">
        <f t="shared" si="0"/>
        <v>15728235.250971986</v>
      </c>
      <c r="F5" s="498">
        <f>F12*(F13/100)</f>
        <v>2501572.1940146433</v>
      </c>
      <c r="G5" s="498">
        <f>SUM(B5:F5)</f>
        <v>49000000.045485966</v>
      </c>
      <c r="I5" s="364"/>
    </row>
    <row r="6" spans="1:10" x14ac:dyDescent="0.35">
      <c r="A6" s="396" t="s">
        <v>319</v>
      </c>
      <c r="B6" s="498">
        <f>B12*(B14/100)</f>
        <v>2342816.25</v>
      </c>
      <c r="C6" s="498">
        <f t="shared" ref="C6:F6" si="1">C12*(C14/100)</f>
        <v>7925663.5836899988</v>
      </c>
      <c r="D6" s="498">
        <f t="shared" si="1"/>
        <v>11710229.166666666</v>
      </c>
      <c r="E6" s="498">
        <f t="shared" si="1"/>
        <v>11234453.750694273</v>
      </c>
      <c r="F6" s="498">
        <f t="shared" si="1"/>
        <v>1786837.2814390305</v>
      </c>
      <c r="G6" s="498">
        <f>SUM(B6:F6)</f>
        <v>35000000.03248997</v>
      </c>
      <c r="I6" s="364"/>
    </row>
    <row r="7" spans="1:10" x14ac:dyDescent="0.35">
      <c r="A7" s="396" t="s">
        <v>345</v>
      </c>
      <c r="B7" s="498">
        <f>'2. Pluriannual Plan PEP'!R5</f>
        <v>906193.5771197218</v>
      </c>
      <c r="C7" s="498">
        <f>'2. Pluriannual Plan PEP'!U5</f>
        <v>906193.5771197218</v>
      </c>
      <c r="D7" s="498">
        <f>'2. Pluriannual Plan PEP'!X5</f>
        <v>906193.5771197218</v>
      </c>
      <c r="E7" s="498">
        <f>'2. Pluriannual Plan PEP'!AA5</f>
        <v>906193.5771197218</v>
      </c>
      <c r="F7" s="498">
        <f>'2. Pluriannual Plan PEP'!AD5</f>
        <v>906193.5771197218</v>
      </c>
      <c r="G7" s="498">
        <f>SUM(B7:F7)</f>
        <v>4530967.8855986092</v>
      </c>
      <c r="I7" s="364"/>
      <c r="J7" s="364"/>
    </row>
    <row r="8" spans="1:10" x14ac:dyDescent="0.35">
      <c r="A8" s="394" t="s">
        <v>316</v>
      </c>
      <c r="B8" s="349">
        <f>SUM(B5:B7)</f>
        <v>6528952.577119722</v>
      </c>
      <c r="C8" s="349">
        <f t="shared" ref="C8:G8" si="2">SUM(C5:C7)</f>
        <v>19927786.177975722</v>
      </c>
      <c r="D8" s="349">
        <f t="shared" si="2"/>
        <v>29010743.577119723</v>
      </c>
      <c r="E8" s="349">
        <f t="shared" si="2"/>
        <v>27868882.578785982</v>
      </c>
      <c r="F8" s="349">
        <f t="shared" si="2"/>
        <v>5194603.0525733959</v>
      </c>
      <c r="G8" s="349">
        <f t="shared" si="2"/>
        <v>88530967.963574544</v>
      </c>
      <c r="I8" s="364"/>
      <c r="J8" s="366"/>
    </row>
    <row r="9" spans="1:10" x14ac:dyDescent="0.35">
      <c r="A9" s="395" t="s">
        <v>322</v>
      </c>
      <c r="B9" s="582">
        <f>+B8/$G$8*100</f>
        <v>7.3747669626813686</v>
      </c>
      <c r="C9" s="582">
        <f>+C8/$G$8*100</f>
        <v>22.50939601854898</v>
      </c>
      <c r="D9" s="582">
        <f>+D8/$G$8*100</f>
        <v>32.769034660341674</v>
      </c>
      <c r="E9" s="582">
        <f>+E8/$G$8*100</f>
        <v>31.479247567080076</v>
      </c>
      <c r="F9" s="582">
        <f>+F8/$G$8*100</f>
        <v>5.8675547913479038</v>
      </c>
      <c r="G9" s="350">
        <f>SUM(B9:F9)</f>
        <v>100</v>
      </c>
      <c r="I9" s="365"/>
    </row>
    <row r="10" spans="1:10" x14ac:dyDescent="0.35">
      <c r="A10" s="392"/>
      <c r="B10" s="364"/>
      <c r="C10" s="364"/>
      <c r="D10" s="364"/>
      <c r="E10" s="364"/>
      <c r="F10" s="364"/>
      <c r="G10" s="364"/>
    </row>
    <row r="11" spans="1:10" s="585" customFormat="1" x14ac:dyDescent="0.35"/>
    <row r="12" spans="1:10" s="585" customFormat="1" hidden="1" x14ac:dyDescent="0.35">
      <c r="A12" s="585" t="s">
        <v>346</v>
      </c>
      <c r="B12" s="586">
        <f>'2. Pluriannual Plan PEP'!Q5</f>
        <v>5622759</v>
      </c>
      <c r="C12" s="586">
        <f>'2. Pluriannual Plan PEP'!T5</f>
        <v>19021592.600855999</v>
      </c>
      <c r="D12" s="586">
        <f>'2. Pluriannual Plan PEP'!W5</f>
        <v>28104550</v>
      </c>
      <c r="E12" s="586">
        <f>'2. Pluriannual Plan PEP'!Z5</f>
        <v>26962689.001666259</v>
      </c>
      <c r="F12" s="586">
        <f>'2. Pluriannual Plan PEP'!AC5</f>
        <v>4288409.4754536739</v>
      </c>
      <c r="H12" s="586"/>
    </row>
    <row r="13" spans="1:10" s="585" customFormat="1" hidden="1" x14ac:dyDescent="0.35">
      <c r="A13" s="585" t="s">
        <v>347</v>
      </c>
      <c r="B13" s="665">
        <v>58.333333333333336</v>
      </c>
      <c r="C13" s="665">
        <v>58.333333333333336</v>
      </c>
      <c r="D13" s="665">
        <v>58.333333333333336</v>
      </c>
      <c r="E13" s="665">
        <v>58.333333333333336</v>
      </c>
      <c r="F13" s="665">
        <v>58.333333333333336</v>
      </c>
      <c r="H13" s="586"/>
    </row>
    <row r="14" spans="1:10" s="585" customFormat="1" hidden="1" x14ac:dyDescent="0.35">
      <c r="A14" s="585" t="s">
        <v>348</v>
      </c>
      <c r="B14" s="587">
        <v>41.666666666666664</v>
      </c>
      <c r="C14" s="587">
        <v>41.666666666666664</v>
      </c>
      <c r="D14" s="587">
        <v>41.666666666666664</v>
      </c>
      <c r="E14" s="587">
        <v>41.666666666666664</v>
      </c>
      <c r="F14" s="587">
        <v>41.666666666666664</v>
      </c>
      <c r="G14" s="587"/>
    </row>
  </sheetData>
  <phoneticPr fontId="34" type="noConversion"/>
  <pageMargins left="0.7" right="0.7" top="0.75" bottom="0.75" header="0.3" footer="0.3"/>
  <pageSetup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DB4A8-A311-4738-8966-A731ECBFA6B5}">
  <dimension ref="B1:H29"/>
  <sheetViews>
    <sheetView tabSelected="1" topLeftCell="B1" zoomScaleNormal="100" workbookViewId="0">
      <selection activeCell="F24" sqref="F24"/>
    </sheetView>
  </sheetViews>
  <sheetFormatPr defaultColWidth="8.58203125" defaultRowHeight="15.5" x14ac:dyDescent="0.35"/>
  <cols>
    <col min="1" max="1" width="8.58203125" style="741"/>
    <col min="2" max="2" width="40.58203125" style="741" customWidth="1"/>
    <col min="3" max="4" width="11.5" style="741" customWidth="1"/>
    <col min="5" max="5" width="12.4140625" style="741" customWidth="1"/>
    <col min="6" max="6" width="11.5" style="741" customWidth="1"/>
    <col min="7" max="7" width="9.58203125" style="741" customWidth="1"/>
    <col min="8" max="8" width="14.83203125" style="741" customWidth="1"/>
    <col min="9" max="16384" width="8.58203125" style="741"/>
  </cols>
  <sheetData>
    <row r="1" spans="2:8" ht="16" thickBot="1" x14ac:dyDescent="0.4"/>
    <row r="2" spans="2:8" ht="39.5" thickBot="1" x14ac:dyDescent="0.4">
      <c r="B2" s="742"/>
      <c r="C2" s="743" t="s">
        <v>6</v>
      </c>
      <c r="D2" s="743" t="s">
        <v>349</v>
      </c>
      <c r="E2" s="743" t="s">
        <v>316</v>
      </c>
      <c r="F2" s="743" t="s">
        <v>350</v>
      </c>
      <c r="G2" s="743" t="s">
        <v>351</v>
      </c>
      <c r="H2" s="743" t="s">
        <v>352</v>
      </c>
    </row>
    <row r="3" spans="2:8" s="929" customFormat="1" ht="27" thickTop="1" thickBot="1" x14ac:dyDescent="0.4">
      <c r="B3" s="744" t="s">
        <v>34</v>
      </c>
      <c r="C3" s="757">
        <f>'4. Resumen Presupuesto'!D3</f>
        <v>55400898.815603703</v>
      </c>
      <c r="D3" s="757">
        <f>'4. Resumen Presupuesto'!E3</f>
        <v>0</v>
      </c>
      <c r="E3" s="757">
        <f>C3+D3</f>
        <v>55400898.815603703</v>
      </c>
      <c r="F3" s="928"/>
      <c r="G3" s="928"/>
      <c r="H3" s="928"/>
    </row>
    <row r="4" spans="2:8" ht="26.5" thickBot="1" x14ac:dyDescent="0.4">
      <c r="B4" s="746" t="s">
        <v>353</v>
      </c>
      <c r="C4" s="747">
        <v>35036241.327603705</v>
      </c>
      <c r="D4" s="748">
        <v>0</v>
      </c>
      <c r="E4" s="757">
        <f t="shared" ref="E4:E16" si="0">C4+D4</f>
        <v>35036241.327603705</v>
      </c>
      <c r="F4" s="745"/>
      <c r="G4" s="745"/>
      <c r="H4" s="745"/>
    </row>
    <row r="5" spans="2:8" ht="26.5" thickBot="1" x14ac:dyDescent="0.4">
      <c r="B5" s="746" t="s">
        <v>43</v>
      </c>
      <c r="C5" s="748">
        <v>28427729.215603709</v>
      </c>
      <c r="D5" s="748">
        <v>0</v>
      </c>
      <c r="E5" s="757">
        <f t="shared" si="0"/>
        <v>28427729.215603709</v>
      </c>
      <c r="F5" s="748">
        <v>23887331</v>
      </c>
      <c r="G5" s="749" t="s">
        <v>354</v>
      </c>
      <c r="H5" s="749" t="s">
        <v>355</v>
      </c>
    </row>
    <row r="6" spans="2:8" ht="26.5" thickBot="1" x14ac:dyDescent="0.4">
      <c r="B6" s="750" t="s">
        <v>204</v>
      </c>
      <c r="C6" s="748">
        <v>19260514</v>
      </c>
      <c r="D6" s="748">
        <v>0</v>
      </c>
      <c r="E6" s="757">
        <f t="shared" si="0"/>
        <v>19260514</v>
      </c>
      <c r="F6" s="749"/>
      <c r="G6" s="749"/>
      <c r="H6" s="749"/>
    </row>
    <row r="7" spans="2:8" ht="16" thickBot="1" x14ac:dyDescent="0.4">
      <c r="B7" s="750" t="s">
        <v>209</v>
      </c>
      <c r="C7" s="748">
        <v>2239247.1842000005</v>
      </c>
      <c r="D7" s="749">
        <v>0</v>
      </c>
      <c r="E7" s="757">
        <f t="shared" si="0"/>
        <v>2239247.1842000005</v>
      </c>
      <c r="F7" s="748">
        <v>2239247</v>
      </c>
      <c r="G7" s="749" t="s">
        <v>354</v>
      </c>
      <c r="H7" s="749" t="s">
        <v>356</v>
      </c>
    </row>
    <row r="8" spans="2:8" ht="16" thickBot="1" x14ac:dyDescent="0.4">
      <c r="B8" s="750" t="s">
        <v>357</v>
      </c>
      <c r="C8" s="748">
        <v>3710775.9940672335</v>
      </c>
      <c r="D8" s="749">
        <v>0</v>
      </c>
      <c r="E8" s="757">
        <f t="shared" si="0"/>
        <v>3710775.9940672335</v>
      </c>
      <c r="F8" s="748">
        <v>3168904</v>
      </c>
      <c r="G8" s="749" t="s">
        <v>354</v>
      </c>
      <c r="H8" s="749" t="s">
        <v>356</v>
      </c>
    </row>
    <row r="9" spans="2:8" ht="16" thickBot="1" x14ac:dyDescent="0.4">
      <c r="B9" s="750" t="s">
        <v>358</v>
      </c>
      <c r="C9" s="748">
        <v>4376289.8034655303</v>
      </c>
      <c r="D9" s="749"/>
      <c r="E9" s="757">
        <f t="shared" si="0"/>
        <v>4376289.8034655303</v>
      </c>
      <c r="F9" s="748">
        <v>1843142</v>
      </c>
      <c r="G9" s="749" t="s">
        <v>354</v>
      </c>
      <c r="H9" s="749" t="s">
        <v>355</v>
      </c>
    </row>
    <row r="10" spans="2:8" s="929" customFormat="1" ht="28.5" customHeight="1" thickBot="1" x14ac:dyDescent="0.4">
      <c r="B10" s="744" t="s">
        <v>107</v>
      </c>
      <c r="C10" s="758">
        <v>26257817.401600003</v>
      </c>
      <c r="D10" s="758">
        <v>2025161.885598609</v>
      </c>
      <c r="E10" s="757">
        <f t="shared" si="0"/>
        <v>28282979.287198611</v>
      </c>
      <c r="F10" s="930"/>
      <c r="G10" s="930"/>
      <c r="H10" s="930"/>
    </row>
    <row r="11" spans="2:8" ht="26.5" thickBot="1" x14ac:dyDescent="0.4">
      <c r="B11" s="746" t="s">
        <v>359</v>
      </c>
      <c r="C11" s="748">
        <v>21834937.401600003</v>
      </c>
      <c r="D11" s="748">
        <v>2025161.885598609</v>
      </c>
      <c r="E11" s="757">
        <f t="shared" si="0"/>
        <v>23860099.287198611</v>
      </c>
      <c r="F11" s="749"/>
      <c r="G11" s="759"/>
      <c r="H11" s="759"/>
    </row>
    <row r="12" spans="2:8" ht="16" thickBot="1" x14ac:dyDescent="0.4">
      <c r="B12" s="746" t="s">
        <v>119</v>
      </c>
      <c r="C12" s="748">
        <v>3621885.12</v>
      </c>
      <c r="D12" s="748">
        <v>2025161.885598609</v>
      </c>
      <c r="E12" s="757">
        <f t="shared" si="0"/>
        <v>5647047.0055986093</v>
      </c>
      <c r="F12" s="748">
        <v>3621885.12</v>
      </c>
      <c r="G12" s="759"/>
      <c r="H12" s="759"/>
    </row>
    <row r="13" spans="2:8" ht="26.5" thickBot="1" x14ac:dyDescent="0.4">
      <c r="B13" s="746" t="s">
        <v>360</v>
      </c>
      <c r="C13" s="748">
        <v>3703280</v>
      </c>
      <c r="D13" s="927">
        <v>0</v>
      </c>
      <c r="E13" s="757">
        <f t="shared" si="0"/>
        <v>3703280</v>
      </c>
      <c r="F13" s="751"/>
      <c r="G13" s="751"/>
      <c r="H13" s="751"/>
    </row>
    <row r="14" spans="2:8" ht="29" thickBot="1" x14ac:dyDescent="0.4">
      <c r="B14" s="746" t="s">
        <v>361</v>
      </c>
      <c r="C14" s="748">
        <v>104160</v>
      </c>
      <c r="D14" s="927">
        <v>0</v>
      </c>
      <c r="E14" s="757">
        <f t="shared" si="0"/>
        <v>104160</v>
      </c>
      <c r="F14" s="748">
        <f>E14</f>
        <v>104160</v>
      </c>
      <c r="G14" s="749"/>
      <c r="H14" s="749"/>
    </row>
    <row r="15" spans="2:8" ht="16" thickBot="1" x14ac:dyDescent="0.4">
      <c r="B15" s="752" t="s">
        <v>185</v>
      </c>
      <c r="C15" s="753"/>
      <c r="D15" s="753"/>
      <c r="E15" s="757">
        <f t="shared" si="0"/>
        <v>0</v>
      </c>
      <c r="F15" s="754">
        <f>SUM(F3:F14)</f>
        <v>34864669.119999997</v>
      </c>
      <c r="G15" s="745"/>
      <c r="H15" s="745"/>
    </row>
    <row r="16" spans="2:8" ht="16" thickBot="1" x14ac:dyDescent="0.4">
      <c r="B16" s="752" t="s">
        <v>362</v>
      </c>
      <c r="C16" s="755"/>
      <c r="D16" s="755"/>
      <c r="E16" s="757">
        <f t="shared" si="0"/>
        <v>0</v>
      </c>
      <c r="F16" s="762">
        <f>F15/F17</f>
        <v>0.4269558778157872</v>
      </c>
      <c r="G16" s="756"/>
      <c r="H16" s="756"/>
    </row>
    <row r="17" spans="2:6" x14ac:dyDescent="0.35">
      <c r="B17" s="760" t="s">
        <v>363</v>
      </c>
      <c r="C17" s="760"/>
      <c r="D17" s="760"/>
      <c r="E17" s="760"/>
      <c r="F17" s="761">
        <f>'1. Detailed Budget'!D5-'1. Detailed Budget'!D95-'1. Detailed Budget'!D102-'1. Detailed Budget'!D109</f>
        <v>81658716.817203715</v>
      </c>
    </row>
    <row r="20" spans="2:6" x14ac:dyDescent="0.35">
      <c r="B20" s="741" t="s">
        <v>718</v>
      </c>
      <c r="E20" s="1107">
        <f>'2. Pluriannual Plan PEP'!AM5</f>
        <v>83999999.76743789</v>
      </c>
    </row>
    <row r="21" spans="2:6" x14ac:dyDescent="0.35">
      <c r="B21" s="741" t="s">
        <v>717</v>
      </c>
      <c r="E21" s="1107">
        <f>'2. Pluriannual Plan PEP'!AM112</f>
        <v>2341284.0384</v>
      </c>
    </row>
    <row r="22" spans="2:6" x14ac:dyDescent="0.35">
      <c r="B22" s="741" t="s">
        <v>720</v>
      </c>
      <c r="E22" s="1107">
        <f>E20-E21</f>
        <v>81658715.729037896</v>
      </c>
    </row>
    <row r="23" spans="2:6" x14ac:dyDescent="0.35">
      <c r="B23" s="741" t="s">
        <v>719</v>
      </c>
      <c r="E23" s="1108">
        <f>F15/E22</f>
        <v>0.42695588350530594</v>
      </c>
    </row>
    <row r="24" spans="2:6" x14ac:dyDescent="0.35">
      <c r="B24" s="741" t="s">
        <v>721</v>
      </c>
      <c r="E24" s="1107">
        <f>E21*E23</f>
        <v>999624.9951519426</v>
      </c>
    </row>
    <row r="25" spans="2:6" x14ac:dyDescent="0.35">
      <c r="B25" s="741" t="s">
        <v>722</v>
      </c>
      <c r="E25" s="1109">
        <f>+F15+E24</f>
        <v>35864294.115151942</v>
      </c>
    </row>
    <row r="26" spans="2:6" x14ac:dyDescent="0.35">
      <c r="E26" s="1107"/>
    </row>
    <row r="27" spans="2:6" x14ac:dyDescent="0.35">
      <c r="E27" s="1107"/>
    </row>
    <row r="28" spans="2:6" x14ac:dyDescent="0.35">
      <c r="E28" s="1107"/>
    </row>
    <row r="29" spans="2:6" x14ac:dyDescent="0.35">
      <c r="E29" s="1107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88"/>
  <sheetViews>
    <sheetView topLeftCell="A58" zoomScaleNormal="100" workbookViewId="0">
      <selection activeCell="C75" sqref="C75"/>
    </sheetView>
  </sheetViews>
  <sheetFormatPr defaultColWidth="9" defaultRowHeight="14.5" x14ac:dyDescent="0.35"/>
  <cols>
    <col min="1" max="1" width="38.83203125" style="88" bestFit="1" customWidth="1"/>
    <col min="2" max="2" width="57.58203125" style="88" bestFit="1" customWidth="1"/>
    <col min="3" max="3" width="15.08203125" style="3" customWidth="1"/>
    <col min="4" max="4" width="14.5" style="3" customWidth="1"/>
    <col min="5" max="5" width="12.08203125" style="3" customWidth="1"/>
    <col min="6" max="16384" width="9" style="3"/>
  </cols>
  <sheetData>
    <row r="2" spans="1:8" ht="29" x14ac:dyDescent="0.35">
      <c r="A2" s="400" t="s">
        <v>364</v>
      </c>
      <c r="B2" s="400"/>
      <c r="C2" s="401" t="s">
        <v>365</v>
      </c>
      <c r="D2" s="401" t="s">
        <v>366</v>
      </c>
      <c r="E2" s="402" t="s">
        <v>367</v>
      </c>
      <c r="F2" s="816"/>
      <c r="G2" s="816"/>
      <c r="H2" s="816"/>
    </row>
    <row r="3" spans="1:8" s="82" customFormat="1" x14ac:dyDescent="0.35">
      <c r="A3" s="87" t="s">
        <v>368</v>
      </c>
      <c r="B3" s="87" t="s">
        <v>369</v>
      </c>
      <c r="C3" s="86">
        <v>3200</v>
      </c>
      <c r="D3" s="86"/>
      <c r="E3" s="86">
        <f>D3*1.25</f>
        <v>0</v>
      </c>
      <c r="H3" s="83"/>
    </row>
    <row r="4" spans="1:8" s="82" customFormat="1" x14ac:dyDescent="0.35">
      <c r="A4" s="87" t="s">
        <v>370</v>
      </c>
      <c r="B4" s="87" t="s">
        <v>369</v>
      </c>
      <c r="C4" s="86">
        <v>5000</v>
      </c>
      <c r="D4" s="86"/>
      <c r="E4" s="86">
        <f>D4*1.25</f>
        <v>0</v>
      </c>
      <c r="H4" s="83"/>
    </row>
    <row r="5" spans="1:8" s="82" customFormat="1" x14ac:dyDescent="0.35">
      <c r="A5" s="87" t="s">
        <v>371</v>
      </c>
      <c r="B5" s="87" t="s">
        <v>369</v>
      </c>
      <c r="C5" s="86">
        <v>4000</v>
      </c>
      <c r="D5" s="86"/>
      <c r="E5" s="86">
        <f>D5*1.25</f>
        <v>0</v>
      </c>
      <c r="H5" s="83"/>
    </row>
    <row r="6" spans="1:8" s="82" customFormat="1" x14ac:dyDescent="0.35">
      <c r="A6" s="87" t="s">
        <v>372</v>
      </c>
      <c r="B6" s="87" t="s">
        <v>373</v>
      </c>
      <c r="C6" s="86">
        <v>1080000</v>
      </c>
      <c r="D6" s="86"/>
      <c r="E6" s="86"/>
    </row>
    <row r="7" spans="1:8" s="82" customFormat="1" x14ac:dyDescent="0.35">
      <c r="A7" s="87" t="s">
        <v>374</v>
      </c>
      <c r="B7" s="87" t="s">
        <v>373</v>
      </c>
      <c r="C7" s="86">
        <v>720000</v>
      </c>
      <c r="D7" s="86"/>
      <c r="E7" s="86"/>
    </row>
    <row r="8" spans="1:8" s="82" customFormat="1" x14ac:dyDescent="0.35">
      <c r="A8" s="87" t="s">
        <v>375</v>
      </c>
      <c r="B8" s="87" t="s">
        <v>376</v>
      </c>
      <c r="C8" s="86">
        <v>2800</v>
      </c>
      <c r="D8" s="86"/>
      <c r="E8" s="86"/>
    </row>
    <row r="9" spans="1:8" s="82" customFormat="1" x14ac:dyDescent="0.35">
      <c r="A9" s="87" t="s">
        <v>377</v>
      </c>
      <c r="B9" s="87" t="s">
        <v>378</v>
      </c>
      <c r="C9" s="86">
        <v>2800</v>
      </c>
      <c r="D9" s="86"/>
      <c r="E9" s="86"/>
    </row>
    <row r="10" spans="1:8" s="82" customFormat="1" x14ac:dyDescent="0.35">
      <c r="A10" s="87" t="s">
        <v>379</v>
      </c>
      <c r="B10" s="87" t="s">
        <v>373</v>
      </c>
      <c r="C10" s="86">
        <v>180000</v>
      </c>
      <c r="D10" s="86"/>
      <c r="E10" s="86"/>
    </row>
    <row r="11" spans="1:8" s="82" customFormat="1" x14ac:dyDescent="0.35">
      <c r="A11" s="87" t="s">
        <v>380</v>
      </c>
      <c r="B11" s="87" t="s">
        <v>381</v>
      </c>
      <c r="C11" s="86">
        <v>3434</v>
      </c>
      <c r="D11" s="86"/>
      <c r="E11" s="86"/>
      <c r="G11" s="82">
        <v>1717011.89</v>
      </c>
      <c r="H11" s="82">
        <f>+G11/500</f>
        <v>3434.02378</v>
      </c>
    </row>
    <row r="12" spans="1:8" s="82" customFormat="1" x14ac:dyDescent="0.35">
      <c r="A12" s="87" t="s">
        <v>382</v>
      </c>
      <c r="B12" s="87" t="s">
        <v>383</v>
      </c>
      <c r="C12" s="86">
        <v>678926</v>
      </c>
      <c r="D12" s="86"/>
      <c r="E12" s="86"/>
    </row>
    <row r="13" spans="1:8" s="82" customFormat="1" x14ac:dyDescent="0.35">
      <c r="A13" s="87" t="s">
        <v>384</v>
      </c>
      <c r="B13" s="87" t="s">
        <v>383</v>
      </c>
      <c r="C13" s="86">
        <v>63700</v>
      </c>
      <c r="D13" s="86"/>
      <c r="E13" s="86"/>
    </row>
    <row r="14" spans="1:8" s="82" customFormat="1" x14ac:dyDescent="0.35">
      <c r="A14" s="87" t="s">
        <v>385</v>
      </c>
      <c r="B14" s="87" t="s">
        <v>386</v>
      </c>
      <c r="C14" s="86">
        <v>99000</v>
      </c>
      <c r="D14" s="86"/>
      <c r="E14" s="86"/>
    </row>
    <row r="15" spans="1:8" s="82" customFormat="1" x14ac:dyDescent="0.35">
      <c r="A15" s="87" t="s">
        <v>387</v>
      </c>
      <c r="B15" s="87" t="s">
        <v>386</v>
      </c>
      <c r="C15" s="86">
        <v>1401666.67</v>
      </c>
      <c r="D15" s="86"/>
      <c r="E15" s="86"/>
    </row>
    <row r="16" spans="1:8" s="82" customFormat="1" x14ac:dyDescent="0.35">
      <c r="A16" s="87" t="s">
        <v>388</v>
      </c>
      <c r="B16" s="87" t="s">
        <v>386</v>
      </c>
      <c r="C16" s="86">
        <v>50000</v>
      </c>
      <c r="D16" s="86"/>
      <c r="E16" s="86"/>
    </row>
    <row r="17" spans="1:8" s="82" customFormat="1" x14ac:dyDescent="0.35">
      <c r="A17" s="87" t="s">
        <v>389</v>
      </c>
      <c r="B17" s="87" t="s">
        <v>390</v>
      </c>
      <c r="C17" s="86">
        <v>168750</v>
      </c>
      <c r="D17" s="86"/>
      <c r="E17" s="86"/>
    </row>
    <row r="18" spans="1:8" s="82" customFormat="1" x14ac:dyDescent="0.35">
      <c r="A18" s="87" t="s">
        <v>391</v>
      </c>
      <c r="B18" s="87" t="s">
        <v>390</v>
      </c>
      <c r="C18" s="86">
        <v>390000</v>
      </c>
      <c r="D18" s="86"/>
      <c r="E18" s="86"/>
    </row>
    <row r="19" spans="1:8" s="82" customFormat="1" x14ac:dyDescent="0.35">
      <c r="A19" s="87" t="s">
        <v>392</v>
      </c>
      <c r="B19" s="87" t="s">
        <v>390</v>
      </c>
      <c r="C19" s="86">
        <v>65000</v>
      </c>
      <c r="D19" s="86"/>
      <c r="E19" s="86"/>
    </row>
    <row r="20" spans="1:8" s="82" customFormat="1" x14ac:dyDescent="0.35">
      <c r="A20" s="87" t="s">
        <v>393</v>
      </c>
      <c r="B20" s="87" t="s">
        <v>394</v>
      </c>
      <c r="C20" s="86">
        <v>15000</v>
      </c>
      <c r="D20" s="86"/>
      <c r="E20" s="86"/>
    </row>
    <row r="21" spans="1:8" s="82" customFormat="1" x14ac:dyDescent="0.35">
      <c r="A21" s="90" t="s">
        <v>395</v>
      </c>
      <c r="B21" s="90" t="s">
        <v>396</v>
      </c>
      <c r="C21" s="84">
        <v>100000</v>
      </c>
    </row>
    <row r="22" spans="1:8" s="82" customFormat="1" x14ac:dyDescent="0.35">
      <c r="A22" s="90" t="s">
        <v>397</v>
      </c>
      <c r="B22" s="90" t="s">
        <v>396</v>
      </c>
      <c r="C22" s="84">
        <v>62500</v>
      </c>
    </row>
    <row r="23" spans="1:8" s="82" customFormat="1" x14ac:dyDescent="0.35">
      <c r="A23" s="90" t="s">
        <v>398</v>
      </c>
      <c r="B23" s="90" t="s">
        <v>396</v>
      </c>
      <c r="C23" s="84">
        <v>350000</v>
      </c>
    </row>
    <row r="24" spans="1:8" s="82" customFormat="1" x14ac:dyDescent="0.35">
      <c r="A24" s="91" t="s">
        <v>399</v>
      </c>
      <c r="B24" s="91" t="s">
        <v>396</v>
      </c>
      <c r="C24" s="83">
        <v>1533</v>
      </c>
      <c r="D24" s="83"/>
      <c r="E24" s="83"/>
      <c r="H24" s="83"/>
    </row>
    <row r="25" spans="1:8" s="82" customFormat="1" x14ac:dyDescent="0.35">
      <c r="A25" s="91" t="s">
        <v>400</v>
      </c>
      <c r="B25" s="91" t="s">
        <v>396</v>
      </c>
      <c r="C25" s="83">
        <v>1800</v>
      </c>
      <c r="D25" s="83"/>
      <c r="E25" s="83"/>
      <c r="H25" s="83"/>
    </row>
    <row r="26" spans="1:8" s="82" customFormat="1" x14ac:dyDescent="0.35">
      <c r="A26" s="91" t="s">
        <v>401</v>
      </c>
      <c r="B26" s="91" t="s">
        <v>396</v>
      </c>
      <c r="C26" s="83">
        <v>1250000</v>
      </c>
      <c r="D26" s="83"/>
      <c r="E26" s="83"/>
      <c r="H26" s="83"/>
    </row>
    <row r="27" spans="1:8" s="82" customFormat="1" x14ac:dyDescent="0.35">
      <c r="A27" s="91" t="s">
        <v>402</v>
      </c>
      <c r="B27" s="91" t="s">
        <v>403</v>
      </c>
      <c r="C27" s="83">
        <v>125000</v>
      </c>
      <c r="D27" s="83"/>
      <c r="E27" s="83"/>
      <c r="H27" s="83"/>
    </row>
    <row r="28" spans="1:8" s="82" customFormat="1" x14ac:dyDescent="0.35">
      <c r="A28" s="91" t="s">
        <v>404</v>
      </c>
      <c r="B28" s="91" t="s">
        <v>403</v>
      </c>
      <c r="C28" s="83">
        <v>361000</v>
      </c>
      <c r="D28" s="83"/>
      <c r="E28" s="83"/>
      <c r="H28" s="83"/>
    </row>
    <row r="29" spans="1:8" s="82" customFormat="1" x14ac:dyDescent="0.35">
      <c r="A29" s="87" t="s">
        <v>405</v>
      </c>
      <c r="B29" s="91" t="s">
        <v>403</v>
      </c>
      <c r="C29" s="83">
        <v>10097.1</v>
      </c>
      <c r="D29" s="83"/>
      <c r="E29" s="83"/>
      <c r="H29" s="83"/>
    </row>
    <row r="30" spans="1:8" s="82" customFormat="1" x14ac:dyDescent="0.35">
      <c r="A30" s="87" t="s">
        <v>406</v>
      </c>
      <c r="B30" s="91" t="s">
        <v>403</v>
      </c>
      <c r="C30" s="83">
        <v>1248000</v>
      </c>
      <c r="D30" s="83"/>
      <c r="E30" s="83"/>
      <c r="H30" s="83"/>
    </row>
    <row r="31" spans="1:8" s="82" customFormat="1" x14ac:dyDescent="0.35">
      <c r="A31" s="87" t="s">
        <v>407</v>
      </c>
      <c r="B31" s="91" t="s">
        <v>403</v>
      </c>
      <c r="C31" s="83">
        <v>150000</v>
      </c>
      <c r="D31" s="83"/>
      <c r="E31" s="83"/>
      <c r="H31" s="83"/>
    </row>
    <row r="32" spans="1:8" s="82" customFormat="1" x14ac:dyDescent="0.35">
      <c r="A32" s="87" t="s">
        <v>408</v>
      </c>
      <c r="B32" s="91"/>
      <c r="C32" s="83">
        <v>120000</v>
      </c>
      <c r="D32" s="83"/>
      <c r="E32" s="83"/>
      <c r="H32" s="83"/>
    </row>
    <row r="33" spans="1:8" s="82" customFormat="1" x14ac:dyDescent="0.35">
      <c r="A33" s="87" t="s">
        <v>409</v>
      </c>
      <c r="B33" s="91"/>
      <c r="C33" s="83">
        <v>260000</v>
      </c>
      <c r="D33" s="83"/>
      <c r="E33" s="83"/>
      <c r="H33" s="83"/>
    </row>
    <row r="34" spans="1:8" s="82" customFormat="1" x14ac:dyDescent="0.35">
      <c r="A34" s="87" t="s">
        <v>410</v>
      </c>
      <c r="B34" s="91" t="s">
        <v>411</v>
      </c>
      <c r="C34" s="83">
        <v>3494.67</v>
      </c>
      <c r="D34" s="83"/>
      <c r="E34" s="83"/>
      <c r="H34" s="83"/>
    </row>
    <row r="35" spans="1:8" s="82" customFormat="1" x14ac:dyDescent="0.35">
      <c r="A35" s="87" t="s">
        <v>412</v>
      </c>
      <c r="B35" s="91" t="s">
        <v>413</v>
      </c>
      <c r="C35" s="83">
        <v>5000</v>
      </c>
      <c r="D35" s="83"/>
      <c r="E35" s="83"/>
      <c r="H35" s="83"/>
    </row>
    <row r="36" spans="1:8" s="82" customFormat="1" x14ac:dyDescent="0.35">
      <c r="A36" s="87" t="s">
        <v>414</v>
      </c>
      <c r="B36" s="91" t="s">
        <v>413</v>
      </c>
      <c r="C36" s="83">
        <v>480</v>
      </c>
      <c r="D36" s="83"/>
      <c r="E36" s="83"/>
      <c r="H36" s="83"/>
    </row>
    <row r="37" spans="1:8" s="82" customFormat="1" x14ac:dyDescent="0.35">
      <c r="A37" s="87" t="s">
        <v>415</v>
      </c>
      <c r="B37" s="91" t="s">
        <v>416</v>
      </c>
      <c r="C37" s="83">
        <v>418</v>
      </c>
      <c r="D37" s="83"/>
      <c r="E37" s="83"/>
      <c r="H37" s="83"/>
    </row>
    <row r="38" spans="1:8" s="82" customFormat="1" x14ac:dyDescent="0.35">
      <c r="A38" s="87" t="s">
        <v>415</v>
      </c>
      <c r="B38" s="91" t="s">
        <v>417</v>
      </c>
      <c r="C38" s="83">
        <v>22.3</v>
      </c>
      <c r="D38" s="83"/>
      <c r="E38" s="83"/>
      <c r="H38" s="83"/>
    </row>
    <row r="39" spans="1:8" s="82" customFormat="1" x14ac:dyDescent="0.35">
      <c r="A39" s="87" t="s">
        <v>418</v>
      </c>
      <c r="B39" s="91" t="s">
        <v>419</v>
      </c>
      <c r="C39" s="83">
        <v>450000</v>
      </c>
      <c r="D39" s="83"/>
      <c r="E39" s="83"/>
      <c r="H39" s="83"/>
    </row>
    <row r="40" spans="1:8" s="82" customFormat="1" x14ac:dyDescent="0.35">
      <c r="A40" s="87" t="s">
        <v>420</v>
      </c>
      <c r="B40" s="91" t="s">
        <v>396</v>
      </c>
      <c r="C40" s="83">
        <v>3000</v>
      </c>
      <c r="D40" s="83"/>
      <c r="E40" s="83"/>
      <c r="H40" s="83"/>
    </row>
    <row r="41" spans="1:8" s="82" customFormat="1" x14ac:dyDescent="0.35">
      <c r="A41" s="87" t="s">
        <v>421</v>
      </c>
      <c r="B41" s="91" t="s">
        <v>396</v>
      </c>
      <c r="C41" s="83">
        <v>50000</v>
      </c>
      <c r="D41" s="83"/>
      <c r="E41" s="83"/>
      <c r="H41" s="83"/>
    </row>
    <row r="42" spans="1:8" s="82" customFormat="1" x14ac:dyDescent="0.35">
      <c r="A42" s="87" t="s">
        <v>422</v>
      </c>
      <c r="B42" s="91" t="s">
        <v>396</v>
      </c>
      <c r="C42" s="83">
        <v>40000</v>
      </c>
      <c r="D42" s="83"/>
      <c r="E42" s="83"/>
      <c r="H42" s="83"/>
    </row>
    <row r="43" spans="1:8" s="82" customFormat="1" x14ac:dyDescent="0.35">
      <c r="A43" s="87" t="s">
        <v>423</v>
      </c>
      <c r="B43" s="91" t="s">
        <v>396</v>
      </c>
      <c r="C43" s="83">
        <v>20000</v>
      </c>
      <c r="D43" s="83"/>
      <c r="E43" s="83"/>
      <c r="H43" s="83"/>
    </row>
    <row r="44" spans="1:8" s="82" customFormat="1" x14ac:dyDescent="0.35">
      <c r="A44" s="87" t="s">
        <v>424</v>
      </c>
      <c r="B44" s="91" t="s">
        <v>396</v>
      </c>
      <c r="C44" s="83">
        <v>1412</v>
      </c>
      <c r="D44" s="83"/>
      <c r="E44" s="83"/>
      <c r="H44" s="83"/>
    </row>
    <row r="45" spans="1:8" s="82" customFormat="1" x14ac:dyDescent="0.35">
      <c r="A45" s="87" t="s">
        <v>425</v>
      </c>
      <c r="B45" s="91" t="s">
        <v>396</v>
      </c>
      <c r="C45" s="83">
        <v>2000</v>
      </c>
      <c r="D45" s="83"/>
      <c r="E45" s="83"/>
      <c r="H45" s="83"/>
    </row>
    <row r="46" spans="1:8" s="82" customFormat="1" ht="43.5" x14ac:dyDescent="0.35">
      <c r="A46" s="87" t="s">
        <v>426</v>
      </c>
      <c r="B46" s="87" t="s">
        <v>427</v>
      </c>
      <c r="C46" s="83">
        <f>1462.4*1.32655</f>
        <v>1939.9467199999999</v>
      </c>
      <c r="D46" s="83"/>
      <c r="E46" s="83"/>
      <c r="H46" s="83"/>
    </row>
    <row r="47" spans="1:8" s="82" customFormat="1" ht="31.5" customHeight="1" x14ac:dyDescent="0.35">
      <c r="A47" s="87" t="s">
        <v>426</v>
      </c>
      <c r="B47" s="87" t="s">
        <v>428</v>
      </c>
      <c r="C47" s="83">
        <v>214.54545454545453</v>
      </c>
      <c r="D47" s="83"/>
      <c r="E47" s="83"/>
      <c r="H47" s="83"/>
    </row>
    <row r="48" spans="1:8" s="82" customFormat="1" x14ac:dyDescent="0.35">
      <c r="A48" s="91" t="s">
        <v>429</v>
      </c>
      <c r="B48" s="91" t="s">
        <v>411</v>
      </c>
      <c r="C48" s="83">
        <f>454*22</f>
        <v>9988</v>
      </c>
      <c r="D48" s="83">
        <f>625*22</f>
        <v>13750</v>
      </c>
      <c r="E48" s="83">
        <f>D48*1.2</f>
        <v>16500</v>
      </c>
      <c r="H48" s="83"/>
    </row>
    <row r="49" spans="1:8" s="82" customFormat="1" x14ac:dyDescent="0.35">
      <c r="A49" s="91" t="s">
        <v>430</v>
      </c>
      <c r="B49" s="91" t="s">
        <v>411</v>
      </c>
      <c r="C49" s="83">
        <v>1500</v>
      </c>
      <c r="D49" s="83"/>
      <c r="E49" s="83"/>
      <c r="H49" s="83"/>
    </row>
    <row r="50" spans="1:8" s="82" customFormat="1" x14ac:dyDescent="0.35">
      <c r="A50" s="91" t="s">
        <v>431</v>
      </c>
      <c r="B50" s="91" t="s">
        <v>403</v>
      </c>
      <c r="C50" s="83">
        <v>230712</v>
      </c>
      <c r="D50" s="83"/>
      <c r="E50" s="83"/>
      <c r="H50" s="83"/>
    </row>
    <row r="51" spans="1:8" s="82" customFormat="1" x14ac:dyDescent="0.35">
      <c r="A51" s="91" t="s">
        <v>432</v>
      </c>
      <c r="B51" s="91" t="s">
        <v>433</v>
      </c>
      <c r="C51" s="83">
        <v>1250000</v>
      </c>
      <c r="D51" s="83"/>
      <c r="E51" s="83"/>
      <c r="H51" s="83"/>
    </row>
    <row r="52" spans="1:8" x14ac:dyDescent="0.35">
      <c r="A52" s="818" t="s">
        <v>434</v>
      </c>
      <c r="B52" s="818"/>
      <c r="C52" s="817">
        <f>140*22</f>
        <v>3080</v>
      </c>
      <c r="D52" s="817"/>
      <c r="E52" s="817">
        <f>D52*1.25</f>
        <v>0</v>
      </c>
      <c r="F52" s="816"/>
      <c r="G52" s="816"/>
      <c r="H52" s="817"/>
    </row>
    <row r="53" spans="1:8" x14ac:dyDescent="0.35">
      <c r="A53" s="818" t="s">
        <v>435</v>
      </c>
      <c r="B53" s="818"/>
      <c r="C53" s="817">
        <f>600*22</f>
        <v>13200</v>
      </c>
      <c r="D53" s="817">
        <f>771*22</f>
        <v>16962</v>
      </c>
      <c r="E53" s="817">
        <f>D53*1.2</f>
        <v>20354.399999999998</v>
      </c>
      <c r="F53" s="816"/>
      <c r="G53" s="816"/>
      <c r="H53" s="817"/>
    </row>
    <row r="54" spans="1:8" x14ac:dyDescent="0.35">
      <c r="A54" s="818" t="s">
        <v>436</v>
      </c>
      <c r="B54" s="818"/>
      <c r="C54" s="817">
        <f>454*22</f>
        <v>9988</v>
      </c>
      <c r="D54" s="817">
        <f>625*22</f>
        <v>13750</v>
      </c>
      <c r="E54" s="817">
        <f>D54*1.2</f>
        <v>16500</v>
      </c>
      <c r="F54" s="816"/>
      <c r="G54" s="816"/>
      <c r="H54" s="816"/>
    </row>
    <row r="55" spans="1:8" ht="29.15" customHeight="1" x14ac:dyDescent="0.35">
      <c r="A55" s="818" t="s">
        <v>437</v>
      </c>
      <c r="B55" s="818"/>
      <c r="C55" s="817">
        <v>3500</v>
      </c>
      <c r="D55" s="817"/>
      <c r="E55" s="817"/>
      <c r="F55" s="816"/>
      <c r="G55" s="816"/>
      <c r="H55" s="816"/>
    </row>
    <row r="56" spans="1:8" x14ac:dyDescent="0.35">
      <c r="A56" s="819" t="s">
        <v>438</v>
      </c>
      <c r="B56" s="819"/>
      <c r="C56" s="817">
        <v>1500</v>
      </c>
      <c r="D56" s="817"/>
      <c r="E56" s="816"/>
      <c r="F56" s="816"/>
      <c r="G56" s="816"/>
      <c r="H56" s="816"/>
    </row>
    <row r="57" spans="1:8" ht="19.399999999999999" customHeight="1" x14ac:dyDescent="0.35">
      <c r="A57" s="818" t="s">
        <v>439</v>
      </c>
      <c r="B57" s="818"/>
      <c r="C57" s="817">
        <f>C52*1.25</f>
        <v>3850</v>
      </c>
      <c r="D57" s="817"/>
      <c r="E57" s="817">
        <f>C57*1.2</f>
        <v>4620</v>
      </c>
      <c r="F57" s="816"/>
      <c r="G57" s="816"/>
      <c r="H57" s="816"/>
    </row>
    <row r="58" spans="1:8" x14ac:dyDescent="0.35">
      <c r="A58" s="818" t="s">
        <v>440</v>
      </c>
      <c r="B58" s="818"/>
      <c r="C58" s="817">
        <v>400</v>
      </c>
      <c r="D58" s="817"/>
      <c r="E58" s="816"/>
      <c r="F58" s="816"/>
      <c r="G58" s="816"/>
      <c r="H58" s="816"/>
    </row>
    <row r="59" spans="1:8" x14ac:dyDescent="0.35">
      <c r="A59" s="818"/>
      <c r="B59" s="818"/>
      <c r="C59" s="817"/>
      <c r="D59" s="817"/>
      <c r="E59" s="816"/>
      <c r="F59" s="816"/>
      <c r="G59" s="816"/>
      <c r="H59" s="816"/>
    </row>
    <row r="60" spans="1:8" x14ac:dyDescent="0.35">
      <c r="A60" s="820" t="s">
        <v>441</v>
      </c>
      <c r="B60" s="820"/>
      <c r="C60" s="821">
        <v>50000</v>
      </c>
      <c r="D60" s="821"/>
      <c r="E60" s="821"/>
      <c r="F60" s="816"/>
      <c r="G60" s="816"/>
      <c r="H60" s="816"/>
    </row>
    <row r="61" spans="1:8" x14ac:dyDescent="0.35">
      <c r="A61" s="820" t="s">
        <v>442</v>
      </c>
      <c r="B61" s="820"/>
      <c r="C61" s="821">
        <v>65500</v>
      </c>
      <c r="D61" s="821" t="s">
        <v>443</v>
      </c>
      <c r="E61" s="821"/>
      <c r="F61" s="816"/>
      <c r="G61" s="816"/>
      <c r="H61" s="816"/>
    </row>
    <row r="62" spans="1:8" x14ac:dyDescent="0.35">
      <c r="A62" s="820" t="s">
        <v>444</v>
      </c>
      <c r="B62" s="820"/>
      <c r="C62" s="821">
        <v>300000</v>
      </c>
      <c r="D62" s="821"/>
      <c r="E62" s="821"/>
      <c r="F62" s="816"/>
      <c r="G62" s="816"/>
      <c r="H62" s="816"/>
    </row>
    <row r="63" spans="1:8" x14ac:dyDescent="0.35">
      <c r="A63" s="820" t="s">
        <v>445</v>
      </c>
      <c r="B63" s="820"/>
      <c r="C63" s="821">
        <v>30000</v>
      </c>
      <c r="D63" s="821"/>
      <c r="E63" s="821"/>
      <c r="F63" s="816"/>
      <c r="G63" s="816"/>
      <c r="H63" s="816"/>
    </row>
    <row r="64" spans="1:8" x14ac:dyDescent="0.35">
      <c r="A64" s="820" t="s">
        <v>446</v>
      </c>
      <c r="B64" s="820"/>
      <c r="C64" s="821">
        <v>100000</v>
      </c>
      <c r="D64" s="821"/>
      <c r="E64" s="821"/>
      <c r="F64" s="816"/>
      <c r="G64" s="816"/>
      <c r="H64" s="816"/>
    </row>
    <row r="65" spans="1:5" x14ac:dyDescent="0.35">
      <c r="A65" s="820" t="s">
        <v>447</v>
      </c>
      <c r="B65" s="820"/>
      <c r="C65" s="821">
        <v>60000</v>
      </c>
      <c r="D65" s="821"/>
      <c r="E65" s="821"/>
    </row>
    <row r="66" spans="1:5" x14ac:dyDescent="0.35">
      <c r="A66" s="820" t="s">
        <v>448</v>
      </c>
      <c r="B66" s="820"/>
      <c r="C66" s="821">
        <v>15000</v>
      </c>
      <c r="D66" s="821" t="s">
        <v>449</v>
      </c>
      <c r="E66" s="821"/>
    </row>
    <row r="67" spans="1:5" x14ac:dyDescent="0.35">
      <c r="A67" s="820" t="s">
        <v>450</v>
      </c>
      <c r="B67" s="820"/>
      <c r="C67" s="821">
        <v>1500</v>
      </c>
      <c r="D67" s="821"/>
      <c r="E67" s="821"/>
    </row>
    <row r="68" spans="1:5" x14ac:dyDescent="0.35">
      <c r="A68" s="820" t="s">
        <v>451</v>
      </c>
      <c r="B68" s="820"/>
      <c r="C68" s="821">
        <v>13000</v>
      </c>
      <c r="D68" s="821"/>
      <c r="E68" s="821"/>
    </row>
    <row r="69" spans="1:5" x14ac:dyDescent="0.35">
      <c r="A69" s="820" t="s">
        <v>452</v>
      </c>
      <c r="B69" s="820"/>
      <c r="C69" s="821">
        <v>200000</v>
      </c>
      <c r="D69" s="821"/>
      <c r="E69" s="821"/>
    </row>
    <row r="70" spans="1:5" x14ac:dyDescent="0.35">
      <c r="A70" s="820" t="s">
        <v>453</v>
      </c>
      <c r="B70" s="820"/>
      <c r="C70" s="821">
        <v>200000</v>
      </c>
      <c r="D70" s="821"/>
      <c r="E70" s="821"/>
    </row>
    <row r="71" spans="1:5" x14ac:dyDescent="0.35">
      <c r="A71" s="820" t="s">
        <v>454</v>
      </c>
      <c r="B71" s="820"/>
      <c r="C71" s="821">
        <v>300000</v>
      </c>
      <c r="D71" s="821"/>
      <c r="E71" s="821"/>
    </row>
    <row r="72" spans="1:5" x14ac:dyDescent="0.35">
      <c r="A72" s="820" t="s">
        <v>455</v>
      </c>
      <c r="B72" s="820"/>
      <c r="C72" s="821">
        <v>800000</v>
      </c>
      <c r="D72" s="821"/>
      <c r="E72" s="821"/>
    </row>
    <row r="73" spans="1:5" x14ac:dyDescent="0.35">
      <c r="A73" s="820" t="s">
        <v>456</v>
      </c>
      <c r="B73" s="820"/>
      <c r="C73" s="821">
        <v>1000</v>
      </c>
      <c r="D73" s="821"/>
      <c r="E73" s="821"/>
    </row>
    <row r="74" spans="1:5" ht="29" x14ac:dyDescent="0.35">
      <c r="A74" s="820" t="s">
        <v>457</v>
      </c>
      <c r="B74" s="820"/>
      <c r="C74" s="821">
        <v>520000</v>
      </c>
      <c r="D74" s="821"/>
      <c r="E74" s="821"/>
    </row>
    <row r="75" spans="1:5" x14ac:dyDescent="0.35">
      <c r="A75" s="820" t="s">
        <v>458</v>
      </c>
      <c r="B75" s="820"/>
      <c r="C75" s="821">
        <v>150000</v>
      </c>
      <c r="D75" s="821"/>
      <c r="E75" s="821"/>
    </row>
    <row r="76" spans="1:5" x14ac:dyDescent="0.35">
      <c r="A76" s="820" t="s">
        <v>459</v>
      </c>
      <c r="B76" s="820"/>
      <c r="C76" s="821">
        <v>2000</v>
      </c>
      <c r="D76" s="816"/>
      <c r="E76" s="816"/>
    </row>
    <row r="77" spans="1:5" x14ac:dyDescent="0.35">
      <c r="A77" s="820" t="s">
        <v>460</v>
      </c>
      <c r="B77" s="820"/>
      <c r="C77" s="821">
        <v>18000</v>
      </c>
      <c r="D77" s="816"/>
      <c r="E77" s="816"/>
    </row>
    <row r="78" spans="1:5" x14ac:dyDescent="0.35">
      <c r="A78" s="820" t="s">
        <v>461</v>
      </c>
      <c r="B78" s="820"/>
      <c r="C78" s="821">
        <v>8000</v>
      </c>
      <c r="D78" s="816"/>
      <c r="E78" s="816"/>
    </row>
    <row r="79" spans="1:5" x14ac:dyDescent="0.35">
      <c r="A79" s="820" t="s">
        <v>462</v>
      </c>
      <c r="B79" s="820"/>
      <c r="C79" s="821">
        <v>7</v>
      </c>
      <c r="D79" s="816"/>
      <c r="E79" s="816"/>
    </row>
    <row r="80" spans="1:5" x14ac:dyDescent="0.35">
      <c r="A80" s="820" t="s">
        <v>463</v>
      </c>
      <c r="B80" s="820"/>
      <c r="C80" s="821">
        <v>2000</v>
      </c>
      <c r="D80" s="816"/>
      <c r="E80" s="816"/>
    </row>
    <row r="81" spans="1:5" x14ac:dyDescent="0.35">
      <c r="A81" s="820" t="s">
        <v>464</v>
      </c>
      <c r="B81" s="820"/>
      <c r="C81" s="821">
        <v>40</v>
      </c>
      <c r="D81" s="816"/>
      <c r="E81" s="816"/>
    </row>
    <row r="82" spans="1:5" x14ac:dyDescent="0.35">
      <c r="A82" s="820" t="s">
        <v>465</v>
      </c>
      <c r="B82" s="820"/>
      <c r="C82" s="821">
        <v>20</v>
      </c>
      <c r="D82" s="816"/>
      <c r="E82" s="816"/>
    </row>
    <row r="83" spans="1:5" x14ac:dyDescent="0.35">
      <c r="A83" s="820" t="s">
        <v>466</v>
      </c>
      <c r="B83" s="820"/>
      <c r="C83" s="821">
        <v>10000</v>
      </c>
      <c r="D83" s="816"/>
      <c r="E83" s="816"/>
    </row>
    <row r="84" spans="1:5" x14ac:dyDescent="0.35">
      <c r="A84" s="818" t="s">
        <v>467</v>
      </c>
      <c r="B84" s="818"/>
      <c r="C84" s="816">
        <v>2800</v>
      </c>
      <c r="D84" s="816"/>
      <c r="E84" s="816"/>
    </row>
    <row r="85" spans="1:5" x14ac:dyDescent="0.35">
      <c r="A85" s="818" t="s">
        <v>468</v>
      </c>
      <c r="B85" s="818"/>
      <c r="C85" s="816">
        <v>4375000</v>
      </c>
      <c r="D85" s="816"/>
      <c r="E85" s="816"/>
    </row>
    <row r="86" spans="1:5" ht="29" x14ac:dyDescent="0.35">
      <c r="A86" s="819" t="s">
        <v>469</v>
      </c>
      <c r="B86" s="818" t="s">
        <v>470</v>
      </c>
      <c r="C86" s="816">
        <v>200000</v>
      </c>
      <c r="D86" s="816"/>
      <c r="E86" s="816"/>
    </row>
    <row r="87" spans="1:5" x14ac:dyDescent="0.35">
      <c r="A87" s="819" t="s">
        <v>471</v>
      </c>
      <c r="B87" s="818" t="s">
        <v>472</v>
      </c>
      <c r="C87" s="816">
        <f>1500*1.4</f>
        <v>2100</v>
      </c>
      <c r="D87" s="816"/>
      <c r="E87" s="816"/>
    </row>
    <row r="88" spans="1:5" ht="29" x14ac:dyDescent="0.35">
      <c r="A88" s="819" t="s">
        <v>473</v>
      </c>
      <c r="B88" s="818" t="s">
        <v>472</v>
      </c>
      <c r="C88" s="816">
        <v>8000</v>
      </c>
      <c r="D88" s="816"/>
      <c r="E88" s="816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397"/>
  <sheetViews>
    <sheetView zoomScaleNormal="100" zoomScalePageLayoutView="115" workbookViewId="0">
      <selection activeCell="B2" sqref="B2:H2"/>
    </sheetView>
  </sheetViews>
  <sheetFormatPr defaultColWidth="8.58203125" defaultRowHeight="15.5" x14ac:dyDescent="0.35"/>
  <cols>
    <col min="1" max="1" width="42.08203125" style="42" customWidth="1"/>
    <col min="2" max="3" width="7.08203125" style="42" customWidth="1"/>
    <col min="4" max="4" width="8.33203125" style="42" customWidth="1"/>
    <col min="5" max="5" width="7.08203125" style="42" customWidth="1"/>
    <col min="6" max="6" width="7.83203125" style="42" customWidth="1"/>
    <col min="7" max="8" width="7.08203125" style="42" customWidth="1"/>
    <col min="9" max="9" width="6.58203125" style="81" customWidth="1"/>
    <col min="10" max="10" width="6" style="81" customWidth="1"/>
    <col min="11" max="11" width="7.08203125" style="81" customWidth="1"/>
    <col min="12" max="12" width="6" style="81" customWidth="1"/>
    <col min="13" max="13" width="7.58203125" style="42" customWidth="1"/>
    <col min="14" max="14" width="5.58203125" style="42" customWidth="1"/>
    <col min="15" max="15" width="16.08203125" style="42" customWidth="1"/>
    <col min="16" max="16" width="11.08203125" style="42" customWidth="1"/>
    <col min="17" max="17" width="11" style="42" customWidth="1"/>
    <col min="18" max="18" width="10.58203125" style="42" customWidth="1"/>
    <col min="19" max="19" width="11.83203125" customWidth="1"/>
    <col min="20" max="20" width="12.08203125" customWidth="1"/>
  </cols>
  <sheetData>
    <row r="1" spans="1:16" ht="16" thickBot="1" x14ac:dyDescent="0.4">
      <c r="A1" s="1045" t="s">
        <v>474</v>
      </c>
      <c r="B1" s="1046"/>
      <c r="C1" s="1046"/>
      <c r="D1" s="1046"/>
      <c r="E1" s="1046"/>
      <c r="F1" s="1046"/>
      <c r="G1" s="1046"/>
      <c r="H1" s="1046"/>
      <c r="I1" s="1046"/>
      <c r="J1" s="1046"/>
      <c r="K1" s="1046"/>
      <c r="L1" s="1046"/>
      <c r="M1" s="1046"/>
      <c r="N1" s="1046"/>
    </row>
    <row r="2" spans="1:16" ht="12" customHeight="1" x14ac:dyDescent="0.35">
      <c r="A2" s="1047" t="s">
        <v>364</v>
      </c>
      <c r="B2" s="1049" t="s">
        <v>4</v>
      </c>
      <c r="C2" s="1050"/>
      <c r="D2" s="1050"/>
      <c r="E2" s="1050"/>
      <c r="F2" s="1050"/>
      <c r="G2" s="1050"/>
      <c r="H2" s="1050"/>
      <c r="I2" s="1047" t="s">
        <v>475</v>
      </c>
      <c r="J2" s="1047" t="s">
        <v>476</v>
      </c>
      <c r="K2" s="1047" t="s">
        <v>477</v>
      </c>
      <c r="L2" s="1047" t="s">
        <v>478</v>
      </c>
      <c r="M2" s="1047" t="s">
        <v>316</v>
      </c>
      <c r="N2" s="1047" t="s">
        <v>322</v>
      </c>
    </row>
    <row r="3" spans="1:16" ht="10.4" customHeight="1" thickBot="1" x14ac:dyDescent="0.4">
      <c r="A3" s="1048"/>
      <c r="B3" s="403" t="s">
        <v>479</v>
      </c>
      <c r="C3" s="43" t="s">
        <v>480</v>
      </c>
      <c r="D3" s="43" t="s">
        <v>481</v>
      </c>
      <c r="E3" s="43" t="s">
        <v>482</v>
      </c>
      <c r="F3" s="43" t="s">
        <v>483</v>
      </c>
      <c r="G3" s="43" t="s">
        <v>484</v>
      </c>
      <c r="H3" s="43" t="s">
        <v>485</v>
      </c>
      <c r="I3" s="1051"/>
      <c r="J3" s="1052"/>
      <c r="K3" s="1052"/>
      <c r="L3" s="1052"/>
      <c r="M3" s="1052"/>
      <c r="N3" s="1052"/>
    </row>
    <row r="4" spans="1:16" ht="16" thickBot="1" x14ac:dyDescent="0.4">
      <c r="A4" s="44" t="s">
        <v>486</v>
      </c>
      <c r="B4" s="45" t="e">
        <f>B5+B8</f>
        <v>#REF!</v>
      </c>
      <c r="C4" s="45" t="e">
        <f t="shared" ref="C4:L4" si="0">C5+C8</f>
        <v>#REF!</v>
      </c>
      <c r="D4" s="45" t="e">
        <f t="shared" si="0"/>
        <v>#REF!</v>
      </c>
      <c r="E4" s="45">
        <f t="shared" si="0"/>
        <v>1100000</v>
      </c>
      <c r="F4" s="45" t="e">
        <f t="shared" si="0"/>
        <v>#REF!</v>
      </c>
      <c r="G4" s="45" t="e">
        <f t="shared" si="0"/>
        <v>#REF!</v>
      </c>
      <c r="H4" s="45" t="e">
        <f t="shared" si="0"/>
        <v>#REF!</v>
      </c>
      <c r="I4" s="45" t="e">
        <f t="shared" si="0"/>
        <v>#REF!</v>
      </c>
      <c r="J4" s="45" t="e">
        <f t="shared" si="0"/>
        <v>#REF!</v>
      </c>
      <c r="K4" s="45" t="e">
        <f t="shared" si="0"/>
        <v>#REF!</v>
      </c>
      <c r="L4" s="45" t="e">
        <f t="shared" si="0"/>
        <v>#REF!</v>
      </c>
      <c r="M4" s="45" t="e">
        <f>SUM(B4:L4)</f>
        <v>#REF!</v>
      </c>
      <c r="N4" s="46" t="e">
        <f t="shared" ref="N4:N23" si="1">M4/$M$24*100</f>
        <v>#REF!</v>
      </c>
      <c r="O4" s="822"/>
      <c r="P4" s="47"/>
    </row>
    <row r="5" spans="1:16" ht="41.5" customHeight="1" thickBot="1" x14ac:dyDescent="0.4">
      <c r="A5" s="48" t="e">
        <v>#REF!</v>
      </c>
      <c r="B5" s="45" t="e">
        <f t="shared" ref="B5:L5" si="2">SUM(B6:B7)</f>
        <v>#REF!</v>
      </c>
      <c r="C5" s="45" t="e">
        <f t="shared" si="2"/>
        <v>#REF!</v>
      </c>
      <c r="D5" s="45">
        <f t="shared" si="2"/>
        <v>0</v>
      </c>
      <c r="E5" s="45">
        <f t="shared" si="2"/>
        <v>0</v>
      </c>
      <c r="F5" s="45">
        <f t="shared" si="2"/>
        <v>0</v>
      </c>
      <c r="G5" s="45">
        <f t="shared" si="2"/>
        <v>0</v>
      </c>
      <c r="H5" s="45">
        <f t="shared" si="2"/>
        <v>0</v>
      </c>
      <c r="I5" s="45" t="e">
        <f t="shared" si="2"/>
        <v>#REF!</v>
      </c>
      <c r="J5" s="45" t="e">
        <f t="shared" si="2"/>
        <v>#REF!</v>
      </c>
      <c r="K5" s="45">
        <f t="shared" si="2"/>
        <v>0</v>
      </c>
      <c r="L5" s="45">
        <f t="shared" si="2"/>
        <v>0</v>
      </c>
      <c r="M5" s="45" t="e">
        <f t="shared" ref="M5:M25" si="3">SUM(B5:L5)</f>
        <v>#REF!</v>
      </c>
      <c r="N5" s="46" t="e">
        <f t="shared" si="1"/>
        <v>#REF!</v>
      </c>
    </row>
    <row r="6" spans="1:16" ht="41.5" customHeight="1" thickBot="1" x14ac:dyDescent="0.4">
      <c r="A6" s="48" t="e">
        <v>#REF!</v>
      </c>
      <c r="B6" s="45" t="e">
        <v>#REF!</v>
      </c>
      <c r="C6" s="45"/>
      <c r="D6" s="45"/>
      <c r="E6" s="45"/>
      <c r="F6" s="45"/>
      <c r="G6" s="45"/>
      <c r="H6" s="45"/>
      <c r="I6" s="45" t="e">
        <v>#REF!</v>
      </c>
      <c r="J6" s="45"/>
      <c r="K6" s="45"/>
      <c r="L6" s="45"/>
      <c r="M6" s="45" t="e">
        <f t="shared" si="3"/>
        <v>#REF!</v>
      </c>
      <c r="N6" s="46" t="e">
        <f t="shared" si="1"/>
        <v>#REF!</v>
      </c>
    </row>
    <row r="7" spans="1:16" ht="43.4" customHeight="1" thickBot="1" x14ac:dyDescent="0.4">
      <c r="A7" s="48" t="e">
        <v>#REF!</v>
      </c>
      <c r="B7" s="45" t="e">
        <v>#REF!</v>
      </c>
      <c r="C7" s="45" t="e">
        <v>#REF!</v>
      </c>
      <c r="D7" s="45"/>
      <c r="E7" s="45"/>
      <c r="F7" s="45"/>
      <c r="G7" s="45"/>
      <c r="H7" s="45"/>
      <c r="I7" s="45" t="e">
        <v>#REF!</v>
      </c>
      <c r="J7" s="45" t="e">
        <v>#REF!</v>
      </c>
      <c r="K7" s="45"/>
      <c r="L7" s="45"/>
      <c r="M7" s="45" t="e">
        <f t="shared" si="3"/>
        <v>#REF!</v>
      </c>
      <c r="N7" s="46" t="e">
        <f t="shared" si="1"/>
        <v>#REF!</v>
      </c>
    </row>
    <row r="8" spans="1:16" ht="41.15" customHeight="1" thickBot="1" x14ac:dyDescent="0.4">
      <c r="A8" s="48" t="e">
        <v>#REF!</v>
      </c>
      <c r="B8" s="45" t="e">
        <v>#REF!</v>
      </c>
      <c r="C8" s="45" t="e">
        <v>#REF!</v>
      </c>
      <c r="D8" s="45" t="e">
        <v>#REF!</v>
      </c>
      <c r="E8" s="45">
        <f>'[2]1. Detailed Budget'!N40+'[2]1. Detailed Budget'!N41</f>
        <v>1100000</v>
      </c>
      <c r="F8" s="49" t="e">
        <v>#REF!</v>
      </c>
      <c r="G8" s="45" t="e">
        <v>#REF!</v>
      </c>
      <c r="H8" s="45" t="e">
        <v>#REF!</v>
      </c>
      <c r="I8" s="45" t="e">
        <f>B8*0.12</f>
        <v>#REF!</v>
      </c>
      <c r="J8" s="45"/>
      <c r="K8" s="45" t="e">
        <v>#REF!</v>
      </c>
      <c r="L8" s="45" t="e">
        <v>#REF!</v>
      </c>
      <c r="M8" s="45" t="e">
        <f>SUM(B8:L8)</f>
        <v>#REF!</v>
      </c>
      <c r="N8" s="46" t="e">
        <f t="shared" si="1"/>
        <v>#REF!</v>
      </c>
    </row>
    <row r="9" spans="1:16" ht="41.15" customHeight="1" thickBot="1" x14ac:dyDescent="0.4">
      <c r="A9" s="48" t="e">
        <v>#REF!</v>
      </c>
      <c r="B9" s="45"/>
      <c r="C9" s="45" t="e">
        <v>#REF!</v>
      </c>
      <c r="D9" s="45" t="e">
        <f>D8</f>
        <v>#REF!</v>
      </c>
      <c r="E9" s="45">
        <f>E8</f>
        <v>1100000</v>
      </c>
      <c r="F9" s="49" t="e">
        <v>#REF!</v>
      </c>
      <c r="G9" s="45" t="e">
        <v>#REF!</v>
      </c>
      <c r="H9" s="45"/>
      <c r="I9" s="45">
        <f>B9*0.12</f>
        <v>0</v>
      </c>
      <c r="J9" s="45"/>
      <c r="K9" s="45" t="e">
        <f>K8</f>
        <v>#REF!</v>
      </c>
      <c r="L9" s="45" t="e">
        <f>L8</f>
        <v>#REF!</v>
      </c>
      <c r="M9" s="45" t="e">
        <f>SUM(B9:L9)</f>
        <v>#REF!</v>
      </c>
      <c r="N9" s="46" t="e">
        <f t="shared" si="1"/>
        <v>#REF!</v>
      </c>
    </row>
    <row r="10" spans="1:16" ht="41.15" customHeight="1" thickBot="1" x14ac:dyDescent="0.4">
      <c r="A10" s="48" t="e">
        <v>#REF!</v>
      </c>
      <c r="B10" s="45" t="e">
        <v>#REF!</v>
      </c>
      <c r="C10" s="45" t="e">
        <v>#REF!</v>
      </c>
      <c r="D10" s="45"/>
      <c r="E10" s="45">
        <f>'[2]1. Detailed Budget'!N42+'[2]1. Detailed Budget'!N43</f>
        <v>0</v>
      </c>
      <c r="F10" s="49" t="e">
        <v>#REF!</v>
      </c>
      <c r="G10" s="45" t="e">
        <v>#REF!</v>
      </c>
      <c r="H10" s="45" t="e">
        <v>#REF!</v>
      </c>
      <c r="I10" s="45" t="e">
        <f>B10*0.12</f>
        <v>#REF!</v>
      </c>
      <c r="J10" s="45"/>
      <c r="K10" s="45"/>
      <c r="L10" s="45" t="e">
        <v>#REF!</v>
      </c>
      <c r="M10" s="45" t="e">
        <f>SUM(B10:L10)</f>
        <v>#REF!</v>
      </c>
      <c r="N10" s="46" t="e">
        <f t="shared" si="1"/>
        <v>#REF!</v>
      </c>
    </row>
    <row r="11" spans="1:16" ht="16" thickBot="1" x14ac:dyDescent="0.4">
      <c r="A11" s="44" t="s">
        <v>487</v>
      </c>
      <c r="B11" s="45" t="e">
        <f>SUM(B12:B22)</f>
        <v>#REF!</v>
      </c>
      <c r="C11" s="45"/>
      <c r="D11" s="45"/>
      <c r="E11" s="45"/>
      <c r="F11" s="45"/>
      <c r="G11" s="45"/>
      <c r="H11" s="45"/>
      <c r="I11" s="45" t="e">
        <f>SUM(I12:I22)</f>
        <v>#REF!</v>
      </c>
      <c r="J11" s="45"/>
      <c r="K11" s="45"/>
      <c r="L11" s="45"/>
      <c r="M11" s="45" t="e">
        <f>SUM(B11:L11)</f>
        <v>#REF!</v>
      </c>
      <c r="N11" s="46" t="e">
        <f t="shared" si="1"/>
        <v>#REF!</v>
      </c>
    </row>
    <row r="12" spans="1:16" ht="16" thickBot="1" x14ac:dyDescent="0.4">
      <c r="A12" s="50" t="str">
        <f>'[2]1. Detailed Budget'!A50</f>
        <v>Coordinador Operativo</v>
      </c>
      <c r="B12" s="45" t="e">
        <v>#REF!</v>
      </c>
      <c r="C12" s="45"/>
      <c r="D12" s="45"/>
      <c r="E12" s="45"/>
      <c r="F12" s="45"/>
      <c r="G12" s="45"/>
      <c r="H12" s="45"/>
      <c r="I12" s="45" t="e">
        <v>#REF!</v>
      </c>
      <c r="J12" s="45"/>
      <c r="K12" s="45"/>
      <c r="L12" s="45"/>
      <c r="M12" s="45" t="e">
        <f t="shared" si="3"/>
        <v>#REF!</v>
      </c>
      <c r="N12" s="46" t="e">
        <f t="shared" si="1"/>
        <v>#REF!</v>
      </c>
    </row>
    <row r="13" spans="1:16" ht="16" thickBot="1" x14ac:dyDescent="0.4">
      <c r="A13" s="50" t="str">
        <f>'[2]1. Detailed Budget'!A51</f>
        <v xml:space="preserve">Experto financiero </v>
      </c>
      <c r="B13" s="45" t="e">
        <v>#REF!</v>
      </c>
      <c r="C13" s="45"/>
      <c r="D13" s="45"/>
      <c r="E13" s="45"/>
      <c r="F13" s="45"/>
      <c r="G13" s="45"/>
      <c r="H13" s="45"/>
      <c r="I13" s="45" t="e">
        <v>#REF!</v>
      </c>
      <c r="J13" s="45"/>
      <c r="K13" s="45"/>
      <c r="L13" s="45"/>
      <c r="M13" s="45" t="e">
        <f t="shared" si="3"/>
        <v>#REF!</v>
      </c>
      <c r="N13" s="46" t="e">
        <f t="shared" si="1"/>
        <v>#REF!</v>
      </c>
    </row>
    <row r="14" spans="1:16" ht="16" thickBot="1" x14ac:dyDescent="0.4">
      <c r="A14" s="50" t="str">
        <f>'[2]1. Detailed Budget'!A52</f>
        <v xml:space="preserve">Experto Adquisiciones </v>
      </c>
      <c r="B14" s="45" t="e">
        <v>#REF!</v>
      </c>
      <c r="C14" s="45"/>
      <c r="D14" s="45"/>
      <c r="E14" s="45"/>
      <c r="F14" s="45"/>
      <c r="G14" s="45"/>
      <c r="H14" s="45"/>
      <c r="I14" s="45" t="e">
        <v>#REF!</v>
      </c>
      <c r="J14" s="45"/>
      <c r="K14" s="45"/>
      <c r="L14" s="45"/>
      <c r="M14" s="45" t="e">
        <f t="shared" si="3"/>
        <v>#REF!</v>
      </c>
      <c r="N14" s="46" t="e">
        <f t="shared" si="1"/>
        <v>#REF!</v>
      </c>
    </row>
    <row r="15" spans="1:16" ht="16" thickBot="1" x14ac:dyDescent="0.4">
      <c r="A15" s="50" t="str">
        <f>'[2]1. Detailed Budget'!A53</f>
        <v xml:space="preserve">Monitoreo y Planificación </v>
      </c>
      <c r="B15" s="45" t="e">
        <v>#REF!</v>
      </c>
      <c r="C15" s="45"/>
      <c r="D15" s="45"/>
      <c r="E15" s="45"/>
      <c r="F15" s="45"/>
      <c r="G15" s="45"/>
      <c r="H15" s="45"/>
      <c r="I15" s="45" t="e">
        <v>#REF!</v>
      </c>
      <c r="J15" s="45"/>
      <c r="K15" s="45"/>
      <c r="L15" s="45"/>
      <c r="M15" s="45" t="e">
        <f t="shared" si="3"/>
        <v>#REF!</v>
      </c>
      <c r="N15" s="46" t="e">
        <f t="shared" si="1"/>
        <v>#REF!</v>
      </c>
    </row>
    <row r="16" spans="1:16" ht="16" thickBot="1" x14ac:dyDescent="0.4">
      <c r="A16" s="50" t="str">
        <f>'[2]1. Detailed Budget'!A54</f>
        <v xml:space="preserve">Apoyo ejecución </v>
      </c>
      <c r="B16" s="45" t="e">
        <v>#REF!</v>
      </c>
      <c r="C16" s="45"/>
      <c r="D16" s="45"/>
      <c r="E16" s="45"/>
      <c r="F16" s="45"/>
      <c r="G16" s="45"/>
      <c r="H16" s="45"/>
      <c r="I16" s="45" t="e">
        <v>#REF!</v>
      </c>
      <c r="J16" s="45"/>
      <c r="K16" s="45"/>
      <c r="L16" s="45"/>
      <c r="M16" s="45" t="e">
        <f t="shared" si="3"/>
        <v>#REF!</v>
      </c>
      <c r="N16" s="46" t="e">
        <f t="shared" si="1"/>
        <v>#REF!</v>
      </c>
    </row>
    <row r="17" spans="1:19" ht="16" thickBot="1" x14ac:dyDescent="0.4">
      <c r="A17" s="50" t="str">
        <f>'[2]1. Detailed Budget'!A55</f>
        <v xml:space="preserve">Experto Legal </v>
      </c>
      <c r="B17" s="45" t="e">
        <v>#REF!</v>
      </c>
      <c r="C17" s="45"/>
      <c r="D17" s="45"/>
      <c r="E17" s="45"/>
      <c r="F17" s="45"/>
      <c r="G17" s="45"/>
      <c r="H17" s="45"/>
      <c r="I17" s="45" t="e">
        <v>#REF!</v>
      </c>
      <c r="J17" s="45"/>
      <c r="K17" s="45"/>
      <c r="L17" s="45"/>
      <c r="M17" s="45" t="e">
        <f t="shared" si="3"/>
        <v>#REF!</v>
      </c>
      <c r="N17" s="46" t="e">
        <f t="shared" si="1"/>
        <v>#REF!</v>
      </c>
    </row>
    <row r="18" spans="1:19" ht="16" thickBot="1" x14ac:dyDescent="0.4">
      <c r="A18" s="50" t="str">
        <f>'[2]1. Detailed Budget'!A56</f>
        <v>Experto hidrocarburos</v>
      </c>
      <c r="B18" s="45" t="e">
        <v>#REF!</v>
      </c>
      <c r="C18" s="45"/>
      <c r="D18" s="45"/>
      <c r="E18" s="45"/>
      <c r="F18" s="45"/>
      <c r="G18" s="45"/>
      <c r="H18" s="45"/>
      <c r="I18" s="45" t="e">
        <v>#REF!</v>
      </c>
      <c r="J18" s="45"/>
      <c r="K18" s="45"/>
      <c r="L18" s="45"/>
      <c r="M18" s="45" t="e">
        <f t="shared" si="3"/>
        <v>#REF!</v>
      </c>
      <c r="N18" s="46" t="e">
        <f t="shared" si="1"/>
        <v>#REF!</v>
      </c>
    </row>
    <row r="19" spans="1:19" ht="16" thickBot="1" x14ac:dyDescent="0.4">
      <c r="A19" s="50" t="str">
        <f>'[2]1. Detailed Budget'!A57</f>
        <v>Experto Energía</v>
      </c>
      <c r="B19" s="45" t="e">
        <v>#REF!</v>
      </c>
      <c r="C19" s="45"/>
      <c r="D19" s="45"/>
      <c r="E19" s="45"/>
      <c r="F19" s="45"/>
      <c r="G19" s="45"/>
      <c r="H19" s="45"/>
      <c r="I19" s="45" t="e">
        <v>#REF!</v>
      </c>
      <c r="J19" s="45"/>
      <c r="K19" s="45"/>
      <c r="L19" s="45"/>
      <c r="M19" s="45" t="e">
        <f t="shared" si="3"/>
        <v>#REF!</v>
      </c>
      <c r="N19" s="46" t="e">
        <f t="shared" si="1"/>
        <v>#REF!</v>
      </c>
    </row>
    <row r="20" spans="1:19" ht="16" thickBot="1" x14ac:dyDescent="0.4">
      <c r="A20" s="50" t="str">
        <f>'[2]1. Detailed Budget'!A58</f>
        <v>Experto Telecom.</v>
      </c>
      <c r="B20" s="45" t="e">
        <v>#REF!</v>
      </c>
      <c r="C20" s="45"/>
      <c r="D20" s="45"/>
      <c r="E20" s="45"/>
      <c r="F20" s="45"/>
      <c r="G20" s="45"/>
      <c r="H20" s="45"/>
      <c r="I20" s="45" t="e">
        <v>#REF!</v>
      </c>
      <c r="J20" s="45"/>
      <c r="K20" s="45"/>
      <c r="L20" s="45"/>
      <c r="M20" s="45" t="e">
        <f t="shared" si="3"/>
        <v>#REF!</v>
      </c>
      <c r="N20" s="46" t="e">
        <f t="shared" si="1"/>
        <v>#REF!</v>
      </c>
    </row>
    <row r="21" spans="1:19" ht="16" thickBot="1" x14ac:dyDescent="0.4">
      <c r="A21" s="50" t="s">
        <v>488</v>
      </c>
      <c r="B21" s="45" t="e">
        <v>#REF!</v>
      </c>
      <c r="C21" s="45"/>
      <c r="D21" s="45"/>
      <c r="E21" s="45"/>
      <c r="F21" s="45"/>
      <c r="G21" s="45"/>
      <c r="H21" s="45"/>
      <c r="I21" s="45" t="e">
        <v>#REF!</v>
      </c>
      <c r="J21" s="45"/>
      <c r="K21" s="45"/>
      <c r="L21" s="45"/>
      <c r="M21" s="45" t="e">
        <f t="shared" si="3"/>
        <v>#REF!</v>
      </c>
      <c r="N21" s="46" t="e">
        <f t="shared" si="1"/>
        <v>#REF!</v>
      </c>
    </row>
    <row r="22" spans="1:19" ht="16" thickBot="1" x14ac:dyDescent="0.4">
      <c r="A22" s="50" t="s">
        <v>489</v>
      </c>
      <c r="B22" s="45" t="e">
        <v>#REF!</v>
      </c>
      <c r="C22" s="45"/>
      <c r="D22" s="45"/>
      <c r="E22" s="45"/>
      <c r="F22" s="45"/>
      <c r="G22" s="45"/>
      <c r="H22" s="45"/>
      <c r="I22" s="45" t="e">
        <v>#REF!</v>
      </c>
      <c r="J22" s="45"/>
      <c r="K22" s="45"/>
      <c r="L22" s="45"/>
      <c r="M22" s="45" t="e">
        <f t="shared" si="3"/>
        <v>#REF!</v>
      </c>
      <c r="N22" s="46" t="e">
        <f t="shared" si="1"/>
        <v>#REF!</v>
      </c>
    </row>
    <row r="23" spans="1:19" ht="16" thickBot="1" x14ac:dyDescent="0.4">
      <c r="A23" s="44" t="s">
        <v>490</v>
      </c>
      <c r="B23" s="45" t="e">
        <v>#REF!</v>
      </c>
      <c r="C23" s="45"/>
      <c r="D23" s="45"/>
      <c r="E23" s="45"/>
      <c r="F23" s="45"/>
      <c r="G23" s="45"/>
      <c r="H23" s="45"/>
      <c r="I23" s="45" t="e">
        <v>#REF!</v>
      </c>
      <c r="J23" s="45"/>
      <c r="K23" s="45"/>
      <c r="L23" s="45"/>
      <c r="M23" s="45" t="e">
        <f>SUM(B23:L23)</f>
        <v>#REF!</v>
      </c>
      <c r="N23" s="46" t="e">
        <f t="shared" si="1"/>
        <v>#REF!</v>
      </c>
    </row>
    <row r="24" spans="1:19" ht="16" thickBot="1" x14ac:dyDescent="0.4">
      <c r="A24" s="51" t="s">
        <v>316</v>
      </c>
      <c r="B24" s="52" t="e">
        <f>B23+B11+B4</f>
        <v>#REF!</v>
      </c>
      <c r="C24" s="52" t="e">
        <f t="shared" ref="C24:L24" si="4">C23+C11+C4</f>
        <v>#REF!</v>
      </c>
      <c r="D24" s="52" t="e">
        <f t="shared" si="4"/>
        <v>#REF!</v>
      </c>
      <c r="E24" s="52">
        <f t="shared" si="4"/>
        <v>1100000</v>
      </c>
      <c r="F24" s="52" t="e">
        <f t="shared" si="4"/>
        <v>#REF!</v>
      </c>
      <c r="G24" s="52" t="e">
        <f t="shared" si="4"/>
        <v>#REF!</v>
      </c>
      <c r="H24" s="52" t="e">
        <f t="shared" si="4"/>
        <v>#REF!</v>
      </c>
      <c r="I24" s="52" t="e">
        <f t="shared" si="4"/>
        <v>#REF!</v>
      </c>
      <c r="J24" s="52" t="e">
        <f t="shared" si="4"/>
        <v>#REF!</v>
      </c>
      <c r="K24" s="52" t="e">
        <f t="shared" si="4"/>
        <v>#REF!</v>
      </c>
      <c r="L24" s="52" t="e">
        <f t="shared" si="4"/>
        <v>#REF!</v>
      </c>
      <c r="M24" s="52" t="e">
        <f>SUM(B24:L24)</f>
        <v>#REF!</v>
      </c>
      <c r="N24" s="53" t="e">
        <f>N4+N11+N23</f>
        <v>#REF!</v>
      </c>
    </row>
    <row r="25" spans="1:19" ht="16" thickBot="1" x14ac:dyDescent="0.4">
      <c r="A25" s="51" t="s">
        <v>322</v>
      </c>
      <c r="B25" s="54" t="e">
        <f t="shared" ref="B25:L25" si="5">B24/$M$24*100</f>
        <v>#REF!</v>
      </c>
      <c r="C25" s="54" t="e">
        <f t="shared" si="5"/>
        <v>#REF!</v>
      </c>
      <c r="D25" s="54" t="e">
        <f t="shared" si="5"/>
        <v>#REF!</v>
      </c>
      <c r="E25" s="54" t="e">
        <f t="shared" si="5"/>
        <v>#REF!</v>
      </c>
      <c r="F25" s="54" t="e">
        <f t="shared" si="5"/>
        <v>#REF!</v>
      </c>
      <c r="G25" s="54" t="e">
        <f t="shared" si="5"/>
        <v>#REF!</v>
      </c>
      <c r="H25" s="54" t="e">
        <f t="shared" si="5"/>
        <v>#REF!</v>
      </c>
      <c r="I25" s="54" t="e">
        <f t="shared" si="5"/>
        <v>#REF!</v>
      </c>
      <c r="J25" s="54" t="e">
        <f t="shared" si="5"/>
        <v>#REF!</v>
      </c>
      <c r="K25" s="54" t="e">
        <f t="shared" si="5"/>
        <v>#REF!</v>
      </c>
      <c r="L25" s="54" t="e">
        <f t="shared" si="5"/>
        <v>#REF!</v>
      </c>
      <c r="M25" s="55" t="e">
        <f t="shared" si="3"/>
        <v>#REF!</v>
      </c>
      <c r="N25" s="54" t="e">
        <f>M25/$M$24*100</f>
        <v>#REF!</v>
      </c>
      <c r="P25" s="47"/>
    </row>
    <row r="26" spans="1:19" x14ac:dyDescent="0.35">
      <c r="A26" s="1041"/>
      <c r="B26" s="1041"/>
      <c r="C26" s="1041"/>
      <c r="D26" s="1041"/>
      <c r="E26" s="1041"/>
      <c r="F26" s="1041"/>
      <c r="G26" s="1041"/>
      <c r="H26" s="1041"/>
      <c r="I26" s="1041"/>
      <c r="J26" s="1041"/>
      <c r="K26" s="1041"/>
      <c r="L26" s="1041"/>
      <c r="M26" s="1041"/>
      <c r="N26" s="1041"/>
    </row>
    <row r="27" spans="1:19" x14ac:dyDescent="0.35">
      <c r="A27" s="56" t="s">
        <v>491</v>
      </c>
      <c r="I27" s="42"/>
      <c r="J27" s="42"/>
      <c r="K27" s="42"/>
      <c r="L27" s="42"/>
    </row>
    <row r="28" spans="1:19" ht="16" thickBot="1" x14ac:dyDescent="0.4">
      <c r="I28" s="42"/>
      <c r="J28" s="42"/>
      <c r="K28" s="42"/>
      <c r="L28" s="42"/>
    </row>
    <row r="29" spans="1:19" ht="16" hidden="1" thickBot="1" x14ac:dyDescent="0.4">
      <c r="A29"/>
      <c r="I29" s="42"/>
      <c r="J29" s="1042" t="s">
        <v>492</v>
      </c>
      <c r="K29" s="1042"/>
      <c r="L29" s="1042"/>
      <c r="M29" s="1043"/>
      <c r="N29" s="1043"/>
      <c r="O29" s="1043"/>
      <c r="P29" s="1043"/>
      <c r="Q29" s="1044"/>
      <c r="R29" s="1044"/>
      <c r="S29" s="1044"/>
    </row>
    <row r="30" spans="1:19" ht="16" hidden="1" thickBot="1" x14ac:dyDescent="0.4">
      <c r="A30"/>
      <c r="I30" s="57" t="s">
        <v>493</v>
      </c>
      <c r="J30" s="58" t="s">
        <v>493</v>
      </c>
      <c r="K30" s="58"/>
      <c r="L30" s="58"/>
      <c r="M30" s="58" t="s">
        <v>494</v>
      </c>
      <c r="N30" s="58" t="s">
        <v>495</v>
      </c>
      <c r="O30" s="58" t="s">
        <v>496</v>
      </c>
      <c r="P30" s="58" t="s">
        <v>497</v>
      </c>
      <c r="Q30" s="58" t="s">
        <v>498</v>
      </c>
      <c r="R30" s="59" t="s">
        <v>316</v>
      </c>
      <c r="S30" s="60" t="s">
        <v>322</v>
      </c>
    </row>
    <row r="31" spans="1:19" ht="16" hidden="1" thickBot="1" x14ac:dyDescent="0.4">
      <c r="A31"/>
      <c r="I31" s="61" t="s">
        <v>499</v>
      </c>
      <c r="J31" s="62" t="s">
        <v>499</v>
      </c>
      <c r="K31" s="62"/>
      <c r="L31" s="62"/>
      <c r="M31" s="62">
        <v>2919778.2</v>
      </c>
      <c r="N31" s="62">
        <v>10641069.200000001</v>
      </c>
      <c r="O31" s="62">
        <v>8855881.4000000004</v>
      </c>
      <c r="P31" s="62">
        <v>8685036.5999999996</v>
      </c>
      <c r="Q31" s="62">
        <v>8685036.5999999996</v>
      </c>
      <c r="R31" s="63">
        <f>SUM(M31:Q31)</f>
        <v>39786802.000000007</v>
      </c>
      <c r="S31" s="64">
        <f>R31/R33*100</f>
        <v>76.629176565330141</v>
      </c>
    </row>
    <row r="32" spans="1:19" ht="16" hidden="1" thickBot="1" x14ac:dyDescent="0.4">
      <c r="A32"/>
      <c r="I32" s="61" t="s">
        <v>345</v>
      </c>
      <c r="J32" s="62" t="s">
        <v>345</v>
      </c>
      <c r="K32" s="62"/>
      <c r="L32" s="62"/>
      <c r="M32" s="62">
        <v>350373.38400000002</v>
      </c>
      <c r="N32" s="62">
        <v>3116928.3040000005</v>
      </c>
      <c r="O32" s="62">
        <v>2902705.7680000002</v>
      </c>
      <c r="P32" s="62">
        <v>2882204.3920000005</v>
      </c>
      <c r="Q32" s="62">
        <v>2882204.3920000005</v>
      </c>
      <c r="R32" s="63">
        <f>SUM(M32:Q32)</f>
        <v>12134416.240000002</v>
      </c>
      <c r="S32" s="64">
        <f>R32/R33*100</f>
        <v>23.370823434669859</v>
      </c>
    </row>
    <row r="33" spans="1:21" ht="16" hidden="1" thickBot="1" x14ac:dyDescent="0.4">
      <c r="A33"/>
      <c r="I33" s="65" t="s">
        <v>316</v>
      </c>
      <c r="J33" s="66" t="s">
        <v>316</v>
      </c>
      <c r="K33" s="66"/>
      <c r="L33" s="66"/>
      <c r="M33" s="66">
        <f t="shared" ref="M33:R33" si="6">M31+M32</f>
        <v>3270151.5840000003</v>
      </c>
      <c r="N33" s="66">
        <f t="shared" si="6"/>
        <v>13757997.504000001</v>
      </c>
      <c r="O33" s="66">
        <f t="shared" si="6"/>
        <v>11758587.168000001</v>
      </c>
      <c r="P33" s="66">
        <f t="shared" si="6"/>
        <v>11567240.992000001</v>
      </c>
      <c r="Q33" s="66">
        <f t="shared" si="6"/>
        <v>11567240.992000001</v>
      </c>
      <c r="R33" s="66">
        <f t="shared" si="6"/>
        <v>51921218.24000001</v>
      </c>
      <c r="S33" s="67">
        <f>SUM(S31:S32)</f>
        <v>100</v>
      </c>
    </row>
    <row r="34" spans="1:21" ht="16" hidden="1" thickBot="1" x14ac:dyDescent="0.4">
      <c r="A34"/>
      <c r="I34" s="68" t="s">
        <v>322</v>
      </c>
      <c r="J34" s="69" t="s">
        <v>322</v>
      </c>
      <c r="K34" s="69"/>
      <c r="L34" s="69"/>
      <c r="M34" s="69" t="e">
        <f>#REF!</f>
        <v>#REF!</v>
      </c>
      <c r="N34" s="69" t="e">
        <f>#REF!</f>
        <v>#REF!</v>
      </c>
      <c r="O34" s="69" t="e">
        <f>#REF!</f>
        <v>#REF!</v>
      </c>
      <c r="P34" s="69" t="e">
        <f>#REF!</f>
        <v>#REF!</v>
      </c>
      <c r="Q34" s="69" t="e">
        <f>#REF!</f>
        <v>#REF!</v>
      </c>
      <c r="R34" s="69" t="e">
        <f>SUM(M34:Q34)</f>
        <v>#REF!</v>
      </c>
      <c r="S34" s="70"/>
    </row>
    <row r="35" spans="1:21" ht="16" thickBot="1" x14ac:dyDescent="0.4">
      <c r="I35" s="42"/>
      <c r="J35" s="42"/>
      <c r="K35" s="42"/>
      <c r="L35" s="42"/>
      <c r="O35" s="71" t="s">
        <v>339</v>
      </c>
      <c r="P35" s="72">
        <v>2019</v>
      </c>
      <c r="Q35" s="72">
        <v>2020</v>
      </c>
      <c r="R35" s="72">
        <v>2021</v>
      </c>
      <c r="S35" s="72">
        <v>2022</v>
      </c>
      <c r="T35" s="73" t="s">
        <v>316</v>
      </c>
    </row>
    <row r="36" spans="1:21" ht="16" thickBot="1" x14ac:dyDescent="0.4">
      <c r="I36" s="42"/>
      <c r="J36" s="42"/>
      <c r="K36" s="42"/>
      <c r="L36" s="42"/>
      <c r="O36" s="74" t="s">
        <v>4</v>
      </c>
      <c r="P36" s="75" t="e">
        <v>#REF!</v>
      </c>
      <c r="Q36" s="75" t="e">
        <v>#REF!</v>
      </c>
      <c r="R36" s="75" t="e">
        <v>#REF!</v>
      </c>
      <c r="S36" s="75" t="e">
        <v>#REF!</v>
      </c>
      <c r="T36" s="75" t="e">
        <f>SUM(P36:S36)</f>
        <v>#REF!</v>
      </c>
      <c r="U36" s="76" t="e">
        <f>T36/T38</f>
        <v>#REF!</v>
      </c>
    </row>
    <row r="37" spans="1:21" ht="16" thickBot="1" x14ac:dyDescent="0.4">
      <c r="I37" s="42"/>
      <c r="J37" s="42"/>
      <c r="K37" s="42"/>
      <c r="L37" s="42"/>
      <c r="O37" s="74" t="s">
        <v>345</v>
      </c>
      <c r="P37" s="75" t="e">
        <v>#REF!</v>
      </c>
      <c r="Q37" s="75" t="e">
        <v>#REF!</v>
      </c>
      <c r="R37" s="75" t="e">
        <v>#REF!</v>
      </c>
      <c r="S37" s="75" t="e">
        <v>#REF!</v>
      </c>
      <c r="T37" s="75" t="e">
        <f>SUM(P37:S37)</f>
        <v>#REF!</v>
      </c>
      <c r="U37" s="76" t="e">
        <f>T37/T38</f>
        <v>#REF!</v>
      </c>
    </row>
    <row r="38" spans="1:21" ht="16" thickBot="1" x14ac:dyDescent="0.4">
      <c r="I38" s="42"/>
      <c r="J38" s="42"/>
      <c r="K38" s="42"/>
      <c r="L38" s="42"/>
      <c r="O38" s="77" t="s">
        <v>316</v>
      </c>
      <c r="P38" s="78" t="e">
        <f>SUM(P36:P37)</f>
        <v>#REF!</v>
      </c>
      <c r="Q38" s="78" t="e">
        <f>SUM(Q36:Q37)</f>
        <v>#REF!</v>
      </c>
      <c r="R38" s="78" t="e">
        <f>SUM(R36:R37)</f>
        <v>#REF!</v>
      </c>
      <c r="S38" s="78" t="e">
        <f>SUM(S36:S37)</f>
        <v>#REF!</v>
      </c>
      <c r="T38" s="78" t="e">
        <f>SUM(P38:S38)</f>
        <v>#REF!</v>
      </c>
    </row>
    <row r="39" spans="1:21" ht="16" thickBot="1" x14ac:dyDescent="0.4">
      <c r="I39" s="42"/>
      <c r="J39" s="42"/>
      <c r="K39" s="42"/>
      <c r="L39" s="42"/>
      <c r="O39" s="77" t="s">
        <v>322</v>
      </c>
      <c r="P39" s="79" t="e">
        <f>P38/$T$38</f>
        <v>#REF!</v>
      </c>
      <c r="Q39" s="79" t="e">
        <f>Q38/$T$38</f>
        <v>#REF!</v>
      </c>
      <c r="R39" s="79" t="e">
        <f>R38/$T$38</f>
        <v>#REF!</v>
      </c>
      <c r="S39" s="79" t="e">
        <f>S38/$T$38</f>
        <v>#REF!</v>
      </c>
      <c r="T39" s="80" t="e">
        <f>SUM(P39:S39)</f>
        <v>#REF!</v>
      </c>
    </row>
    <row r="40" spans="1:21" x14ac:dyDescent="0.35">
      <c r="I40" s="42"/>
      <c r="J40" s="42"/>
      <c r="K40" s="42"/>
      <c r="L40" s="42"/>
    </row>
    <row r="41" spans="1:21" x14ac:dyDescent="0.35">
      <c r="I41" s="42"/>
      <c r="J41" s="42"/>
      <c r="K41" s="42"/>
      <c r="L41" s="42"/>
    </row>
    <row r="42" spans="1:21" x14ac:dyDescent="0.35">
      <c r="I42" s="42"/>
      <c r="J42" s="42"/>
      <c r="K42" s="42"/>
      <c r="L42" s="42"/>
    </row>
    <row r="43" spans="1:21" x14ac:dyDescent="0.35">
      <c r="I43" s="42"/>
      <c r="J43" s="42"/>
      <c r="K43" s="42"/>
      <c r="L43" s="42"/>
    </row>
    <row r="44" spans="1:21" x14ac:dyDescent="0.35">
      <c r="I44" s="42"/>
      <c r="J44" s="42"/>
      <c r="K44" s="42"/>
      <c r="L44" s="42"/>
    </row>
    <row r="45" spans="1:21" x14ac:dyDescent="0.35">
      <c r="I45" s="42"/>
      <c r="J45" s="42"/>
      <c r="K45" s="42"/>
      <c r="L45" s="42"/>
    </row>
    <row r="46" spans="1:21" x14ac:dyDescent="0.35">
      <c r="I46" s="42"/>
      <c r="J46" s="42"/>
      <c r="K46" s="42"/>
      <c r="L46" s="42"/>
    </row>
    <row r="47" spans="1:21" x14ac:dyDescent="0.35">
      <c r="I47" s="42"/>
      <c r="J47" s="42"/>
      <c r="K47" s="42"/>
      <c r="L47" s="42"/>
    </row>
    <row r="48" spans="1:21" x14ac:dyDescent="0.35">
      <c r="I48" s="42"/>
      <c r="J48" s="42"/>
      <c r="K48" s="42"/>
      <c r="L48" s="42"/>
    </row>
    <row r="49" spans="9:12" x14ac:dyDescent="0.35">
      <c r="I49" s="42"/>
      <c r="J49" s="42"/>
      <c r="K49" s="42"/>
      <c r="L49" s="42"/>
    </row>
    <row r="50" spans="9:12" x14ac:dyDescent="0.35">
      <c r="I50" s="42"/>
      <c r="J50" s="42"/>
      <c r="K50" s="42"/>
      <c r="L50" s="42"/>
    </row>
    <row r="51" spans="9:12" x14ac:dyDescent="0.35">
      <c r="I51" s="42"/>
      <c r="J51" s="42"/>
      <c r="K51" s="42"/>
      <c r="L51" s="42"/>
    </row>
    <row r="52" spans="9:12" x14ac:dyDescent="0.35">
      <c r="I52" s="42"/>
      <c r="J52" s="42"/>
      <c r="K52" s="42"/>
      <c r="L52" s="42"/>
    </row>
    <row r="53" spans="9:12" x14ac:dyDescent="0.35">
      <c r="I53" s="42"/>
      <c r="J53" s="42"/>
      <c r="K53" s="42"/>
      <c r="L53" s="42"/>
    </row>
    <row r="54" spans="9:12" x14ac:dyDescent="0.35">
      <c r="I54" s="42"/>
      <c r="J54" s="42"/>
      <c r="K54" s="42"/>
      <c r="L54" s="42"/>
    </row>
    <row r="55" spans="9:12" x14ac:dyDescent="0.35">
      <c r="I55" s="42"/>
      <c r="J55" s="42"/>
      <c r="K55" s="42"/>
      <c r="L55" s="42"/>
    </row>
    <row r="56" spans="9:12" x14ac:dyDescent="0.35">
      <c r="I56" s="42"/>
      <c r="J56" s="42"/>
      <c r="K56" s="42"/>
      <c r="L56" s="42"/>
    </row>
    <row r="57" spans="9:12" x14ac:dyDescent="0.35">
      <c r="I57" s="42"/>
      <c r="J57" s="42"/>
      <c r="K57" s="42"/>
      <c r="L57" s="42"/>
    </row>
    <row r="58" spans="9:12" x14ac:dyDescent="0.35">
      <c r="I58" s="42"/>
      <c r="J58" s="42"/>
      <c r="K58" s="42"/>
      <c r="L58" s="42"/>
    </row>
    <row r="59" spans="9:12" x14ac:dyDescent="0.35">
      <c r="I59" s="42"/>
      <c r="J59" s="42"/>
      <c r="K59" s="42"/>
      <c r="L59" s="42"/>
    </row>
    <row r="60" spans="9:12" x14ac:dyDescent="0.35">
      <c r="I60" s="42"/>
      <c r="J60" s="42"/>
      <c r="K60" s="42"/>
      <c r="L60" s="42"/>
    </row>
    <row r="61" spans="9:12" x14ac:dyDescent="0.35">
      <c r="I61" s="42"/>
      <c r="J61" s="42"/>
      <c r="K61" s="42"/>
      <c r="L61" s="42"/>
    </row>
    <row r="62" spans="9:12" x14ac:dyDescent="0.35">
      <c r="I62" s="42"/>
      <c r="J62" s="42"/>
      <c r="K62" s="42"/>
      <c r="L62" s="42"/>
    </row>
    <row r="63" spans="9:12" x14ac:dyDescent="0.35">
      <c r="I63" s="42"/>
      <c r="J63" s="42"/>
      <c r="K63" s="42"/>
      <c r="L63" s="42"/>
    </row>
    <row r="64" spans="9:12" x14ac:dyDescent="0.35">
      <c r="I64" s="42"/>
      <c r="J64" s="42"/>
      <c r="K64" s="42"/>
      <c r="L64" s="42"/>
    </row>
    <row r="65" spans="9:12" x14ac:dyDescent="0.35">
      <c r="I65" s="42"/>
      <c r="J65" s="42"/>
      <c r="K65" s="42"/>
      <c r="L65" s="42"/>
    </row>
    <row r="66" spans="9:12" x14ac:dyDescent="0.35">
      <c r="I66" s="42"/>
      <c r="J66" s="42"/>
      <c r="K66" s="42"/>
      <c r="L66" s="42"/>
    </row>
    <row r="67" spans="9:12" x14ac:dyDescent="0.35">
      <c r="I67" s="42"/>
      <c r="J67" s="42"/>
      <c r="K67" s="42"/>
      <c r="L67" s="42"/>
    </row>
    <row r="68" spans="9:12" x14ac:dyDescent="0.35">
      <c r="I68" s="42"/>
      <c r="J68" s="42"/>
      <c r="K68" s="42"/>
      <c r="L68" s="42"/>
    </row>
    <row r="69" spans="9:12" x14ac:dyDescent="0.35">
      <c r="I69" s="42"/>
      <c r="J69" s="42"/>
      <c r="K69" s="42"/>
      <c r="L69" s="42"/>
    </row>
    <row r="70" spans="9:12" x14ac:dyDescent="0.35">
      <c r="I70" s="42"/>
      <c r="J70" s="42"/>
      <c r="K70" s="42"/>
      <c r="L70" s="42"/>
    </row>
    <row r="71" spans="9:12" x14ac:dyDescent="0.35">
      <c r="I71" s="42"/>
      <c r="J71" s="42"/>
      <c r="K71" s="42"/>
      <c r="L71" s="42"/>
    </row>
    <row r="72" spans="9:12" x14ac:dyDescent="0.35">
      <c r="I72" s="42"/>
      <c r="J72" s="42"/>
      <c r="K72" s="42"/>
      <c r="L72" s="42"/>
    </row>
    <row r="73" spans="9:12" x14ac:dyDescent="0.35">
      <c r="I73" s="42"/>
      <c r="J73" s="42"/>
      <c r="K73" s="42"/>
      <c r="L73" s="42"/>
    </row>
    <row r="74" spans="9:12" x14ac:dyDescent="0.35">
      <c r="I74" s="42"/>
      <c r="J74" s="42"/>
      <c r="K74" s="42"/>
      <c r="L74" s="42"/>
    </row>
    <row r="75" spans="9:12" x14ac:dyDescent="0.35">
      <c r="I75" s="42"/>
      <c r="J75" s="42"/>
      <c r="K75" s="42"/>
      <c r="L75" s="42"/>
    </row>
    <row r="76" spans="9:12" x14ac:dyDescent="0.35">
      <c r="I76" s="42"/>
      <c r="J76" s="42"/>
      <c r="K76" s="42"/>
      <c r="L76" s="42"/>
    </row>
    <row r="77" spans="9:12" x14ac:dyDescent="0.35">
      <c r="I77" s="42"/>
      <c r="J77" s="42"/>
      <c r="K77" s="42"/>
      <c r="L77" s="42"/>
    </row>
    <row r="78" spans="9:12" x14ac:dyDescent="0.35">
      <c r="I78" s="42"/>
      <c r="J78" s="42"/>
      <c r="K78" s="42"/>
      <c r="L78" s="42"/>
    </row>
    <row r="79" spans="9:12" x14ac:dyDescent="0.35">
      <c r="I79" s="42"/>
      <c r="J79" s="42"/>
      <c r="K79" s="42"/>
      <c r="L79" s="42"/>
    </row>
    <row r="80" spans="9:12" x14ac:dyDescent="0.35">
      <c r="I80" s="42"/>
      <c r="J80" s="42"/>
      <c r="K80" s="42"/>
      <c r="L80" s="42"/>
    </row>
    <row r="81" spans="9:12" x14ac:dyDescent="0.35">
      <c r="I81" s="42"/>
      <c r="J81" s="42"/>
      <c r="K81" s="42"/>
      <c r="L81" s="42"/>
    </row>
    <row r="82" spans="9:12" x14ac:dyDescent="0.35">
      <c r="I82" s="42"/>
      <c r="J82" s="42"/>
      <c r="K82" s="42"/>
      <c r="L82" s="42"/>
    </row>
    <row r="83" spans="9:12" x14ac:dyDescent="0.35">
      <c r="I83" s="42"/>
      <c r="J83" s="42"/>
      <c r="K83" s="42"/>
      <c r="L83" s="42"/>
    </row>
    <row r="84" spans="9:12" x14ac:dyDescent="0.35">
      <c r="I84" s="42"/>
      <c r="J84" s="42"/>
      <c r="K84" s="42"/>
      <c r="L84" s="42"/>
    </row>
    <row r="85" spans="9:12" x14ac:dyDescent="0.35">
      <c r="I85" s="42"/>
      <c r="J85" s="42"/>
      <c r="K85" s="42"/>
      <c r="L85" s="42"/>
    </row>
    <row r="86" spans="9:12" x14ac:dyDescent="0.35">
      <c r="I86" s="42"/>
      <c r="J86" s="42"/>
      <c r="K86" s="42"/>
      <c r="L86" s="42"/>
    </row>
    <row r="87" spans="9:12" x14ac:dyDescent="0.35">
      <c r="I87" s="42"/>
      <c r="J87" s="42"/>
      <c r="K87" s="42"/>
      <c r="L87" s="42"/>
    </row>
    <row r="88" spans="9:12" x14ac:dyDescent="0.35">
      <c r="I88" s="42"/>
      <c r="J88" s="42"/>
      <c r="K88" s="42"/>
      <c r="L88" s="42"/>
    </row>
    <row r="89" spans="9:12" x14ac:dyDescent="0.35">
      <c r="I89" s="42"/>
      <c r="J89" s="42"/>
      <c r="K89" s="42"/>
      <c r="L89" s="42"/>
    </row>
    <row r="90" spans="9:12" x14ac:dyDescent="0.35">
      <c r="I90" s="42"/>
      <c r="J90" s="42"/>
      <c r="K90" s="42"/>
      <c r="L90" s="42"/>
    </row>
    <row r="91" spans="9:12" x14ac:dyDescent="0.35">
      <c r="I91" s="42"/>
      <c r="J91" s="42"/>
      <c r="K91" s="42"/>
      <c r="L91" s="42"/>
    </row>
    <row r="92" spans="9:12" x14ac:dyDescent="0.35">
      <c r="I92" s="42"/>
      <c r="J92" s="42"/>
      <c r="K92" s="42"/>
      <c r="L92" s="42"/>
    </row>
    <row r="93" spans="9:12" x14ac:dyDescent="0.35">
      <c r="I93" s="42"/>
      <c r="J93" s="42"/>
      <c r="K93" s="42"/>
      <c r="L93" s="42"/>
    </row>
    <row r="94" spans="9:12" x14ac:dyDescent="0.35">
      <c r="I94" s="42"/>
      <c r="J94" s="42"/>
      <c r="K94" s="42"/>
      <c r="L94" s="42"/>
    </row>
    <row r="95" spans="9:12" x14ac:dyDescent="0.35">
      <c r="I95" s="42"/>
      <c r="J95" s="42"/>
      <c r="K95" s="42"/>
      <c r="L95" s="42"/>
    </row>
    <row r="96" spans="9:12" x14ac:dyDescent="0.35">
      <c r="I96" s="42"/>
      <c r="J96" s="42"/>
      <c r="K96" s="42"/>
      <c r="L96" s="42"/>
    </row>
    <row r="97" spans="9:12" x14ac:dyDescent="0.35">
      <c r="I97" s="42"/>
      <c r="J97" s="42"/>
      <c r="K97" s="42"/>
      <c r="L97" s="42"/>
    </row>
    <row r="98" spans="9:12" x14ac:dyDescent="0.35">
      <c r="I98" s="42"/>
      <c r="J98" s="42"/>
      <c r="K98" s="42"/>
      <c r="L98" s="42"/>
    </row>
    <row r="99" spans="9:12" x14ac:dyDescent="0.35">
      <c r="I99" s="42"/>
      <c r="J99" s="42"/>
      <c r="K99" s="42"/>
      <c r="L99" s="42"/>
    </row>
    <row r="100" spans="9:12" x14ac:dyDescent="0.35">
      <c r="I100" s="42"/>
      <c r="J100" s="42"/>
      <c r="K100" s="42"/>
      <c r="L100" s="42"/>
    </row>
    <row r="101" spans="9:12" x14ac:dyDescent="0.35">
      <c r="I101" s="42"/>
      <c r="J101" s="42"/>
      <c r="K101" s="42"/>
      <c r="L101" s="42"/>
    </row>
    <row r="102" spans="9:12" x14ac:dyDescent="0.35">
      <c r="I102" s="42"/>
      <c r="J102" s="42"/>
      <c r="K102" s="42"/>
      <c r="L102" s="42"/>
    </row>
    <row r="103" spans="9:12" x14ac:dyDescent="0.35">
      <c r="I103" s="42"/>
      <c r="J103" s="42"/>
      <c r="K103" s="42"/>
      <c r="L103" s="42"/>
    </row>
    <row r="104" spans="9:12" x14ac:dyDescent="0.35">
      <c r="I104" s="42"/>
      <c r="J104" s="42"/>
      <c r="K104" s="42"/>
      <c r="L104" s="42"/>
    </row>
    <row r="105" spans="9:12" x14ac:dyDescent="0.35">
      <c r="I105" s="42"/>
      <c r="J105" s="42"/>
      <c r="K105" s="42"/>
      <c r="L105" s="42"/>
    </row>
    <row r="106" spans="9:12" x14ac:dyDescent="0.35">
      <c r="I106" s="42"/>
      <c r="J106" s="42"/>
      <c r="K106" s="42"/>
      <c r="L106" s="42"/>
    </row>
    <row r="107" spans="9:12" x14ac:dyDescent="0.35">
      <c r="I107" s="42"/>
      <c r="J107" s="42"/>
      <c r="K107" s="42"/>
      <c r="L107" s="42"/>
    </row>
    <row r="108" spans="9:12" x14ac:dyDescent="0.35">
      <c r="I108" s="42"/>
      <c r="J108" s="42"/>
      <c r="K108" s="42"/>
      <c r="L108" s="42"/>
    </row>
    <row r="109" spans="9:12" x14ac:dyDescent="0.35">
      <c r="I109" s="42"/>
      <c r="J109" s="42"/>
      <c r="K109" s="42"/>
      <c r="L109" s="42"/>
    </row>
    <row r="110" spans="9:12" x14ac:dyDescent="0.35">
      <c r="I110" s="42"/>
      <c r="J110" s="42"/>
      <c r="K110" s="42"/>
      <c r="L110" s="42"/>
    </row>
    <row r="111" spans="9:12" x14ac:dyDescent="0.35">
      <c r="I111" s="42"/>
      <c r="J111" s="42"/>
      <c r="K111" s="42"/>
      <c r="L111" s="42"/>
    </row>
    <row r="112" spans="9:12" x14ac:dyDescent="0.35">
      <c r="I112" s="42"/>
      <c r="J112" s="42"/>
      <c r="K112" s="42"/>
      <c r="L112" s="42"/>
    </row>
    <row r="113" spans="9:12" x14ac:dyDescent="0.35">
      <c r="I113" s="42"/>
      <c r="J113" s="42"/>
      <c r="K113" s="42"/>
      <c r="L113" s="42"/>
    </row>
    <row r="114" spans="9:12" x14ac:dyDescent="0.35">
      <c r="I114" s="42"/>
      <c r="J114" s="42"/>
      <c r="K114" s="42"/>
      <c r="L114" s="42"/>
    </row>
    <row r="115" spans="9:12" x14ac:dyDescent="0.35">
      <c r="I115" s="42"/>
      <c r="J115" s="42"/>
      <c r="K115" s="42"/>
      <c r="L115" s="42"/>
    </row>
    <row r="116" spans="9:12" x14ac:dyDescent="0.35">
      <c r="I116" s="42"/>
      <c r="J116" s="42"/>
      <c r="K116" s="42"/>
      <c r="L116" s="42"/>
    </row>
    <row r="117" spans="9:12" x14ac:dyDescent="0.35">
      <c r="I117" s="42"/>
      <c r="J117" s="42"/>
      <c r="K117" s="42"/>
      <c r="L117" s="42"/>
    </row>
    <row r="118" spans="9:12" x14ac:dyDescent="0.35">
      <c r="I118" s="42"/>
      <c r="J118" s="42"/>
      <c r="K118" s="42"/>
      <c r="L118" s="42"/>
    </row>
    <row r="119" spans="9:12" x14ac:dyDescent="0.35">
      <c r="I119" s="42"/>
      <c r="J119" s="42"/>
      <c r="K119" s="42"/>
      <c r="L119" s="42"/>
    </row>
    <row r="120" spans="9:12" x14ac:dyDescent="0.35">
      <c r="I120" s="42"/>
      <c r="J120" s="42"/>
      <c r="K120" s="42"/>
      <c r="L120" s="42"/>
    </row>
    <row r="121" spans="9:12" x14ac:dyDescent="0.35">
      <c r="I121" s="42"/>
      <c r="J121" s="42"/>
      <c r="K121" s="42"/>
      <c r="L121" s="42"/>
    </row>
    <row r="122" spans="9:12" x14ac:dyDescent="0.35">
      <c r="I122" s="42"/>
      <c r="J122" s="42"/>
      <c r="K122" s="42"/>
      <c r="L122" s="42"/>
    </row>
    <row r="123" spans="9:12" x14ac:dyDescent="0.35">
      <c r="I123" s="42"/>
      <c r="J123" s="42"/>
      <c r="K123" s="42"/>
      <c r="L123" s="42"/>
    </row>
    <row r="124" spans="9:12" x14ac:dyDescent="0.35">
      <c r="I124" s="42"/>
      <c r="J124" s="42"/>
      <c r="K124" s="42"/>
      <c r="L124" s="42"/>
    </row>
    <row r="125" spans="9:12" x14ac:dyDescent="0.35">
      <c r="I125" s="42"/>
      <c r="J125" s="42"/>
      <c r="K125" s="42"/>
      <c r="L125" s="42"/>
    </row>
    <row r="126" spans="9:12" x14ac:dyDescent="0.35">
      <c r="I126" s="42"/>
      <c r="J126" s="42"/>
      <c r="K126" s="42"/>
      <c r="L126" s="42"/>
    </row>
    <row r="127" spans="9:12" x14ac:dyDescent="0.35">
      <c r="I127" s="42"/>
      <c r="J127" s="42"/>
      <c r="K127" s="42"/>
      <c r="L127" s="42"/>
    </row>
    <row r="128" spans="9:12" x14ac:dyDescent="0.35">
      <c r="I128" s="42"/>
      <c r="J128" s="42"/>
      <c r="K128" s="42"/>
      <c r="L128" s="42"/>
    </row>
    <row r="129" spans="9:12" x14ac:dyDescent="0.35">
      <c r="I129" s="42"/>
      <c r="J129" s="42"/>
      <c r="K129" s="42"/>
      <c r="L129" s="42"/>
    </row>
    <row r="130" spans="9:12" x14ac:dyDescent="0.35">
      <c r="I130" s="42"/>
      <c r="J130" s="42"/>
      <c r="K130" s="42"/>
      <c r="L130" s="42"/>
    </row>
    <row r="131" spans="9:12" x14ac:dyDescent="0.35">
      <c r="I131" s="42"/>
      <c r="J131" s="42"/>
      <c r="K131" s="42"/>
      <c r="L131" s="42"/>
    </row>
    <row r="132" spans="9:12" x14ac:dyDescent="0.35">
      <c r="I132" s="42"/>
      <c r="J132" s="42"/>
      <c r="K132" s="42"/>
      <c r="L132" s="42"/>
    </row>
    <row r="133" spans="9:12" x14ac:dyDescent="0.35">
      <c r="I133" s="42"/>
      <c r="J133" s="42"/>
      <c r="K133" s="42"/>
      <c r="L133" s="42"/>
    </row>
    <row r="134" spans="9:12" x14ac:dyDescent="0.35">
      <c r="I134" s="42"/>
      <c r="J134" s="42"/>
      <c r="K134" s="42"/>
      <c r="L134" s="42"/>
    </row>
    <row r="135" spans="9:12" x14ac:dyDescent="0.35">
      <c r="I135" s="42"/>
      <c r="J135" s="42"/>
      <c r="K135" s="42"/>
      <c r="L135" s="42"/>
    </row>
    <row r="136" spans="9:12" x14ac:dyDescent="0.35">
      <c r="I136" s="42"/>
      <c r="J136" s="42"/>
      <c r="K136" s="42"/>
      <c r="L136" s="42"/>
    </row>
    <row r="137" spans="9:12" x14ac:dyDescent="0.35">
      <c r="I137" s="42"/>
      <c r="J137" s="42"/>
      <c r="K137" s="42"/>
      <c r="L137" s="42"/>
    </row>
    <row r="138" spans="9:12" x14ac:dyDescent="0.35">
      <c r="I138" s="42"/>
      <c r="J138" s="42"/>
      <c r="K138" s="42"/>
      <c r="L138" s="42"/>
    </row>
    <row r="139" spans="9:12" x14ac:dyDescent="0.35">
      <c r="I139" s="42"/>
      <c r="J139" s="42"/>
      <c r="K139" s="42"/>
      <c r="L139" s="42"/>
    </row>
    <row r="140" spans="9:12" x14ac:dyDescent="0.35">
      <c r="I140" s="42"/>
      <c r="J140" s="42"/>
      <c r="K140" s="42"/>
      <c r="L140" s="42"/>
    </row>
    <row r="141" spans="9:12" x14ac:dyDescent="0.35">
      <c r="I141" s="42"/>
      <c r="J141" s="42"/>
      <c r="K141" s="42"/>
      <c r="L141" s="42"/>
    </row>
    <row r="142" spans="9:12" x14ac:dyDescent="0.35">
      <c r="I142" s="42"/>
      <c r="J142" s="42"/>
      <c r="K142" s="42"/>
      <c r="L142" s="42"/>
    </row>
    <row r="143" spans="9:12" x14ac:dyDescent="0.35">
      <c r="I143" s="42"/>
      <c r="J143" s="42"/>
      <c r="K143" s="42"/>
      <c r="L143" s="42"/>
    </row>
    <row r="144" spans="9:12" x14ac:dyDescent="0.35">
      <c r="I144" s="42"/>
      <c r="J144" s="42"/>
      <c r="K144" s="42"/>
      <c r="L144" s="42"/>
    </row>
    <row r="145" spans="9:12" x14ac:dyDescent="0.35">
      <c r="I145" s="42"/>
      <c r="J145" s="42"/>
      <c r="K145" s="42"/>
      <c r="L145" s="42"/>
    </row>
    <row r="146" spans="9:12" x14ac:dyDescent="0.35">
      <c r="I146" s="42"/>
      <c r="J146" s="42"/>
      <c r="K146" s="42"/>
      <c r="L146" s="42"/>
    </row>
    <row r="147" spans="9:12" x14ac:dyDescent="0.35">
      <c r="I147" s="42"/>
      <c r="J147" s="42"/>
      <c r="K147" s="42"/>
      <c r="L147" s="42"/>
    </row>
    <row r="148" spans="9:12" x14ac:dyDescent="0.35">
      <c r="I148" s="42"/>
      <c r="J148" s="42"/>
      <c r="K148" s="42"/>
      <c r="L148" s="42"/>
    </row>
    <row r="149" spans="9:12" x14ac:dyDescent="0.35">
      <c r="I149" s="42"/>
      <c r="J149" s="42"/>
      <c r="K149" s="42"/>
      <c r="L149" s="42"/>
    </row>
    <row r="150" spans="9:12" x14ac:dyDescent="0.35">
      <c r="I150" s="42"/>
      <c r="J150" s="42"/>
      <c r="K150" s="42"/>
      <c r="L150" s="42"/>
    </row>
    <row r="151" spans="9:12" x14ac:dyDescent="0.35">
      <c r="I151" s="42"/>
      <c r="J151" s="42"/>
      <c r="K151" s="42"/>
      <c r="L151" s="42"/>
    </row>
    <row r="152" spans="9:12" x14ac:dyDescent="0.35">
      <c r="I152" s="42"/>
      <c r="J152" s="42"/>
      <c r="K152" s="42"/>
      <c r="L152" s="42"/>
    </row>
    <row r="153" spans="9:12" x14ac:dyDescent="0.35">
      <c r="I153" s="42"/>
      <c r="J153" s="42"/>
      <c r="K153" s="42"/>
      <c r="L153" s="42"/>
    </row>
    <row r="154" spans="9:12" x14ac:dyDescent="0.35">
      <c r="I154" s="42"/>
      <c r="J154" s="42"/>
      <c r="K154" s="42"/>
      <c r="L154" s="42"/>
    </row>
    <row r="155" spans="9:12" x14ac:dyDescent="0.35">
      <c r="I155" s="42"/>
      <c r="J155" s="42"/>
      <c r="K155" s="42"/>
      <c r="L155" s="42"/>
    </row>
    <row r="156" spans="9:12" x14ac:dyDescent="0.35">
      <c r="I156" s="42"/>
      <c r="J156" s="42"/>
      <c r="K156" s="42"/>
      <c r="L156" s="42"/>
    </row>
    <row r="157" spans="9:12" x14ac:dyDescent="0.35">
      <c r="I157" s="42"/>
      <c r="J157" s="42"/>
      <c r="K157" s="42"/>
      <c r="L157" s="42"/>
    </row>
    <row r="158" spans="9:12" x14ac:dyDescent="0.35">
      <c r="I158" s="42"/>
      <c r="J158" s="42"/>
      <c r="K158" s="42"/>
      <c r="L158" s="42"/>
    </row>
    <row r="159" spans="9:12" x14ac:dyDescent="0.35">
      <c r="I159" s="42"/>
      <c r="J159" s="42"/>
      <c r="K159" s="42"/>
      <c r="L159" s="42"/>
    </row>
    <row r="160" spans="9:12" x14ac:dyDescent="0.35">
      <c r="I160" s="42"/>
      <c r="J160" s="42"/>
      <c r="K160" s="42"/>
      <c r="L160" s="42"/>
    </row>
    <row r="161" spans="9:12" x14ac:dyDescent="0.35">
      <c r="I161" s="42"/>
      <c r="J161" s="42"/>
      <c r="K161" s="42"/>
      <c r="L161" s="42"/>
    </row>
    <row r="162" spans="9:12" x14ac:dyDescent="0.35">
      <c r="I162" s="42"/>
      <c r="J162" s="42"/>
      <c r="K162" s="42"/>
      <c r="L162" s="42"/>
    </row>
    <row r="163" spans="9:12" x14ac:dyDescent="0.35">
      <c r="I163" s="42"/>
      <c r="J163" s="42"/>
      <c r="K163" s="42"/>
      <c r="L163" s="42"/>
    </row>
    <row r="164" spans="9:12" x14ac:dyDescent="0.35">
      <c r="I164" s="42"/>
      <c r="J164" s="42"/>
      <c r="K164" s="42"/>
      <c r="L164" s="42"/>
    </row>
    <row r="165" spans="9:12" x14ac:dyDescent="0.35">
      <c r="I165" s="42"/>
      <c r="J165" s="42"/>
      <c r="K165" s="42"/>
      <c r="L165" s="42"/>
    </row>
    <row r="166" spans="9:12" x14ac:dyDescent="0.35">
      <c r="I166" s="42"/>
      <c r="J166" s="42"/>
      <c r="K166" s="42"/>
      <c r="L166" s="42"/>
    </row>
    <row r="167" spans="9:12" x14ac:dyDescent="0.35">
      <c r="I167" s="42"/>
      <c r="J167" s="42"/>
      <c r="K167" s="42"/>
      <c r="L167" s="42"/>
    </row>
    <row r="168" spans="9:12" x14ac:dyDescent="0.35">
      <c r="I168" s="42"/>
      <c r="J168" s="42"/>
      <c r="K168" s="42"/>
      <c r="L168" s="42"/>
    </row>
    <row r="169" spans="9:12" x14ac:dyDescent="0.35">
      <c r="I169" s="42"/>
      <c r="J169" s="42"/>
      <c r="K169" s="42"/>
      <c r="L169" s="42"/>
    </row>
    <row r="170" spans="9:12" x14ac:dyDescent="0.35">
      <c r="I170" s="42"/>
      <c r="J170" s="42"/>
      <c r="K170" s="42"/>
      <c r="L170" s="42"/>
    </row>
    <row r="171" spans="9:12" x14ac:dyDescent="0.35">
      <c r="I171" s="42"/>
      <c r="J171" s="42"/>
      <c r="K171" s="42"/>
      <c r="L171" s="42"/>
    </row>
    <row r="172" spans="9:12" x14ac:dyDescent="0.35">
      <c r="I172" s="42"/>
      <c r="J172" s="42"/>
      <c r="K172" s="42"/>
      <c r="L172" s="42"/>
    </row>
    <row r="173" spans="9:12" x14ac:dyDescent="0.35">
      <c r="I173" s="42"/>
      <c r="J173" s="42"/>
      <c r="K173" s="42"/>
      <c r="L173" s="42"/>
    </row>
    <row r="174" spans="9:12" x14ac:dyDescent="0.35">
      <c r="I174" s="42"/>
      <c r="J174" s="42"/>
      <c r="K174" s="42"/>
      <c r="L174" s="42"/>
    </row>
    <row r="175" spans="9:12" x14ac:dyDescent="0.35">
      <c r="I175" s="42"/>
      <c r="J175" s="42"/>
      <c r="K175" s="42"/>
      <c r="L175" s="42"/>
    </row>
    <row r="176" spans="9:12" x14ac:dyDescent="0.35">
      <c r="I176" s="42"/>
      <c r="J176" s="42"/>
      <c r="K176" s="42"/>
      <c r="L176" s="42"/>
    </row>
    <row r="177" spans="9:12" x14ac:dyDescent="0.35">
      <c r="I177" s="42"/>
      <c r="J177" s="42"/>
      <c r="K177" s="42"/>
      <c r="L177" s="42"/>
    </row>
    <row r="178" spans="9:12" x14ac:dyDescent="0.35">
      <c r="I178" s="42"/>
      <c r="J178" s="42"/>
      <c r="K178" s="42"/>
      <c r="L178" s="42"/>
    </row>
    <row r="179" spans="9:12" x14ac:dyDescent="0.35">
      <c r="I179" s="42"/>
      <c r="J179" s="42"/>
      <c r="K179" s="42"/>
      <c r="L179" s="42"/>
    </row>
    <row r="180" spans="9:12" x14ac:dyDescent="0.35">
      <c r="I180" s="42"/>
      <c r="J180" s="42"/>
      <c r="K180" s="42"/>
      <c r="L180" s="42"/>
    </row>
    <row r="181" spans="9:12" x14ac:dyDescent="0.35">
      <c r="I181" s="42"/>
      <c r="J181" s="42"/>
      <c r="K181" s="42"/>
      <c r="L181" s="42"/>
    </row>
    <row r="182" spans="9:12" x14ac:dyDescent="0.35">
      <c r="I182" s="42"/>
      <c r="J182" s="42"/>
      <c r="K182" s="42"/>
      <c r="L182" s="42"/>
    </row>
    <row r="183" spans="9:12" x14ac:dyDescent="0.35">
      <c r="I183" s="42"/>
      <c r="J183" s="42"/>
      <c r="K183" s="42"/>
      <c r="L183" s="42"/>
    </row>
    <row r="184" spans="9:12" x14ac:dyDescent="0.35">
      <c r="I184" s="42"/>
      <c r="J184" s="42"/>
      <c r="K184" s="42"/>
      <c r="L184" s="42"/>
    </row>
    <row r="185" spans="9:12" x14ac:dyDescent="0.35">
      <c r="I185" s="42"/>
      <c r="J185" s="42"/>
      <c r="K185" s="42"/>
      <c r="L185" s="42"/>
    </row>
    <row r="186" spans="9:12" x14ac:dyDescent="0.35">
      <c r="I186" s="42"/>
      <c r="J186" s="42"/>
      <c r="K186" s="42"/>
      <c r="L186" s="42"/>
    </row>
    <row r="187" spans="9:12" x14ac:dyDescent="0.35">
      <c r="I187" s="42"/>
      <c r="J187" s="42"/>
      <c r="K187" s="42"/>
      <c r="L187" s="42"/>
    </row>
    <row r="188" spans="9:12" x14ac:dyDescent="0.35">
      <c r="I188" s="42"/>
      <c r="J188" s="42"/>
      <c r="K188" s="42"/>
      <c r="L188" s="42"/>
    </row>
    <row r="189" spans="9:12" x14ac:dyDescent="0.35">
      <c r="I189" s="42"/>
      <c r="J189" s="42"/>
      <c r="K189" s="42"/>
      <c r="L189" s="42"/>
    </row>
    <row r="190" spans="9:12" x14ac:dyDescent="0.35">
      <c r="I190" s="42"/>
      <c r="J190" s="42"/>
      <c r="K190" s="42"/>
      <c r="L190" s="42"/>
    </row>
    <row r="191" spans="9:12" x14ac:dyDescent="0.35">
      <c r="I191" s="42"/>
      <c r="J191" s="42"/>
      <c r="K191" s="42"/>
      <c r="L191" s="42"/>
    </row>
    <row r="192" spans="9:12" x14ac:dyDescent="0.35">
      <c r="I192" s="42"/>
      <c r="J192" s="42"/>
      <c r="K192" s="42"/>
      <c r="L192" s="42"/>
    </row>
    <row r="193" spans="9:12" x14ac:dyDescent="0.35">
      <c r="I193" s="42"/>
      <c r="J193" s="42"/>
      <c r="K193" s="42"/>
      <c r="L193" s="42"/>
    </row>
    <row r="194" spans="9:12" x14ac:dyDescent="0.35">
      <c r="I194" s="42"/>
      <c r="J194" s="42"/>
      <c r="K194" s="42"/>
      <c r="L194" s="42"/>
    </row>
    <row r="195" spans="9:12" x14ac:dyDescent="0.35">
      <c r="I195" s="42"/>
      <c r="J195" s="42"/>
      <c r="K195" s="42"/>
      <c r="L195" s="42"/>
    </row>
    <row r="196" spans="9:12" x14ac:dyDescent="0.35">
      <c r="I196" s="42"/>
      <c r="J196" s="42"/>
      <c r="K196" s="42"/>
      <c r="L196" s="42"/>
    </row>
    <row r="197" spans="9:12" x14ac:dyDescent="0.35">
      <c r="I197" s="42"/>
      <c r="J197" s="42"/>
      <c r="K197" s="42"/>
      <c r="L197" s="42"/>
    </row>
    <row r="198" spans="9:12" x14ac:dyDescent="0.35">
      <c r="I198" s="42"/>
      <c r="J198" s="42"/>
      <c r="K198" s="42"/>
      <c r="L198" s="42"/>
    </row>
    <row r="199" spans="9:12" x14ac:dyDescent="0.35">
      <c r="I199" s="42"/>
      <c r="J199" s="42"/>
      <c r="K199" s="42"/>
      <c r="L199" s="42"/>
    </row>
    <row r="200" spans="9:12" x14ac:dyDescent="0.35">
      <c r="I200" s="42"/>
      <c r="J200" s="42"/>
      <c r="K200" s="42"/>
      <c r="L200" s="42"/>
    </row>
    <row r="201" spans="9:12" x14ac:dyDescent="0.35">
      <c r="I201" s="42"/>
      <c r="J201" s="42"/>
      <c r="K201" s="42"/>
      <c r="L201" s="42"/>
    </row>
    <row r="202" spans="9:12" x14ac:dyDescent="0.35">
      <c r="I202" s="42"/>
      <c r="J202" s="42"/>
      <c r="K202" s="42"/>
      <c r="L202" s="42"/>
    </row>
    <row r="203" spans="9:12" x14ac:dyDescent="0.35">
      <c r="I203" s="42"/>
      <c r="J203" s="42"/>
      <c r="K203" s="42"/>
      <c r="L203" s="42"/>
    </row>
    <row r="204" spans="9:12" x14ac:dyDescent="0.35">
      <c r="I204" s="42"/>
      <c r="J204" s="42"/>
      <c r="K204" s="42"/>
      <c r="L204" s="42"/>
    </row>
    <row r="205" spans="9:12" x14ac:dyDescent="0.35">
      <c r="I205" s="42"/>
      <c r="J205" s="42"/>
      <c r="K205" s="42"/>
      <c r="L205" s="42"/>
    </row>
    <row r="206" spans="9:12" x14ac:dyDescent="0.35">
      <c r="I206" s="42"/>
      <c r="J206" s="42"/>
      <c r="K206" s="42"/>
      <c r="L206" s="42"/>
    </row>
    <row r="207" spans="9:12" x14ac:dyDescent="0.35">
      <c r="I207" s="42"/>
      <c r="J207" s="42"/>
      <c r="K207" s="42"/>
      <c r="L207" s="42"/>
    </row>
    <row r="208" spans="9:12" x14ac:dyDescent="0.35">
      <c r="I208" s="42"/>
      <c r="J208" s="42"/>
      <c r="K208" s="42"/>
      <c r="L208" s="42"/>
    </row>
    <row r="209" spans="9:12" x14ac:dyDescent="0.35">
      <c r="I209" s="42"/>
      <c r="J209" s="42"/>
      <c r="K209" s="42"/>
      <c r="L209" s="42"/>
    </row>
    <row r="210" spans="9:12" x14ac:dyDescent="0.35">
      <c r="I210" s="42"/>
      <c r="J210" s="42"/>
      <c r="K210" s="42"/>
      <c r="L210" s="42"/>
    </row>
    <row r="211" spans="9:12" x14ac:dyDescent="0.35">
      <c r="I211" s="42"/>
      <c r="J211" s="42"/>
      <c r="K211" s="42"/>
      <c r="L211" s="42"/>
    </row>
    <row r="212" spans="9:12" x14ac:dyDescent="0.35">
      <c r="I212" s="42"/>
      <c r="J212" s="42"/>
      <c r="K212" s="42"/>
      <c r="L212" s="42"/>
    </row>
    <row r="213" spans="9:12" x14ac:dyDescent="0.35">
      <c r="I213" s="42"/>
      <c r="J213" s="42"/>
      <c r="K213" s="42"/>
      <c r="L213" s="42"/>
    </row>
    <row r="214" spans="9:12" x14ac:dyDescent="0.35">
      <c r="I214" s="42"/>
      <c r="J214" s="42"/>
      <c r="K214" s="42"/>
      <c r="L214" s="42"/>
    </row>
    <row r="215" spans="9:12" x14ac:dyDescent="0.35">
      <c r="I215" s="42"/>
      <c r="J215" s="42"/>
      <c r="K215" s="42"/>
      <c r="L215" s="42"/>
    </row>
    <row r="216" spans="9:12" x14ac:dyDescent="0.35">
      <c r="I216" s="42"/>
      <c r="J216" s="42"/>
      <c r="K216" s="42"/>
      <c r="L216" s="42"/>
    </row>
    <row r="217" spans="9:12" x14ac:dyDescent="0.35">
      <c r="I217" s="42"/>
      <c r="J217" s="42"/>
      <c r="K217" s="42"/>
      <c r="L217" s="42"/>
    </row>
    <row r="218" spans="9:12" x14ac:dyDescent="0.35">
      <c r="I218" s="42"/>
      <c r="J218" s="42"/>
      <c r="K218" s="42"/>
      <c r="L218" s="42"/>
    </row>
    <row r="219" spans="9:12" x14ac:dyDescent="0.35">
      <c r="I219" s="42"/>
      <c r="J219" s="42"/>
      <c r="K219" s="42"/>
      <c r="L219" s="42"/>
    </row>
    <row r="220" spans="9:12" x14ac:dyDescent="0.35">
      <c r="I220" s="42"/>
      <c r="J220" s="42"/>
      <c r="K220" s="42"/>
      <c r="L220" s="42"/>
    </row>
    <row r="221" spans="9:12" x14ac:dyDescent="0.35">
      <c r="I221" s="42"/>
      <c r="J221" s="42"/>
      <c r="K221" s="42"/>
      <c r="L221" s="42"/>
    </row>
    <row r="222" spans="9:12" x14ac:dyDescent="0.35">
      <c r="I222" s="42"/>
      <c r="J222" s="42"/>
      <c r="K222" s="42"/>
      <c r="L222" s="42"/>
    </row>
    <row r="223" spans="9:12" x14ac:dyDescent="0.35">
      <c r="I223" s="42"/>
      <c r="J223" s="42"/>
      <c r="K223" s="42"/>
      <c r="L223" s="42"/>
    </row>
    <row r="224" spans="9:12" x14ac:dyDescent="0.35">
      <c r="I224" s="42"/>
      <c r="J224" s="42"/>
      <c r="K224" s="42"/>
      <c r="L224" s="42"/>
    </row>
    <row r="225" spans="9:12" x14ac:dyDescent="0.35">
      <c r="I225" s="42"/>
      <c r="J225" s="42"/>
      <c r="K225" s="42"/>
      <c r="L225" s="42"/>
    </row>
    <row r="226" spans="9:12" x14ac:dyDescent="0.35">
      <c r="I226" s="42"/>
      <c r="J226" s="42"/>
      <c r="K226" s="42"/>
      <c r="L226" s="42"/>
    </row>
    <row r="227" spans="9:12" x14ac:dyDescent="0.35">
      <c r="I227" s="42"/>
      <c r="J227" s="42"/>
      <c r="K227" s="42"/>
      <c r="L227" s="42"/>
    </row>
    <row r="228" spans="9:12" x14ac:dyDescent="0.35">
      <c r="I228" s="42"/>
      <c r="J228" s="42"/>
      <c r="K228" s="42"/>
      <c r="L228" s="42"/>
    </row>
    <row r="229" spans="9:12" x14ac:dyDescent="0.35">
      <c r="I229" s="42"/>
      <c r="J229" s="42"/>
      <c r="K229" s="42"/>
      <c r="L229" s="42"/>
    </row>
    <row r="230" spans="9:12" x14ac:dyDescent="0.35">
      <c r="I230" s="42"/>
      <c r="J230" s="42"/>
      <c r="K230" s="42"/>
      <c r="L230" s="42"/>
    </row>
    <row r="231" spans="9:12" x14ac:dyDescent="0.35">
      <c r="I231" s="42"/>
      <c r="J231" s="42"/>
      <c r="K231" s="42"/>
      <c r="L231" s="42"/>
    </row>
    <row r="232" spans="9:12" x14ac:dyDescent="0.35">
      <c r="I232" s="42"/>
      <c r="J232" s="42"/>
      <c r="K232" s="42"/>
      <c r="L232" s="42"/>
    </row>
    <row r="233" spans="9:12" x14ac:dyDescent="0.35">
      <c r="I233" s="42"/>
      <c r="J233" s="42"/>
      <c r="K233" s="42"/>
      <c r="L233" s="42"/>
    </row>
    <row r="234" spans="9:12" x14ac:dyDescent="0.35">
      <c r="I234" s="42"/>
      <c r="J234" s="42"/>
      <c r="K234" s="42"/>
      <c r="L234" s="42"/>
    </row>
    <row r="235" spans="9:12" x14ac:dyDescent="0.35">
      <c r="I235" s="42"/>
      <c r="J235" s="42"/>
      <c r="K235" s="42"/>
      <c r="L235" s="42"/>
    </row>
    <row r="236" spans="9:12" x14ac:dyDescent="0.35">
      <c r="I236" s="42"/>
      <c r="J236" s="42"/>
      <c r="K236" s="42"/>
      <c r="L236" s="42"/>
    </row>
    <row r="237" spans="9:12" x14ac:dyDescent="0.35">
      <c r="I237" s="42"/>
      <c r="J237" s="42"/>
      <c r="K237" s="42"/>
      <c r="L237" s="42"/>
    </row>
    <row r="238" spans="9:12" x14ac:dyDescent="0.35">
      <c r="I238" s="42"/>
      <c r="J238" s="42"/>
      <c r="K238" s="42"/>
      <c r="L238" s="42"/>
    </row>
    <row r="239" spans="9:12" x14ac:dyDescent="0.35">
      <c r="I239" s="42"/>
      <c r="J239" s="42"/>
      <c r="K239" s="42"/>
      <c r="L239" s="42"/>
    </row>
    <row r="240" spans="9:12" x14ac:dyDescent="0.35">
      <c r="I240" s="42"/>
      <c r="J240" s="42"/>
      <c r="K240" s="42"/>
      <c r="L240" s="42"/>
    </row>
    <row r="241" spans="9:12" x14ac:dyDescent="0.35">
      <c r="I241" s="42"/>
      <c r="J241" s="42"/>
      <c r="K241" s="42"/>
      <c r="L241" s="42"/>
    </row>
    <row r="242" spans="9:12" x14ac:dyDescent="0.35">
      <c r="I242" s="42"/>
      <c r="J242" s="42"/>
      <c r="K242" s="42"/>
      <c r="L242" s="42"/>
    </row>
    <row r="243" spans="9:12" x14ac:dyDescent="0.35">
      <c r="I243" s="42"/>
      <c r="J243" s="42"/>
      <c r="K243" s="42"/>
      <c r="L243" s="42"/>
    </row>
    <row r="244" spans="9:12" x14ac:dyDescent="0.35">
      <c r="I244" s="42"/>
      <c r="J244" s="42"/>
      <c r="K244" s="42"/>
      <c r="L244" s="42"/>
    </row>
    <row r="245" spans="9:12" x14ac:dyDescent="0.35">
      <c r="I245" s="42"/>
      <c r="J245" s="42"/>
      <c r="K245" s="42"/>
      <c r="L245" s="42"/>
    </row>
    <row r="246" spans="9:12" x14ac:dyDescent="0.35">
      <c r="I246" s="42"/>
      <c r="J246" s="42"/>
      <c r="K246" s="42"/>
      <c r="L246" s="42"/>
    </row>
    <row r="247" spans="9:12" x14ac:dyDescent="0.35">
      <c r="I247" s="42"/>
      <c r="J247" s="42"/>
      <c r="K247" s="42"/>
      <c r="L247" s="42"/>
    </row>
    <row r="248" spans="9:12" x14ac:dyDescent="0.35">
      <c r="I248" s="42"/>
      <c r="J248" s="42"/>
      <c r="K248" s="42"/>
      <c r="L248" s="42"/>
    </row>
    <row r="249" spans="9:12" x14ac:dyDescent="0.35">
      <c r="I249" s="42"/>
      <c r="J249" s="42"/>
      <c r="K249" s="42"/>
      <c r="L249" s="42"/>
    </row>
    <row r="250" spans="9:12" x14ac:dyDescent="0.35">
      <c r="I250" s="42"/>
      <c r="J250" s="42"/>
      <c r="K250" s="42"/>
      <c r="L250" s="42"/>
    </row>
    <row r="251" spans="9:12" x14ac:dyDescent="0.35">
      <c r="I251" s="42"/>
      <c r="J251" s="42"/>
      <c r="K251" s="42"/>
      <c r="L251" s="42"/>
    </row>
    <row r="252" spans="9:12" x14ac:dyDescent="0.35">
      <c r="I252" s="42"/>
      <c r="J252" s="42"/>
      <c r="K252" s="42"/>
      <c r="L252" s="42"/>
    </row>
    <row r="253" spans="9:12" x14ac:dyDescent="0.35">
      <c r="I253" s="42"/>
      <c r="J253" s="42"/>
      <c r="K253" s="42"/>
      <c r="L253" s="42"/>
    </row>
    <row r="254" spans="9:12" x14ac:dyDescent="0.35">
      <c r="I254" s="42"/>
      <c r="J254" s="42"/>
      <c r="K254" s="42"/>
      <c r="L254" s="42"/>
    </row>
    <row r="255" spans="9:12" x14ac:dyDescent="0.35">
      <c r="I255" s="42"/>
      <c r="J255" s="42"/>
      <c r="K255" s="42"/>
      <c r="L255" s="42"/>
    </row>
    <row r="256" spans="9:12" x14ac:dyDescent="0.35">
      <c r="I256" s="42"/>
      <c r="J256" s="42"/>
      <c r="K256" s="42"/>
      <c r="L256" s="42"/>
    </row>
    <row r="257" spans="9:12" x14ac:dyDescent="0.35">
      <c r="I257" s="42"/>
      <c r="J257" s="42"/>
      <c r="K257" s="42"/>
      <c r="L257" s="42"/>
    </row>
    <row r="258" spans="9:12" x14ac:dyDescent="0.35">
      <c r="I258" s="42"/>
      <c r="J258" s="42"/>
      <c r="K258" s="42"/>
      <c r="L258" s="42"/>
    </row>
    <row r="259" spans="9:12" x14ac:dyDescent="0.35">
      <c r="I259" s="42"/>
      <c r="J259" s="42"/>
      <c r="K259" s="42"/>
      <c r="L259" s="42"/>
    </row>
    <row r="260" spans="9:12" x14ac:dyDescent="0.35">
      <c r="I260" s="42"/>
      <c r="J260" s="42"/>
      <c r="K260" s="42"/>
      <c r="L260" s="42"/>
    </row>
    <row r="261" spans="9:12" x14ac:dyDescent="0.35">
      <c r="I261" s="42"/>
      <c r="J261" s="42"/>
      <c r="K261" s="42"/>
      <c r="L261" s="42"/>
    </row>
    <row r="262" spans="9:12" x14ac:dyDescent="0.35">
      <c r="I262" s="42"/>
      <c r="J262" s="42"/>
      <c r="K262" s="42"/>
      <c r="L262" s="42"/>
    </row>
    <row r="263" spans="9:12" x14ac:dyDescent="0.35">
      <c r="I263" s="42"/>
      <c r="J263" s="42"/>
      <c r="K263" s="42"/>
      <c r="L263" s="42"/>
    </row>
    <row r="264" spans="9:12" x14ac:dyDescent="0.35">
      <c r="I264" s="42"/>
      <c r="J264" s="42"/>
      <c r="K264" s="42"/>
      <c r="L264" s="42"/>
    </row>
    <row r="265" spans="9:12" x14ac:dyDescent="0.35">
      <c r="I265" s="42"/>
      <c r="J265" s="42"/>
      <c r="K265" s="42"/>
      <c r="L265" s="42"/>
    </row>
    <row r="266" spans="9:12" x14ac:dyDescent="0.35">
      <c r="I266" s="42"/>
      <c r="J266" s="42"/>
      <c r="K266" s="42"/>
      <c r="L266" s="42"/>
    </row>
    <row r="267" spans="9:12" x14ac:dyDescent="0.35">
      <c r="I267" s="42"/>
      <c r="J267" s="42"/>
      <c r="K267" s="42"/>
      <c r="L267" s="42"/>
    </row>
    <row r="268" spans="9:12" x14ac:dyDescent="0.35">
      <c r="I268" s="42"/>
      <c r="J268" s="42"/>
      <c r="K268" s="42"/>
      <c r="L268" s="42"/>
    </row>
    <row r="269" spans="9:12" x14ac:dyDescent="0.35">
      <c r="I269" s="42"/>
      <c r="J269" s="42"/>
      <c r="K269" s="42"/>
      <c r="L269" s="42"/>
    </row>
    <row r="270" spans="9:12" x14ac:dyDescent="0.35">
      <c r="I270" s="42"/>
      <c r="J270" s="42"/>
      <c r="K270" s="42"/>
      <c r="L270" s="42"/>
    </row>
    <row r="271" spans="9:12" x14ac:dyDescent="0.35">
      <c r="I271" s="42"/>
      <c r="J271" s="42"/>
      <c r="K271" s="42"/>
      <c r="L271" s="42"/>
    </row>
    <row r="272" spans="9:12" x14ac:dyDescent="0.35">
      <c r="I272" s="42"/>
      <c r="J272" s="42"/>
      <c r="K272" s="42"/>
      <c r="L272" s="42"/>
    </row>
    <row r="273" spans="9:12" x14ac:dyDescent="0.35">
      <c r="I273" s="42"/>
      <c r="J273" s="42"/>
      <c r="K273" s="42"/>
      <c r="L273" s="42"/>
    </row>
    <row r="274" spans="9:12" x14ac:dyDescent="0.35">
      <c r="I274" s="42"/>
      <c r="J274" s="42"/>
      <c r="K274" s="42"/>
      <c r="L274" s="42"/>
    </row>
    <row r="275" spans="9:12" x14ac:dyDescent="0.35">
      <c r="I275" s="42"/>
      <c r="J275" s="42"/>
      <c r="K275" s="42"/>
      <c r="L275" s="42"/>
    </row>
    <row r="276" spans="9:12" x14ac:dyDescent="0.35">
      <c r="I276" s="42"/>
      <c r="J276" s="42"/>
      <c r="K276" s="42"/>
      <c r="L276" s="42"/>
    </row>
    <row r="277" spans="9:12" x14ac:dyDescent="0.35">
      <c r="I277" s="42"/>
      <c r="J277" s="42"/>
      <c r="K277" s="42"/>
      <c r="L277" s="42"/>
    </row>
    <row r="278" spans="9:12" x14ac:dyDescent="0.35">
      <c r="I278" s="42"/>
      <c r="J278" s="42"/>
      <c r="K278" s="42"/>
      <c r="L278" s="42"/>
    </row>
    <row r="279" spans="9:12" x14ac:dyDescent="0.35">
      <c r="I279" s="42"/>
      <c r="J279" s="42"/>
      <c r="K279" s="42"/>
      <c r="L279" s="42"/>
    </row>
    <row r="280" spans="9:12" x14ac:dyDescent="0.35">
      <c r="I280" s="42"/>
      <c r="J280" s="42"/>
      <c r="K280" s="42"/>
      <c r="L280" s="42"/>
    </row>
    <row r="281" spans="9:12" x14ac:dyDescent="0.35">
      <c r="I281" s="42"/>
      <c r="J281" s="42"/>
      <c r="K281" s="42"/>
      <c r="L281" s="42"/>
    </row>
    <row r="282" spans="9:12" x14ac:dyDescent="0.35">
      <c r="I282" s="42"/>
      <c r="J282" s="42"/>
      <c r="K282" s="42"/>
      <c r="L282" s="42"/>
    </row>
    <row r="283" spans="9:12" x14ac:dyDescent="0.35">
      <c r="I283" s="42"/>
      <c r="J283" s="42"/>
      <c r="K283" s="42"/>
      <c r="L283" s="42"/>
    </row>
    <row r="284" spans="9:12" x14ac:dyDescent="0.35">
      <c r="I284" s="42"/>
      <c r="J284" s="42"/>
      <c r="K284" s="42"/>
      <c r="L284" s="42"/>
    </row>
    <row r="285" spans="9:12" x14ac:dyDescent="0.35">
      <c r="I285" s="42"/>
      <c r="J285" s="42"/>
      <c r="K285" s="42"/>
      <c r="L285" s="42"/>
    </row>
    <row r="286" spans="9:12" x14ac:dyDescent="0.35">
      <c r="I286" s="42"/>
      <c r="J286" s="42"/>
      <c r="K286" s="42"/>
      <c r="L286" s="42"/>
    </row>
    <row r="287" spans="9:12" x14ac:dyDescent="0.35">
      <c r="I287" s="42"/>
      <c r="J287" s="42"/>
      <c r="K287" s="42"/>
      <c r="L287" s="42"/>
    </row>
    <row r="288" spans="9:12" x14ac:dyDescent="0.35">
      <c r="I288" s="42"/>
      <c r="J288" s="42"/>
      <c r="K288" s="42"/>
      <c r="L288" s="42"/>
    </row>
    <row r="289" spans="9:12" x14ac:dyDescent="0.35">
      <c r="I289" s="42"/>
      <c r="J289" s="42"/>
      <c r="K289" s="42"/>
      <c r="L289" s="42"/>
    </row>
    <row r="290" spans="9:12" x14ac:dyDescent="0.35">
      <c r="I290" s="42"/>
      <c r="J290" s="42"/>
      <c r="K290" s="42"/>
      <c r="L290" s="42"/>
    </row>
    <row r="291" spans="9:12" x14ac:dyDescent="0.35">
      <c r="I291" s="42"/>
      <c r="J291" s="42"/>
      <c r="K291" s="42"/>
      <c r="L291" s="42"/>
    </row>
    <row r="292" spans="9:12" x14ac:dyDescent="0.35">
      <c r="I292" s="42"/>
      <c r="J292" s="42"/>
      <c r="K292" s="42"/>
      <c r="L292" s="42"/>
    </row>
    <row r="293" spans="9:12" x14ac:dyDescent="0.35">
      <c r="I293" s="42"/>
      <c r="J293" s="42"/>
      <c r="K293" s="42"/>
      <c r="L293" s="42"/>
    </row>
    <row r="294" spans="9:12" x14ac:dyDescent="0.35">
      <c r="I294" s="42"/>
      <c r="J294" s="42"/>
      <c r="K294" s="42"/>
      <c r="L294" s="42"/>
    </row>
    <row r="295" spans="9:12" x14ac:dyDescent="0.35">
      <c r="I295" s="42"/>
      <c r="J295" s="42"/>
      <c r="K295" s="42"/>
      <c r="L295" s="42"/>
    </row>
    <row r="296" spans="9:12" x14ac:dyDescent="0.35">
      <c r="I296" s="42"/>
      <c r="J296" s="42"/>
      <c r="K296" s="42"/>
      <c r="L296" s="42"/>
    </row>
    <row r="297" spans="9:12" x14ac:dyDescent="0.35">
      <c r="I297" s="42"/>
      <c r="J297" s="42"/>
      <c r="K297" s="42"/>
      <c r="L297" s="42"/>
    </row>
    <row r="298" spans="9:12" x14ac:dyDescent="0.35">
      <c r="I298" s="42"/>
      <c r="J298" s="42"/>
      <c r="K298" s="42"/>
      <c r="L298" s="42"/>
    </row>
    <row r="299" spans="9:12" x14ac:dyDescent="0.35">
      <c r="I299" s="42"/>
      <c r="J299" s="42"/>
      <c r="K299" s="42"/>
      <c r="L299" s="42"/>
    </row>
    <row r="300" spans="9:12" x14ac:dyDescent="0.35">
      <c r="I300" s="42"/>
      <c r="J300" s="42"/>
      <c r="K300" s="42"/>
      <c r="L300" s="42"/>
    </row>
    <row r="301" spans="9:12" x14ac:dyDescent="0.35">
      <c r="I301" s="42"/>
      <c r="J301" s="42"/>
      <c r="K301" s="42"/>
      <c r="L301" s="42"/>
    </row>
    <row r="302" spans="9:12" x14ac:dyDescent="0.35">
      <c r="I302" s="42"/>
      <c r="J302" s="42"/>
      <c r="K302" s="42"/>
      <c r="L302" s="42"/>
    </row>
    <row r="303" spans="9:12" x14ac:dyDescent="0.35">
      <c r="I303" s="42"/>
      <c r="J303" s="42"/>
      <c r="K303" s="42"/>
      <c r="L303" s="42"/>
    </row>
    <row r="304" spans="9:12" x14ac:dyDescent="0.35">
      <c r="I304" s="42"/>
      <c r="J304" s="42"/>
      <c r="K304" s="42"/>
      <c r="L304" s="42"/>
    </row>
    <row r="305" spans="9:12" x14ac:dyDescent="0.35">
      <c r="I305" s="42"/>
      <c r="J305" s="42"/>
      <c r="K305" s="42"/>
      <c r="L305" s="42"/>
    </row>
    <row r="306" spans="9:12" x14ac:dyDescent="0.35">
      <c r="I306" s="42"/>
      <c r="J306" s="42"/>
      <c r="K306" s="42"/>
      <c r="L306" s="42"/>
    </row>
    <row r="307" spans="9:12" x14ac:dyDescent="0.35">
      <c r="I307" s="42"/>
      <c r="J307" s="42"/>
      <c r="K307" s="42"/>
      <c r="L307" s="42"/>
    </row>
    <row r="308" spans="9:12" x14ac:dyDescent="0.35">
      <c r="I308" s="42"/>
      <c r="J308" s="42"/>
      <c r="K308" s="42"/>
      <c r="L308" s="42"/>
    </row>
    <row r="309" spans="9:12" x14ac:dyDescent="0.35">
      <c r="I309" s="42"/>
      <c r="J309" s="42"/>
      <c r="K309" s="42"/>
      <c r="L309" s="42"/>
    </row>
    <row r="310" spans="9:12" x14ac:dyDescent="0.35">
      <c r="I310" s="42"/>
      <c r="J310" s="42"/>
      <c r="K310" s="42"/>
      <c r="L310" s="42"/>
    </row>
    <row r="311" spans="9:12" x14ac:dyDescent="0.35">
      <c r="I311" s="42"/>
      <c r="J311" s="42"/>
      <c r="K311" s="42"/>
      <c r="L311" s="42"/>
    </row>
    <row r="312" spans="9:12" x14ac:dyDescent="0.35">
      <c r="I312" s="42"/>
      <c r="J312" s="42"/>
      <c r="K312" s="42"/>
      <c r="L312" s="42"/>
    </row>
    <row r="313" spans="9:12" x14ac:dyDescent="0.35">
      <c r="I313" s="42"/>
      <c r="J313" s="42"/>
      <c r="K313" s="42"/>
      <c r="L313" s="42"/>
    </row>
    <row r="314" spans="9:12" x14ac:dyDescent="0.35">
      <c r="I314" s="42"/>
      <c r="J314" s="42"/>
      <c r="K314" s="42"/>
      <c r="L314" s="42"/>
    </row>
    <row r="315" spans="9:12" x14ac:dyDescent="0.35">
      <c r="I315" s="42"/>
      <c r="J315" s="42"/>
      <c r="K315" s="42"/>
      <c r="L315" s="42"/>
    </row>
    <row r="316" spans="9:12" x14ac:dyDescent="0.35">
      <c r="I316" s="42"/>
      <c r="J316" s="42"/>
      <c r="K316" s="42"/>
      <c r="L316" s="42"/>
    </row>
    <row r="317" spans="9:12" x14ac:dyDescent="0.35">
      <c r="I317" s="42"/>
      <c r="J317" s="42"/>
      <c r="K317" s="42"/>
      <c r="L317" s="42"/>
    </row>
    <row r="318" spans="9:12" x14ac:dyDescent="0.35">
      <c r="I318" s="42"/>
      <c r="J318" s="42"/>
      <c r="K318" s="42"/>
      <c r="L318" s="42"/>
    </row>
    <row r="319" spans="9:12" x14ac:dyDescent="0.35">
      <c r="I319" s="42"/>
      <c r="J319" s="42"/>
      <c r="K319" s="42"/>
      <c r="L319" s="42"/>
    </row>
    <row r="320" spans="9:12" x14ac:dyDescent="0.35">
      <c r="I320" s="42"/>
      <c r="J320" s="42"/>
      <c r="K320" s="42"/>
      <c r="L320" s="42"/>
    </row>
    <row r="321" spans="9:12" x14ac:dyDescent="0.35">
      <c r="I321" s="42"/>
      <c r="J321" s="42"/>
      <c r="K321" s="42"/>
      <c r="L321" s="42"/>
    </row>
    <row r="322" spans="9:12" x14ac:dyDescent="0.35">
      <c r="I322" s="42"/>
      <c r="J322" s="42"/>
      <c r="K322" s="42"/>
      <c r="L322" s="42"/>
    </row>
    <row r="323" spans="9:12" x14ac:dyDescent="0.35">
      <c r="I323" s="42"/>
      <c r="J323" s="42"/>
      <c r="K323" s="42"/>
      <c r="L323" s="42"/>
    </row>
    <row r="324" spans="9:12" x14ac:dyDescent="0.35">
      <c r="I324" s="42"/>
      <c r="J324" s="42"/>
      <c r="K324" s="42"/>
      <c r="L324" s="42"/>
    </row>
    <row r="325" spans="9:12" x14ac:dyDescent="0.35">
      <c r="I325" s="42"/>
      <c r="J325" s="42"/>
      <c r="K325" s="42"/>
      <c r="L325" s="42"/>
    </row>
    <row r="326" spans="9:12" x14ac:dyDescent="0.35">
      <c r="I326" s="42"/>
      <c r="J326" s="42"/>
      <c r="K326" s="42"/>
      <c r="L326" s="42"/>
    </row>
    <row r="327" spans="9:12" x14ac:dyDescent="0.35">
      <c r="I327" s="42"/>
      <c r="J327" s="42"/>
      <c r="K327" s="42"/>
      <c r="L327" s="42"/>
    </row>
    <row r="328" spans="9:12" x14ac:dyDescent="0.35">
      <c r="I328" s="42"/>
      <c r="J328" s="42"/>
      <c r="K328" s="42"/>
      <c r="L328" s="42"/>
    </row>
    <row r="329" spans="9:12" x14ac:dyDescent="0.35">
      <c r="I329" s="42"/>
      <c r="J329" s="42"/>
      <c r="K329" s="42"/>
      <c r="L329" s="42"/>
    </row>
    <row r="330" spans="9:12" x14ac:dyDescent="0.35">
      <c r="I330" s="42"/>
      <c r="J330" s="42"/>
      <c r="K330" s="42"/>
      <c r="L330" s="42"/>
    </row>
    <row r="331" spans="9:12" x14ac:dyDescent="0.35">
      <c r="I331" s="42"/>
      <c r="J331" s="42"/>
      <c r="K331" s="42"/>
      <c r="L331" s="42"/>
    </row>
    <row r="332" spans="9:12" x14ac:dyDescent="0.35">
      <c r="I332" s="42"/>
      <c r="J332" s="42"/>
      <c r="K332" s="42"/>
      <c r="L332" s="42"/>
    </row>
    <row r="333" spans="9:12" x14ac:dyDescent="0.35">
      <c r="I333" s="42"/>
      <c r="J333" s="42"/>
      <c r="K333" s="42"/>
      <c r="L333" s="42"/>
    </row>
    <row r="334" spans="9:12" x14ac:dyDescent="0.35">
      <c r="I334" s="42"/>
      <c r="J334" s="42"/>
      <c r="K334" s="42"/>
      <c r="L334" s="42"/>
    </row>
    <row r="335" spans="9:12" x14ac:dyDescent="0.35">
      <c r="I335" s="42"/>
      <c r="J335" s="42"/>
      <c r="K335" s="42"/>
      <c r="L335" s="42"/>
    </row>
    <row r="336" spans="9:12" x14ac:dyDescent="0.35">
      <c r="I336" s="42"/>
      <c r="J336" s="42"/>
      <c r="K336" s="42"/>
      <c r="L336" s="42"/>
    </row>
    <row r="337" spans="9:12" x14ac:dyDescent="0.35">
      <c r="I337" s="42"/>
      <c r="J337" s="42"/>
      <c r="K337" s="42"/>
      <c r="L337" s="42"/>
    </row>
    <row r="338" spans="9:12" x14ac:dyDescent="0.35">
      <c r="I338" s="42"/>
      <c r="J338" s="42"/>
      <c r="K338" s="42"/>
      <c r="L338" s="42"/>
    </row>
    <row r="339" spans="9:12" x14ac:dyDescent="0.35">
      <c r="I339" s="42"/>
      <c r="J339" s="42"/>
      <c r="K339" s="42"/>
      <c r="L339" s="42"/>
    </row>
    <row r="340" spans="9:12" x14ac:dyDescent="0.35">
      <c r="I340" s="42"/>
      <c r="J340" s="42"/>
      <c r="K340" s="42"/>
      <c r="L340" s="42"/>
    </row>
    <row r="341" spans="9:12" x14ac:dyDescent="0.35">
      <c r="I341" s="42"/>
      <c r="J341" s="42"/>
      <c r="K341" s="42"/>
      <c r="L341" s="42"/>
    </row>
    <row r="342" spans="9:12" x14ac:dyDescent="0.35">
      <c r="I342" s="42"/>
      <c r="J342" s="42"/>
      <c r="K342" s="42"/>
      <c r="L342" s="42"/>
    </row>
    <row r="343" spans="9:12" x14ac:dyDescent="0.35">
      <c r="I343" s="42"/>
      <c r="J343" s="42"/>
      <c r="K343" s="42"/>
      <c r="L343" s="42"/>
    </row>
    <row r="344" spans="9:12" x14ac:dyDescent="0.35">
      <c r="I344" s="42"/>
      <c r="J344" s="42"/>
      <c r="K344" s="42"/>
      <c r="L344" s="42"/>
    </row>
    <row r="345" spans="9:12" x14ac:dyDescent="0.35">
      <c r="I345" s="42"/>
      <c r="J345" s="42"/>
      <c r="K345" s="42"/>
      <c r="L345" s="42"/>
    </row>
    <row r="346" spans="9:12" x14ac:dyDescent="0.35">
      <c r="I346" s="42"/>
      <c r="J346" s="42"/>
      <c r="K346" s="42"/>
      <c r="L346" s="42"/>
    </row>
    <row r="347" spans="9:12" x14ac:dyDescent="0.35">
      <c r="I347" s="42"/>
      <c r="J347" s="42"/>
      <c r="K347" s="42"/>
      <c r="L347" s="42"/>
    </row>
    <row r="348" spans="9:12" x14ac:dyDescent="0.35">
      <c r="I348" s="42"/>
      <c r="J348" s="42"/>
      <c r="K348" s="42"/>
      <c r="L348" s="42"/>
    </row>
    <row r="349" spans="9:12" x14ac:dyDescent="0.35">
      <c r="I349" s="42"/>
      <c r="J349" s="42"/>
      <c r="K349" s="42"/>
      <c r="L349" s="42"/>
    </row>
    <row r="350" spans="9:12" x14ac:dyDescent="0.35">
      <c r="I350" s="42"/>
      <c r="J350" s="42"/>
      <c r="K350" s="42"/>
      <c r="L350" s="42"/>
    </row>
    <row r="351" spans="9:12" x14ac:dyDescent="0.35">
      <c r="I351" s="42"/>
      <c r="J351" s="42"/>
      <c r="K351" s="42"/>
      <c r="L351" s="42"/>
    </row>
    <row r="352" spans="9:12" x14ac:dyDescent="0.35">
      <c r="I352" s="42"/>
      <c r="J352" s="42"/>
      <c r="K352" s="42"/>
      <c r="L352" s="42"/>
    </row>
    <row r="353" spans="9:12" x14ac:dyDescent="0.35">
      <c r="I353" s="42"/>
      <c r="J353" s="42"/>
      <c r="K353" s="42"/>
      <c r="L353" s="42"/>
    </row>
    <row r="354" spans="9:12" x14ac:dyDescent="0.35">
      <c r="I354" s="42"/>
      <c r="J354" s="42"/>
      <c r="K354" s="42"/>
      <c r="L354" s="42"/>
    </row>
    <row r="355" spans="9:12" x14ac:dyDescent="0.35">
      <c r="I355" s="42"/>
      <c r="J355" s="42"/>
      <c r="K355" s="42"/>
      <c r="L355" s="42"/>
    </row>
    <row r="356" spans="9:12" x14ac:dyDescent="0.35">
      <c r="I356" s="42"/>
      <c r="J356" s="42"/>
      <c r="K356" s="42"/>
      <c r="L356" s="42"/>
    </row>
    <row r="357" spans="9:12" x14ac:dyDescent="0.35">
      <c r="I357" s="42"/>
      <c r="J357" s="42"/>
      <c r="K357" s="42"/>
      <c r="L357" s="42"/>
    </row>
    <row r="358" spans="9:12" x14ac:dyDescent="0.35">
      <c r="I358" s="42"/>
      <c r="J358" s="42"/>
      <c r="K358" s="42"/>
      <c r="L358" s="42"/>
    </row>
    <row r="359" spans="9:12" x14ac:dyDescent="0.35">
      <c r="I359" s="42"/>
      <c r="J359" s="42"/>
      <c r="K359" s="42"/>
      <c r="L359" s="42"/>
    </row>
    <row r="360" spans="9:12" x14ac:dyDescent="0.35">
      <c r="I360" s="42"/>
      <c r="J360" s="42"/>
      <c r="K360" s="42"/>
      <c r="L360" s="42"/>
    </row>
    <row r="361" spans="9:12" x14ac:dyDescent="0.35">
      <c r="I361" s="42"/>
      <c r="J361" s="42"/>
      <c r="K361" s="42"/>
      <c r="L361" s="42"/>
    </row>
    <row r="362" spans="9:12" x14ac:dyDescent="0.35">
      <c r="I362" s="42"/>
      <c r="J362" s="42"/>
      <c r="K362" s="42"/>
      <c r="L362" s="42"/>
    </row>
    <row r="363" spans="9:12" x14ac:dyDescent="0.35">
      <c r="I363" s="42"/>
      <c r="J363" s="42"/>
      <c r="K363" s="42"/>
      <c r="L363" s="42"/>
    </row>
    <row r="364" spans="9:12" x14ac:dyDescent="0.35">
      <c r="I364" s="42"/>
      <c r="J364" s="42"/>
      <c r="K364" s="42"/>
      <c r="L364" s="42"/>
    </row>
    <row r="365" spans="9:12" x14ac:dyDescent="0.35">
      <c r="I365" s="42"/>
      <c r="J365" s="42"/>
      <c r="K365" s="42"/>
      <c r="L365" s="42"/>
    </row>
    <row r="366" spans="9:12" x14ac:dyDescent="0.35">
      <c r="I366" s="42"/>
      <c r="J366" s="42"/>
      <c r="K366" s="42"/>
      <c r="L366" s="42"/>
    </row>
    <row r="367" spans="9:12" x14ac:dyDescent="0.35">
      <c r="I367" s="42"/>
      <c r="J367" s="42"/>
      <c r="K367" s="42"/>
      <c r="L367" s="42"/>
    </row>
    <row r="368" spans="9:12" x14ac:dyDescent="0.35">
      <c r="I368" s="42"/>
      <c r="J368" s="42"/>
      <c r="K368" s="42"/>
      <c r="L368" s="42"/>
    </row>
    <row r="369" spans="9:12" x14ac:dyDescent="0.35">
      <c r="I369" s="42"/>
      <c r="J369" s="42"/>
      <c r="K369" s="42"/>
      <c r="L369" s="42"/>
    </row>
    <row r="370" spans="9:12" x14ac:dyDescent="0.35">
      <c r="I370" s="42"/>
      <c r="J370" s="42"/>
      <c r="K370" s="42"/>
      <c r="L370" s="42"/>
    </row>
    <row r="371" spans="9:12" x14ac:dyDescent="0.35">
      <c r="I371" s="42"/>
      <c r="J371" s="42"/>
      <c r="K371" s="42"/>
      <c r="L371" s="42"/>
    </row>
    <row r="372" spans="9:12" x14ac:dyDescent="0.35">
      <c r="I372" s="42"/>
      <c r="J372" s="42"/>
      <c r="K372" s="42"/>
      <c r="L372" s="42"/>
    </row>
    <row r="373" spans="9:12" x14ac:dyDescent="0.35">
      <c r="I373" s="42"/>
      <c r="J373" s="42"/>
      <c r="K373" s="42"/>
      <c r="L373" s="42"/>
    </row>
    <row r="374" spans="9:12" x14ac:dyDescent="0.35">
      <c r="I374" s="42"/>
      <c r="J374" s="42"/>
      <c r="K374" s="42"/>
      <c r="L374" s="42"/>
    </row>
    <row r="375" spans="9:12" x14ac:dyDescent="0.35">
      <c r="I375" s="42"/>
      <c r="J375" s="42"/>
      <c r="K375" s="42"/>
      <c r="L375" s="42"/>
    </row>
    <row r="376" spans="9:12" x14ac:dyDescent="0.35">
      <c r="I376" s="42"/>
      <c r="J376" s="42"/>
      <c r="K376" s="42"/>
      <c r="L376" s="42"/>
    </row>
    <row r="377" spans="9:12" x14ac:dyDescent="0.35">
      <c r="I377" s="42"/>
      <c r="J377" s="42"/>
      <c r="K377" s="42"/>
      <c r="L377" s="42"/>
    </row>
    <row r="378" spans="9:12" x14ac:dyDescent="0.35">
      <c r="I378" s="42"/>
      <c r="J378" s="42"/>
      <c r="K378" s="42"/>
      <c r="L378" s="42"/>
    </row>
    <row r="379" spans="9:12" x14ac:dyDescent="0.35">
      <c r="I379" s="42"/>
      <c r="J379" s="42"/>
      <c r="K379" s="42"/>
      <c r="L379" s="42"/>
    </row>
    <row r="380" spans="9:12" x14ac:dyDescent="0.35">
      <c r="I380" s="42"/>
      <c r="J380" s="42"/>
      <c r="K380" s="42"/>
      <c r="L380" s="42"/>
    </row>
    <row r="381" spans="9:12" x14ac:dyDescent="0.35">
      <c r="I381" s="42"/>
      <c r="J381" s="42"/>
      <c r="K381" s="42"/>
      <c r="L381" s="42"/>
    </row>
    <row r="382" spans="9:12" x14ac:dyDescent="0.35">
      <c r="I382" s="42"/>
      <c r="J382" s="42"/>
      <c r="K382" s="42"/>
      <c r="L382" s="42"/>
    </row>
    <row r="383" spans="9:12" x14ac:dyDescent="0.35">
      <c r="I383" s="42"/>
      <c r="J383" s="42"/>
      <c r="K383" s="42"/>
      <c r="L383" s="42"/>
    </row>
    <row r="384" spans="9:12" x14ac:dyDescent="0.35">
      <c r="I384" s="42"/>
      <c r="J384" s="42"/>
      <c r="K384" s="42"/>
      <c r="L384" s="42"/>
    </row>
    <row r="385" spans="9:12" x14ac:dyDescent="0.35">
      <c r="I385" s="42"/>
      <c r="J385" s="42"/>
      <c r="K385" s="42"/>
      <c r="L385" s="42"/>
    </row>
    <row r="386" spans="9:12" x14ac:dyDescent="0.35">
      <c r="I386" s="42"/>
      <c r="J386" s="42"/>
      <c r="K386" s="42"/>
      <c r="L386" s="42"/>
    </row>
    <row r="387" spans="9:12" x14ac:dyDescent="0.35">
      <c r="I387" s="42"/>
      <c r="J387" s="42"/>
      <c r="K387" s="42"/>
      <c r="L387" s="42"/>
    </row>
    <row r="388" spans="9:12" x14ac:dyDescent="0.35">
      <c r="I388" s="42"/>
      <c r="J388" s="42"/>
      <c r="K388" s="42"/>
      <c r="L388" s="42"/>
    </row>
    <row r="389" spans="9:12" x14ac:dyDescent="0.35">
      <c r="I389" s="42"/>
      <c r="J389" s="42"/>
      <c r="K389" s="42"/>
      <c r="L389" s="42"/>
    </row>
    <row r="390" spans="9:12" x14ac:dyDescent="0.35">
      <c r="I390" s="42"/>
      <c r="J390" s="42"/>
      <c r="K390" s="42"/>
      <c r="L390" s="42"/>
    </row>
    <row r="391" spans="9:12" x14ac:dyDescent="0.35">
      <c r="I391" s="42"/>
      <c r="J391" s="42"/>
      <c r="K391" s="42"/>
      <c r="L391" s="42"/>
    </row>
    <row r="392" spans="9:12" x14ac:dyDescent="0.35">
      <c r="I392" s="42"/>
      <c r="J392" s="42"/>
      <c r="K392" s="42"/>
      <c r="L392" s="42"/>
    </row>
    <row r="393" spans="9:12" x14ac:dyDescent="0.35">
      <c r="I393" s="42"/>
      <c r="J393" s="42"/>
      <c r="K393" s="42"/>
      <c r="L393" s="42"/>
    </row>
    <row r="394" spans="9:12" x14ac:dyDescent="0.35">
      <c r="I394" s="42"/>
      <c r="J394" s="42"/>
      <c r="K394" s="42"/>
      <c r="L394" s="42"/>
    </row>
    <row r="395" spans="9:12" x14ac:dyDescent="0.35">
      <c r="I395" s="42"/>
      <c r="J395" s="42"/>
      <c r="K395" s="42"/>
      <c r="L395" s="42"/>
    </row>
    <row r="396" spans="9:12" x14ac:dyDescent="0.35">
      <c r="I396" s="42"/>
      <c r="J396" s="42"/>
      <c r="K396" s="42"/>
      <c r="L396" s="42"/>
    </row>
    <row r="397" spans="9:12" x14ac:dyDescent="0.35">
      <c r="I397" s="42"/>
      <c r="J397" s="42"/>
      <c r="K397" s="42"/>
      <c r="L397" s="42"/>
    </row>
  </sheetData>
  <mergeCells count="11">
    <mergeCell ref="A26:N26"/>
    <mergeCell ref="J29:S29"/>
    <mergeCell ref="A1:N1"/>
    <mergeCell ref="A2:A3"/>
    <mergeCell ref="B2:H2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U106"/>
  <sheetViews>
    <sheetView zoomScale="80" zoomScaleNormal="80" workbookViewId="0">
      <selection activeCell="B2" sqref="B2"/>
    </sheetView>
  </sheetViews>
  <sheetFormatPr defaultColWidth="8.08203125" defaultRowHeight="14" x14ac:dyDescent="0.3"/>
  <cols>
    <col min="1" max="1" width="26.08203125" style="35" customWidth="1"/>
    <col min="2" max="2" width="8.08203125" style="11" customWidth="1"/>
    <col min="3" max="3" width="46.33203125" style="11" customWidth="1"/>
    <col min="4" max="4" width="26" style="11" customWidth="1"/>
    <col min="5" max="5" width="11.58203125" style="11" customWidth="1"/>
    <col min="6" max="6" width="14" style="11" customWidth="1"/>
    <col min="7" max="8" width="17.33203125" style="12" customWidth="1"/>
    <col min="9" max="9" width="16.5" style="13" customWidth="1"/>
    <col min="10" max="10" width="14.08203125" style="13" customWidth="1"/>
    <col min="11" max="11" width="24.58203125" style="11" customWidth="1"/>
    <col min="12" max="12" width="17.58203125" style="11" customWidth="1"/>
    <col min="13" max="13" width="14" style="14" customWidth="1"/>
    <col min="14" max="14" width="13.5" style="14" customWidth="1"/>
    <col min="15" max="15" width="31.33203125" style="11" customWidth="1"/>
    <col min="16" max="17" width="8.08203125" style="11" customWidth="1"/>
    <col min="18" max="18" width="61.58203125" style="11" customWidth="1"/>
    <col min="19" max="19" width="51.58203125" style="11" customWidth="1"/>
    <col min="20" max="21" width="8.08203125" style="11" customWidth="1"/>
    <col min="22" max="16384" width="8.08203125" style="11"/>
  </cols>
  <sheetData>
    <row r="2" spans="1:21" ht="16.399999999999999" customHeight="1" thickBot="1" x14ac:dyDescent="0.35">
      <c r="A2" s="6"/>
      <c r="B2" s="6" t="s">
        <v>229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  <c r="Q2" s="8"/>
      <c r="R2" s="9"/>
      <c r="S2" s="8"/>
      <c r="T2" s="8"/>
      <c r="U2" s="8"/>
    </row>
    <row r="3" spans="1:21" ht="15.5" x14ac:dyDescent="0.3">
      <c r="B3" s="1062" t="s">
        <v>230</v>
      </c>
      <c r="C3" s="1063"/>
      <c r="D3" s="1063"/>
      <c r="E3" s="1063"/>
      <c r="F3" s="1063"/>
      <c r="G3" s="1063"/>
      <c r="H3" s="1063"/>
      <c r="I3" s="1063"/>
      <c r="J3" s="1063"/>
      <c r="K3" s="1063"/>
      <c r="L3" s="1063"/>
      <c r="M3" s="1063"/>
      <c r="N3" s="1063"/>
      <c r="O3" s="1064"/>
      <c r="P3" s="8"/>
      <c r="Q3" s="8"/>
      <c r="R3" s="10" t="s">
        <v>299</v>
      </c>
      <c r="S3" s="8"/>
      <c r="T3" s="8"/>
      <c r="U3" s="8"/>
    </row>
    <row r="4" spans="1:21" ht="14.5" customHeight="1" x14ac:dyDescent="0.3">
      <c r="A4" s="1070"/>
      <c r="B4" s="1054" t="s">
        <v>232</v>
      </c>
      <c r="C4" s="1055" t="s">
        <v>233</v>
      </c>
      <c r="D4" s="1055" t="s">
        <v>500</v>
      </c>
      <c r="E4" s="1055" t="s">
        <v>235</v>
      </c>
      <c r="F4" s="1055" t="s">
        <v>236</v>
      </c>
      <c r="G4" s="1067" t="s">
        <v>237</v>
      </c>
      <c r="H4" s="1067"/>
      <c r="I4" s="1067"/>
      <c r="J4" s="1067"/>
      <c r="K4" s="1055" t="s">
        <v>238</v>
      </c>
      <c r="L4" s="1055" t="s">
        <v>501</v>
      </c>
      <c r="M4" s="1055" t="s">
        <v>240</v>
      </c>
      <c r="N4" s="1055"/>
      <c r="O4" s="1053" t="s">
        <v>502</v>
      </c>
      <c r="P4" s="8"/>
      <c r="Q4" s="8"/>
      <c r="R4" s="10" t="s">
        <v>253</v>
      </c>
      <c r="S4" s="8"/>
      <c r="T4" s="8"/>
      <c r="U4" s="8"/>
    </row>
    <row r="5" spans="1:21" ht="33" customHeight="1" x14ac:dyDescent="0.3">
      <c r="A5" s="1070"/>
      <c r="B5" s="1054"/>
      <c r="C5" s="1055"/>
      <c r="D5" s="1055"/>
      <c r="E5" s="1055"/>
      <c r="F5" s="1055"/>
      <c r="G5" s="406" t="s">
        <v>503</v>
      </c>
      <c r="H5" s="406"/>
      <c r="I5" s="407" t="s">
        <v>244</v>
      </c>
      <c r="J5" s="407" t="s">
        <v>245</v>
      </c>
      <c r="K5" s="1055"/>
      <c r="L5" s="1055"/>
      <c r="M5" s="408" t="s">
        <v>246</v>
      </c>
      <c r="N5" s="408" t="s">
        <v>247</v>
      </c>
      <c r="O5" s="1053"/>
      <c r="P5" s="8"/>
      <c r="Q5" s="8"/>
      <c r="R5" s="11" t="s">
        <v>256</v>
      </c>
      <c r="S5" s="8"/>
      <c r="T5" s="8"/>
      <c r="U5" s="8"/>
    </row>
    <row r="6" spans="1:21" x14ac:dyDescent="0.3">
      <c r="A6" s="409"/>
      <c r="B6" s="410"/>
      <c r="C6" s="411"/>
      <c r="D6" s="411"/>
      <c r="E6" s="411"/>
      <c r="F6" s="411"/>
      <c r="G6" s="412"/>
      <c r="H6" s="412"/>
      <c r="I6" s="413"/>
      <c r="J6" s="413"/>
      <c r="K6" s="411"/>
      <c r="L6" s="411"/>
      <c r="M6" s="414"/>
      <c r="N6" s="414"/>
      <c r="O6" s="415"/>
      <c r="P6" s="8"/>
      <c r="Q6" s="8"/>
      <c r="R6" s="10" t="s">
        <v>504</v>
      </c>
      <c r="S6" s="8"/>
      <c r="T6" s="8"/>
      <c r="U6" s="8"/>
    </row>
    <row r="7" spans="1:21" ht="14.5" thickBot="1" x14ac:dyDescent="0.35">
      <c r="A7" s="416"/>
      <c r="B7" s="417"/>
      <c r="C7" s="418"/>
      <c r="D7" s="418"/>
      <c r="E7" s="418"/>
      <c r="F7" s="418"/>
      <c r="G7" s="419"/>
      <c r="H7" s="419"/>
      <c r="I7" s="420"/>
      <c r="J7" s="420"/>
      <c r="K7" s="418"/>
      <c r="L7" s="418"/>
      <c r="M7" s="421"/>
      <c r="N7" s="421"/>
      <c r="O7" s="422"/>
      <c r="P7" s="8"/>
      <c r="Q7" s="8"/>
      <c r="R7" s="10" t="s">
        <v>505</v>
      </c>
      <c r="S7" s="8"/>
      <c r="T7" s="8"/>
      <c r="U7" s="8"/>
    </row>
    <row r="8" spans="1:21" ht="14.5" thickBot="1" x14ac:dyDescent="0.35">
      <c r="G8" s="12">
        <v>0</v>
      </c>
      <c r="M8" s="414"/>
      <c r="R8" s="10" t="s">
        <v>506</v>
      </c>
    </row>
    <row r="9" spans="1:21" ht="15.5" x14ac:dyDescent="0.3">
      <c r="B9" s="1062" t="s">
        <v>248</v>
      </c>
      <c r="C9" s="1063"/>
      <c r="D9" s="1063"/>
      <c r="E9" s="1063"/>
      <c r="F9" s="1063"/>
      <c r="G9" s="1063"/>
      <c r="H9" s="1063"/>
      <c r="I9" s="1063"/>
      <c r="J9" s="1063"/>
      <c r="K9" s="1063"/>
      <c r="L9" s="1063"/>
      <c r="M9" s="1063"/>
      <c r="N9" s="1063"/>
      <c r="O9" s="1064"/>
      <c r="P9" s="8"/>
      <c r="Q9" s="8"/>
      <c r="R9" s="10" t="s">
        <v>507</v>
      </c>
      <c r="S9" s="8"/>
      <c r="T9" s="8"/>
      <c r="U9" s="8"/>
    </row>
    <row r="10" spans="1:21" ht="15" customHeight="1" x14ac:dyDescent="0.3">
      <c r="A10" s="1070"/>
      <c r="B10" s="1054" t="s">
        <v>232</v>
      </c>
      <c r="C10" s="1055" t="s">
        <v>233</v>
      </c>
      <c r="D10" s="1055" t="s">
        <v>508</v>
      </c>
      <c r="E10" s="1055" t="s">
        <v>235</v>
      </c>
      <c r="F10" s="1055" t="s">
        <v>236</v>
      </c>
      <c r="G10" s="1067" t="s">
        <v>237</v>
      </c>
      <c r="H10" s="1067"/>
      <c r="I10" s="1067"/>
      <c r="J10" s="1067"/>
      <c r="K10" s="1055" t="s">
        <v>238</v>
      </c>
      <c r="L10" s="1055" t="s">
        <v>501</v>
      </c>
      <c r="M10" s="1055" t="s">
        <v>240</v>
      </c>
      <c r="N10" s="1055"/>
      <c r="O10" s="1053" t="s">
        <v>502</v>
      </c>
      <c r="P10" s="8"/>
      <c r="Q10" s="8"/>
      <c r="R10" s="10" t="s">
        <v>509</v>
      </c>
      <c r="S10" s="8"/>
      <c r="T10" s="8"/>
      <c r="U10" s="8"/>
    </row>
    <row r="11" spans="1:21" ht="36" customHeight="1" x14ac:dyDescent="0.3">
      <c r="A11" s="1070"/>
      <c r="B11" s="1054"/>
      <c r="C11" s="1055"/>
      <c r="D11" s="1055"/>
      <c r="E11" s="1055"/>
      <c r="F11" s="1055"/>
      <c r="G11" s="406" t="s">
        <v>503</v>
      </c>
      <c r="H11" s="406"/>
      <c r="I11" s="407" t="s">
        <v>244</v>
      </c>
      <c r="J11" s="407" t="s">
        <v>245</v>
      </c>
      <c r="K11" s="1055"/>
      <c r="L11" s="1055"/>
      <c r="M11" s="408" t="s">
        <v>246</v>
      </c>
      <c r="N11" s="408" t="s">
        <v>247</v>
      </c>
      <c r="O11" s="1053"/>
      <c r="P11" s="8"/>
      <c r="Q11" s="8"/>
      <c r="R11" s="9"/>
      <c r="S11" s="8"/>
      <c r="T11" s="8"/>
      <c r="U11" s="8"/>
    </row>
    <row r="12" spans="1:21" ht="78.75" customHeight="1" x14ac:dyDescent="0.3">
      <c r="A12" s="36"/>
      <c r="B12" s="423"/>
      <c r="C12" s="424" t="e">
        <v>#REF!</v>
      </c>
      <c r="D12" s="424" t="s">
        <v>255</v>
      </c>
      <c r="E12" s="424"/>
      <c r="F12" s="424" t="s">
        <v>510</v>
      </c>
      <c r="G12" s="425" t="e">
        <v>#REF!</v>
      </c>
      <c r="H12" s="425"/>
      <c r="I12" s="426">
        <v>1</v>
      </c>
      <c r="J12" s="426">
        <v>0</v>
      </c>
      <c r="K12" s="424" t="s">
        <v>258</v>
      </c>
      <c r="L12" s="424" t="s">
        <v>253</v>
      </c>
      <c r="M12" s="427"/>
      <c r="N12" s="427"/>
      <c r="O12" s="428"/>
      <c r="P12" s="8"/>
      <c r="Q12" s="8"/>
      <c r="R12" s="10"/>
      <c r="S12" s="8"/>
      <c r="T12" s="8"/>
      <c r="U12" s="8"/>
    </row>
    <row r="13" spans="1:21" ht="14.5" thickBot="1" x14ac:dyDescent="0.35">
      <c r="A13" s="416"/>
      <c r="B13" s="417"/>
      <c r="C13" s="418"/>
      <c r="D13" s="418"/>
      <c r="E13" s="418"/>
      <c r="F13" s="418"/>
      <c r="G13" s="419"/>
      <c r="H13" s="419"/>
      <c r="I13" s="420"/>
      <c r="J13" s="420"/>
      <c r="K13" s="418"/>
      <c r="L13" s="418"/>
      <c r="M13" s="421"/>
      <c r="N13" s="421"/>
      <c r="O13" s="422"/>
      <c r="P13" s="8"/>
      <c r="Q13" s="8"/>
      <c r="R13" s="10" t="s">
        <v>505</v>
      </c>
      <c r="S13" s="8"/>
      <c r="T13" s="8"/>
      <c r="U13" s="8"/>
    </row>
    <row r="14" spans="1:21" ht="14.5" thickBot="1" x14ac:dyDescent="0.35">
      <c r="G14" s="19">
        <v>0</v>
      </c>
      <c r="H14" s="19"/>
      <c r="R14" s="10" t="s">
        <v>254</v>
      </c>
    </row>
    <row r="15" spans="1:21" ht="15.5" x14ac:dyDescent="0.3">
      <c r="B15" s="1062" t="s">
        <v>276</v>
      </c>
      <c r="C15" s="1063"/>
      <c r="D15" s="1063"/>
      <c r="E15" s="1063"/>
      <c r="F15" s="1063"/>
      <c r="G15" s="1063"/>
      <c r="H15" s="1063"/>
      <c r="I15" s="1063"/>
      <c r="J15" s="1063"/>
      <c r="K15" s="1063"/>
      <c r="L15" s="1063"/>
      <c r="M15" s="1063"/>
      <c r="N15" s="1063"/>
      <c r="O15" s="1064"/>
      <c r="R15" s="10" t="s">
        <v>251</v>
      </c>
    </row>
    <row r="16" spans="1:21" ht="15" customHeight="1" x14ac:dyDescent="0.3">
      <c r="A16" s="1054" t="s">
        <v>231</v>
      </c>
      <c r="B16" s="1054" t="s">
        <v>232</v>
      </c>
      <c r="C16" s="1055" t="s">
        <v>233</v>
      </c>
      <c r="D16" s="1055" t="s">
        <v>508</v>
      </c>
      <c r="E16" s="1055" t="s">
        <v>235</v>
      </c>
      <c r="F16" s="1055" t="s">
        <v>236</v>
      </c>
      <c r="G16" s="1067" t="s">
        <v>237</v>
      </c>
      <c r="H16" s="1067"/>
      <c r="I16" s="1067"/>
      <c r="J16" s="1067"/>
      <c r="K16" s="1055" t="s">
        <v>238</v>
      </c>
      <c r="L16" s="1055" t="s">
        <v>501</v>
      </c>
      <c r="M16" s="1055" t="s">
        <v>240</v>
      </c>
      <c r="N16" s="1055"/>
      <c r="O16" s="1053" t="s">
        <v>502</v>
      </c>
      <c r="R16" s="10" t="s">
        <v>511</v>
      </c>
    </row>
    <row r="17" spans="1:19" ht="36.75" customHeight="1" x14ac:dyDescent="0.3">
      <c r="A17" s="1054"/>
      <c r="B17" s="1054"/>
      <c r="C17" s="1055"/>
      <c r="D17" s="1055"/>
      <c r="E17" s="1055"/>
      <c r="F17" s="1055"/>
      <c r="G17" s="406" t="s">
        <v>503</v>
      </c>
      <c r="H17" s="406" t="s">
        <v>243</v>
      </c>
      <c r="I17" s="407" t="s">
        <v>244</v>
      </c>
      <c r="J17" s="407" t="s">
        <v>245</v>
      </c>
      <c r="K17" s="1055"/>
      <c r="L17" s="1055"/>
      <c r="M17" s="408" t="s">
        <v>277</v>
      </c>
      <c r="N17" s="408" t="s">
        <v>247</v>
      </c>
      <c r="O17" s="1053"/>
      <c r="R17" s="10" t="s">
        <v>255</v>
      </c>
    </row>
    <row r="18" spans="1:19" ht="36.75" customHeight="1" x14ac:dyDescent="0.3">
      <c r="A18" s="1056" t="e">
        <v>#REF!</v>
      </c>
      <c r="B18" s="423" t="s">
        <v>479</v>
      </c>
      <c r="C18" s="429" t="e">
        <v>#REF!</v>
      </c>
      <c r="D18" s="411" t="s">
        <v>255</v>
      </c>
      <c r="E18" s="424"/>
      <c r="F18" s="424" t="s">
        <v>510</v>
      </c>
      <c r="G18" s="425" t="e">
        <v>#REF!</v>
      </c>
      <c r="H18" s="425" t="e">
        <v>#REF!</v>
      </c>
      <c r="I18" s="426">
        <v>1</v>
      </c>
      <c r="J18" s="426">
        <v>0</v>
      </c>
      <c r="K18" s="424" t="s">
        <v>252</v>
      </c>
      <c r="L18" s="424" t="s">
        <v>253</v>
      </c>
      <c r="M18" s="430">
        <v>43832</v>
      </c>
      <c r="N18" s="430">
        <v>43914</v>
      </c>
      <c r="O18" s="405"/>
      <c r="R18" s="10"/>
    </row>
    <row r="19" spans="1:19" ht="63.65" customHeight="1" x14ac:dyDescent="0.3">
      <c r="A19" s="1057"/>
      <c r="B19" s="423" t="s">
        <v>479</v>
      </c>
      <c r="C19" s="429" t="e">
        <v>#REF!</v>
      </c>
      <c r="D19" s="411" t="s">
        <v>254</v>
      </c>
      <c r="E19" s="424"/>
      <c r="F19" s="424" t="s">
        <v>510</v>
      </c>
      <c r="G19" s="425" t="e">
        <v>#REF!</v>
      </c>
      <c r="H19" s="425" t="e">
        <v>#REF!</v>
      </c>
      <c r="I19" s="426">
        <v>1</v>
      </c>
      <c r="J19" s="426">
        <v>0</v>
      </c>
      <c r="K19" s="424" t="s">
        <v>252</v>
      </c>
      <c r="L19" s="424" t="s">
        <v>256</v>
      </c>
      <c r="M19" s="430">
        <v>43892</v>
      </c>
      <c r="N19" s="430">
        <v>44036</v>
      </c>
      <c r="O19" s="428"/>
      <c r="R19" s="9"/>
    </row>
    <row r="20" spans="1:19" ht="63.65" customHeight="1" x14ac:dyDescent="0.3">
      <c r="A20" s="431" t="e">
        <v>#REF!</v>
      </c>
      <c r="B20" s="423" t="s">
        <v>479</v>
      </c>
      <c r="C20" s="429" t="e">
        <v>#REF!</v>
      </c>
      <c r="D20" s="411" t="s">
        <v>255</v>
      </c>
      <c r="E20" s="424"/>
      <c r="F20" s="424" t="s">
        <v>510</v>
      </c>
      <c r="G20" s="425" t="e">
        <v>#REF!</v>
      </c>
      <c r="H20" s="425" t="e">
        <v>#REF!</v>
      </c>
      <c r="I20" s="426">
        <v>1</v>
      </c>
      <c r="J20" s="426">
        <v>0</v>
      </c>
      <c r="K20" s="424" t="s">
        <v>252</v>
      </c>
      <c r="L20" s="424" t="s">
        <v>256</v>
      </c>
      <c r="M20" s="430">
        <v>44198</v>
      </c>
      <c r="N20" s="430">
        <v>44340</v>
      </c>
      <c r="O20" s="428"/>
      <c r="R20" s="9"/>
    </row>
    <row r="21" spans="1:19" ht="63.65" customHeight="1" x14ac:dyDescent="0.3">
      <c r="A21" s="1056" t="e">
        <v>#REF!</v>
      </c>
      <c r="B21" s="423" t="s">
        <v>479</v>
      </c>
      <c r="C21" s="424" t="e">
        <v>#REF!</v>
      </c>
      <c r="D21" s="411" t="s">
        <v>255</v>
      </c>
      <c r="E21" s="424"/>
      <c r="F21" s="424" t="s">
        <v>510</v>
      </c>
      <c r="G21" s="425" t="e">
        <v>#REF!</v>
      </c>
      <c r="H21" s="425" t="e">
        <v>#REF!</v>
      </c>
      <c r="I21" s="426">
        <v>1</v>
      </c>
      <c r="J21" s="426">
        <v>0</v>
      </c>
      <c r="K21" s="424" t="s">
        <v>252</v>
      </c>
      <c r="L21" s="424" t="s">
        <v>253</v>
      </c>
      <c r="M21" s="430">
        <v>43923</v>
      </c>
      <c r="N21" s="430">
        <v>44006</v>
      </c>
      <c r="O21" s="428"/>
      <c r="R21" s="9"/>
    </row>
    <row r="22" spans="1:19" ht="63.65" customHeight="1" x14ac:dyDescent="0.3">
      <c r="A22" s="1058"/>
      <c r="B22" s="423" t="s">
        <v>479</v>
      </c>
      <c r="C22" s="424" t="e">
        <v>#REF!</v>
      </c>
      <c r="D22" s="424" t="s">
        <v>255</v>
      </c>
      <c r="E22" s="424"/>
      <c r="F22" s="424" t="s">
        <v>510</v>
      </c>
      <c r="G22" s="424" t="e">
        <v>#REF!</v>
      </c>
      <c r="H22" s="424" t="e">
        <v>#REF!</v>
      </c>
      <c r="I22" s="424">
        <v>1</v>
      </c>
      <c r="J22" s="424">
        <v>0</v>
      </c>
      <c r="K22" s="424" t="s">
        <v>252</v>
      </c>
      <c r="L22" s="424" t="s">
        <v>253</v>
      </c>
      <c r="M22" s="430">
        <v>43832</v>
      </c>
      <c r="N22" s="430">
        <v>43914</v>
      </c>
      <c r="O22" s="428"/>
      <c r="R22" s="9"/>
    </row>
    <row r="23" spans="1:19" ht="63.65" customHeight="1" x14ac:dyDescent="0.3">
      <c r="A23" s="1057"/>
      <c r="B23" s="423" t="s">
        <v>479</v>
      </c>
      <c r="C23" s="424" t="e">
        <v>#REF!</v>
      </c>
      <c r="D23" s="424" t="s">
        <v>255</v>
      </c>
      <c r="E23" s="424"/>
      <c r="F23" s="424" t="s">
        <v>510</v>
      </c>
      <c r="G23" s="424" t="e">
        <v>#REF!</v>
      </c>
      <c r="H23" s="424" t="e">
        <v>#REF!</v>
      </c>
      <c r="I23" s="424">
        <v>1</v>
      </c>
      <c r="J23" s="424">
        <v>0</v>
      </c>
      <c r="K23" s="424" t="s">
        <v>257</v>
      </c>
      <c r="L23" s="424" t="s">
        <v>253</v>
      </c>
      <c r="M23" s="430">
        <v>43832</v>
      </c>
      <c r="N23" s="430">
        <v>43914</v>
      </c>
      <c r="O23" s="428"/>
      <c r="R23" s="9"/>
    </row>
    <row r="24" spans="1:19" ht="63.65" customHeight="1" x14ac:dyDescent="0.3">
      <c r="A24" s="1056" t="e">
        <v>#REF!</v>
      </c>
      <c r="B24" s="423" t="s">
        <v>512</v>
      </c>
      <c r="C24" s="424" t="e">
        <v>#REF!</v>
      </c>
      <c r="D24" s="424" t="s">
        <v>255</v>
      </c>
      <c r="E24" s="424"/>
      <c r="F24" s="424" t="s">
        <v>510</v>
      </c>
      <c r="G24" s="424" t="e">
        <v>#REF!</v>
      </c>
      <c r="H24" s="424" t="e">
        <v>#REF!</v>
      </c>
      <c r="I24" s="424">
        <v>1</v>
      </c>
      <c r="J24" s="424">
        <v>0</v>
      </c>
      <c r="K24" s="424" t="s">
        <v>252</v>
      </c>
      <c r="L24" s="424" t="s">
        <v>253</v>
      </c>
      <c r="M24" s="430">
        <v>43914</v>
      </c>
      <c r="N24" s="430">
        <v>43975</v>
      </c>
      <c r="O24" s="428"/>
      <c r="R24" s="9"/>
    </row>
    <row r="25" spans="1:19" ht="63.65" customHeight="1" x14ac:dyDescent="0.3">
      <c r="A25" s="1058"/>
      <c r="B25" s="423" t="s">
        <v>512</v>
      </c>
      <c r="C25" s="424" t="e">
        <v>#REF!</v>
      </c>
      <c r="D25" s="424" t="s">
        <v>255</v>
      </c>
      <c r="E25" s="424"/>
      <c r="F25" s="424" t="s">
        <v>510</v>
      </c>
      <c r="G25" s="424" t="e">
        <v>#REF!</v>
      </c>
      <c r="H25" s="424" t="e">
        <v>#REF!</v>
      </c>
      <c r="I25" s="424">
        <v>1</v>
      </c>
      <c r="J25" s="424">
        <v>0</v>
      </c>
      <c r="K25" s="424" t="s">
        <v>252</v>
      </c>
      <c r="L25" s="424" t="s">
        <v>253</v>
      </c>
      <c r="M25" s="430">
        <v>43975</v>
      </c>
      <c r="N25" s="430">
        <v>44401</v>
      </c>
      <c r="O25" s="428"/>
      <c r="R25" s="9"/>
    </row>
    <row r="26" spans="1:19" ht="63.65" customHeight="1" x14ac:dyDescent="0.3">
      <c r="A26" s="1057"/>
      <c r="B26" s="423" t="s">
        <v>512</v>
      </c>
      <c r="C26" s="424" t="e">
        <v>#REF!</v>
      </c>
      <c r="D26" s="424" t="s">
        <v>255</v>
      </c>
      <c r="E26" s="424"/>
      <c r="F26" s="424" t="s">
        <v>510</v>
      </c>
      <c r="G26" s="424" t="e">
        <v>#REF!</v>
      </c>
      <c r="H26" s="424" t="e">
        <v>#REF!</v>
      </c>
      <c r="I26" s="424">
        <v>1</v>
      </c>
      <c r="J26" s="424">
        <v>0</v>
      </c>
      <c r="K26" s="424" t="s">
        <v>252</v>
      </c>
      <c r="L26" s="424" t="s">
        <v>253</v>
      </c>
      <c r="M26" s="430">
        <v>43914</v>
      </c>
      <c r="N26" s="430">
        <v>43975</v>
      </c>
      <c r="O26" s="428"/>
      <c r="R26" s="9"/>
    </row>
    <row r="27" spans="1:19" ht="14.5" thickBot="1" x14ac:dyDescent="0.35">
      <c r="G27" s="19" t="e">
        <f>SUM(G18:G26)</f>
        <v>#REF!</v>
      </c>
      <c r="H27" s="19" t="e">
        <f>SUM(H18:H26)</f>
        <v>#REF!</v>
      </c>
      <c r="R27" s="10" t="s">
        <v>284</v>
      </c>
    </row>
    <row r="28" spans="1:19" ht="15.75" customHeight="1" x14ac:dyDescent="0.3">
      <c r="B28" s="1062" t="s">
        <v>279</v>
      </c>
      <c r="C28" s="1063"/>
      <c r="D28" s="1063"/>
      <c r="E28" s="1063"/>
      <c r="F28" s="1063"/>
      <c r="G28" s="1063"/>
      <c r="H28" s="1063"/>
      <c r="I28" s="1063"/>
      <c r="J28" s="1063"/>
      <c r="K28" s="1063"/>
      <c r="L28" s="1063"/>
      <c r="M28" s="1063"/>
      <c r="N28" s="1063"/>
      <c r="O28" s="1064"/>
      <c r="R28" s="10" t="s">
        <v>513</v>
      </c>
    </row>
    <row r="29" spans="1:19" ht="15" customHeight="1" x14ac:dyDescent="0.3">
      <c r="A29" s="1054" t="s">
        <v>231</v>
      </c>
      <c r="B29" s="1065" t="s">
        <v>232</v>
      </c>
      <c r="C29" s="1055" t="s">
        <v>233</v>
      </c>
      <c r="D29" s="1055" t="s">
        <v>280</v>
      </c>
      <c r="E29" s="1068" t="s">
        <v>236</v>
      </c>
      <c r="F29" s="1069"/>
      <c r="G29" s="1067" t="s">
        <v>237</v>
      </c>
      <c r="H29" s="1067"/>
      <c r="I29" s="1067"/>
      <c r="J29" s="1067"/>
      <c r="K29" s="1055" t="s">
        <v>238</v>
      </c>
      <c r="L29" s="1055" t="s">
        <v>501</v>
      </c>
      <c r="M29" s="1055" t="s">
        <v>240</v>
      </c>
      <c r="N29" s="1055"/>
      <c r="O29" s="1053" t="s">
        <v>502</v>
      </c>
      <c r="R29" s="10" t="s">
        <v>299</v>
      </c>
    </row>
    <row r="30" spans="1:19" ht="37.5" x14ac:dyDescent="0.3">
      <c r="A30" s="1054"/>
      <c r="B30" s="1066"/>
      <c r="C30" s="1055"/>
      <c r="D30" s="1055"/>
      <c r="E30" s="432" t="s">
        <v>281</v>
      </c>
      <c r="F30" s="433" t="s">
        <v>282</v>
      </c>
      <c r="G30" s="404" t="s">
        <v>503</v>
      </c>
      <c r="H30" s="406" t="s">
        <v>243</v>
      </c>
      <c r="I30" s="406" t="s">
        <v>244</v>
      </c>
      <c r="J30" s="407" t="s">
        <v>245</v>
      </c>
      <c r="K30" s="1055"/>
      <c r="L30" s="1055"/>
      <c r="M30" s="408" t="s">
        <v>283</v>
      </c>
      <c r="N30" s="408" t="s">
        <v>247</v>
      </c>
      <c r="O30" s="1053"/>
      <c r="R30" s="10" t="s">
        <v>287</v>
      </c>
    </row>
    <row r="31" spans="1:19" ht="56.15" customHeight="1" x14ac:dyDescent="0.3">
      <c r="A31" s="1056" t="e">
        <v>#REF!</v>
      </c>
      <c r="B31" s="423" t="s">
        <v>479</v>
      </c>
      <c r="C31" s="424" t="e">
        <v>#REF!</v>
      </c>
      <c r="D31" s="424" t="s">
        <v>514</v>
      </c>
      <c r="E31" s="424">
        <v>1</v>
      </c>
      <c r="F31" s="424" t="s">
        <v>510</v>
      </c>
      <c r="G31" s="434" t="e">
        <v>#REF!</v>
      </c>
      <c r="H31" s="434" t="e">
        <v>#REF!</v>
      </c>
      <c r="I31" s="426">
        <v>1</v>
      </c>
      <c r="J31" s="426">
        <v>0</v>
      </c>
      <c r="K31" s="424" t="s">
        <v>252</v>
      </c>
      <c r="L31" s="424" t="s">
        <v>256</v>
      </c>
      <c r="M31" s="430">
        <v>43891</v>
      </c>
      <c r="N31" s="430">
        <v>44042</v>
      </c>
      <c r="O31" s="428"/>
      <c r="S31" s="9"/>
    </row>
    <row r="32" spans="1:19" ht="56.15" customHeight="1" x14ac:dyDescent="0.3">
      <c r="A32" s="1057"/>
      <c r="B32" s="423" t="s">
        <v>479</v>
      </c>
      <c r="C32" s="424" t="e">
        <v>#REF!</v>
      </c>
      <c r="D32" s="424" t="s">
        <v>514</v>
      </c>
      <c r="E32" s="424">
        <v>1</v>
      </c>
      <c r="F32" s="424" t="s">
        <v>510</v>
      </c>
      <c r="G32" s="434" t="e">
        <v>#REF!</v>
      </c>
      <c r="H32" s="434" t="e">
        <v>#REF!</v>
      </c>
      <c r="I32" s="426">
        <v>1</v>
      </c>
      <c r="J32" s="426">
        <v>0</v>
      </c>
      <c r="K32" s="424" t="s">
        <v>252</v>
      </c>
      <c r="L32" s="424" t="s">
        <v>256</v>
      </c>
      <c r="M32" s="430">
        <v>43891</v>
      </c>
      <c r="N32" s="430">
        <v>44042</v>
      </c>
      <c r="O32" s="428"/>
      <c r="S32" s="9"/>
    </row>
    <row r="33" spans="1:19" ht="53.15" customHeight="1" x14ac:dyDescent="0.3">
      <c r="A33" s="1056" t="e">
        <v>#REF!</v>
      </c>
      <c r="B33" s="423" t="s">
        <v>481</v>
      </c>
      <c r="C33" s="424" t="e">
        <v>#REF!</v>
      </c>
      <c r="D33" s="424" t="s">
        <v>514</v>
      </c>
      <c r="E33" s="424">
        <v>1</v>
      </c>
      <c r="F33" s="424" t="s">
        <v>510</v>
      </c>
      <c r="G33" s="434" t="e">
        <v>#REF!</v>
      </c>
      <c r="H33" s="434" t="e">
        <v>#REF!</v>
      </c>
      <c r="I33" s="426">
        <v>1</v>
      </c>
      <c r="J33" s="426">
        <v>0</v>
      </c>
      <c r="K33" s="424" t="s">
        <v>252</v>
      </c>
      <c r="L33" s="424" t="s">
        <v>256</v>
      </c>
      <c r="M33" s="430">
        <v>44198</v>
      </c>
      <c r="N33" s="430">
        <v>44340</v>
      </c>
      <c r="O33" s="428"/>
      <c r="S33" s="9"/>
    </row>
    <row r="34" spans="1:19" ht="53.15" customHeight="1" x14ac:dyDescent="0.3">
      <c r="A34" s="1058"/>
      <c r="B34" s="423" t="s">
        <v>481</v>
      </c>
      <c r="C34" s="424" t="e">
        <v>#REF!</v>
      </c>
      <c r="D34" s="424" t="s">
        <v>514</v>
      </c>
      <c r="E34" s="424">
        <v>1</v>
      </c>
      <c r="F34" s="424" t="s">
        <v>510</v>
      </c>
      <c r="G34" s="434" t="e">
        <v>#REF!</v>
      </c>
      <c r="H34" s="434" t="e">
        <v>#REF!</v>
      </c>
      <c r="I34" s="426">
        <v>1</v>
      </c>
      <c r="J34" s="426">
        <v>0</v>
      </c>
      <c r="K34" s="424" t="s">
        <v>252</v>
      </c>
      <c r="L34" s="424" t="s">
        <v>256</v>
      </c>
      <c r="M34" s="430">
        <v>44198</v>
      </c>
      <c r="N34" s="430">
        <v>44340</v>
      </c>
      <c r="O34" s="428"/>
      <c r="S34" s="9"/>
    </row>
    <row r="35" spans="1:19" ht="53.15" customHeight="1" x14ac:dyDescent="0.3">
      <c r="A35" s="1058"/>
      <c r="B35" s="423" t="s">
        <v>481</v>
      </c>
      <c r="C35" s="424" t="e">
        <v>#REF!</v>
      </c>
      <c r="D35" s="424" t="s">
        <v>514</v>
      </c>
      <c r="E35" s="424">
        <v>1</v>
      </c>
      <c r="F35" s="424" t="s">
        <v>510</v>
      </c>
      <c r="G35" s="434" t="e">
        <v>#REF!</v>
      </c>
      <c r="H35" s="434" t="e">
        <v>#REF!</v>
      </c>
      <c r="I35" s="426">
        <v>1</v>
      </c>
      <c r="J35" s="426">
        <v>0</v>
      </c>
      <c r="K35" s="424" t="s">
        <v>252</v>
      </c>
      <c r="L35" s="424" t="s">
        <v>256</v>
      </c>
      <c r="M35" s="430">
        <v>44198</v>
      </c>
      <c r="N35" s="430">
        <v>44340</v>
      </c>
      <c r="O35" s="428"/>
      <c r="S35" s="9"/>
    </row>
    <row r="36" spans="1:19" ht="53.15" customHeight="1" x14ac:dyDescent="0.3">
      <c r="A36" s="1058"/>
      <c r="B36" s="423" t="s">
        <v>515</v>
      </c>
      <c r="C36" s="424" t="e">
        <v>#REF!</v>
      </c>
      <c r="D36" s="424" t="s">
        <v>514</v>
      </c>
      <c r="E36" s="424">
        <v>1</v>
      </c>
      <c r="F36" s="424" t="s">
        <v>510</v>
      </c>
      <c r="G36" s="434" t="e">
        <v>#REF!</v>
      </c>
      <c r="H36" s="434" t="e">
        <v>#REF!</v>
      </c>
      <c r="I36" s="426">
        <v>1</v>
      </c>
      <c r="J36" s="426">
        <v>0</v>
      </c>
      <c r="K36" s="424" t="s">
        <v>252</v>
      </c>
      <c r="L36" s="424" t="s">
        <v>256</v>
      </c>
      <c r="M36" s="430">
        <v>43863</v>
      </c>
      <c r="N36" s="430">
        <v>44006</v>
      </c>
      <c r="O36" s="428"/>
      <c r="S36" s="9"/>
    </row>
    <row r="37" spans="1:19" ht="53.15" customHeight="1" x14ac:dyDescent="0.3">
      <c r="A37" s="1057"/>
      <c r="B37" s="423" t="s">
        <v>481</v>
      </c>
      <c r="C37" s="424" t="e">
        <v>#REF!</v>
      </c>
      <c r="D37" s="424" t="s">
        <v>514</v>
      </c>
      <c r="E37" s="424">
        <v>1</v>
      </c>
      <c r="F37" s="424" t="s">
        <v>510</v>
      </c>
      <c r="G37" s="434" t="e">
        <v>#REF!</v>
      </c>
      <c r="H37" s="434" t="e">
        <v>#REF!</v>
      </c>
      <c r="I37" s="426">
        <v>1</v>
      </c>
      <c r="J37" s="426">
        <v>0</v>
      </c>
      <c r="K37" s="424" t="s">
        <v>252</v>
      </c>
      <c r="L37" s="424" t="s">
        <v>256</v>
      </c>
      <c r="M37" s="430">
        <v>43863</v>
      </c>
      <c r="N37" s="430">
        <v>44006</v>
      </c>
      <c r="O37" s="428"/>
      <c r="S37" s="9"/>
    </row>
    <row r="38" spans="1:19" ht="53.15" customHeight="1" x14ac:dyDescent="0.3">
      <c r="A38" s="1059" t="e">
        <v>#REF!</v>
      </c>
      <c r="B38" s="423" t="s">
        <v>516</v>
      </c>
      <c r="C38" s="424" t="e">
        <v>#REF!</v>
      </c>
      <c r="D38" s="424" t="s">
        <v>514</v>
      </c>
      <c r="E38" s="424">
        <v>1</v>
      </c>
      <c r="F38" s="424" t="s">
        <v>510</v>
      </c>
      <c r="G38" s="434" t="e">
        <v>#REF!</v>
      </c>
      <c r="H38" s="434" t="e">
        <v>#REF!</v>
      </c>
      <c r="I38" s="426">
        <v>1</v>
      </c>
      <c r="J38" s="426">
        <v>0</v>
      </c>
      <c r="K38" s="424" t="s">
        <v>252</v>
      </c>
      <c r="L38" s="424" t="s">
        <v>253</v>
      </c>
      <c r="M38" s="430">
        <v>43863</v>
      </c>
      <c r="N38" s="430">
        <v>44006</v>
      </c>
      <c r="O38" s="428"/>
      <c r="S38" s="9"/>
    </row>
    <row r="39" spans="1:19" ht="53.15" customHeight="1" x14ac:dyDescent="0.3">
      <c r="A39" s="1061"/>
      <c r="B39" s="423" t="s">
        <v>516</v>
      </c>
      <c r="C39" s="424" t="e">
        <v>#REF!</v>
      </c>
      <c r="D39" s="424" t="s">
        <v>514</v>
      </c>
      <c r="E39" s="424">
        <v>1</v>
      </c>
      <c r="F39" s="424" t="s">
        <v>510</v>
      </c>
      <c r="G39" s="434" t="e">
        <v>#REF!</v>
      </c>
      <c r="H39" s="434" t="e">
        <v>#REF!</v>
      </c>
      <c r="I39" s="426">
        <v>1</v>
      </c>
      <c r="J39" s="426">
        <v>0</v>
      </c>
      <c r="K39" s="424" t="s">
        <v>252</v>
      </c>
      <c r="L39" s="424" t="s">
        <v>253</v>
      </c>
      <c r="M39" s="430">
        <v>43863</v>
      </c>
      <c r="N39" s="430">
        <v>44006</v>
      </c>
      <c r="O39" s="428"/>
      <c r="S39" s="9"/>
    </row>
    <row r="40" spans="1:19" ht="53.5" customHeight="1" x14ac:dyDescent="0.3">
      <c r="A40" s="1059" t="e">
        <v>#REF!</v>
      </c>
      <c r="B40" s="423"/>
      <c r="C40" s="23"/>
      <c r="D40" s="424"/>
      <c r="E40" s="424"/>
      <c r="F40" s="424"/>
      <c r="G40" s="434"/>
      <c r="H40" s="434"/>
      <c r="I40" s="426"/>
      <c r="J40" s="426"/>
      <c r="K40" s="424"/>
      <c r="L40" s="424"/>
      <c r="M40" s="430"/>
      <c r="N40" s="430"/>
      <c r="O40" s="428"/>
      <c r="S40" s="9"/>
    </row>
    <row r="41" spans="1:19" ht="53.5" customHeight="1" x14ac:dyDescent="0.3">
      <c r="A41" s="1060"/>
      <c r="B41" s="423"/>
      <c r="C41" s="23"/>
      <c r="D41" s="411"/>
      <c r="E41" s="424"/>
      <c r="F41" s="424"/>
      <c r="G41" s="434"/>
      <c r="H41" s="434"/>
      <c r="I41" s="426"/>
      <c r="J41" s="426"/>
      <c r="K41" s="424"/>
      <c r="L41" s="424"/>
      <c r="M41" s="430"/>
      <c r="N41" s="430"/>
      <c r="O41" s="428"/>
      <c r="S41" s="9"/>
    </row>
    <row r="42" spans="1:19" ht="53.5" customHeight="1" x14ac:dyDescent="0.3">
      <c r="A42" s="1060"/>
      <c r="B42" s="423"/>
      <c r="C42" s="23"/>
      <c r="D42" s="411"/>
      <c r="E42" s="424"/>
      <c r="F42" s="424"/>
      <c r="G42" s="434"/>
      <c r="H42" s="434"/>
      <c r="I42" s="426"/>
      <c r="J42" s="426"/>
      <c r="K42" s="424"/>
      <c r="L42" s="424"/>
      <c r="M42" s="430"/>
      <c r="N42" s="430"/>
      <c r="O42" s="428"/>
      <c r="S42" s="9"/>
    </row>
    <row r="43" spans="1:19" ht="53.5" customHeight="1" x14ac:dyDescent="0.3">
      <c r="A43" s="1061"/>
      <c r="B43" s="423"/>
      <c r="C43" s="23"/>
      <c r="D43" s="411"/>
      <c r="E43" s="424"/>
      <c r="F43" s="424"/>
      <c r="G43" s="434"/>
      <c r="H43" s="434"/>
      <c r="I43" s="426"/>
      <c r="J43" s="426"/>
      <c r="K43" s="424"/>
      <c r="L43" s="424"/>
      <c r="M43" s="430"/>
      <c r="N43" s="430"/>
      <c r="O43" s="428"/>
      <c r="S43" s="9"/>
    </row>
    <row r="44" spans="1:19" ht="86.15" customHeight="1" x14ac:dyDescent="0.3">
      <c r="A44" s="26" t="e">
        <v>#REF!</v>
      </c>
      <c r="B44" s="423" t="s">
        <v>481</v>
      </c>
      <c r="C44" s="23" t="e">
        <v>#REF!</v>
      </c>
      <c r="D44" s="411" t="s">
        <v>514</v>
      </c>
      <c r="E44" s="424">
        <v>1</v>
      </c>
      <c r="F44" s="424" t="s">
        <v>510</v>
      </c>
      <c r="G44" s="434" t="e">
        <v>#REF!</v>
      </c>
      <c r="H44" s="434" t="e">
        <v>#REF!</v>
      </c>
      <c r="I44" s="426">
        <v>1</v>
      </c>
      <c r="J44" s="426">
        <v>0</v>
      </c>
      <c r="K44" s="424" t="s">
        <v>257</v>
      </c>
      <c r="L44" s="424" t="s">
        <v>256</v>
      </c>
      <c r="M44" s="430">
        <v>43891</v>
      </c>
      <c r="N44" s="430">
        <v>44073</v>
      </c>
      <c r="O44" s="428"/>
      <c r="S44" s="9"/>
    </row>
    <row r="45" spans="1:19" ht="66" customHeight="1" x14ac:dyDescent="0.3">
      <c r="A45" s="1056" t="e">
        <v>#REF!</v>
      </c>
      <c r="B45" s="423" t="s">
        <v>482</v>
      </c>
      <c r="C45" s="424" t="e">
        <v>#REF!</v>
      </c>
      <c r="D45" s="411" t="s">
        <v>514</v>
      </c>
      <c r="E45" s="424">
        <v>1</v>
      </c>
      <c r="F45" s="424" t="s">
        <v>510</v>
      </c>
      <c r="G45" s="434" t="e">
        <v>#REF!</v>
      </c>
      <c r="H45" s="434" t="e">
        <v>#REF!</v>
      </c>
      <c r="I45" s="426">
        <v>1</v>
      </c>
      <c r="J45" s="426">
        <v>0</v>
      </c>
      <c r="K45" s="424" t="s">
        <v>257</v>
      </c>
      <c r="L45" s="424" t="s">
        <v>256</v>
      </c>
      <c r="M45" s="430">
        <v>43709</v>
      </c>
      <c r="N45" s="430">
        <v>43860</v>
      </c>
      <c r="O45" s="428"/>
      <c r="R45" s="9"/>
      <c r="S45" s="9"/>
    </row>
    <row r="46" spans="1:19" ht="66" customHeight="1" x14ac:dyDescent="0.3">
      <c r="A46" s="1057"/>
      <c r="B46" s="423" t="s">
        <v>482</v>
      </c>
      <c r="C46" s="424" t="e">
        <v>#REF!</v>
      </c>
      <c r="D46" s="411" t="s">
        <v>284</v>
      </c>
      <c r="E46" s="424">
        <v>1</v>
      </c>
      <c r="F46" s="424" t="s">
        <v>510</v>
      </c>
      <c r="G46" s="434" t="e">
        <v>#REF!</v>
      </c>
      <c r="H46" s="434" t="e">
        <v>#REF!</v>
      </c>
      <c r="I46" s="426">
        <v>1</v>
      </c>
      <c r="J46" s="426">
        <v>0</v>
      </c>
      <c r="K46" s="424" t="s">
        <v>257</v>
      </c>
      <c r="L46" s="411" t="s">
        <v>253</v>
      </c>
      <c r="M46" s="430">
        <v>43647</v>
      </c>
      <c r="N46" s="430">
        <v>43799</v>
      </c>
      <c r="O46" s="428"/>
      <c r="R46" s="9"/>
      <c r="S46" s="9"/>
    </row>
    <row r="47" spans="1:19" ht="66" customHeight="1" x14ac:dyDescent="0.3">
      <c r="A47" s="431"/>
      <c r="B47" s="423"/>
      <c r="C47" s="424"/>
      <c r="D47" s="411" t="s">
        <v>514</v>
      </c>
      <c r="E47" s="424">
        <v>1</v>
      </c>
      <c r="F47" s="424" t="s">
        <v>510</v>
      </c>
      <c r="G47" s="434" t="e">
        <v>#REF!</v>
      </c>
      <c r="H47" s="434" t="e">
        <v>#REF!</v>
      </c>
      <c r="I47" s="426">
        <v>1</v>
      </c>
      <c r="J47" s="426">
        <v>0</v>
      </c>
      <c r="K47" s="424" t="s">
        <v>257</v>
      </c>
      <c r="L47" s="411" t="s">
        <v>256</v>
      </c>
      <c r="M47" s="430">
        <v>43709</v>
      </c>
      <c r="N47" s="430">
        <v>43860</v>
      </c>
      <c r="O47" s="428"/>
      <c r="R47" s="9"/>
      <c r="S47" s="9"/>
    </row>
    <row r="48" spans="1:19" ht="40.4" customHeight="1" x14ac:dyDescent="0.3">
      <c r="A48" s="431" t="s">
        <v>517</v>
      </c>
      <c r="B48" s="423" t="s">
        <v>479</v>
      </c>
      <c r="C48" s="424" t="e">
        <v>#REF!</v>
      </c>
      <c r="D48" s="411" t="s">
        <v>284</v>
      </c>
      <c r="E48" s="424">
        <v>1</v>
      </c>
      <c r="F48" s="424" t="s">
        <v>510</v>
      </c>
      <c r="G48" s="434" t="e">
        <v>#REF!</v>
      </c>
      <c r="H48" s="434" t="e">
        <v>#REF!</v>
      </c>
      <c r="I48" s="426">
        <v>1</v>
      </c>
      <c r="J48" s="426">
        <v>0</v>
      </c>
      <c r="K48" s="411" t="s">
        <v>518</v>
      </c>
      <c r="L48" s="411" t="s">
        <v>256</v>
      </c>
      <c r="M48" s="430">
        <v>44013</v>
      </c>
      <c r="N48" s="430">
        <v>44134</v>
      </c>
      <c r="O48" s="428"/>
      <c r="R48" s="9"/>
      <c r="S48" s="9"/>
    </row>
    <row r="49" spans="1:19" ht="40.4" customHeight="1" x14ac:dyDescent="0.3">
      <c r="A49" s="431" t="s">
        <v>517</v>
      </c>
      <c r="B49" s="423" t="s">
        <v>479</v>
      </c>
      <c r="C49" s="424" t="e">
        <v>#REF!</v>
      </c>
      <c r="D49" s="411" t="s">
        <v>284</v>
      </c>
      <c r="E49" s="424">
        <v>1</v>
      </c>
      <c r="F49" s="424" t="s">
        <v>510</v>
      </c>
      <c r="G49" s="434" t="e">
        <v>#REF!</v>
      </c>
      <c r="H49" s="434" t="e">
        <v>#REF!</v>
      </c>
      <c r="I49" s="426">
        <v>1</v>
      </c>
      <c r="J49" s="426">
        <v>0</v>
      </c>
      <c r="K49" s="411" t="s">
        <v>518</v>
      </c>
      <c r="L49" s="411" t="s">
        <v>253</v>
      </c>
      <c r="M49" s="430">
        <v>43891</v>
      </c>
      <c r="N49" s="430">
        <v>44042</v>
      </c>
      <c r="O49" s="428"/>
      <c r="R49" s="9"/>
      <c r="S49" s="9"/>
    </row>
    <row r="50" spans="1:19" x14ac:dyDescent="0.3">
      <c r="A50" s="37"/>
      <c r="B50" s="15"/>
      <c r="C50" s="15"/>
      <c r="D50" s="15"/>
      <c r="E50" s="15"/>
      <c r="F50" s="15"/>
      <c r="G50" s="19" t="e">
        <f>SUM(G31:G49)</f>
        <v>#REF!</v>
      </c>
      <c r="H50" s="19" t="e">
        <f>SUM(H31:H49)</f>
        <v>#REF!</v>
      </c>
      <c r="I50" s="16"/>
      <c r="J50" s="16"/>
      <c r="K50" s="15"/>
      <c r="L50" s="15"/>
      <c r="M50" s="20"/>
      <c r="N50" s="20"/>
      <c r="O50" s="15"/>
      <c r="R50" s="9"/>
      <c r="S50" s="9"/>
    </row>
    <row r="51" spans="1:19" ht="14.5" thickBot="1" x14ac:dyDescent="0.35">
      <c r="R51" s="17" t="s">
        <v>519</v>
      </c>
      <c r="S51" s="17" t="s">
        <v>520</v>
      </c>
    </row>
    <row r="52" spans="1:19" ht="15.5" x14ac:dyDescent="0.3">
      <c r="B52" s="1062" t="s">
        <v>294</v>
      </c>
      <c r="C52" s="1063"/>
      <c r="D52" s="1063"/>
      <c r="E52" s="1063"/>
      <c r="F52" s="1063"/>
      <c r="G52" s="1063"/>
      <c r="H52" s="1063"/>
      <c r="I52" s="1063"/>
      <c r="J52" s="1063"/>
      <c r="K52" s="1063"/>
      <c r="L52" s="1063"/>
      <c r="M52" s="1063"/>
      <c r="N52" s="1063"/>
      <c r="O52" s="1064"/>
      <c r="R52" s="17" t="s">
        <v>521</v>
      </c>
      <c r="S52" s="17" t="s">
        <v>520</v>
      </c>
    </row>
    <row r="53" spans="1:19" ht="15" customHeight="1" x14ac:dyDescent="0.3">
      <c r="A53" s="1070"/>
      <c r="B53" s="1054" t="s">
        <v>232</v>
      </c>
      <c r="C53" s="1055" t="s">
        <v>233</v>
      </c>
      <c r="D53" s="1055" t="s">
        <v>508</v>
      </c>
      <c r="E53" s="1055" t="s">
        <v>236</v>
      </c>
      <c r="F53" s="1067" t="s">
        <v>237</v>
      </c>
      <c r="G53" s="1067"/>
      <c r="H53" s="1067"/>
      <c r="I53" s="1067"/>
      <c r="J53" s="1071" t="s">
        <v>295</v>
      </c>
      <c r="K53" s="1055" t="s">
        <v>238</v>
      </c>
      <c r="L53" s="1055" t="s">
        <v>501</v>
      </c>
      <c r="M53" s="1055" t="s">
        <v>240</v>
      </c>
      <c r="N53" s="1055"/>
      <c r="O53" s="1053" t="s">
        <v>502</v>
      </c>
      <c r="R53" s="17" t="s">
        <v>522</v>
      </c>
      <c r="S53" s="17" t="s">
        <v>523</v>
      </c>
    </row>
    <row r="54" spans="1:19" ht="37.5" x14ac:dyDescent="0.3">
      <c r="A54" s="1070"/>
      <c r="B54" s="1054"/>
      <c r="C54" s="1055"/>
      <c r="D54" s="1055"/>
      <c r="E54" s="1055"/>
      <c r="F54" s="404" t="s">
        <v>503</v>
      </c>
      <c r="G54" s="406" t="s">
        <v>243</v>
      </c>
      <c r="H54" s="406" t="s">
        <v>244</v>
      </c>
      <c r="I54" s="407" t="s">
        <v>245</v>
      </c>
      <c r="J54" s="1071"/>
      <c r="K54" s="1055"/>
      <c r="L54" s="1055"/>
      <c r="M54" s="408" t="s">
        <v>296</v>
      </c>
      <c r="N54" s="408" t="s">
        <v>297</v>
      </c>
      <c r="O54" s="1053"/>
      <c r="R54" s="17" t="s">
        <v>519</v>
      </c>
      <c r="S54" s="17" t="s">
        <v>523</v>
      </c>
    </row>
    <row r="55" spans="1:19" ht="57" customHeight="1" x14ac:dyDescent="0.3">
      <c r="A55" s="1056" t="e">
        <v>#REF!</v>
      </c>
      <c r="B55" s="423" t="s">
        <v>479</v>
      </c>
      <c r="C55" s="25" t="e">
        <v>#REF!</v>
      </c>
      <c r="D55" s="424" t="s">
        <v>311</v>
      </c>
      <c r="E55" s="424" t="s">
        <v>510</v>
      </c>
      <c r="F55" s="25" t="e">
        <v>#REF!</v>
      </c>
      <c r="G55" s="25" t="e">
        <v>#REF!</v>
      </c>
      <c r="H55" s="435">
        <v>1</v>
      </c>
      <c r="I55" s="426">
        <v>0</v>
      </c>
      <c r="J55" s="25" t="e">
        <v>#REF!</v>
      </c>
      <c r="K55" s="424" t="s">
        <v>252</v>
      </c>
      <c r="L55" s="424" t="s">
        <v>256</v>
      </c>
      <c r="M55" s="430">
        <v>43922</v>
      </c>
      <c r="N55" s="430">
        <v>44010</v>
      </c>
      <c r="O55" s="428"/>
      <c r="R55" s="17"/>
      <c r="S55" s="17"/>
    </row>
    <row r="56" spans="1:19" ht="57" customHeight="1" x14ac:dyDescent="0.3">
      <c r="A56" s="1058"/>
      <c r="B56" s="423" t="s">
        <v>479</v>
      </c>
      <c r="C56" s="24" t="e">
        <v>#REF!</v>
      </c>
      <c r="D56" s="411" t="s">
        <v>513</v>
      </c>
      <c r="E56" s="424" t="s">
        <v>510</v>
      </c>
      <c r="F56" s="25" t="e">
        <v>#REF!</v>
      </c>
      <c r="G56" s="25" t="e">
        <v>#REF!</v>
      </c>
      <c r="H56" s="435">
        <v>1</v>
      </c>
      <c r="I56" s="426">
        <v>0</v>
      </c>
      <c r="J56" s="25" t="e">
        <v>#REF!</v>
      </c>
      <c r="K56" s="424" t="s">
        <v>252</v>
      </c>
      <c r="L56" s="424" t="s">
        <v>253</v>
      </c>
      <c r="M56" s="430">
        <v>43922</v>
      </c>
      <c r="N56" s="430">
        <v>43979</v>
      </c>
      <c r="O56" s="428"/>
      <c r="R56" s="17"/>
      <c r="S56" s="17"/>
    </row>
    <row r="57" spans="1:19" ht="57" customHeight="1" x14ac:dyDescent="0.3">
      <c r="A57" s="1058"/>
      <c r="B57" s="423" t="s">
        <v>479</v>
      </c>
      <c r="C57" s="24" t="e">
        <v>#REF!</v>
      </c>
      <c r="D57" s="411" t="s">
        <v>311</v>
      </c>
      <c r="E57" s="424" t="s">
        <v>510</v>
      </c>
      <c r="F57" s="39" t="e">
        <v>#REF!</v>
      </c>
      <c r="G57" s="39" t="e">
        <v>#REF!</v>
      </c>
      <c r="H57" s="435">
        <v>1</v>
      </c>
      <c r="I57" s="426">
        <v>0</v>
      </c>
      <c r="J57" s="25" t="e">
        <v>#REF!</v>
      </c>
      <c r="K57" s="424" t="s">
        <v>252</v>
      </c>
      <c r="L57" s="424" t="s">
        <v>256</v>
      </c>
      <c r="M57" s="430">
        <v>43831</v>
      </c>
      <c r="N57" s="430">
        <v>43918</v>
      </c>
      <c r="O57" s="428"/>
      <c r="R57" s="17"/>
      <c r="S57" s="17"/>
    </row>
    <row r="58" spans="1:19" ht="47.25" customHeight="1" x14ac:dyDescent="0.3">
      <c r="A58" s="1057"/>
      <c r="B58" s="423" t="s">
        <v>479</v>
      </c>
      <c r="C58" s="24" t="e">
        <v>#REF!</v>
      </c>
      <c r="D58" s="411" t="s">
        <v>311</v>
      </c>
      <c r="E58" s="424" t="s">
        <v>510</v>
      </c>
      <c r="F58" s="25" t="e">
        <v>#REF!</v>
      </c>
      <c r="G58" s="25" t="e">
        <v>#REF!</v>
      </c>
      <c r="H58" s="435">
        <v>1</v>
      </c>
      <c r="I58" s="426">
        <v>0</v>
      </c>
      <c r="J58" s="25" t="e">
        <v>#REF!</v>
      </c>
      <c r="K58" s="424" t="s">
        <v>252</v>
      </c>
      <c r="L58" s="424" t="s">
        <v>256</v>
      </c>
      <c r="M58" s="430">
        <v>43831</v>
      </c>
      <c r="N58" s="430">
        <v>43918</v>
      </c>
      <c r="O58" s="428"/>
      <c r="R58" s="17"/>
      <c r="S58" s="17"/>
    </row>
    <row r="59" spans="1:19" ht="47.25" customHeight="1" x14ac:dyDescent="0.3">
      <c r="A59" s="1056" t="e">
        <v>#REF!</v>
      </c>
      <c r="B59" s="423" t="s">
        <v>479</v>
      </c>
      <c r="C59" s="24" t="e">
        <v>#REF!</v>
      </c>
      <c r="D59" s="411" t="s">
        <v>311</v>
      </c>
      <c r="E59" s="424" t="s">
        <v>510</v>
      </c>
      <c r="F59" s="25" t="e">
        <v>#REF!</v>
      </c>
      <c r="G59" s="25" t="e">
        <v>#REF!</v>
      </c>
      <c r="H59" s="435">
        <v>1</v>
      </c>
      <c r="I59" s="426">
        <v>0</v>
      </c>
      <c r="J59" s="25" t="e">
        <v>#REF!</v>
      </c>
      <c r="K59" s="424" t="s">
        <v>252</v>
      </c>
      <c r="L59" s="424" t="s">
        <v>256</v>
      </c>
      <c r="M59" s="430">
        <v>43862</v>
      </c>
      <c r="N59" s="430">
        <v>43949</v>
      </c>
      <c r="O59" s="428"/>
      <c r="R59" s="17"/>
      <c r="S59" s="17"/>
    </row>
    <row r="60" spans="1:19" ht="47.25" customHeight="1" x14ac:dyDescent="0.3">
      <c r="A60" s="1057"/>
      <c r="B60" s="423" t="s">
        <v>479</v>
      </c>
      <c r="C60" s="24" t="e">
        <v>#REF!</v>
      </c>
      <c r="D60" s="411" t="s">
        <v>513</v>
      </c>
      <c r="E60" s="424" t="s">
        <v>510</v>
      </c>
      <c r="F60" s="25" t="e">
        <v>#REF!</v>
      </c>
      <c r="G60" s="25" t="e">
        <v>#REF!</v>
      </c>
      <c r="H60" s="435">
        <v>1</v>
      </c>
      <c r="I60" s="426">
        <v>0</v>
      </c>
      <c r="J60" s="25" t="e">
        <v>#REF!</v>
      </c>
      <c r="K60" s="424" t="s">
        <v>252</v>
      </c>
      <c r="L60" s="424" t="s">
        <v>253</v>
      </c>
      <c r="M60" s="430">
        <v>43862</v>
      </c>
      <c r="N60" s="430">
        <v>43918</v>
      </c>
      <c r="O60" s="428"/>
      <c r="R60" s="17"/>
      <c r="S60" s="17"/>
    </row>
    <row r="61" spans="1:19" ht="47.25" customHeight="1" x14ac:dyDescent="0.3">
      <c r="A61" s="1072" t="e">
        <v>#REF!</v>
      </c>
      <c r="B61" s="423" t="s">
        <v>479</v>
      </c>
      <c r="C61" s="24" t="e">
        <v>#REF!</v>
      </c>
      <c r="D61" s="411" t="s">
        <v>513</v>
      </c>
      <c r="E61" s="424" t="s">
        <v>510</v>
      </c>
      <c r="F61" s="25" t="e">
        <v>#REF!</v>
      </c>
      <c r="G61" s="25" t="e">
        <v>#REF!</v>
      </c>
      <c r="H61" s="435">
        <v>1</v>
      </c>
      <c r="I61" s="426">
        <v>0</v>
      </c>
      <c r="J61" s="25" t="e">
        <v>#REF!</v>
      </c>
      <c r="K61" s="424" t="s">
        <v>252</v>
      </c>
      <c r="L61" s="424" t="s">
        <v>253</v>
      </c>
      <c r="M61" s="430">
        <v>43922</v>
      </c>
      <c r="N61" s="430">
        <v>43979</v>
      </c>
      <c r="O61" s="428"/>
      <c r="R61" s="17"/>
      <c r="S61" s="17"/>
    </row>
    <row r="62" spans="1:19" ht="47.25" customHeight="1" x14ac:dyDescent="0.3">
      <c r="A62" s="1073"/>
      <c r="B62" s="423" t="s">
        <v>479</v>
      </c>
      <c r="C62" s="24" t="e">
        <v>#REF!</v>
      </c>
      <c r="D62" s="411" t="s">
        <v>311</v>
      </c>
      <c r="E62" s="424" t="s">
        <v>510</v>
      </c>
      <c r="F62" s="25" t="e">
        <v>#REF!</v>
      </c>
      <c r="G62" s="25" t="e">
        <v>#REF!</v>
      </c>
      <c r="H62" s="435">
        <v>1</v>
      </c>
      <c r="I62" s="426">
        <v>0</v>
      </c>
      <c r="J62" s="25" t="e">
        <v>#REF!</v>
      </c>
      <c r="K62" s="424" t="s">
        <v>252</v>
      </c>
      <c r="L62" s="424" t="s">
        <v>253</v>
      </c>
      <c r="M62" s="430">
        <v>43922</v>
      </c>
      <c r="N62" s="430">
        <v>43979</v>
      </c>
      <c r="O62" s="428"/>
      <c r="R62" s="17"/>
      <c r="S62" s="17"/>
    </row>
    <row r="63" spans="1:19" ht="47.25" customHeight="1" x14ac:dyDescent="0.3">
      <c r="A63" s="1074"/>
      <c r="B63" s="423" t="s">
        <v>479</v>
      </c>
      <c r="C63" s="24" t="e">
        <v>#REF!</v>
      </c>
      <c r="D63" s="411" t="s">
        <v>311</v>
      </c>
      <c r="E63" s="424" t="s">
        <v>510</v>
      </c>
      <c r="F63" s="25" t="e">
        <v>#REF!</v>
      </c>
      <c r="G63" s="25" t="e">
        <v>#REF!</v>
      </c>
      <c r="H63" s="435">
        <v>1</v>
      </c>
      <c r="I63" s="426">
        <v>0</v>
      </c>
      <c r="J63" s="25" t="e">
        <v>#REF!</v>
      </c>
      <c r="K63" s="424" t="s">
        <v>252</v>
      </c>
      <c r="L63" s="424" t="s">
        <v>253</v>
      </c>
      <c r="M63" s="430">
        <v>43922</v>
      </c>
      <c r="N63" s="430">
        <v>43979</v>
      </c>
      <c r="O63" s="428"/>
      <c r="R63" s="17"/>
      <c r="S63" s="17"/>
    </row>
    <row r="64" spans="1:19" ht="47.25" customHeight="1" x14ac:dyDescent="0.3">
      <c r="A64" s="1056" t="e">
        <v>#REF!</v>
      </c>
      <c r="B64" s="28" t="s">
        <v>512</v>
      </c>
      <c r="C64" s="424" t="e">
        <v>#REF!</v>
      </c>
      <c r="D64" s="411" t="s">
        <v>311</v>
      </c>
      <c r="E64" s="424" t="s">
        <v>510</v>
      </c>
      <c r="F64" s="25" t="e">
        <v>#REF!</v>
      </c>
      <c r="G64" s="25" t="e">
        <v>#REF!</v>
      </c>
      <c r="H64" s="435">
        <v>1</v>
      </c>
      <c r="I64" s="426">
        <v>0</v>
      </c>
      <c r="J64" s="25" t="e">
        <v>#REF!</v>
      </c>
      <c r="K64" s="424" t="s">
        <v>252</v>
      </c>
      <c r="L64" s="424" t="s">
        <v>256</v>
      </c>
      <c r="M64" s="430">
        <v>43740</v>
      </c>
      <c r="N64" s="430">
        <v>43823</v>
      </c>
      <c r="O64" s="428"/>
      <c r="R64" s="17"/>
      <c r="S64" s="17"/>
    </row>
    <row r="65" spans="1:19" ht="47.25" customHeight="1" x14ac:dyDescent="0.3">
      <c r="A65" s="1058"/>
      <c r="B65" s="28" t="s">
        <v>512</v>
      </c>
      <c r="C65" s="424" t="e">
        <v>#REF!</v>
      </c>
      <c r="D65" s="411" t="s">
        <v>311</v>
      </c>
      <c r="E65" s="424" t="s">
        <v>510</v>
      </c>
      <c r="F65" s="25" t="e">
        <v>#REF!</v>
      </c>
      <c r="G65" s="25" t="e">
        <v>#REF!</v>
      </c>
      <c r="H65" s="435">
        <v>1</v>
      </c>
      <c r="I65" s="426">
        <v>0</v>
      </c>
      <c r="J65" s="25" t="e">
        <v>#REF!</v>
      </c>
      <c r="K65" s="424" t="s">
        <v>252</v>
      </c>
      <c r="L65" s="424" t="s">
        <v>256</v>
      </c>
      <c r="M65" s="430">
        <v>43831</v>
      </c>
      <c r="N65" s="430">
        <v>43918</v>
      </c>
      <c r="O65" s="428"/>
      <c r="R65" s="17"/>
      <c r="S65" s="17"/>
    </row>
    <row r="66" spans="1:19" ht="47.25" customHeight="1" x14ac:dyDescent="0.3">
      <c r="A66" s="1057"/>
      <c r="B66" s="28" t="s">
        <v>512</v>
      </c>
      <c r="C66" s="424" t="e">
        <v>#REF!</v>
      </c>
      <c r="D66" s="411" t="s">
        <v>513</v>
      </c>
      <c r="E66" s="424" t="s">
        <v>510</v>
      </c>
      <c r="F66" s="25" t="e">
        <v>#REF!</v>
      </c>
      <c r="G66" s="25" t="e">
        <v>#REF!</v>
      </c>
      <c r="H66" s="435">
        <v>1</v>
      </c>
      <c r="I66" s="426">
        <v>0</v>
      </c>
      <c r="J66" s="25" t="e">
        <v>#REF!</v>
      </c>
      <c r="K66" s="424" t="s">
        <v>252</v>
      </c>
      <c r="L66" s="424" t="s">
        <v>256</v>
      </c>
      <c r="M66" s="430">
        <v>43922</v>
      </c>
      <c r="N66" s="430">
        <v>43979</v>
      </c>
      <c r="O66" s="428"/>
      <c r="R66" s="17"/>
      <c r="S66" s="17"/>
    </row>
    <row r="67" spans="1:19" ht="69" customHeight="1" x14ac:dyDescent="0.3">
      <c r="A67" s="1056" t="e">
        <v>#REF!</v>
      </c>
      <c r="B67" s="423" t="s">
        <v>479</v>
      </c>
      <c r="C67" s="424" t="e">
        <v>#REF!</v>
      </c>
      <c r="D67" s="411" t="s">
        <v>311</v>
      </c>
      <c r="E67" s="424" t="s">
        <v>510</v>
      </c>
      <c r="F67" s="25" t="e">
        <v>#REF!</v>
      </c>
      <c r="G67" s="25" t="e">
        <v>#REF!</v>
      </c>
      <c r="H67" s="435">
        <v>1</v>
      </c>
      <c r="I67" s="426">
        <v>0</v>
      </c>
      <c r="J67" s="25" t="e">
        <v>#REF!</v>
      </c>
      <c r="K67" s="424" t="s">
        <v>252</v>
      </c>
      <c r="L67" s="424" t="s">
        <v>256</v>
      </c>
      <c r="M67" s="430">
        <v>43922</v>
      </c>
      <c r="N67" s="430">
        <v>44010</v>
      </c>
      <c r="O67" s="428"/>
      <c r="R67" s="17"/>
      <c r="S67" s="17"/>
    </row>
    <row r="68" spans="1:19" ht="69" customHeight="1" x14ac:dyDescent="0.3">
      <c r="A68" s="1058"/>
      <c r="B68" s="423" t="s">
        <v>479</v>
      </c>
      <c r="C68" s="424" t="e">
        <v>#REF!</v>
      </c>
      <c r="D68" s="411" t="s">
        <v>311</v>
      </c>
      <c r="E68" s="424" t="s">
        <v>510</v>
      </c>
      <c r="F68" s="25" t="e">
        <v>#REF!</v>
      </c>
      <c r="G68" s="25" t="e">
        <v>#REF!</v>
      </c>
      <c r="H68" s="435">
        <v>1</v>
      </c>
      <c r="I68" s="426">
        <v>0</v>
      </c>
      <c r="J68" s="25" t="e">
        <v>#REF!</v>
      </c>
      <c r="K68" s="424" t="s">
        <v>252</v>
      </c>
      <c r="L68" s="424" t="s">
        <v>256</v>
      </c>
      <c r="M68" s="430">
        <v>43952</v>
      </c>
      <c r="N68" s="430">
        <v>44040</v>
      </c>
      <c r="O68" s="428"/>
      <c r="R68" s="17"/>
      <c r="S68" s="17"/>
    </row>
    <row r="69" spans="1:19" ht="69" customHeight="1" x14ac:dyDescent="0.3">
      <c r="A69" s="1056" t="e">
        <v>#REF!</v>
      </c>
      <c r="B69" s="423" t="s">
        <v>479</v>
      </c>
      <c r="C69" s="424" t="e">
        <v>#REF!</v>
      </c>
      <c r="D69" s="411" t="s">
        <v>311</v>
      </c>
      <c r="E69" s="424" t="s">
        <v>510</v>
      </c>
      <c r="F69" s="25" t="e">
        <v>#REF!</v>
      </c>
      <c r="G69" s="25" t="e">
        <v>#REF!</v>
      </c>
      <c r="H69" s="435">
        <v>1</v>
      </c>
      <c r="I69" s="426">
        <v>0</v>
      </c>
      <c r="J69" s="25" t="e">
        <v>#REF!</v>
      </c>
      <c r="K69" s="424" t="s">
        <v>252</v>
      </c>
      <c r="L69" s="424" t="s">
        <v>256</v>
      </c>
      <c r="M69" s="430">
        <v>44075</v>
      </c>
      <c r="N69" s="430">
        <v>44163</v>
      </c>
      <c r="O69" s="428"/>
      <c r="R69" s="17"/>
      <c r="S69" s="17"/>
    </row>
    <row r="70" spans="1:19" ht="69" customHeight="1" x14ac:dyDescent="0.3">
      <c r="A70" s="1057"/>
      <c r="B70" s="423" t="s">
        <v>479</v>
      </c>
      <c r="C70" s="424" t="e">
        <v>#REF!</v>
      </c>
      <c r="D70" s="411" t="s">
        <v>513</v>
      </c>
      <c r="E70" s="424" t="s">
        <v>510</v>
      </c>
      <c r="F70" s="25" t="e">
        <v>#REF!</v>
      </c>
      <c r="G70" s="25" t="e">
        <v>#REF!</v>
      </c>
      <c r="H70" s="435">
        <v>1</v>
      </c>
      <c r="I70" s="426">
        <v>0</v>
      </c>
      <c r="J70" s="25" t="e">
        <v>#REF!</v>
      </c>
      <c r="K70" s="424" t="s">
        <v>252</v>
      </c>
      <c r="L70" s="424" t="s">
        <v>256</v>
      </c>
      <c r="M70" s="430">
        <v>43952</v>
      </c>
      <c r="N70" s="430">
        <v>44010</v>
      </c>
      <c r="O70" s="428"/>
      <c r="R70" s="17"/>
      <c r="S70" s="17"/>
    </row>
    <row r="71" spans="1:19" ht="69" customHeight="1" x14ac:dyDescent="0.3">
      <c r="A71" s="27" t="e">
        <v>#REF!</v>
      </c>
      <c r="B71" s="423" t="s">
        <v>479</v>
      </c>
      <c r="C71" s="424" t="e">
        <v>#REF!</v>
      </c>
      <c r="D71" s="411" t="s">
        <v>513</v>
      </c>
      <c r="E71" s="424" t="s">
        <v>510</v>
      </c>
      <c r="F71" s="25" t="e">
        <v>#REF!</v>
      </c>
      <c r="G71" s="25" t="e">
        <v>#REF!</v>
      </c>
      <c r="H71" s="435">
        <v>1</v>
      </c>
      <c r="I71" s="426">
        <v>0</v>
      </c>
      <c r="J71" s="25" t="e">
        <v>#REF!</v>
      </c>
      <c r="K71" s="424" t="s">
        <v>257</v>
      </c>
      <c r="L71" s="424" t="s">
        <v>256</v>
      </c>
      <c r="M71" s="430">
        <v>43952</v>
      </c>
      <c r="N71" s="430">
        <v>44010</v>
      </c>
      <c r="O71" s="428"/>
      <c r="R71" s="17"/>
      <c r="S71" s="17"/>
    </row>
    <row r="72" spans="1:19" ht="25" x14ac:dyDescent="0.3">
      <c r="A72" s="431" t="s">
        <v>524</v>
      </c>
      <c r="B72" s="423" t="s">
        <v>479</v>
      </c>
      <c r="C72" s="411" t="e">
        <v>#REF!</v>
      </c>
      <c r="D72" s="424" t="s">
        <v>311</v>
      </c>
      <c r="E72" s="411" t="s">
        <v>510</v>
      </c>
      <c r="F72" s="434" t="e">
        <v>#REF!</v>
      </c>
      <c r="G72" s="434" t="e">
        <v>#REF!</v>
      </c>
      <c r="H72" s="436">
        <v>1</v>
      </c>
      <c r="I72" s="413">
        <v>0</v>
      </c>
      <c r="J72" s="434" t="e">
        <v>#REF!</v>
      </c>
      <c r="K72" s="411" t="s">
        <v>518</v>
      </c>
      <c r="L72" s="411" t="s">
        <v>256</v>
      </c>
      <c r="M72" s="430">
        <v>43739</v>
      </c>
      <c r="N72" s="430">
        <v>43800</v>
      </c>
      <c r="O72" s="415" t="s">
        <v>525</v>
      </c>
      <c r="R72" s="17"/>
      <c r="S72" s="17"/>
    </row>
    <row r="73" spans="1:19" ht="25" x14ac:dyDescent="0.3">
      <c r="A73" s="431" t="s">
        <v>524</v>
      </c>
      <c r="B73" s="423" t="s">
        <v>479</v>
      </c>
      <c r="C73" s="411" t="e">
        <v>#REF!</v>
      </c>
      <c r="D73" s="424" t="s">
        <v>311</v>
      </c>
      <c r="E73" s="411" t="s">
        <v>510</v>
      </c>
      <c r="F73" s="434" t="e">
        <v>#REF!</v>
      </c>
      <c r="G73" s="434" t="e">
        <v>#REF!</v>
      </c>
      <c r="H73" s="436">
        <v>1</v>
      </c>
      <c r="I73" s="413">
        <v>0</v>
      </c>
      <c r="J73" s="434" t="e">
        <v>#REF!</v>
      </c>
      <c r="K73" s="411" t="s">
        <v>518</v>
      </c>
      <c r="L73" s="411" t="s">
        <v>256</v>
      </c>
      <c r="M73" s="430">
        <v>43739</v>
      </c>
      <c r="N73" s="430">
        <v>43800</v>
      </c>
      <c r="O73" s="415" t="s">
        <v>525</v>
      </c>
      <c r="R73" s="17"/>
      <c r="S73" s="17"/>
    </row>
    <row r="74" spans="1:19" ht="25" x14ac:dyDescent="0.3">
      <c r="A74" s="431" t="s">
        <v>524</v>
      </c>
      <c r="B74" s="423" t="s">
        <v>479</v>
      </c>
      <c r="C74" s="411" t="e">
        <v>#REF!</v>
      </c>
      <c r="D74" s="424" t="s">
        <v>311</v>
      </c>
      <c r="E74" s="411" t="s">
        <v>510</v>
      </c>
      <c r="F74" s="434" t="e">
        <v>#REF!</v>
      </c>
      <c r="G74" s="434" t="e">
        <v>#REF!</v>
      </c>
      <c r="H74" s="436">
        <v>1</v>
      </c>
      <c r="I74" s="413">
        <v>0</v>
      </c>
      <c r="J74" s="434" t="e">
        <v>#REF!</v>
      </c>
      <c r="K74" s="411" t="s">
        <v>518</v>
      </c>
      <c r="L74" s="411" t="s">
        <v>256</v>
      </c>
      <c r="M74" s="430">
        <v>43739</v>
      </c>
      <c r="N74" s="430">
        <v>43800</v>
      </c>
      <c r="O74" s="415" t="s">
        <v>525</v>
      </c>
      <c r="R74" s="17"/>
      <c r="S74" s="17"/>
    </row>
    <row r="75" spans="1:19" ht="25" x14ac:dyDescent="0.3">
      <c r="A75" s="431" t="s">
        <v>524</v>
      </c>
      <c r="B75" s="423" t="s">
        <v>479</v>
      </c>
      <c r="C75" s="411" t="e">
        <v>#REF!</v>
      </c>
      <c r="D75" s="424" t="s">
        <v>311</v>
      </c>
      <c r="E75" s="411" t="s">
        <v>510</v>
      </c>
      <c r="F75" s="434" t="e">
        <v>#REF!</v>
      </c>
      <c r="G75" s="434" t="e">
        <v>#REF!</v>
      </c>
      <c r="H75" s="436">
        <v>1</v>
      </c>
      <c r="I75" s="413">
        <v>0</v>
      </c>
      <c r="J75" s="434" t="e">
        <v>#REF!</v>
      </c>
      <c r="K75" s="411" t="s">
        <v>518</v>
      </c>
      <c r="L75" s="411" t="s">
        <v>256</v>
      </c>
      <c r="M75" s="430">
        <v>43739</v>
      </c>
      <c r="N75" s="430">
        <v>43800</v>
      </c>
      <c r="O75" s="415" t="s">
        <v>525</v>
      </c>
      <c r="R75" s="17"/>
      <c r="S75" s="17"/>
    </row>
    <row r="76" spans="1:19" ht="25" x14ac:dyDescent="0.3">
      <c r="A76" s="431" t="s">
        <v>524</v>
      </c>
      <c r="B76" s="423" t="s">
        <v>479</v>
      </c>
      <c r="C76" s="411" t="e">
        <v>#REF!</v>
      </c>
      <c r="D76" s="424" t="s">
        <v>311</v>
      </c>
      <c r="E76" s="411" t="s">
        <v>510</v>
      </c>
      <c r="F76" s="434" t="e">
        <v>#REF!</v>
      </c>
      <c r="G76" s="434" t="e">
        <v>#REF!</v>
      </c>
      <c r="H76" s="436">
        <v>1</v>
      </c>
      <c r="I76" s="413">
        <v>0</v>
      </c>
      <c r="J76" s="434" t="e">
        <v>#REF!</v>
      </c>
      <c r="K76" s="411" t="s">
        <v>518</v>
      </c>
      <c r="L76" s="411" t="s">
        <v>256</v>
      </c>
      <c r="M76" s="430">
        <v>43739</v>
      </c>
      <c r="N76" s="430">
        <v>43800</v>
      </c>
      <c r="O76" s="415" t="s">
        <v>525</v>
      </c>
      <c r="R76" s="17"/>
      <c r="S76" s="17"/>
    </row>
    <row r="77" spans="1:19" ht="25" x14ac:dyDescent="0.3">
      <c r="A77" s="431" t="s">
        <v>524</v>
      </c>
      <c r="B77" s="423" t="s">
        <v>479</v>
      </c>
      <c r="C77" s="411" t="e">
        <v>#REF!</v>
      </c>
      <c r="D77" s="411" t="s">
        <v>311</v>
      </c>
      <c r="E77" s="411" t="s">
        <v>510</v>
      </c>
      <c r="F77" s="434" t="e">
        <v>#REF!</v>
      </c>
      <c r="G77" s="434" t="e">
        <v>#REF!</v>
      </c>
      <c r="H77" s="436">
        <v>1</v>
      </c>
      <c r="I77" s="413">
        <v>0</v>
      </c>
      <c r="J77" s="434" t="e">
        <v>#REF!</v>
      </c>
      <c r="K77" s="411" t="s">
        <v>518</v>
      </c>
      <c r="L77" s="411" t="s">
        <v>256</v>
      </c>
      <c r="M77" s="430">
        <v>43739</v>
      </c>
      <c r="N77" s="430">
        <v>43800</v>
      </c>
      <c r="O77" s="415" t="s">
        <v>525</v>
      </c>
      <c r="R77" s="17"/>
      <c r="S77" s="17"/>
    </row>
    <row r="78" spans="1:19" ht="25" x14ac:dyDescent="0.3">
      <c r="A78" s="431" t="s">
        <v>524</v>
      </c>
      <c r="B78" s="423" t="s">
        <v>479</v>
      </c>
      <c r="C78" s="411" t="e">
        <v>#REF!</v>
      </c>
      <c r="D78" s="424" t="s">
        <v>311</v>
      </c>
      <c r="E78" s="411" t="s">
        <v>510</v>
      </c>
      <c r="F78" s="434" t="e">
        <v>#REF!</v>
      </c>
      <c r="G78" s="434" t="e">
        <v>#REF!</v>
      </c>
      <c r="H78" s="436">
        <v>1</v>
      </c>
      <c r="I78" s="413">
        <v>0</v>
      </c>
      <c r="J78" s="434" t="e">
        <v>#REF!</v>
      </c>
      <c r="K78" s="411" t="s">
        <v>518</v>
      </c>
      <c r="L78" s="411" t="s">
        <v>256</v>
      </c>
      <c r="M78" s="430">
        <v>43831</v>
      </c>
      <c r="N78" s="430">
        <v>43918</v>
      </c>
      <c r="O78" s="415" t="s">
        <v>525</v>
      </c>
      <c r="R78" s="17"/>
      <c r="S78" s="17"/>
    </row>
    <row r="79" spans="1:19" ht="25" x14ac:dyDescent="0.3">
      <c r="A79" s="431" t="s">
        <v>524</v>
      </c>
      <c r="B79" s="423" t="s">
        <v>479</v>
      </c>
      <c r="C79" s="411" t="e">
        <v>#REF!</v>
      </c>
      <c r="D79" s="411" t="s">
        <v>311</v>
      </c>
      <c r="E79" s="411" t="s">
        <v>510</v>
      </c>
      <c r="F79" s="434" t="e">
        <v>#REF!</v>
      </c>
      <c r="G79" s="434" t="e">
        <v>#REF!</v>
      </c>
      <c r="H79" s="436">
        <v>1</v>
      </c>
      <c r="I79" s="413">
        <v>0</v>
      </c>
      <c r="J79" s="434" t="e">
        <v>#REF!</v>
      </c>
      <c r="K79" s="411" t="s">
        <v>518</v>
      </c>
      <c r="L79" s="411" t="s">
        <v>256</v>
      </c>
      <c r="M79" s="430">
        <v>43831</v>
      </c>
      <c r="N79" s="430">
        <v>43918</v>
      </c>
      <c r="O79" s="415" t="s">
        <v>525</v>
      </c>
      <c r="R79" s="17"/>
      <c r="S79" s="17"/>
    </row>
    <row r="80" spans="1:19" ht="25" x14ac:dyDescent="0.3">
      <c r="A80" s="431" t="s">
        <v>524</v>
      </c>
      <c r="B80" s="423" t="s">
        <v>479</v>
      </c>
      <c r="C80" s="411" t="e">
        <v>#REF!</v>
      </c>
      <c r="D80" s="411" t="s">
        <v>311</v>
      </c>
      <c r="E80" s="411" t="s">
        <v>510</v>
      </c>
      <c r="F80" s="434" t="e">
        <v>#REF!</v>
      </c>
      <c r="G80" s="434" t="e">
        <v>#REF!</v>
      </c>
      <c r="H80" s="436">
        <v>1</v>
      </c>
      <c r="I80" s="413">
        <v>0</v>
      </c>
      <c r="J80" s="434" t="e">
        <v>#REF!</v>
      </c>
      <c r="K80" s="411" t="s">
        <v>518</v>
      </c>
      <c r="L80" s="411" t="s">
        <v>256</v>
      </c>
      <c r="M80" s="430">
        <v>43831</v>
      </c>
      <c r="N80" s="430">
        <v>43918</v>
      </c>
      <c r="O80" s="415" t="s">
        <v>525</v>
      </c>
      <c r="R80" s="17"/>
      <c r="S80" s="17"/>
    </row>
    <row r="81" spans="1:21" ht="25" x14ac:dyDescent="0.3">
      <c r="A81" s="431" t="s">
        <v>524</v>
      </c>
      <c r="B81" s="423" t="s">
        <v>479</v>
      </c>
      <c r="C81" s="411" t="s">
        <v>526</v>
      </c>
      <c r="D81" s="411" t="s">
        <v>311</v>
      </c>
      <c r="E81" s="411" t="s">
        <v>510</v>
      </c>
      <c r="F81" s="434" t="e">
        <v>#REF!</v>
      </c>
      <c r="G81" s="434" t="e">
        <v>#REF!</v>
      </c>
      <c r="H81" s="436">
        <v>1</v>
      </c>
      <c r="I81" s="413">
        <v>0</v>
      </c>
      <c r="J81" s="434" t="e">
        <v>#REF!</v>
      </c>
      <c r="K81" s="411" t="s">
        <v>518</v>
      </c>
      <c r="L81" s="411" t="s">
        <v>253</v>
      </c>
      <c r="M81" s="430">
        <v>44561</v>
      </c>
      <c r="N81" s="430">
        <v>44591</v>
      </c>
      <c r="O81" s="415"/>
      <c r="R81" s="17"/>
      <c r="S81" s="17"/>
    </row>
    <row r="82" spans="1:21" ht="25" x14ac:dyDescent="0.3">
      <c r="A82" s="431" t="s">
        <v>524</v>
      </c>
      <c r="B82" s="423" t="s">
        <v>479</v>
      </c>
      <c r="C82" s="411" t="s">
        <v>527</v>
      </c>
      <c r="D82" s="411" t="s">
        <v>311</v>
      </c>
      <c r="E82" s="411" t="s">
        <v>510</v>
      </c>
      <c r="F82" s="434" t="e">
        <v>#REF!</v>
      </c>
      <c r="G82" s="434" t="e">
        <v>#REF!</v>
      </c>
      <c r="H82" s="436">
        <v>1</v>
      </c>
      <c r="I82" s="413">
        <v>0</v>
      </c>
      <c r="J82" s="434" t="e">
        <v>#REF!</v>
      </c>
      <c r="K82" s="411" t="s">
        <v>518</v>
      </c>
      <c r="L82" s="411" t="s">
        <v>253</v>
      </c>
      <c r="M82" s="430">
        <v>44713</v>
      </c>
      <c r="N82" s="430">
        <v>44770</v>
      </c>
      <c r="O82" s="415"/>
      <c r="R82" s="17"/>
      <c r="S82" s="17"/>
    </row>
    <row r="83" spans="1:21" ht="25" x14ac:dyDescent="0.3">
      <c r="A83" s="431" t="s">
        <v>524</v>
      </c>
      <c r="B83" s="423" t="s">
        <v>479</v>
      </c>
      <c r="C83" s="411" t="s">
        <v>290</v>
      </c>
      <c r="D83" s="411" t="s">
        <v>311</v>
      </c>
      <c r="E83" s="411" t="s">
        <v>510</v>
      </c>
      <c r="F83" s="434" t="e">
        <v>#REF!</v>
      </c>
      <c r="G83" s="434" t="e">
        <v>#REF!</v>
      </c>
      <c r="H83" s="436">
        <v>1</v>
      </c>
      <c r="I83" s="413">
        <v>0</v>
      </c>
      <c r="J83" s="434" t="e">
        <v>#REF!</v>
      </c>
      <c r="K83" s="411" t="s">
        <v>518</v>
      </c>
      <c r="L83" s="411" t="s">
        <v>253</v>
      </c>
      <c r="M83" s="430">
        <v>44713</v>
      </c>
      <c r="N83" s="430">
        <v>44770</v>
      </c>
      <c r="O83" s="415"/>
      <c r="R83" s="17"/>
      <c r="S83" s="17"/>
    </row>
    <row r="84" spans="1:21" ht="14.5" thickBot="1" x14ac:dyDescent="0.35">
      <c r="F84" s="437" t="e">
        <f>SUM(F55:F83)</f>
        <v>#REF!</v>
      </c>
      <c r="G84" s="437" t="e">
        <f>SUM(G55:G83)</f>
        <v>#REF!</v>
      </c>
      <c r="R84" s="17" t="s">
        <v>528</v>
      </c>
      <c r="S84" s="17" t="s">
        <v>529</v>
      </c>
    </row>
    <row r="85" spans="1:21" ht="15.5" x14ac:dyDescent="0.3">
      <c r="B85" s="1062" t="s">
        <v>312</v>
      </c>
      <c r="C85" s="1063"/>
      <c r="D85" s="1063"/>
      <c r="E85" s="1063"/>
      <c r="F85" s="1063"/>
      <c r="G85" s="1063"/>
      <c r="H85" s="1063"/>
      <c r="I85" s="1063"/>
      <c r="J85" s="1063"/>
      <c r="K85" s="1063"/>
      <c r="L85" s="1063"/>
      <c r="M85" s="1063"/>
      <c r="N85" s="1063"/>
      <c r="O85" s="1064"/>
      <c r="P85" s="8"/>
      <c r="Q85" s="8"/>
      <c r="R85" s="10" t="s">
        <v>299</v>
      </c>
      <c r="S85" s="8"/>
      <c r="T85" s="8"/>
      <c r="U85" s="8"/>
    </row>
    <row r="86" spans="1:21" ht="14.5" customHeight="1" x14ac:dyDescent="0.3">
      <c r="A86" s="1070"/>
      <c r="B86" s="1054" t="s">
        <v>232</v>
      </c>
      <c r="C86" s="1055" t="s">
        <v>233</v>
      </c>
      <c r="D86" s="1055" t="s">
        <v>500</v>
      </c>
      <c r="E86" s="1055" t="s">
        <v>235</v>
      </c>
      <c r="F86" s="1055" t="s">
        <v>236</v>
      </c>
      <c r="G86" s="1067" t="s">
        <v>237</v>
      </c>
      <c r="H86" s="1067"/>
      <c r="I86" s="1067"/>
      <c r="J86" s="1067"/>
      <c r="K86" s="1055" t="s">
        <v>238</v>
      </c>
      <c r="L86" s="1055" t="s">
        <v>501</v>
      </c>
      <c r="M86" s="1055" t="s">
        <v>240</v>
      </c>
      <c r="N86" s="1055"/>
      <c r="O86" s="1053" t="s">
        <v>502</v>
      </c>
      <c r="P86" s="8"/>
      <c r="Q86" s="8"/>
      <c r="R86" s="10" t="s">
        <v>253</v>
      </c>
      <c r="S86" s="8"/>
      <c r="T86" s="8"/>
      <c r="U86" s="8"/>
    </row>
    <row r="87" spans="1:21" ht="33" customHeight="1" x14ac:dyDescent="0.3">
      <c r="A87" s="1070"/>
      <c r="B87" s="1054"/>
      <c r="C87" s="1055"/>
      <c r="D87" s="1055"/>
      <c r="E87" s="1055"/>
      <c r="F87" s="1055"/>
      <c r="G87" s="406" t="s">
        <v>503</v>
      </c>
      <c r="H87" s="406"/>
      <c r="I87" s="407" t="s">
        <v>244</v>
      </c>
      <c r="J87" s="407" t="s">
        <v>245</v>
      </c>
      <c r="K87" s="1055"/>
      <c r="L87" s="1055"/>
      <c r="M87" s="408" t="s">
        <v>246</v>
      </c>
      <c r="N87" s="408" t="s">
        <v>247</v>
      </c>
      <c r="O87" s="1053"/>
      <c r="P87" s="8"/>
      <c r="Q87" s="8"/>
      <c r="R87" s="11" t="s">
        <v>256</v>
      </c>
      <c r="S87" s="8"/>
      <c r="T87" s="8"/>
      <c r="U87" s="8"/>
    </row>
    <row r="88" spans="1:21" ht="32.5" customHeight="1" x14ac:dyDescent="0.3">
      <c r="A88" s="409"/>
      <c r="B88" s="410"/>
      <c r="C88" s="411" t="e">
        <v>#REF!</v>
      </c>
      <c r="D88" s="411"/>
      <c r="E88" s="411"/>
      <c r="F88" s="411"/>
      <c r="G88" s="438" t="e">
        <v>#REF!</v>
      </c>
      <c r="H88" s="438"/>
      <c r="I88" s="413"/>
      <c r="J88" s="413"/>
      <c r="K88" s="411"/>
      <c r="L88" s="411"/>
      <c r="M88" s="414"/>
      <c r="N88" s="414"/>
      <c r="O88" s="415"/>
      <c r="P88" s="8"/>
      <c r="Q88" s="8"/>
      <c r="R88" s="10"/>
      <c r="S88" s="8"/>
      <c r="T88" s="8"/>
      <c r="U88" s="8"/>
    </row>
    <row r="89" spans="1:21" ht="32.5" customHeight="1" x14ac:dyDescent="0.3">
      <c r="A89" s="409"/>
      <c r="B89" s="410"/>
      <c r="C89" s="411" t="e">
        <v>#REF!</v>
      </c>
      <c r="D89" s="411"/>
      <c r="E89" s="411"/>
      <c r="F89" s="411"/>
      <c r="G89" s="411" t="e">
        <v>#REF!</v>
      </c>
      <c r="H89" s="411"/>
      <c r="I89" s="413"/>
      <c r="J89" s="413"/>
      <c r="K89" s="411"/>
      <c r="L89" s="411"/>
      <c r="M89" s="414"/>
      <c r="N89" s="414"/>
      <c r="O89" s="415"/>
      <c r="P89" s="8"/>
      <c r="Q89" s="8"/>
      <c r="R89" s="10"/>
      <c r="S89" s="8"/>
      <c r="T89" s="8"/>
      <c r="U89" s="8"/>
    </row>
    <row r="90" spans="1:21" ht="32.5" customHeight="1" x14ac:dyDescent="0.3">
      <c r="A90" s="409"/>
      <c r="B90" s="410"/>
      <c r="C90" s="411" t="e">
        <v>#REF!</v>
      </c>
      <c r="D90" s="411"/>
      <c r="E90" s="411"/>
      <c r="F90" s="411"/>
      <c r="G90" s="438" t="e">
        <v>#REF!</v>
      </c>
      <c r="H90" s="438"/>
      <c r="I90" s="413"/>
      <c r="J90" s="413"/>
      <c r="K90" s="411"/>
      <c r="L90" s="411"/>
      <c r="M90" s="414"/>
      <c r="N90" s="414"/>
      <c r="O90" s="415"/>
      <c r="P90" s="8"/>
      <c r="Q90" s="8"/>
      <c r="R90" s="10"/>
      <c r="S90" s="8"/>
      <c r="T90" s="8"/>
      <c r="U90" s="8"/>
    </row>
    <row r="91" spans="1:21" ht="32.5" customHeight="1" x14ac:dyDescent="0.3">
      <c r="A91" s="409"/>
      <c r="B91" s="410"/>
      <c r="C91" s="411" t="e">
        <v>#REF!</v>
      </c>
      <c r="D91" s="411"/>
      <c r="E91" s="411"/>
      <c r="F91" s="411"/>
      <c r="G91" s="438" t="e">
        <v>#REF!</v>
      </c>
      <c r="H91" s="438"/>
      <c r="I91" s="413"/>
      <c r="J91" s="413"/>
      <c r="K91" s="411"/>
      <c r="L91" s="411"/>
      <c r="M91" s="414"/>
      <c r="N91" s="414"/>
      <c r="O91" s="415"/>
      <c r="P91" s="8"/>
      <c r="Q91" s="8"/>
      <c r="R91" s="10" t="s">
        <v>504</v>
      </c>
      <c r="S91" s="8"/>
      <c r="T91" s="8"/>
      <c r="U91" s="8"/>
    </row>
    <row r="92" spans="1:21" ht="32.5" customHeight="1" x14ac:dyDescent="0.3">
      <c r="A92" s="38"/>
      <c r="B92" s="29"/>
      <c r="C92" s="411" t="e">
        <v>#REF!</v>
      </c>
      <c r="D92" s="30"/>
      <c r="E92" s="30"/>
      <c r="F92" s="30"/>
      <c r="G92" s="438" t="e">
        <v>#REF!</v>
      </c>
      <c r="H92" s="40"/>
      <c r="I92" s="31"/>
      <c r="J92" s="31"/>
      <c r="K92" s="30"/>
      <c r="L92" s="30"/>
      <c r="M92" s="32"/>
      <c r="N92" s="32"/>
      <c r="O92" s="33"/>
      <c r="P92" s="8"/>
      <c r="Q92" s="8"/>
      <c r="R92" s="10"/>
      <c r="S92" s="8"/>
      <c r="T92" s="8"/>
      <c r="U92" s="8"/>
    </row>
    <row r="93" spans="1:21" ht="32.5" customHeight="1" x14ac:dyDescent="0.3">
      <c r="A93" s="439"/>
      <c r="B93" s="410"/>
      <c r="C93" s="411" t="e">
        <v>#REF!</v>
      </c>
      <c r="D93" s="411"/>
      <c r="E93" s="411"/>
      <c r="F93" s="411"/>
      <c r="G93" s="438" t="e">
        <v>#REF!</v>
      </c>
      <c r="H93" s="438"/>
      <c r="I93" s="413"/>
      <c r="J93" s="413"/>
      <c r="K93" s="411"/>
      <c r="L93" s="411"/>
      <c r="M93" s="414"/>
      <c r="N93" s="414"/>
      <c r="O93" s="411"/>
      <c r="P93" s="8"/>
      <c r="Q93" s="8"/>
      <c r="R93" s="10"/>
      <c r="S93" s="8"/>
      <c r="T93" s="8"/>
      <c r="U93" s="8"/>
    </row>
    <row r="94" spans="1:21" x14ac:dyDescent="0.3">
      <c r="A94" s="37"/>
      <c r="B94" s="15"/>
      <c r="C94" s="15"/>
      <c r="D94" s="15"/>
      <c r="E94" s="15"/>
      <c r="F94" s="15"/>
      <c r="G94" s="34" t="e">
        <f>SUM(G88:G93)</f>
        <v>#REF!</v>
      </c>
      <c r="H94" s="41"/>
      <c r="I94" s="18"/>
      <c r="J94" s="16"/>
      <c r="K94" s="16"/>
      <c r="L94" s="15"/>
      <c r="M94" s="20"/>
      <c r="N94" s="20"/>
      <c r="O94" s="15"/>
      <c r="R94" s="17"/>
      <c r="S94" s="17"/>
    </row>
    <row r="95" spans="1:21" x14ac:dyDescent="0.3">
      <c r="R95" s="9"/>
      <c r="S95" s="17" t="s">
        <v>523</v>
      </c>
    </row>
    <row r="96" spans="1:21" x14ac:dyDescent="0.3">
      <c r="B96" s="21" t="s">
        <v>530</v>
      </c>
      <c r="G96" s="12" t="e">
        <v>#REF!</v>
      </c>
      <c r="H96" s="12" t="e">
        <v>#REF!</v>
      </c>
      <c r="R96" s="17" t="s">
        <v>531</v>
      </c>
      <c r="S96" s="17" t="s">
        <v>529</v>
      </c>
    </row>
    <row r="97" spans="2:19" x14ac:dyDescent="0.3">
      <c r="B97" s="21"/>
      <c r="G97" s="440" t="s">
        <v>187</v>
      </c>
      <c r="H97" s="440" t="s">
        <v>532</v>
      </c>
      <c r="R97" s="17"/>
      <c r="S97" s="17"/>
    </row>
    <row r="98" spans="2:19" x14ac:dyDescent="0.3">
      <c r="B98" s="21" t="s">
        <v>316</v>
      </c>
      <c r="C98" s="21"/>
      <c r="D98" s="21"/>
      <c r="E98" s="21"/>
      <c r="F98" s="21"/>
      <c r="G98" s="441" t="e">
        <f>+G27+G50+F84+G94+G96</f>
        <v>#REF!</v>
      </c>
      <c r="H98" s="441" t="e">
        <f>+H27+H50+G84+H94+H96</f>
        <v>#REF!</v>
      </c>
      <c r="I98" s="22"/>
      <c r="J98" s="22"/>
    </row>
    <row r="99" spans="2:19" x14ac:dyDescent="0.3">
      <c r="R99" s="17" t="s">
        <v>533</v>
      </c>
      <c r="S99" s="9"/>
    </row>
    <row r="100" spans="2:19" x14ac:dyDescent="0.3">
      <c r="R100" s="17" t="s">
        <v>534</v>
      </c>
      <c r="S100" s="9"/>
    </row>
    <row r="103" spans="2:19" x14ac:dyDescent="0.3">
      <c r="R103" s="10" t="s">
        <v>535</v>
      </c>
      <c r="S103" s="9"/>
    </row>
    <row r="104" spans="2:19" x14ac:dyDescent="0.3">
      <c r="R104" s="10" t="s">
        <v>513</v>
      </c>
      <c r="S104" s="9"/>
    </row>
    <row r="105" spans="2:19" x14ac:dyDescent="0.3">
      <c r="R105" s="10" t="s">
        <v>311</v>
      </c>
      <c r="S105" s="9"/>
    </row>
    <row r="106" spans="2:19" x14ac:dyDescent="0.3">
      <c r="R106" s="10" t="s">
        <v>299</v>
      </c>
    </row>
  </sheetData>
  <autoFilter ref="K1" xr:uid="{00000000-0009-0000-0000-000008000000}"/>
  <mergeCells count="85">
    <mergeCell ref="F86:F87"/>
    <mergeCell ref="G86:J86"/>
    <mergeCell ref="M86:N86"/>
    <mergeCell ref="O86:O87"/>
    <mergeCell ref="A55:A58"/>
    <mergeCell ref="A59:A60"/>
    <mergeCell ref="A64:A66"/>
    <mergeCell ref="A67:A68"/>
    <mergeCell ref="A69:A70"/>
    <mergeCell ref="A61:A63"/>
    <mergeCell ref="B85:O85"/>
    <mergeCell ref="A86:A87"/>
    <mergeCell ref="K86:K87"/>
    <mergeCell ref="L86:L87"/>
    <mergeCell ref="B86:B87"/>
    <mergeCell ref="C86:C87"/>
    <mergeCell ref="D86:D87"/>
    <mergeCell ref="E86:E87"/>
    <mergeCell ref="A45:A46"/>
    <mergeCell ref="A33:A37"/>
    <mergeCell ref="A31:A32"/>
    <mergeCell ref="A53:A54"/>
    <mergeCell ref="B53:B54"/>
    <mergeCell ref="C53:C54"/>
    <mergeCell ref="D53:D54"/>
    <mergeCell ref="E53:E54"/>
    <mergeCell ref="B52:O52"/>
    <mergeCell ref="F53:I53"/>
    <mergeCell ref="J53:J54"/>
    <mergeCell ref="K53:K54"/>
    <mergeCell ref="L53:L54"/>
    <mergeCell ref="M53:N53"/>
    <mergeCell ref="B3:O3"/>
    <mergeCell ref="A4:A5"/>
    <mergeCell ref="B4:B5"/>
    <mergeCell ref="C4:C5"/>
    <mergeCell ref="D4:D5"/>
    <mergeCell ref="E4:E5"/>
    <mergeCell ref="F4:F5"/>
    <mergeCell ref="G4:J4"/>
    <mergeCell ref="K4:K5"/>
    <mergeCell ref="L4:L5"/>
    <mergeCell ref="M4:N4"/>
    <mergeCell ref="O4:O5"/>
    <mergeCell ref="B9:O9"/>
    <mergeCell ref="A10:A11"/>
    <mergeCell ref="B10:B11"/>
    <mergeCell ref="C10:C11"/>
    <mergeCell ref="D10:D11"/>
    <mergeCell ref="E10:E11"/>
    <mergeCell ref="F10:F11"/>
    <mergeCell ref="O10:O11"/>
    <mergeCell ref="L10:L11"/>
    <mergeCell ref="M10:N10"/>
    <mergeCell ref="G10:J10"/>
    <mergeCell ref="K10:K11"/>
    <mergeCell ref="B15:O15"/>
    <mergeCell ref="O16:O17"/>
    <mergeCell ref="F16:F17"/>
    <mergeCell ref="B29:B30"/>
    <mergeCell ref="C29:C30"/>
    <mergeCell ref="O29:O30"/>
    <mergeCell ref="G29:J29"/>
    <mergeCell ref="L29:L30"/>
    <mergeCell ref="M29:N29"/>
    <mergeCell ref="K29:K30"/>
    <mergeCell ref="D29:D30"/>
    <mergeCell ref="E29:F29"/>
    <mergeCell ref="B28:O28"/>
    <mergeCell ref="G16:J16"/>
    <mergeCell ref="K16:K17"/>
    <mergeCell ref="L16:L17"/>
    <mergeCell ref="O53:O54"/>
    <mergeCell ref="A16:A17"/>
    <mergeCell ref="B16:B17"/>
    <mergeCell ref="C16:C17"/>
    <mergeCell ref="D16:D17"/>
    <mergeCell ref="E16:E17"/>
    <mergeCell ref="M16:N16"/>
    <mergeCell ref="A18:A19"/>
    <mergeCell ref="A21:A23"/>
    <mergeCell ref="A24:A26"/>
    <mergeCell ref="A40:A43"/>
    <mergeCell ref="A29:A30"/>
    <mergeCell ref="A38:A39"/>
  </mergeCells>
  <dataValidations count="5">
    <dataValidation type="list" allowBlank="1" showInputMessage="1" showErrorMessage="1" sqref="L94" xr:uid="{00000000-0002-0000-0800-000000000000}">
      <formula1>$R$3:$R$4</formula1>
    </dataValidation>
    <dataValidation type="list" allowBlank="1" showInputMessage="1" showErrorMessage="1" sqref="D6:D7 D13 D88:D93 D18:D26" xr:uid="{00000000-0002-0000-0800-000001000000}">
      <formula1>$R$14:$R$17</formula1>
    </dataValidation>
    <dataValidation type="list" allowBlank="1" showInputMessage="1" showErrorMessage="1" sqref="L6:L7 L55:L83 L18:L26 L88:L93 L12:L13 L31:L50" xr:uid="{00000000-0002-0000-0800-000002000000}">
      <formula1>$R$3:$R$5</formula1>
    </dataValidation>
    <dataValidation type="list" allowBlank="1" showInputMessage="1" showErrorMessage="1" sqref="D94 D31:D50" xr:uid="{00000000-0002-0000-0800-000003000000}">
      <formula1>$R$27:$R$30</formula1>
    </dataValidation>
    <dataValidation type="list" allowBlank="1" showInputMessage="1" showErrorMessage="1" sqref="D55:D83" xr:uid="{00000000-0002-0000-0800-000004000000}">
      <formula1>$R$103:$R$106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F7AEF5557858244AFC90F4C661F48A6" ma:contentTypeVersion="6373" ma:contentTypeDescription="A content type to manage public (operations) IDB documents" ma:contentTypeScope="" ma:versionID="9c065de2773725ccf2b8e7dd931148b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d221377325f1c2d8bfd7ec352437c7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C-L125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IFD/FMM</Division_x0020_or_x0020_Unit>
    <_dlc_DocId xmlns="cdc7663a-08f0-4737-9e8c-148ce897a09c">EZSHARE-1787844502-15</_dlc_DocId>
    <Document_x0020_Author xmlns="cdc7663a-08f0-4737-9e8c-148ce897a09c">Roman Sanchez Susana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 - Simultaneous Disclosure</Access_x0020_to_x0020_Information_x00a0_Policy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REVENUE ADMINISTRATION</TermName>
          <TermId xmlns="http://schemas.microsoft.com/office/infopath/2007/PartnerControls">ad54b82b-372e-429f-8cff-a1f827fae2d8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_dlc_DocIdUrl xmlns="cdc7663a-08f0-4737-9e8c-148ce897a09c">
      <Url>https://idbg.sharepoint.com/teams/EZ-EC-LON/EC-L1253/_layouts/15/DocIdRedir.aspx?ID=EZSHARE-1787844502-15</Url>
      <Description>EZSHARE-1787844502-15</Description>
    </_dlc_DocIdUrl>
    <Phase xmlns="cdc7663a-08f0-4737-9e8c-148ce897a09c">ACTIVE</Phase>
    <Other_x0020_Author xmlns="cdc7663a-08f0-4737-9e8c-148ce897a09c">Ubaldo Gonzalez de Frutos</Other_x0020_Author>
    <IDBDocs_x0020_Number xmlns="cdc7663a-08f0-4737-9e8c-148ce897a09c" xsi:nil="true"/>
    <TaxCatchAll xmlns="cdc7663a-08f0-4737-9e8c-148ce897a09c">
      <Value>32</Value>
      <Value>45</Value>
      <Value>30</Value>
      <Value>1</Value>
      <Value>231</Value>
    </TaxCatchAll>
    <Fiscal_x0020_Year_x0020_IDB xmlns="cdc7663a-08f0-4737-9e8c-148ce897a09c">2020</Fiscal_x0020_Year_x0020_IDB>
    <Operation_x0020_Type xmlns="cdc7663a-08f0-4737-9e8c-148ce897a09c">LON</Operation_x0020_Type>
    <Extracted_x0020_Keywords xmlns="cdc7663a-08f0-4737-9e8c-148ce897a09c">
      <Value>seguridad</Value>
      <Value>Número</Value>
      <Value>Revisión</Value>
      <Value>Método</Value>
      <Value>opciones</Value>
      <Value>UCS</Value>
      <Value>Calidad</Value>
      <Value>entrenamiento</Value>
      <Value>Adquisición</Value>
      <Value>Lotes</Value>
      <Value>Contraparte</Value>
      <Value>procesos tecnológicos</Value>
      <Value>Fortalecimiento institucional</Value>
      <Value>tecnología</Value>
      <Value>monitoreo</Value>
      <Value>Gestión Integral</Value>
      <Value>Implementación</Value>
      <Value>diseño</Value>
      <Value>mantenimiento</Value>
      <Value>selección</Value>
      <Value>capacitación</Value>
      <Value>Cantidad</Value>
      <Value>Fechas</Value>
      <Value>Comentarios</Value>
      <Value>Equipos De</Value>
    </Extracted_x0020_Keywords>
    <Project_x0020_Number xmlns="cdc7663a-08f0-4737-9e8c-148ce897a09c">EC-L1253</Project_x0020_Number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EC512C70-6F03-4AAC-A898-13DADD629F88}"/>
</file>

<file path=customXml/itemProps2.xml><?xml version="1.0" encoding="utf-8"?>
<ds:datastoreItem xmlns:ds="http://schemas.openxmlformats.org/officeDocument/2006/customXml" ds:itemID="{B45C28E2-927B-400A-A871-4CFC9C74F168}"/>
</file>

<file path=customXml/itemProps3.xml><?xml version="1.0" encoding="utf-8"?>
<ds:datastoreItem xmlns:ds="http://schemas.openxmlformats.org/officeDocument/2006/customXml" ds:itemID="{CB810B61-8BFA-4763-A8ED-0127678E95FE}"/>
</file>

<file path=customXml/itemProps4.xml><?xml version="1.0" encoding="utf-8"?>
<ds:datastoreItem xmlns:ds="http://schemas.openxmlformats.org/officeDocument/2006/customXml" ds:itemID="{052C8C20-9152-4E63-9AC7-7E07851BEF80}"/>
</file>

<file path=customXml/itemProps5.xml><?xml version="1.0" encoding="utf-8"?>
<ds:datastoreItem xmlns:ds="http://schemas.openxmlformats.org/officeDocument/2006/customXml" ds:itemID="{445A4490-461C-4EB2-95F3-5B744BB4407A}"/>
</file>

<file path=customXml/itemProps6.xml><?xml version="1.0" encoding="utf-8"?>
<ds:datastoreItem xmlns:ds="http://schemas.openxmlformats.org/officeDocument/2006/customXml" ds:itemID="{50D15308-8EBB-4CD5-A280-740C89FC4C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1. Detailed Budget</vt:lpstr>
      <vt:lpstr>2. Pluriannual Plan PEP</vt:lpstr>
      <vt:lpstr>3. Procurement Plan</vt:lpstr>
      <vt:lpstr>4. Resumen Presupuesto</vt:lpstr>
      <vt:lpstr>5. Cronograma de Desembolsos</vt:lpstr>
      <vt:lpstr>Financiamiento climatico</vt:lpstr>
      <vt:lpstr>Prices</vt:lpstr>
      <vt:lpstr>4. Budget by Components</vt:lpstr>
      <vt:lpstr>3. Procurement Plan - PA</vt:lpstr>
      <vt:lpstr>Hoja1</vt:lpstr>
      <vt:lpstr>Oculta</vt:lpstr>
    </vt:vector>
  </TitlesOfParts>
  <Manager/>
  <Company>TotalCode Software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Oscar Lora</dc:creator>
  <cp:keywords/>
  <dc:description/>
  <cp:lastModifiedBy>Claudia Hernandez</cp:lastModifiedBy>
  <cp:revision/>
  <cp:lastPrinted>2022-09-09T15:13:49Z</cp:lastPrinted>
  <dcterms:created xsi:type="dcterms:W3CDTF">2013-04-08T21:46:41Z</dcterms:created>
  <dcterms:modified xsi:type="dcterms:W3CDTF">2022-09-13T16:08:18Z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Country">
    <vt:lpwstr>32;#Ecuador|8f163189-00fa-4e7c-827d-28fb5798781c</vt:lpwstr>
  </property>
  <property fmtid="{D5CDD505-2E9C-101B-9397-08002B2CF9AE}" pid="6" name="_dlc_DocIdItemGuid">
    <vt:lpwstr>3f7346be-da8c-4dc8-a4aa-09284432e150</vt:lpwstr>
  </property>
  <property fmtid="{D5CDD505-2E9C-101B-9397-08002B2CF9AE}" pid="7" name="Fund IDB">
    <vt:lpwstr>30;#ORC|c028a4b2-ad8b-4cf4-9cac-a2ae6a778e23</vt:lpwstr>
  </property>
  <property fmtid="{D5CDD505-2E9C-101B-9397-08002B2CF9AE}" pid="8" name="Sector IDB">
    <vt:lpwstr>45;#REFORM / MODERNIZATION OF THE STATE|c8fda4a7-691a-4c65-b227-9825197b5cd2</vt:lpwstr>
  </property>
  <property fmtid="{D5CDD505-2E9C-101B-9397-08002B2CF9AE}" pid="9" name="Function Operations IDB">
    <vt:lpwstr>1;#Project Preparation Planning and Design|29ca0c72-1fc4-435f-a09c-28585cb5eac9</vt:lpwstr>
  </property>
  <property fmtid="{D5CDD505-2E9C-101B-9397-08002B2CF9AE}" pid="10" name="Series Operations IDB">
    <vt:lpwstr/>
  </property>
  <property fmtid="{D5CDD505-2E9C-101B-9397-08002B2CF9AE}" pid="11" name="Sub-Sector">
    <vt:lpwstr>231;#REVENUE ADMINISTRATION|ad54b82b-372e-429f-8cff-a1f827fae2d8</vt:lpwstr>
  </property>
  <property fmtid="{D5CDD505-2E9C-101B-9397-08002B2CF9AE}" pid="12" name="ContentTypeId">
    <vt:lpwstr>0x0101001A458A224826124E8B45B1D613300CFC00AF7AEF5557858244AFC90F4C661F48A6</vt:lpwstr>
  </property>
  <property fmtid="{D5CDD505-2E9C-101B-9397-08002B2CF9AE}" pid="13" name="Disclosure Activity">
    <vt:lpwstr>Loan Proposal</vt:lpwstr>
  </property>
</Properties>
</file>