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 Drive\IDB\Peru\2016-2021\PE-L1222\1. Paquete Post Negociacion\LP\"/>
    </mc:Choice>
  </mc:AlternateContent>
  <bookViews>
    <workbookView xWindow="0" yWindow="0" windowWidth="23040" windowHeight="9072" tabRatio="952" xr2:uid="{00000000-000D-0000-FFFF-FFFF00000000}"/>
  </bookViews>
  <sheets>
    <sheet name="Resumen" sheetId="13" r:id="rId1"/>
    <sheet name="Componentes" sheetId="11" r:id="rId2"/>
    <sheet name="Administración_ME_Auditoria" sheetId="4" r:id="rId3"/>
    <sheet name="Costos RRHH" sheetId="10" r:id="rId4"/>
  </sheets>
  <externalReferences>
    <externalReference r:id="rId5"/>
    <externalReference r:id="rId6"/>
  </externalReferences>
  <calcPr calcId="171027"/>
</workbook>
</file>

<file path=xl/calcChain.xml><?xml version="1.0" encoding="utf-8"?>
<calcChain xmlns="http://schemas.openxmlformats.org/spreadsheetml/2006/main">
  <c r="U102" i="11" l="1"/>
  <c r="U103" i="11" s="1"/>
  <c r="H11" i="4" l="1"/>
  <c r="K80" i="11"/>
  <c r="L80" i="11"/>
  <c r="M80" i="11"/>
  <c r="N80" i="11"/>
  <c r="S80" i="11"/>
  <c r="S84" i="11"/>
  <c r="N11" i="13"/>
  <c r="M11" i="13"/>
  <c r="L11" i="13"/>
  <c r="K11" i="13"/>
  <c r="J11" i="13"/>
  <c r="I11" i="13"/>
  <c r="H11" i="13"/>
  <c r="G11" i="13"/>
  <c r="F11" i="13"/>
  <c r="E11" i="13"/>
  <c r="E30" i="4"/>
  <c r="F30" i="4" s="1"/>
  <c r="P30" i="4" s="1"/>
  <c r="E29" i="4"/>
  <c r="G29" i="4" s="1"/>
  <c r="M29" i="4" s="1"/>
  <c r="E28" i="4"/>
  <c r="G28" i="4" s="1"/>
  <c r="G23" i="4"/>
  <c r="I23" i="4" s="1"/>
  <c r="E23" i="4"/>
  <c r="G22" i="4"/>
  <c r="I22" i="4" s="1"/>
  <c r="E22" i="4"/>
  <c r="G21" i="4"/>
  <c r="E21" i="4"/>
  <c r="G20" i="4"/>
  <c r="I20" i="4" s="1"/>
  <c r="E20" i="4"/>
  <c r="G19" i="4"/>
  <c r="I19" i="4" s="1"/>
  <c r="E19" i="4"/>
  <c r="G18" i="4"/>
  <c r="E18" i="4"/>
  <c r="G17" i="4"/>
  <c r="E17" i="4"/>
  <c r="G16" i="4"/>
  <c r="I16" i="4" s="1"/>
  <c r="E16" i="4"/>
  <c r="G15" i="4"/>
  <c r="I15" i="4" s="1"/>
  <c r="E15" i="4"/>
  <c r="G14" i="4"/>
  <c r="G13" i="4" s="1"/>
  <c r="E14" i="4"/>
  <c r="F13" i="4"/>
  <c r="E13" i="4"/>
  <c r="E12" i="4"/>
  <c r="G12" i="4" s="1"/>
  <c r="I12" i="4" s="1"/>
  <c r="E11" i="4"/>
  <c r="G11" i="4" s="1"/>
  <c r="G10" i="4" s="1"/>
  <c r="F10" i="4"/>
  <c r="G9" i="4"/>
  <c r="G8" i="4" s="1"/>
  <c r="F9" i="4"/>
  <c r="O30" i="4"/>
  <c r="M30" i="4"/>
  <c r="N30" i="4" s="1"/>
  <c r="L30" i="4"/>
  <c r="I21" i="4"/>
  <c r="I18" i="4"/>
  <c r="I17" i="4"/>
  <c r="P13" i="4"/>
  <c r="N13" i="4"/>
  <c r="L13" i="4"/>
  <c r="J13" i="4"/>
  <c r="H13" i="4"/>
  <c r="M12" i="4"/>
  <c r="M10" i="4" s="1"/>
  <c r="M11" i="4"/>
  <c r="O11" i="4" s="1"/>
  <c r="P10" i="4"/>
  <c r="N10" i="4"/>
  <c r="L10" i="4"/>
  <c r="K10" i="4"/>
  <c r="J10" i="4"/>
  <c r="H10" i="4"/>
  <c r="K22" i="4" l="1"/>
  <c r="M22" i="4" s="1"/>
  <c r="O22" i="4" s="1"/>
  <c r="Q22" i="4" s="1"/>
  <c r="K16" i="4"/>
  <c r="M16" i="4" s="1"/>
  <c r="O16" i="4" s="1"/>
  <c r="Q16" i="4" s="1"/>
  <c r="R16" i="4"/>
  <c r="K20" i="4"/>
  <c r="M20" i="4" s="1"/>
  <c r="O20" i="4" s="1"/>
  <c r="Q20" i="4" s="1"/>
  <c r="K18" i="4"/>
  <c r="M18" i="4" s="1"/>
  <c r="O18" i="4" s="1"/>
  <c r="Q18" i="4" s="1"/>
  <c r="R18" i="4"/>
  <c r="F29" i="4"/>
  <c r="K21" i="4"/>
  <c r="M21" i="4" s="1"/>
  <c r="O21" i="4" s="1"/>
  <c r="Q21" i="4" s="1"/>
  <c r="R21" i="4"/>
  <c r="K15" i="4"/>
  <c r="M15" i="4" s="1"/>
  <c r="O15" i="4" s="1"/>
  <c r="Q15" i="4" s="1"/>
  <c r="K19" i="4"/>
  <c r="M19" i="4" s="1"/>
  <c r="O19" i="4" s="1"/>
  <c r="Q19" i="4" s="1"/>
  <c r="R19" i="4"/>
  <c r="K23" i="4"/>
  <c r="M23" i="4" s="1"/>
  <c r="O23" i="4" s="1"/>
  <c r="Q23" i="4" s="1"/>
  <c r="K17" i="4"/>
  <c r="M17" i="4" s="1"/>
  <c r="O17" i="4" s="1"/>
  <c r="Q17" i="4" s="1"/>
  <c r="R17" i="4"/>
  <c r="E9" i="4"/>
  <c r="E8" i="4" s="1"/>
  <c r="G30" i="4"/>
  <c r="Q30" i="4" s="1"/>
  <c r="F8" i="4"/>
  <c r="F24" i="4" s="1"/>
  <c r="G24" i="4"/>
  <c r="G31" i="4"/>
  <c r="F28" i="4"/>
  <c r="F31" i="4" s="1"/>
  <c r="E31" i="4"/>
  <c r="E10" i="4"/>
  <c r="E24" i="4" s="1"/>
  <c r="I14" i="4"/>
  <c r="Q11" i="4"/>
  <c r="O12" i="4"/>
  <c r="Q12" i="4" s="1"/>
  <c r="L29" i="4"/>
  <c r="R12" i="4" l="1"/>
  <c r="R23" i="4"/>
  <c r="R15" i="4"/>
  <c r="R20" i="4"/>
  <c r="R22" i="4"/>
  <c r="I11" i="4"/>
  <c r="O10" i="4"/>
  <c r="K14" i="4"/>
  <c r="I13" i="4"/>
  <c r="H28" i="4"/>
  <c r="Q10" i="4"/>
  <c r="I28" i="4"/>
  <c r="I10" i="4" l="1"/>
  <c r="R11" i="4"/>
  <c r="I31" i="4"/>
  <c r="K28" i="4"/>
  <c r="H31" i="4"/>
  <c r="J28" i="4"/>
  <c r="K13" i="4"/>
  <c r="M14" i="4"/>
  <c r="L28" i="4" l="1"/>
  <c r="J31" i="4"/>
  <c r="O14" i="4"/>
  <c r="M13" i="4"/>
  <c r="K31" i="4"/>
  <c r="M28" i="4"/>
  <c r="Q14" i="4" l="1"/>
  <c r="Q13" i="4" s="1"/>
  <c r="O13" i="4"/>
  <c r="M31" i="4"/>
  <c r="O28" i="4"/>
  <c r="L31" i="4"/>
  <c r="N28" i="4"/>
  <c r="R14" i="4" l="1"/>
  <c r="P28" i="4"/>
  <c r="P31" i="4" s="1"/>
  <c r="N31" i="4"/>
  <c r="O31" i="4"/>
  <c r="Q28" i="4"/>
  <c r="Q31" i="4" s="1"/>
  <c r="G130" i="11" l="1"/>
  <c r="H130" i="11" s="1"/>
  <c r="M130" i="11" s="1"/>
  <c r="I130" i="11" l="1"/>
  <c r="N130" i="11" l="1"/>
  <c r="J130" i="11" s="1"/>
  <c r="S141" i="11" l="1"/>
  <c r="S137" i="11"/>
  <c r="S132" i="11"/>
  <c r="S129" i="11"/>
  <c r="T105" i="11"/>
  <c r="S105" i="11"/>
  <c r="T101" i="11"/>
  <c r="S101" i="11"/>
  <c r="T99" i="11"/>
  <c r="S99" i="11"/>
  <c r="S96" i="11"/>
  <c r="T63" i="11"/>
  <c r="S63" i="11"/>
  <c r="S60" i="11"/>
  <c r="S56" i="11"/>
  <c r="S52" i="11"/>
  <c r="S48" i="11"/>
  <c r="S44" i="11"/>
  <c r="S35" i="11"/>
  <c r="T9" i="11"/>
  <c r="S9" i="11"/>
  <c r="Q132" i="11"/>
  <c r="Q105" i="11"/>
  <c r="Q101" i="11"/>
  <c r="Q99" i="11"/>
  <c r="Q96" i="11"/>
  <c r="R63" i="11"/>
  <c r="Q63" i="11"/>
  <c r="Q60" i="11"/>
  <c r="Q56" i="11"/>
  <c r="Q52" i="11"/>
  <c r="Q48" i="11"/>
  <c r="Q44" i="11"/>
  <c r="R35" i="11"/>
  <c r="Q35" i="11"/>
  <c r="Q9" i="11"/>
  <c r="P9" i="11"/>
  <c r="P44" i="11"/>
  <c r="P60" i="11"/>
  <c r="P96" i="11"/>
  <c r="P105" i="11"/>
  <c r="P132" i="11"/>
  <c r="O99" i="11"/>
  <c r="O60" i="11"/>
  <c r="O44" i="11"/>
  <c r="M137" i="11"/>
  <c r="M129" i="11"/>
  <c r="M99" i="11"/>
  <c r="M96" i="11"/>
  <c r="M44" i="11"/>
  <c r="N9" i="11"/>
  <c r="M9" i="11"/>
  <c r="K141" i="11"/>
  <c r="K137" i="11"/>
  <c r="K132" i="11"/>
  <c r="L129" i="11"/>
  <c r="K129" i="11"/>
  <c r="K105" i="11"/>
  <c r="K99" i="11"/>
  <c r="Q47" i="11" l="1"/>
  <c r="K8" i="13" s="1"/>
  <c r="S47" i="11"/>
  <c r="M8" i="13" s="1"/>
  <c r="S128" i="11"/>
  <c r="M10" i="13" s="1"/>
  <c r="T137" i="11"/>
  <c r="T129" i="11"/>
  <c r="T35" i="11"/>
  <c r="T44" i="11"/>
  <c r="T48" i="11"/>
  <c r="T52" i="11"/>
  <c r="T56" i="11"/>
  <c r="T60" i="11"/>
  <c r="T80" i="11"/>
  <c r="T96" i="11"/>
  <c r="T132" i="11"/>
  <c r="T141" i="11"/>
  <c r="R9" i="11"/>
  <c r="R105" i="11"/>
  <c r="R101" i="11"/>
  <c r="R44" i="11"/>
  <c r="R48" i="11"/>
  <c r="R52" i="11"/>
  <c r="R56" i="11"/>
  <c r="R60" i="11"/>
  <c r="R96" i="11"/>
  <c r="R132" i="11"/>
  <c r="O9" i="11"/>
  <c r="O132" i="11"/>
  <c r="O96" i="11"/>
  <c r="O105" i="11"/>
  <c r="N137" i="11"/>
  <c r="N129" i="11"/>
  <c r="N44" i="11"/>
  <c r="N96" i="11"/>
  <c r="L105" i="11"/>
  <c r="L137" i="11"/>
  <c r="L141" i="11"/>
  <c r="K128" i="11"/>
  <c r="L132" i="11"/>
  <c r="L128" i="11" l="1"/>
  <c r="F10" i="13" s="1"/>
  <c r="E10" i="13"/>
  <c r="T128" i="11"/>
  <c r="N10" i="13" s="1"/>
  <c r="T47" i="11"/>
  <c r="N8" i="13" s="1"/>
  <c r="R47" i="11"/>
  <c r="L8" i="13" s="1"/>
  <c r="E152" i="11"/>
  <c r="G152" i="11" s="1"/>
  <c r="H152" i="11" s="1"/>
  <c r="E151" i="11"/>
  <c r="G151" i="11" s="1"/>
  <c r="H151" i="11" s="1"/>
  <c r="E150" i="11"/>
  <c r="G150" i="11" s="1"/>
  <c r="H150" i="11" s="1"/>
  <c r="E149" i="11"/>
  <c r="G149" i="11" s="1"/>
  <c r="H149" i="11" s="1"/>
  <c r="E148" i="11"/>
  <c r="G148" i="11" s="1"/>
  <c r="H148" i="11" s="1"/>
  <c r="E147" i="11"/>
  <c r="G147" i="11" s="1"/>
  <c r="H147" i="11" s="1"/>
  <c r="E146" i="11"/>
  <c r="G146" i="11" s="1"/>
  <c r="H146" i="11" s="1"/>
  <c r="E145" i="11"/>
  <c r="G145" i="11" s="1"/>
  <c r="E144" i="11"/>
  <c r="G144" i="11" s="1"/>
  <c r="E143" i="11"/>
  <c r="G143" i="11" s="1"/>
  <c r="H143" i="11" s="1"/>
  <c r="E142" i="11"/>
  <c r="G142" i="11" s="1"/>
  <c r="E140" i="11"/>
  <c r="G140" i="11" s="1"/>
  <c r="H140" i="11" s="1"/>
  <c r="E139" i="11"/>
  <c r="G139" i="11" s="1"/>
  <c r="H139" i="11" s="1"/>
  <c r="E138" i="11"/>
  <c r="G138" i="11" s="1"/>
  <c r="E136" i="11"/>
  <c r="G136" i="11" s="1"/>
  <c r="E135" i="11"/>
  <c r="G135" i="11" s="1"/>
  <c r="E134" i="11"/>
  <c r="G134" i="11" s="1"/>
  <c r="E133" i="11"/>
  <c r="G133" i="11" s="1"/>
  <c r="E131" i="11"/>
  <c r="G131" i="11" s="1"/>
  <c r="E127" i="11"/>
  <c r="G127" i="11" s="1"/>
  <c r="E126" i="11"/>
  <c r="G126" i="11" s="1"/>
  <c r="E125" i="11"/>
  <c r="G125" i="11" s="1"/>
  <c r="E124" i="11"/>
  <c r="G124" i="11" s="1"/>
  <c r="E123" i="11"/>
  <c r="G123" i="11" s="1"/>
  <c r="H123" i="11" s="1"/>
  <c r="E122" i="11"/>
  <c r="G122" i="11" s="1"/>
  <c r="E121" i="11"/>
  <c r="G121" i="11" s="1"/>
  <c r="E120" i="11"/>
  <c r="G120" i="11" s="1"/>
  <c r="E119" i="11"/>
  <c r="G119" i="11" s="1"/>
  <c r="E118" i="11"/>
  <c r="G118" i="11" s="1"/>
  <c r="E117" i="11"/>
  <c r="G117" i="11" s="1"/>
  <c r="H117" i="11" s="1"/>
  <c r="E116" i="11"/>
  <c r="G116" i="11" s="1"/>
  <c r="E115" i="11"/>
  <c r="G115" i="11" s="1"/>
  <c r="H115" i="11" s="1"/>
  <c r="E114" i="11"/>
  <c r="G114" i="11" s="1"/>
  <c r="E113" i="11"/>
  <c r="G113" i="11" s="1"/>
  <c r="E112" i="11"/>
  <c r="G112" i="11" s="1"/>
  <c r="E111" i="11"/>
  <c r="G111" i="11" s="1"/>
  <c r="E110" i="11"/>
  <c r="G110" i="11" s="1"/>
  <c r="E109" i="11"/>
  <c r="G109" i="11" s="1"/>
  <c r="E108" i="11"/>
  <c r="G108" i="11" s="1"/>
  <c r="E107" i="11"/>
  <c r="G107" i="11" s="1"/>
  <c r="H107" i="11" s="1"/>
  <c r="E106" i="11"/>
  <c r="G106" i="11" s="1"/>
  <c r="E104" i="11"/>
  <c r="G104" i="11" s="1"/>
  <c r="E102" i="11"/>
  <c r="G102" i="11" s="1"/>
  <c r="E100" i="11"/>
  <c r="G100" i="11" s="1"/>
  <c r="E98" i="11"/>
  <c r="G98" i="11" s="1"/>
  <c r="E97" i="11"/>
  <c r="G97" i="11" s="1"/>
  <c r="E93" i="11"/>
  <c r="G93" i="11" s="1"/>
  <c r="E92" i="11"/>
  <c r="G92" i="11" s="1"/>
  <c r="E91" i="11"/>
  <c r="G91" i="11" s="1"/>
  <c r="H91" i="11" s="1"/>
  <c r="E90" i="11"/>
  <c r="G90" i="11" s="1"/>
  <c r="E89" i="11"/>
  <c r="G89" i="11" s="1"/>
  <c r="H89" i="11" s="1"/>
  <c r="E88" i="11"/>
  <c r="G88" i="11" s="1"/>
  <c r="E87" i="11"/>
  <c r="G87" i="11" s="1"/>
  <c r="E86" i="11"/>
  <c r="G86" i="11" s="1"/>
  <c r="E83" i="11"/>
  <c r="G83" i="11" s="1"/>
  <c r="H83" i="11" s="1"/>
  <c r="E82" i="11"/>
  <c r="G82" i="11" s="1"/>
  <c r="E81" i="11"/>
  <c r="G81" i="11" s="1"/>
  <c r="E79" i="11"/>
  <c r="G79" i="11" s="1"/>
  <c r="E78" i="11"/>
  <c r="G78" i="11" s="1"/>
  <c r="E77" i="11"/>
  <c r="G77" i="11" s="1"/>
  <c r="E76" i="11"/>
  <c r="G76" i="11" s="1"/>
  <c r="E75" i="11"/>
  <c r="G75" i="11" s="1"/>
  <c r="H75" i="11" s="1"/>
  <c r="E74" i="11"/>
  <c r="G74" i="11" s="1"/>
  <c r="E73" i="11"/>
  <c r="G73" i="11" s="1"/>
  <c r="H73" i="11" s="1"/>
  <c r="E72" i="11"/>
  <c r="G72" i="11" s="1"/>
  <c r="E71" i="11"/>
  <c r="G71" i="11" s="1"/>
  <c r="E70" i="11"/>
  <c r="G70" i="11" s="1"/>
  <c r="E103" i="11"/>
  <c r="G103" i="11" s="1"/>
  <c r="E95" i="11"/>
  <c r="G95" i="11" s="1"/>
  <c r="E94" i="11"/>
  <c r="G94" i="11" s="1"/>
  <c r="E85" i="11"/>
  <c r="G85" i="11" s="1"/>
  <c r="E69" i="11"/>
  <c r="G69" i="11" s="1"/>
  <c r="G68" i="11" l="1"/>
  <c r="H69" i="11"/>
  <c r="I69" i="11"/>
  <c r="H94" i="11"/>
  <c r="Q94" i="11" s="1"/>
  <c r="H71" i="11"/>
  <c r="K71" i="11" s="1"/>
  <c r="I71" i="11"/>
  <c r="L71" i="11" s="1"/>
  <c r="I75" i="11"/>
  <c r="L75" i="11" s="1"/>
  <c r="K75" i="11"/>
  <c r="H79" i="11"/>
  <c r="K79" i="11" s="1"/>
  <c r="I79" i="11"/>
  <c r="L79" i="11" s="1"/>
  <c r="H86" i="11"/>
  <c r="K86" i="11" s="1"/>
  <c r="H90" i="11"/>
  <c r="K90" i="11" s="1"/>
  <c r="G96" i="11"/>
  <c r="H97" i="11"/>
  <c r="I104" i="11"/>
  <c r="H104" i="11"/>
  <c r="G105" i="11"/>
  <c r="H109" i="11"/>
  <c r="M109" i="11" s="1"/>
  <c r="H113" i="11"/>
  <c r="I117" i="11"/>
  <c r="N117" i="11" s="1"/>
  <c r="M117" i="11"/>
  <c r="J117" i="11" s="1"/>
  <c r="H121" i="11"/>
  <c r="M121" i="11" s="1"/>
  <c r="H125" i="11"/>
  <c r="M125" i="11" s="1"/>
  <c r="I125" i="11"/>
  <c r="N125" i="11" s="1"/>
  <c r="H133" i="11"/>
  <c r="G132" i="11"/>
  <c r="I133" i="11"/>
  <c r="H138" i="11"/>
  <c r="G137" i="11"/>
  <c r="I143" i="11"/>
  <c r="O143" i="11"/>
  <c r="M143" i="11"/>
  <c r="I147" i="11"/>
  <c r="Q147" i="11"/>
  <c r="O147" i="11"/>
  <c r="I151" i="11"/>
  <c r="O151" i="11"/>
  <c r="Q151" i="11"/>
  <c r="H95" i="11"/>
  <c r="Q95" i="11" s="1"/>
  <c r="H72" i="11"/>
  <c r="I76" i="11"/>
  <c r="H76" i="11"/>
  <c r="G80" i="11"/>
  <c r="H81" i="11"/>
  <c r="H87" i="11"/>
  <c r="K87" i="11" s="1"/>
  <c r="I91" i="11"/>
  <c r="L91" i="11" s="1"/>
  <c r="K91" i="11"/>
  <c r="J91" i="11" s="1"/>
  <c r="I98" i="11"/>
  <c r="L98" i="11" s="1"/>
  <c r="H98" i="11"/>
  <c r="K98" i="11" s="1"/>
  <c r="H106" i="11"/>
  <c r="M106" i="11" s="1"/>
  <c r="H110" i="11"/>
  <c r="M110" i="11" s="1"/>
  <c r="H114" i="11"/>
  <c r="M114" i="11" s="1"/>
  <c r="H118" i="11"/>
  <c r="M118" i="11" s="1"/>
  <c r="H122" i="11"/>
  <c r="M122" i="11" s="1"/>
  <c r="H126" i="11"/>
  <c r="M126" i="11" s="1"/>
  <c r="H134" i="11"/>
  <c r="M134" i="11" s="1"/>
  <c r="I134" i="11"/>
  <c r="N134" i="11" s="1"/>
  <c r="I139" i="11"/>
  <c r="O139" i="11"/>
  <c r="Q139" i="11"/>
  <c r="H144" i="11"/>
  <c r="I144" i="11" s="1"/>
  <c r="I148" i="11"/>
  <c r="O148" i="11"/>
  <c r="Q148" i="11"/>
  <c r="I152" i="11"/>
  <c r="O152" i="11"/>
  <c r="Q152" i="11"/>
  <c r="H103" i="11"/>
  <c r="I73" i="11"/>
  <c r="M73" i="11"/>
  <c r="O73" i="11"/>
  <c r="H77" i="11"/>
  <c r="I82" i="11"/>
  <c r="H82" i="11"/>
  <c r="H88" i="11"/>
  <c r="K88" i="11" s="1"/>
  <c r="I92" i="11"/>
  <c r="H92" i="11"/>
  <c r="G99" i="11"/>
  <c r="H100" i="11"/>
  <c r="I107" i="11"/>
  <c r="N107" i="11" s="1"/>
  <c r="M107" i="11"/>
  <c r="H111" i="11"/>
  <c r="M111" i="11" s="1"/>
  <c r="I111" i="11"/>
  <c r="N111" i="11" s="1"/>
  <c r="I115" i="11"/>
  <c r="N115" i="11" s="1"/>
  <c r="M115" i="11"/>
  <c r="H119" i="11"/>
  <c r="M119" i="11" s="1"/>
  <c r="I119" i="11"/>
  <c r="N119" i="11" s="1"/>
  <c r="I123" i="11"/>
  <c r="N123" i="11" s="1"/>
  <c r="M123" i="11"/>
  <c r="H127" i="11"/>
  <c r="M127" i="11" s="1"/>
  <c r="I127" i="11"/>
  <c r="N127" i="11" s="1"/>
  <c r="H135" i="11"/>
  <c r="M135" i="11" s="1"/>
  <c r="I140" i="11"/>
  <c r="Q140" i="11"/>
  <c r="O140" i="11"/>
  <c r="H145" i="11"/>
  <c r="I149" i="11"/>
  <c r="Q149" i="11"/>
  <c r="O149" i="11"/>
  <c r="H85" i="11"/>
  <c r="G84" i="11"/>
  <c r="I85" i="11"/>
  <c r="H70" i="11"/>
  <c r="K70" i="11" s="1"/>
  <c r="H74" i="11"/>
  <c r="K74" i="11" s="1"/>
  <c r="H78" i="11"/>
  <c r="K78" i="11" s="1"/>
  <c r="I83" i="11"/>
  <c r="Q83" i="11"/>
  <c r="O83" i="11"/>
  <c r="I89" i="11"/>
  <c r="L89" i="11" s="1"/>
  <c r="K89" i="11"/>
  <c r="H93" i="11"/>
  <c r="K93" i="11" s="1"/>
  <c r="G101" i="11"/>
  <c r="H102" i="11"/>
  <c r="I102" i="11"/>
  <c r="I108" i="11"/>
  <c r="N108" i="11" s="1"/>
  <c r="H108" i="11"/>
  <c r="M108" i="11" s="1"/>
  <c r="H112" i="11"/>
  <c r="M112" i="11" s="1"/>
  <c r="I116" i="11"/>
  <c r="N116" i="11" s="1"/>
  <c r="H116" i="11"/>
  <c r="M116" i="11" s="1"/>
  <c r="H120" i="11"/>
  <c r="M120" i="11" s="1"/>
  <c r="I124" i="11"/>
  <c r="N124" i="11" s="1"/>
  <c r="H124" i="11"/>
  <c r="M124" i="11" s="1"/>
  <c r="H131" i="11"/>
  <c r="G129" i="11"/>
  <c r="I136" i="11"/>
  <c r="N136" i="11" s="1"/>
  <c r="H136" i="11"/>
  <c r="M136" i="11" s="1"/>
  <c r="H142" i="11"/>
  <c r="I142" i="11" s="1"/>
  <c r="G141" i="11"/>
  <c r="I146" i="11"/>
  <c r="O146" i="11"/>
  <c r="Q146" i="11"/>
  <c r="Q141" i="11" s="1"/>
  <c r="I150" i="11"/>
  <c r="Q150" i="11"/>
  <c r="O150" i="11"/>
  <c r="E65" i="11"/>
  <c r="G65" i="11" s="1"/>
  <c r="H65" i="11" s="1"/>
  <c r="E66" i="11"/>
  <c r="G66" i="11" s="1"/>
  <c r="E64" i="11"/>
  <c r="G64" i="11" s="1"/>
  <c r="E62" i="11"/>
  <c r="G62" i="11" s="1"/>
  <c r="E61" i="11"/>
  <c r="G61" i="11" s="1"/>
  <c r="E59" i="11"/>
  <c r="G59" i="11" s="1"/>
  <c r="H59" i="11" s="1"/>
  <c r="E58" i="11"/>
  <c r="G58" i="11" s="1"/>
  <c r="E57" i="11"/>
  <c r="G57" i="11" s="1"/>
  <c r="E55" i="11"/>
  <c r="G55" i="11" s="1"/>
  <c r="E54" i="11"/>
  <c r="G54" i="11" s="1"/>
  <c r="E53" i="11"/>
  <c r="G53" i="11" s="1"/>
  <c r="E51" i="11"/>
  <c r="G51" i="11" s="1"/>
  <c r="H51" i="11" s="1"/>
  <c r="E50" i="11"/>
  <c r="G50" i="11" s="1"/>
  <c r="E49" i="11"/>
  <c r="G49" i="11" s="1"/>
  <c r="E46" i="11"/>
  <c r="G46" i="11" s="1"/>
  <c r="E45" i="11"/>
  <c r="G45" i="11" s="1"/>
  <c r="E43" i="11"/>
  <c r="G43" i="11" s="1"/>
  <c r="E42" i="11"/>
  <c r="G42" i="11" s="1"/>
  <c r="E41" i="11"/>
  <c r="G41" i="11" s="1"/>
  <c r="H41" i="11" s="1"/>
  <c r="E40" i="11"/>
  <c r="G40" i="11" s="1"/>
  <c r="E39" i="11"/>
  <c r="G39" i="11" s="1"/>
  <c r="E37" i="11"/>
  <c r="G37" i="11" s="1"/>
  <c r="H37" i="11" s="1"/>
  <c r="E36" i="11"/>
  <c r="G36" i="11" s="1"/>
  <c r="E34" i="11"/>
  <c r="G34" i="11" s="1"/>
  <c r="E33" i="11"/>
  <c r="G33" i="11" s="1"/>
  <c r="H33" i="11" s="1"/>
  <c r="E32" i="11"/>
  <c r="G32" i="11" s="1"/>
  <c r="E31" i="11"/>
  <c r="G31" i="11" s="1"/>
  <c r="H31" i="11" s="1"/>
  <c r="E30" i="11"/>
  <c r="G30" i="11" s="1"/>
  <c r="E29" i="11"/>
  <c r="G29" i="11" s="1"/>
  <c r="E28" i="11"/>
  <c r="G28" i="11" s="1"/>
  <c r="E27" i="11"/>
  <c r="G27" i="11" s="1"/>
  <c r="E26" i="11"/>
  <c r="G26" i="11" s="1"/>
  <c r="E25" i="11"/>
  <c r="G25" i="11" s="1"/>
  <c r="E24" i="11"/>
  <c r="G24" i="11" s="1"/>
  <c r="E23" i="11"/>
  <c r="G23" i="11" s="1"/>
  <c r="H23" i="11" s="1"/>
  <c r="E22" i="11"/>
  <c r="G22" i="11" s="1"/>
  <c r="E21" i="11"/>
  <c r="G21" i="11" s="1"/>
  <c r="E20" i="11"/>
  <c r="G20" i="11" s="1"/>
  <c r="E19" i="11"/>
  <c r="G19" i="11" s="1"/>
  <c r="E18" i="11"/>
  <c r="G18" i="11" s="1"/>
  <c r="E17" i="11"/>
  <c r="G17" i="11" s="1"/>
  <c r="H17" i="11" s="1"/>
  <c r="E16" i="11"/>
  <c r="G16" i="11" s="1"/>
  <c r="E15" i="11"/>
  <c r="G15" i="11" s="1"/>
  <c r="E11" i="11"/>
  <c r="G11" i="11" s="1"/>
  <c r="H11" i="11" s="1"/>
  <c r="E12" i="11"/>
  <c r="G12" i="11" s="1"/>
  <c r="E13" i="11"/>
  <c r="G13" i="11" s="1"/>
  <c r="E10" i="11"/>
  <c r="G10" i="11" s="1"/>
  <c r="P142" i="11" l="1"/>
  <c r="N142" i="11"/>
  <c r="I141" i="11"/>
  <c r="P144" i="11"/>
  <c r="N144" i="11"/>
  <c r="I11" i="11"/>
  <c r="L11" i="11" s="1"/>
  <c r="K11" i="11"/>
  <c r="J11" i="11" s="1"/>
  <c r="I22" i="11"/>
  <c r="H22" i="11"/>
  <c r="H26" i="11"/>
  <c r="I26" i="11"/>
  <c r="H34" i="11"/>
  <c r="K34" i="11" s="1"/>
  <c r="H45" i="11"/>
  <c r="G44" i="11"/>
  <c r="H57" i="11"/>
  <c r="G56" i="11"/>
  <c r="I57" i="11"/>
  <c r="J135" i="11"/>
  <c r="T92" i="11"/>
  <c r="T84" i="11" s="1"/>
  <c r="N92" i="11"/>
  <c r="N84" i="11" s="1"/>
  <c r="P92" i="11"/>
  <c r="P84" i="11" s="1"/>
  <c r="H80" i="11"/>
  <c r="O81" i="11"/>
  <c r="Q81" i="11"/>
  <c r="Q80" i="11" s="1"/>
  <c r="Q84" i="11"/>
  <c r="J109" i="11"/>
  <c r="I10" i="11"/>
  <c r="L10" i="11" s="1"/>
  <c r="H10" i="11"/>
  <c r="K10" i="11" s="1"/>
  <c r="I23" i="11"/>
  <c r="O23" i="11"/>
  <c r="S23" i="11"/>
  <c r="Q23" i="11"/>
  <c r="I31" i="11"/>
  <c r="O31" i="11"/>
  <c r="S31" i="11"/>
  <c r="Q31" i="11"/>
  <c r="H36" i="11"/>
  <c r="G35" i="11"/>
  <c r="I46" i="11"/>
  <c r="L46" i="11" s="1"/>
  <c r="H46" i="11"/>
  <c r="K46" i="11" s="1"/>
  <c r="H58" i="11"/>
  <c r="I58" i="11" s="1"/>
  <c r="I131" i="11"/>
  <c r="O131" i="11"/>
  <c r="Q131" i="11"/>
  <c r="Q129" i="11" s="1"/>
  <c r="Q128" i="11" s="1"/>
  <c r="K10" i="13" s="1"/>
  <c r="H129" i="11"/>
  <c r="I112" i="11"/>
  <c r="N112" i="11" s="1"/>
  <c r="I74" i="11"/>
  <c r="L74" i="11" s="1"/>
  <c r="R149" i="11"/>
  <c r="J149" i="11" s="1"/>
  <c r="P149" i="11"/>
  <c r="I100" i="11"/>
  <c r="H99" i="11"/>
  <c r="N73" i="11"/>
  <c r="J73" i="11" s="1"/>
  <c r="P73" i="11"/>
  <c r="I122" i="11"/>
  <c r="N122" i="11" s="1"/>
  <c r="M72" i="11"/>
  <c r="O72" i="11"/>
  <c r="N133" i="11"/>
  <c r="I132" i="11"/>
  <c r="I12" i="11"/>
  <c r="L12" i="11" s="1"/>
  <c r="H12" i="11"/>
  <c r="K12" i="11" s="1"/>
  <c r="I17" i="11"/>
  <c r="L17" i="11" s="1"/>
  <c r="K17" i="11"/>
  <c r="J17" i="11" s="1"/>
  <c r="I21" i="11"/>
  <c r="H21" i="11"/>
  <c r="H25" i="11"/>
  <c r="I29" i="11"/>
  <c r="H29" i="11"/>
  <c r="I33" i="11"/>
  <c r="Q33" i="11"/>
  <c r="O33" i="11"/>
  <c r="S33" i="11"/>
  <c r="H39" i="11"/>
  <c r="G38" i="11"/>
  <c r="H43" i="11"/>
  <c r="M43" i="11" s="1"/>
  <c r="H50" i="11"/>
  <c r="H55" i="11"/>
  <c r="I55" i="11" s="1"/>
  <c r="G60" i="11"/>
  <c r="H61" i="11"/>
  <c r="I61" i="11"/>
  <c r="I65" i="11"/>
  <c r="M65" i="11"/>
  <c r="O65" i="11"/>
  <c r="K65" i="11"/>
  <c r="R150" i="11"/>
  <c r="P150" i="11"/>
  <c r="I93" i="11"/>
  <c r="L93" i="11" s="1"/>
  <c r="J93" i="11" s="1"/>
  <c r="J83" i="11"/>
  <c r="O145" i="11"/>
  <c r="M145" i="11"/>
  <c r="I135" i="11"/>
  <c r="N135" i="11" s="1"/>
  <c r="J123" i="11"/>
  <c r="J115" i="11"/>
  <c r="J107" i="11"/>
  <c r="O92" i="11"/>
  <c r="O84" i="11" s="1"/>
  <c r="M92" i="11"/>
  <c r="O82" i="11"/>
  <c r="J82" i="11" s="1"/>
  <c r="Q82" i="11"/>
  <c r="M103" i="11"/>
  <c r="O103" i="11"/>
  <c r="O101" i="11" s="1"/>
  <c r="P152" i="11"/>
  <c r="R152" i="11"/>
  <c r="P139" i="11"/>
  <c r="J139" i="11" s="1"/>
  <c r="R139" i="11"/>
  <c r="J110" i="11"/>
  <c r="S76" i="11"/>
  <c r="S68" i="11" s="1"/>
  <c r="S67" i="11" s="1"/>
  <c r="M9" i="13" s="1"/>
  <c r="O76" i="11"/>
  <c r="Q76" i="11"/>
  <c r="I95" i="11"/>
  <c r="R95" i="11" s="1"/>
  <c r="J95" i="11" s="1"/>
  <c r="R151" i="11"/>
  <c r="J151" i="11" s="1"/>
  <c r="P151" i="11"/>
  <c r="H132" i="11"/>
  <c r="M133" i="11"/>
  <c r="H105" i="11"/>
  <c r="M113" i="11"/>
  <c r="M104" i="11"/>
  <c r="O104" i="11"/>
  <c r="H18" i="11"/>
  <c r="H30" i="11"/>
  <c r="I40" i="11"/>
  <c r="H40" i="11"/>
  <c r="I51" i="11"/>
  <c r="O51" i="11"/>
  <c r="K51" i="11"/>
  <c r="M51" i="11"/>
  <c r="H62" i="11"/>
  <c r="I62" i="11"/>
  <c r="J112" i="11"/>
  <c r="L102" i="11"/>
  <c r="L85" i="11"/>
  <c r="P82" i="11"/>
  <c r="R82" i="11"/>
  <c r="H141" i="11"/>
  <c r="O144" i="11"/>
  <c r="M144" i="11"/>
  <c r="J122" i="11"/>
  <c r="T76" i="11"/>
  <c r="P76" i="11"/>
  <c r="R76" i="11"/>
  <c r="O138" i="11"/>
  <c r="Q138" i="11"/>
  <c r="Q137" i="11" s="1"/>
  <c r="H137" i="11"/>
  <c r="P104" i="11"/>
  <c r="N104" i="11"/>
  <c r="L69" i="11"/>
  <c r="H15" i="11"/>
  <c r="G14" i="11"/>
  <c r="H19" i="11"/>
  <c r="H27" i="11"/>
  <c r="I27" i="11"/>
  <c r="I41" i="11"/>
  <c r="M41" i="11"/>
  <c r="K41" i="11"/>
  <c r="O41" i="11"/>
  <c r="H53" i="11"/>
  <c r="G52" i="11"/>
  <c r="I64" i="11"/>
  <c r="H64" i="11"/>
  <c r="G63" i="11"/>
  <c r="J150" i="11"/>
  <c r="O142" i="11"/>
  <c r="O141" i="11" s="1"/>
  <c r="M142" i="11"/>
  <c r="I120" i="11"/>
  <c r="N120" i="11" s="1"/>
  <c r="J120" i="11" s="1"/>
  <c r="H101" i="11"/>
  <c r="K102" i="11"/>
  <c r="K101" i="11" s="1"/>
  <c r="R83" i="11"/>
  <c r="P83" i="11"/>
  <c r="Q77" i="11"/>
  <c r="O77" i="11"/>
  <c r="S77" i="11"/>
  <c r="J134" i="11"/>
  <c r="I114" i="11"/>
  <c r="N114" i="11" s="1"/>
  <c r="J114" i="11" s="1"/>
  <c r="I106" i="11"/>
  <c r="P143" i="11"/>
  <c r="N143" i="11"/>
  <c r="J143" i="11" s="1"/>
  <c r="J125" i="11"/>
  <c r="I109" i="11"/>
  <c r="N109" i="11" s="1"/>
  <c r="H96" i="11"/>
  <c r="K97" i="11"/>
  <c r="I90" i="11"/>
  <c r="L90" i="11" s="1"/>
  <c r="J90" i="11" s="1"/>
  <c r="J79" i="11"/>
  <c r="J71" i="11"/>
  <c r="K69" i="11"/>
  <c r="H68" i="11"/>
  <c r="H67" i="11" s="1"/>
  <c r="G9" i="11"/>
  <c r="H13" i="11"/>
  <c r="I13" i="11"/>
  <c r="I16" i="11"/>
  <c r="H16" i="11"/>
  <c r="H20" i="11"/>
  <c r="I24" i="11"/>
  <c r="H24" i="11"/>
  <c r="H28" i="11"/>
  <c r="I32" i="11"/>
  <c r="H32" i="11"/>
  <c r="I37" i="11"/>
  <c r="K37" i="11"/>
  <c r="O37" i="11"/>
  <c r="M37" i="11"/>
  <c r="H42" i="11"/>
  <c r="M42" i="11" s="1"/>
  <c r="I42" i="11"/>
  <c r="N42" i="11" s="1"/>
  <c r="G48" i="11"/>
  <c r="G47" i="11" s="1"/>
  <c r="H49" i="11"/>
  <c r="H54" i="11"/>
  <c r="I54" i="11"/>
  <c r="I59" i="11"/>
  <c r="O59" i="11"/>
  <c r="K59" i="11"/>
  <c r="M59" i="11"/>
  <c r="H66" i="11"/>
  <c r="R146" i="11"/>
  <c r="P146" i="11"/>
  <c r="J146" i="11" s="1"/>
  <c r="J136" i="11"/>
  <c r="J124" i="11"/>
  <c r="J116" i="11"/>
  <c r="J108" i="11"/>
  <c r="J89" i="11"/>
  <c r="I78" i="11"/>
  <c r="L78" i="11" s="1"/>
  <c r="J78" i="11" s="1"/>
  <c r="I70" i="11"/>
  <c r="L70" i="11" s="1"/>
  <c r="J70" i="11" s="1"/>
  <c r="K85" i="11"/>
  <c r="H84" i="11"/>
  <c r="I145" i="11"/>
  <c r="R140" i="11"/>
  <c r="P140" i="11"/>
  <c r="J140" i="11" s="1"/>
  <c r="J127" i="11"/>
  <c r="J119" i="11"/>
  <c r="J111" i="11"/>
  <c r="I88" i="11"/>
  <c r="L88" i="11" s="1"/>
  <c r="J88" i="11" s="1"/>
  <c r="I77" i="11"/>
  <c r="I103" i="11"/>
  <c r="I101" i="11" s="1"/>
  <c r="J152" i="11"/>
  <c r="R148" i="11"/>
  <c r="P148" i="11"/>
  <c r="J148" i="11" s="1"/>
  <c r="I126" i="11"/>
  <c r="N126" i="11" s="1"/>
  <c r="J126" i="11" s="1"/>
  <c r="I118" i="11"/>
  <c r="N118" i="11" s="1"/>
  <c r="J118" i="11" s="1"/>
  <c r="I110" i="11"/>
  <c r="N110" i="11" s="1"/>
  <c r="J98" i="11"/>
  <c r="I87" i="11"/>
  <c r="L87" i="11" s="1"/>
  <c r="J87" i="11" s="1"/>
  <c r="I81" i="11"/>
  <c r="I72" i="11"/>
  <c r="R147" i="11"/>
  <c r="P147" i="11"/>
  <c r="J147" i="11" s="1"/>
  <c r="I138" i="11"/>
  <c r="G128" i="11"/>
  <c r="I121" i="11"/>
  <c r="N121" i="11" s="1"/>
  <c r="J121" i="11" s="1"/>
  <c r="I113" i="11"/>
  <c r="N113" i="11" s="1"/>
  <c r="I97" i="11"/>
  <c r="I86" i="11"/>
  <c r="L86" i="11" s="1"/>
  <c r="J86" i="11" s="1"/>
  <c r="J75" i="11"/>
  <c r="I94" i="11"/>
  <c r="R94" i="11" s="1"/>
  <c r="R84" i="11" s="1"/>
  <c r="G67" i="11"/>
  <c r="A8" i="13"/>
  <c r="N55" i="11" l="1"/>
  <c r="L55" i="11"/>
  <c r="P55" i="11"/>
  <c r="N58" i="11"/>
  <c r="L58" i="11"/>
  <c r="P58" i="11"/>
  <c r="I80" i="11"/>
  <c r="R81" i="11"/>
  <c r="R80" i="11" s="1"/>
  <c r="P81" i="11"/>
  <c r="K84" i="11"/>
  <c r="J84" i="11" s="1"/>
  <c r="J85" i="11"/>
  <c r="R32" i="11"/>
  <c r="T32" i="11"/>
  <c r="P32" i="11"/>
  <c r="R24" i="11"/>
  <c r="T24" i="11"/>
  <c r="P24" i="11"/>
  <c r="N16" i="11"/>
  <c r="P16" i="11"/>
  <c r="N64" i="11"/>
  <c r="L64" i="11"/>
  <c r="T68" i="11"/>
  <c r="T67" i="11" s="1"/>
  <c r="N9" i="13" s="1"/>
  <c r="L84" i="11"/>
  <c r="P40" i="11"/>
  <c r="L40" i="11"/>
  <c r="N40" i="11"/>
  <c r="O18" i="11"/>
  <c r="M18" i="11"/>
  <c r="J104" i="11"/>
  <c r="J133" i="11"/>
  <c r="M132" i="11"/>
  <c r="I60" i="11"/>
  <c r="N61" i="11"/>
  <c r="L61" i="11"/>
  <c r="L60" i="11" s="1"/>
  <c r="Q43" i="11"/>
  <c r="O43" i="11"/>
  <c r="S43" i="11" s="1"/>
  <c r="R29" i="11"/>
  <c r="T29" i="11"/>
  <c r="P29" i="11"/>
  <c r="I56" i="11"/>
  <c r="P57" i="11"/>
  <c r="L57" i="11"/>
  <c r="N57" i="11"/>
  <c r="R141" i="11"/>
  <c r="R42" i="11"/>
  <c r="P42" i="11"/>
  <c r="T42" i="11" s="1"/>
  <c r="Q28" i="11"/>
  <c r="O28" i="11"/>
  <c r="S28" i="11"/>
  <c r="I9" i="11"/>
  <c r="L13" i="11"/>
  <c r="J97" i="11"/>
  <c r="K96" i="11"/>
  <c r="O27" i="11"/>
  <c r="S27" i="11"/>
  <c r="Q27" i="11"/>
  <c r="I84" i="11"/>
  <c r="J113" i="11"/>
  <c r="M101" i="11"/>
  <c r="O63" i="11"/>
  <c r="O36" i="11"/>
  <c r="O35" i="11" s="1"/>
  <c r="M36" i="11"/>
  <c r="M35" i="11" s="1"/>
  <c r="K36" i="11"/>
  <c r="H35" i="11"/>
  <c r="O80" i="11"/>
  <c r="H44" i="11"/>
  <c r="K45" i="11"/>
  <c r="I96" i="11"/>
  <c r="L97" i="11"/>
  <c r="L96" i="11" s="1"/>
  <c r="J96" i="11" s="1"/>
  <c r="P138" i="11"/>
  <c r="P137" i="11" s="1"/>
  <c r="R138" i="11"/>
  <c r="R137" i="11" s="1"/>
  <c r="I137" i="11"/>
  <c r="N72" i="11"/>
  <c r="N68" i="11" s="1"/>
  <c r="P72" i="11"/>
  <c r="R77" i="11"/>
  <c r="T77" i="11"/>
  <c r="P77" i="11"/>
  <c r="J77" i="11" s="1"/>
  <c r="O66" i="11"/>
  <c r="K66" i="11"/>
  <c r="M66" i="11"/>
  <c r="P59" i="11"/>
  <c r="J59" i="11" s="1"/>
  <c r="L59" i="11"/>
  <c r="N59" i="11"/>
  <c r="H48" i="11"/>
  <c r="O49" i="11"/>
  <c r="O48" i="11" s="1"/>
  <c r="K49" i="11"/>
  <c r="M49" i="11"/>
  <c r="M48" i="11" s="1"/>
  <c r="O32" i="11"/>
  <c r="S32" i="11"/>
  <c r="Q32" i="11"/>
  <c r="O24" i="11"/>
  <c r="S24" i="11"/>
  <c r="Q24" i="11"/>
  <c r="J24" i="11" s="1"/>
  <c r="O16" i="11"/>
  <c r="M16" i="11"/>
  <c r="G8" i="11"/>
  <c r="N106" i="11"/>
  <c r="I105" i="11"/>
  <c r="J142" i="11"/>
  <c r="M141" i="11"/>
  <c r="M64" i="11"/>
  <c r="M63" i="11" s="1"/>
  <c r="K64" i="11"/>
  <c r="H63" i="11"/>
  <c r="H52" i="11"/>
  <c r="M53" i="11"/>
  <c r="O53" i="11"/>
  <c r="K53" i="11"/>
  <c r="N41" i="11"/>
  <c r="P41" i="11"/>
  <c r="L41" i="11"/>
  <c r="J41" i="11" s="1"/>
  <c r="S19" i="11"/>
  <c r="Q19" i="11"/>
  <c r="O19" i="11"/>
  <c r="I68" i="11"/>
  <c r="I67" i="11" s="1"/>
  <c r="O40" i="11"/>
  <c r="K40" i="11"/>
  <c r="M40" i="11"/>
  <c r="I18" i="11"/>
  <c r="J145" i="11"/>
  <c r="N65" i="11"/>
  <c r="P65" i="11"/>
  <c r="L65" i="11"/>
  <c r="J65" i="11" s="1"/>
  <c r="I43" i="11"/>
  <c r="N43" i="11" s="1"/>
  <c r="O29" i="11"/>
  <c r="S29" i="11"/>
  <c r="Q29" i="11"/>
  <c r="Q21" i="11"/>
  <c r="O21" i="11"/>
  <c r="S21" i="11"/>
  <c r="J12" i="11"/>
  <c r="O68" i="11"/>
  <c r="O67" i="11" s="1"/>
  <c r="I9" i="13" s="1"/>
  <c r="J10" i="11"/>
  <c r="M105" i="11"/>
  <c r="I45" i="11"/>
  <c r="J34" i="11"/>
  <c r="R22" i="11"/>
  <c r="P22" i="11"/>
  <c r="T22" i="11"/>
  <c r="P54" i="11"/>
  <c r="L54" i="11"/>
  <c r="N54" i="11"/>
  <c r="R27" i="11"/>
  <c r="T27" i="11"/>
  <c r="P27" i="11"/>
  <c r="J138" i="11"/>
  <c r="O137" i="11"/>
  <c r="M55" i="11"/>
  <c r="K55" i="11"/>
  <c r="O55" i="11"/>
  <c r="T21" i="11"/>
  <c r="P21" i="11"/>
  <c r="R21" i="11"/>
  <c r="M68" i="11"/>
  <c r="M67" i="11" s="1"/>
  <c r="G9" i="13" s="1"/>
  <c r="M58" i="11"/>
  <c r="O58" i="11"/>
  <c r="K58" i="11"/>
  <c r="L9" i="11"/>
  <c r="P26" i="11"/>
  <c r="T26" i="11"/>
  <c r="R26" i="11"/>
  <c r="O54" i="11"/>
  <c r="K54" i="11"/>
  <c r="M54" i="11"/>
  <c r="J37" i="11"/>
  <c r="Q20" i="11"/>
  <c r="S20" i="11"/>
  <c r="J69" i="11"/>
  <c r="K68" i="11"/>
  <c r="K67" i="11" s="1"/>
  <c r="E9" i="13" s="1"/>
  <c r="I15" i="11"/>
  <c r="K15" i="11"/>
  <c r="H14" i="11"/>
  <c r="N62" i="11"/>
  <c r="L62" i="11"/>
  <c r="Q30" i="11"/>
  <c r="S30" i="11"/>
  <c r="O30" i="11"/>
  <c r="J94" i="11"/>
  <c r="M84" i="11"/>
  <c r="J92" i="11"/>
  <c r="H60" i="11"/>
  <c r="M61" i="11"/>
  <c r="K61" i="11"/>
  <c r="M50" i="11"/>
  <c r="K50" i="11"/>
  <c r="O50" i="11"/>
  <c r="O25" i="11"/>
  <c r="S25" i="11"/>
  <c r="Q25" i="11"/>
  <c r="O129" i="11"/>
  <c r="Q26" i="11"/>
  <c r="S26" i="11"/>
  <c r="O26" i="11"/>
  <c r="P103" i="11"/>
  <c r="N103" i="11"/>
  <c r="N101" i="11" s="1"/>
  <c r="P145" i="11"/>
  <c r="N145" i="11"/>
  <c r="N141" i="11" s="1"/>
  <c r="I66" i="11"/>
  <c r="I49" i="11"/>
  <c r="Q42" i="11"/>
  <c r="Q38" i="11" s="1"/>
  <c r="O42" i="11"/>
  <c r="S42" i="11" s="1"/>
  <c r="S38" i="11" s="1"/>
  <c r="N37" i="11"/>
  <c r="P37" i="11"/>
  <c r="L37" i="11"/>
  <c r="I28" i="11"/>
  <c r="I20" i="11"/>
  <c r="H9" i="11"/>
  <c r="K13" i="11"/>
  <c r="J13" i="11" s="1"/>
  <c r="I53" i="11"/>
  <c r="I19" i="11"/>
  <c r="H128" i="11"/>
  <c r="R68" i="11"/>
  <c r="J144" i="11"/>
  <c r="M62" i="11"/>
  <c r="K62" i="11"/>
  <c r="P51" i="11"/>
  <c r="L51" i="11"/>
  <c r="J51" i="11" s="1"/>
  <c r="N51" i="11"/>
  <c r="I30" i="11"/>
  <c r="J76" i="11"/>
  <c r="Q68" i="11"/>
  <c r="Q67" i="11" s="1"/>
  <c r="K9" i="13" s="1"/>
  <c r="I50" i="11"/>
  <c r="I39" i="11"/>
  <c r="I38" i="11" s="1"/>
  <c r="M39" i="11"/>
  <c r="O39" i="11"/>
  <c r="K39" i="11"/>
  <c r="K38" i="11" s="1"/>
  <c r="H38" i="11"/>
  <c r="P33" i="11"/>
  <c r="J33" i="11" s="1"/>
  <c r="T33" i="11"/>
  <c r="R33" i="11"/>
  <c r="I25" i="11"/>
  <c r="N132" i="11"/>
  <c r="L100" i="11"/>
  <c r="I99" i="11"/>
  <c r="R131" i="11"/>
  <c r="R129" i="11" s="1"/>
  <c r="R128" i="11" s="1"/>
  <c r="L10" i="13" s="1"/>
  <c r="P131" i="11"/>
  <c r="P129" i="11" s="1"/>
  <c r="P128" i="11" s="1"/>
  <c r="J10" i="13" s="1"/>
  <c r="I129" i="11"/>
  <c r="I128" i="11" s="1"/>
  <c r="J46" i="11"/>
  <c r="I36" i="11"/>
  <c r="R31" i="11"/>
  <c r="T31" i="11"/>
  <c r="P31" i="11"/>
  <c r="T23" i="11"/>
  <c r="P23" i="11"/>
  <c r="J23" i="11" s="1"/>
  <c r="R23" i="11"/>
  <c r="H56" i="11"/>
  <c r="O57" i="11"/>
  <c r="O56" i="11" s="1"/>
  <c r="K57" i="11"/>
  <c r="M57" i="11"/>
  <c r="M56" i="11" s="1"/>
  <c r="I34" i="11"/>
  <c r="L34" i="11" s="1"/>
  <c r="Q22" i="11"/>
  <c r="J22" i="11" s="1"/>
  <c r="O22" i="11"/>
  <c r="S22" i="11"/>
  <c r="P141" i="11"/>
  <c r="H21" i="10"/>
  <c r="N56" i="11" l="1"/>
  <c r="N63" i="11"/>
  <c r="J32" i="11"/>
  <c r="N50" i="11"/>
  <c r="P50" i="11"/>
  <c r="J50" i="11" s="1"/>
  <c r="L50" i="11"/>
  <c r="P30" i="11"/>
  <c r="T30" i="11"/>
  <c r="R30" i="11"/>
  <c r="J62" i="11"/>
  <c r="J42" i="11"/>
  <c r="P66" i="11"/>
  <c r="L66" i="11"/>
  <c r="L63" i="11" s="1"/>
  <c r="N66" i="11"/>
  <c r="H8" i="11"/>
  <c r="J54" i="11"/>
  <c r="J72" i="11"/>
  <c r="J137" i="11"/>
  <c r="J27" i="11"/>
  <c r="K9" i="11"/>
  <c r="P63" i="11"/>
  <c r="P18" i="11"/>
  <c r="N18" i="11"/>
  <c r="J18" i="11" s="1"/>
  <c r="S14" i="11"/>
  <c r="S8" i="11" s="1"/>
  <c r="M7" i="13" s="1"/>
  <c r="J141" i="11"/>
  <c r="H47" i="11"/>
  <c r="L56" i="11"/>
  <c r="J56" i="11" s="1"/>
  <c r="M128" i="11"/>
  <c r="J132" i="11"/>
  <c r="I21" i="10"/>
  <c r="K21" i="10" s="1"/>
  <c r="P36" i="11"/>
  <c r="P35" i="11" s="1"/>
  <c r="N36" i="11"/>
  <c r="N35" i="11" s="1"/>
  <c r="L36" i="11"/>
  <c r="L35" i="11" s="1"/>
  <c r="R25" i="11"/>
  <c r="T25" i="11"/>
  <c r="P25" i="11"/>
  <c r="N39" i="11"/>
  <c r="N38" i="11" s="1"/>
  <c r="L39" i="11"/>
  <c r="L38" i="11" s="1"/>
  <c r="P39" i="11"/>
  <c r="P38" i="11" s="1"/>
  <c r="N53" i="11"/>
  <c r="N52" i="11" s="1"/>
  <c r="L53" i="11"/>
  <c r="L52" i="11" s="1"/>
  <c r="P53" i="11"/>
  <c r="P52" i="11" s="1"/>
  <c r="I52" i="11"/>
  <c r="P28" i="11"/>
  <c r="J28" i="11" s="1"/>
  <c r="T28" i="11"/>
  <c r="R28" i="11"/>
  <c r="I35" i="11"/>
  <c r="I48" i="11"/>
  <c r="P49" i="11"/>
  <c r="L49" i="11"/>
  <c r="L48" i="11" s="1"/>
  <c r="N49" i="11"/>
  <c r="N48" i="11" s="1"/>
  <c r="J9" i="11"/>
  <c r="Q14" i="11"/>
  <c r="Q8" i="11" s="1"/>
  <c r="K7" i="13" s="1"/>
  <c r="J53" i="11"/>
  <c r="M52" i="11"/>
  <c r="N105" i="11"/>
  <c r="J105" i="11" s="1"/>
  <c r="J106" i="11"/>
  <c r="N100" i="11"/>
  <c r="L99" i="11"/>
  <c r="O38" i="11"/>
  <c r="R19" i="11"/>
  <c r="T19" i="11"/>
  <c r="T14" i="11" s="1"/>
  <c r="P19" i="11"/>
  <c r="O128" i="11"/>
  <c r="I10" i="13" s="1"/>
  <c r="J129" i="11"/>
  <c r="J25" i="11"/>
  <c r="J61" i="11"/>
  <c r="K60" i="11"/>
  <c r="K14" i="11"/>
  <c r="J26" i="11"/>
  <c r="J21" i="11"/>
  <c r="J29" i="11"/>
  <c r="J40" i="11"/>
  <c r="K52" i="11"/>
  <c r="J16" i="11"/>
  <c r="M14" i="11"/>
  <c r="M8" i="11" s="1"/>
  <c r="G7" i="13" s="1"/>
  <c r="J66" i="11"/>
  <c r="P56" i="11"/>
  <c r="N14" i="11"/>
  <c r="J57" i="11"/>
  <c r="K56" i="11"/>
  <c r="J31" i="11"/>
  <c r="N128" i="11"/>
  <c r="H10" i="13" s="1"/>
  <c r="J39" i="11"/>
  <c r="M38" i="11"/>
  <c r="R20" i="11"/>
  <c r="J20" i="11" s="1"/>
  <c r="T20" i="11"/>
  <c r="J131" i="11"/>
  <c r="M60" i="11"/>
  <c r="M47" i="11" s="1"/>
  <c r="G8" i="13" s="1"/>
  <c r="L15" i="11"/>
  <c r="L14" i="11" s="1"/>
  <c r="L8" i="11" s="1"/>
  <c r="F7" i="13" s="1"/>
  <c r="I14" i="11"/>
  <c r="J58" i="11"/>
  <c r="J55" i="11"/>
  <c r="I44" i="11"/>
  <c r="I8" i="11" s="1"/>
  <c r="L45" i="11"/>
  <c r="L44" i="11" s="1"/>
  <c r="P43" i="11"/>
  <c r="T43" i="11" s="1"/>
  <c r="T38" i="11" s="1"/>
  <c r="R43" i="11"/>
  <c r="R38" i="11" s="1"/>
  <c r="I63" i="11"/>
  <c r="O52" i="11"/>
  <c r="O47" i="11" s="1"/>
  <c r="I8" i="13" s="1"/>
  <c r="J64" i="11"/>
  <c r="K63" i="11"/>
  <c r="O14" i="11"/>
  <c r="J49" i="11"/>
  <c r="K48" i="11"/>
  <c r="P68" i="11"/>
  <c r="J45" i="11"/>
  <c r="K44" i="11"/>
  <c r="J44" i="11" s="1"/>
  <c r="K35" i="11"/>
  <c r="J35" i="11" s="1"/>
  <c r="N60" i="11"/>
  <c r="J60" i="11" s="1"/>
  <c r="H23" i="10"/>
  <c r="M21" i="10" l="1"/>
  <c r="O21" i="10" s="1"/>
  <c r="Q21" i="10" s="1"/>
  <c r="S21" i="10" s="1"/>
  <c r="U21" i="10"/>
  <c r="J38" i="11"/>
  <c r="T8" i="11"/>
  <c r="N7" i="13" s="1"/>
  <c r="L47" i="11"/>
  <c r="F8" i="13" s="1"/>
  <c r="J30" i="11"/>
  <c r="K23" i="10"/>
  <c r="M23" i="10" s="1"/>
  <c r="O23" i="10" s="1"/>
  <c r="Q23" i="10" s="1"/>
  <c r="S23" i="10" s="1"/>
  <c r="I23" i="10"/>
  <c r="J23" i="10"/>
  <c r="L23" i="10" s="1"/>
  <c r="N23" i="10" s="1"/>
  <c r="P23" i="10" s="1"/>
  <c r="R23" i="10" s="1"/>
  <c r="T23" i="10" s="1"/>
  <c r="J36" i="11"/>
  <c r="K47" i="11"/>
  <c r="J15" i="11"/>
  <c r="R14" i="11"/>
  <c r="R8" i="11" s="1"/>
  <c r="L7" i="13" s="1"/>
  <c r="P100" i="11"/>
  <c r="N99" i="11"/>
  <c r="N67" i="11" s="1"/>
  <c r="H9" i="13" s="1"/>
  <c r="P48" i="11"/>
  <c r="P47" i="11" s="1"/>
  <c r="J8" i="13" s="1"/>
  <c r="J52" i="11"/>
  <c r="J21" i="10"/>
  <c r="L21" i="10" s="1"/>
  <c r="N21" i="10" s="1"/>
  <c r="P21" i="10" s="1"/>
  <c r="R21" i="10" s="1"/>
  <c r="T21" i="10" s="1"/>
  <c r="G10" i="13"/>
  <c r="J128" i="11"/>
  <c r="K8" i="11"/>
  <c r="E7" i="13" s="1"/>
  <c r="J63" i="11"/>
  <c r="J43" i="11"/>
  <c r="O8" i="11"/>
  <c r="I7" i="13" s="1"/>
  <c r="N8" i="11"/>
  <c r="H7" i="13" s="1"/>
  <c r="N47" i="11"/>
  <c r="H8" i="13" s="1"/>
  <c r="I47" i="11"/>
  <c r="V21" i="10"/>
  <c r="R100" i="11" l="1"/>
  <c r="R99" i="11" s="1"/>
  <c r="R67" i="11" s="1"/>
  <c r="L9" i="13" s="1"/>
  <c r="P99" i="11"/>
  <c r="J100" i="11"/>
  <c r="E8" i="13"/>
  <c r="J47" i="11"/>
  <c r="J48" i="11"/>
  <c r="B10" i="13"/>
  <c r="C10" i="13"/>
  <c r="A10" i="13"/>
  <c r="A9" i="13"/>
  <c r="A7" i="13"/>
  <c r="J99" i="11" l="1"/>
  <c r="D10" i="13"/>
  <c r="C25" i="10" l="1"/>
  <c r="H18" i="10" l="1"/>
  <c r="I18" i="10" l="1"/>
  <c r="J18" i="10" s="1"/>
  <c r="L18" i="10" s="1"/>
  <c r="N18" i="10" s="1"/>
  <c r="P18" i="10" s="1"/>
  <c r="R18" i="10" s="1"/>
  <c r="T18" i="10" s="1"/>
  <c r="H24" i="10"/>
  <c r="C11" i="13"/>
  <c r="H17" i="10"/>
  <c r="H9" i="10"/>
  <c r="H14" i="10"/>
  <c r="H19" i="10"/>
  <c r="H16" i="10"/>
  <c r="H10" i="10"/>
  <c r="H12" i="10"/>
  <c r="H15" i="10"/>
  <c r="H20" i="10"/>
  <c r="H11" i="10"/>
  <c r="I15" i="10" l="1"/>
  <c r="K15" i="10" s="1"/>
  <c r="M15" i="10" s="1"/>
  <c r="O15" i="10" s="1"/>
  <c r="Q15" i="10" s="1"/>
  <c r="S15" i="10" s="1"/>
  <c r="J15" i="10"/>
  <c r="L15" i="10" s="1"/>
  <c r="N15" i="10" s="1"/>
  <c r="P15" i="10" s="1"/>
  <c r="R15" i="10" s="1"/>
  <c r="T15" i="10" s="1"/>
  <c r="K19" i="10"/>
  <c r="M19" i="10" s="1"/>
  <c r="O19" i="10" s="1"/>
  <c r="Q19" i="10" s="1"/>
  <c r="S19" i="10" s="1"/>
  <c r="I19" i="10"/>
  <c r="J19" i="10" s="1"/>
  <c r="L19" i="10" s="1"/>
  <c r="N19" i="10" s="1"/>
  <c r="P19" i="10" s="1"/>
  <c r="R19" i="10" s="1"/>
  <c r="T19" i="10" s="1"/>
  <c r="K12" i="10"/>
  <c r="J12" i="10"/>
  <c r="L12" i="10" s="1"/>
  <c r="N12" i="10" s="1"/>
  <c r="P12" i="10" s="1"/>
  <c r="R12" i="10" s="1"/>
  <c r="T12" i="10" s="1"/>
  <c r="I14" i="10"/>
  <c r="J14" i="10" s="1"/>
  <c r="I24" i="10"/>
  <c r="J24" i="10" s="1"/>
  <c r="L24" i="10" s="1"/>
  <c r="N24" i="10" s="1"/>
  <c r="P24" i="10" s="1"/>
  <c r="R24" i="10" s="1"/>
  <c r="T24" i="10" s="1"/>
  <c r="K18" i="10"/>
  <c r="M18" i="10" s="1"/>
  <c r="O18" i="10" s="1"/>
  <c r="Q18" i="10" s="1"/>
  <c r="S18" i="10" s="1"/>
  <c r="I11" i="10"/>
  <c r="J11" i="10" s="1"/>
  <c r="L11" i="10" s="1"/>
  <c r="N11" i="10" s="1"/>
  <c r="P11" i="10" s="1"/>
  <c r="R11" i="10" s="1"/>
  <c r="T11" i="10" s="1"/>
  <c r="I10" i="10"/>
  <c r="K10" i="10" s="1"/>
  <c r="M10" i="10" s="1"/>
  <c r="O10" i="10" s="1"/>
  <c r="Q10" i="10" s="1"/>
  <c r="S10" i="10" s="1"/>
  <c r="J10" i="10"/>
  <c r="L10" i="10" s="1"/>
  <c r="N10" i="10" s="1"/>
  <c r="P10" i="10" s="1"/>
  <c r="R10" i="10" s="1"/>
  <c r="T10" i="10" s="1"/>
  <c r="I9" i="10"/>
  <c r="K9" i="10" s="1"/>
  <c r="J9" i="10"/>
  <c r="L9" i="10" s="1"/>
  <c r="N9" i="10" s="1"/>
  <c r="P9" i="10" s="1"/>
  <c r="R9" i="10" s="1"/>
  <c r="T9" i="10" s="1"/>
  <c r="K20" i="10"/>
  <c r="M20" i="10" s="1"/>
  <c r="O20" i="10" s="1"/>
  <c r="Q20" i="10" s="1"/>
  <c r="S20" i="10" s="1"/>
  <c r="I20" i="10"/>
  <c r="J20" i="10"/>
  <c r="L20" i="10" s="1"/>
  <c r="N20" i="10" s="1"/>
  <c r="P20" i="10" s="1"/>
  <c r="R20" i="10" s="1"/>
  <c r="T20" i="10" s="1"/>
  <c r="I16" i="10"/>
  <c r="J16" i="10" s="1"/>
  <c r="L16" i="10" s="1"/>
  <c r="N16" i="10" s="1"/>
  <c r="P16" i="10" s="1"/>
  <c r="R16" i="10" s="1"/>
  <c r="T16" i="10" s="1"/>
  <c r="I17" i="10"/>
  <c r="K17" i="10" s="1"/>
  <c r="M17" i="10" s="1"/>
  <c r="O17" i="10" s="1"/>
  <c r="Q17" i="10" s="1"/>
  <c r="S17" i="10" s="1"/>
  <c r="J17" i="10"/>
  <c r="L17" i="10" s="1"/>
  <c r="N17" i="10" s="1"/>
  <c r="P17" i="10" s="1"/>
  <c r="R17" i="10" s="1"/>
  <c r="T17" i="10" s="1"/>
  <c r="M12" i="10"/>
  <c r="O12" i="10" s="1"/>
  <c r="Q12" i="10" s="1"/>
  <c r="S12" i="10" s="1"/>
  <c r="H13" i="10"/>
  <c r="U18" i="10"/>
  <c r="V18" i="10"/>
  <c r="H22" i="10"/>
  <c r="H8" i="10"/>
  <c r="M9" i="10" l="1"/>
  <c r="O9" i="10" s="1"/>
  <c r="Q9" i="10" s="1"/>
  <c r="S9" i="10" s="1"/>
  <c r="J13" i="10"/>
  <c r="L14" i="10"/>
  <c r="K11" i="10"/>
  <c r="M11" i="10" s="1"/>
  <c r="O11" i="10" s="1"/>
  <c r="Q11" i="10" s="1"/>
  <c r="S11" i="10" s="1"/>
  <c r="K16" i="10"/>
  <c r="M16" i="10" s="1"/>
  <c r="O16" i="10" s="1"/>
  <c r="Q16" i="10" s="1"/>
  <c r="S16" i="10" s="1"/>
  <c r="K24" i="10"/>
  <c r="M24" i="10" s="1"/>
  <c r="O24" i="10" s="1"/>
  <c r="Q24" i="10" s="1"/>
  <c r="S24" i="10" s="1"/>
  <c r="U19" i="10"/>
  <c r="U11" i="10"/>
  <c r="U20" i="10"/>
  <c r="U15" i="10"/>
  <c r="U24" i="10"/>
  <c r="U10" i="10"/>
  <c r="K14" i="10"/>
  <c r="I13" i="10"/>
  <c r="U12" i="10"/>
  <c r="V24" i="10"/>
  <c r="V15" i="10"/>
  <c r="I8" i="10"/>
  <c r="V12" i="10"/>
  <c r="J22" i="10"/>
  <c r="V19" i="10"/>
  <c r="V20" i="10"/>
  <c r="V11" i="10"/>
  <c r="V10" i="10"/>
  <c r="I22" i="10"/>
  <c r="L8" i="10"/>
  <c r="J8" i="10"/>
  <c r="H25" i="10"/>
  <c r="N14" i="10" l="1"/>
  <c r="L13" i="10"/>
  <c r="K8" i="10"/>
  <c r="M14" i="10"/>
  <c r="K13" i="10"/>
  <c r="V16" i="10"/>
  <c r="U16" i="10"/>
  <c r="J25" i="10"/>
  <c r="U17" i="10"/>
  <c r="V17" i="10"/>
  <c r="M8" i="10"/>
  <c r="N8" i="10"/>
  <c r="L22" i="10"/>
  <c r="L25" i="10" s="1"/>
  <c r="I9" i="4" s="1"/>
  <c r="I8" i="4" s="1"/>
  <c r="I24" i="4" s="1"/>
  <c r="F12" i="13" s="1"/>
  <c r="K22" i="10"/>
  <c r="I25" i="10"/>
  <c r="P14" i="10" l="1"/>
  <c r="N13" i="10"/>
  <c r="K25" i="10"/>
  <c r="H9" i="4" s="1"/>
  <c r="O14" i="10"/>
  <c r="M13" i="10"/>
  <c r="N22" i="10"/>
  <c r="N25" i="10" s="1"/>
  <c r="K9" i="4" s="1"/>
  <c r="K8" i="4" s="1"/>
  <c r="K24" i="4" s="1"/>
  <c r="H12" i="13" s="1"/>
  <c r="O8" i="10"/>
  <c r="M22" i="10"/>
  <c r="P8" i="10"/>
  <c r="H8" i="4" l="1"/>
  <c r="H24" i="4" s="1"/>
  <c r="R14" i="10"/>
  <c r="P13" i="10"/>
  <c r="J12" i="13"/>
  <c r="L12" i="13" s="1"/>
  <c r="H13" i="13"/>
  <c r="M25" i="10"/>
  <c r="J9" i="4" s="1"/>
  <c r="J8" i="4" s="1"/>
  <c r="J24" i="4" s="1"/>
  <c r="G12" i="13" s="1"/>
  <c r="Q14" i="10"/>
  <c r="O13" i="10"/>
  <c r="S8" i="10"/>
  <c r="Q8" i="10"/>
  <c r="U9" i="10"/>
  <c r="P22" i="10"/>
  <c r="P25" i="10" s="1"/>
  <c r="M9" i="4" s="1"/>
  <c r="M8" i="4" s="1"/>
  <c r="M24" i="4" s="1"/>
  <c r="R8" i="10"/>
  <c r="O22" i="10"/>
  <c r="B11" i="13"/>
  <c r="N12" i="13" l="1"/>
  <c r="N13" i="13" s="1"/>
  <c r="L13" i="13"/>
  <c r="I12" i="13"/>
  <c r="G13" i="13"/>
  <c r="T14" i="10"/>
  <c r="T13" i="10" s="1"/>
  <c r="R13" i="10"/>
  <c r="E12" i="13"/>
  <c r="E13" i="13" s="1"/>
  <c r="O25" i="10"/>
  <c r="L9" i="4" s="1"/>
  <c r="S14" i="10"/>
  <c r="S13" i="10" s="1"/>
  <c r="Q13" i="10"/>
  <c r="Q22" i="10"/>
  <c r="V9" i="10"/>
  <c r="T8" i="10"/>
  <c r="U14" i="10"/>
  <c r="U13" i="10" s="1"/>
  <c r="V14" i="10"/>
  <c r="V13" i="10" s="1"/>
  <c r="T22" i="10"/>
  <c r="R22" i="10"/>
  <c r="R25" i="10" s="1"/>
  <c r="O9" i="4" s="1"/>
  <c r="O8" i="4" s="1"/>
  <c r="O24" i="4" s="1"/>
  <c r="D11" i="13"/>
  <c r="K12" i="13" l="1"/>
  <c r="I13" i="13"/>
  <c r="L8" i="4"/>
  <c r="L24" i="4" s="1"/>
  <c r="Q25" i="10"/>
  <c r="N9" i="4" s="1"/>
  <c r="N8" i="4" s="1"/>
  <c r="N24" i="4" s="1"/>
  <c r="V23" i="10"/>
  <c r="V22" i="10" s="1"/>
  <c r="T25" i="10"/>
  <c r="Q9" i="4" s="1"/>
  <c r="Q8" i="4" s="1"/>
  <c r="Q24" i="4" s="1"/>
  <c r="S22" i="10"/>
  <c r="S25" i="10" s="1"/>
  <c r="P9" i="4" s="1"/>
  <c r="P8" i="4" s="1"/>
  <c r="P24" i="4" s="1"/>
  <c r="U23" i="10"/>
  <c r="U22" i="10" s="1"/>
  <c r="U8" i="10"/>
  <c r="V8" i="10"/>
  <c r="R9" i="4" l="1"/>
  <c r="R24" i="4"/>
  <c r="M12" i="13"/>
  <c r="M13" i="13" s="1"/>
  <c r="K13" i="13"/>
  <c r="V25" i="10"/>
  <c r="U25" i="10"/>
  <c r="A10" i="10"/>
  <c r="A11" i="10" s="1"/>
  <c r="A12" i="10" s="1"/>
  <c r="A14" i="10" s="1"/>
  <c r="A15" i="10" l="1"/>
  <c r="A16" i="10" l="1"/>
  <c r="A17" i="10" s="1"/>
  <c r="A18" i="10" s="1"/>
  <c r="A19" i="10" l="1"/>
  <c r="A20" i="10" s="1"/>
  <c r="A23" i="10" l="1"/>
  <c r="A24" i="10" s="1"/>
  <c r="A21" i="10"/>
  <c r="C12" i="13" l="1"/>
  <c r="B12" i="13"/>
  <c r="D12" i="13" l="1"/>
  <c r="B7" i="13" l="1"/>
  <c r="C7" i="13"/>
  <c r="D7" i="13" l="1"/>
  <c r="B8" i="13" l="1"/>
  <c r="C8" i="13"/>
  <c r="D8" i="13" l="1"/>
  <c r="B9" i="13"/>
  <c r="B13" i="13" s="1"/>
  <c r="C9" i="13"/>
  <c r="B14" i="13" l="1"/>
  <c r="G14" i="13"/>
  <c r="M14" i="13"/>
  <c r="I14" i="13"/>
  <c r="E14" i="13"/>
  <c r="K14" i="13"/>
  <c r="D9" i="13"/>
  <c r="D13" i="13" s="1"/>
  <c r="C13" i="13"/>
  <c r="N14" i="13" l="1"/>
  <c r="L14" i="13"/>
  <c r="H14" i="13"/>
  <c r="C14" i="13"/>
  <c r="D14" i="13" s="1"/>
  <c r="P14" i="11" l="1"/>
  <c r="J14" i="11" s="1"/>
  <c r="J19" i="11"/>
  <c r="P8" i="11" l="1"/>
  <c r="L68" i="11"/>
  <c r="J68" i="11" s="1"/>
  <c r="J74" i="11"/>
  <c r="J8" i="11" l="1"/>
  <c r="J7" i="13"/>
  <c r="J81" i="11"/>
  <c r="P80" i="11"/>
  <c r="J80" i="11" l="1"/>
  <c r="J102" i="11"/>
  <c r="L101" i="11"/>
  <c r="L67" i="11" s="1"/>
  <c r="F9" i="13" l="1"/>
  <c r="F13" i="13" s="1"/>
  <c r="F14" i="13" s="1"/>
  <c r="J103" i="11"/>
  <c r="P101" i="11"/>
  <c r="P67" i="11" s="1"/>
  <c r="J101" i="11"/>
  <c r="J67" i="11" l="1"/>
  <c r="J9" i="13"/>
  <c r="J13" i="13" l="1"/>
  <c r="J14" i="13" s="1"/>
</calcChain>
</file>

<file path=xl/sharedStrings.xml><?xml version="1.0" encoding="utf-8"?>
<sst xmlns="http://schemas.openxmlformats.org/spreadsheetml/2006/main" count="570" uniqueCount="345">
  <si>
    <t>Unidad</t>
  </si>
  <si>
    <t>Costo Unitario</t>
  </si>
  <si>
    <t>N° Unidades</t>
  </si>
  <si>
    <t>Total
(USD)</t>
  </si>
  <si>
    <t>TOTAL</t>
  </si>
  <si>
    <t>BID</t>
  </si>
  <si>
    <t>Suma alzada</t>
  </si>
  <si>
    <t>US$</t>
  </si>
  <si>
    <t>Recursos Humanos</t>
  </si>
  <si>
    <t>Meses</t>
  </si>
  <si>
    <t>Año 1</t>
  </si>
  <si>
    <t>Año 2</t>
  </si>
  <si>
    <t>Año 3</t>
  </si>
  <si>
    <t>Año 4</t>
  </si>
  <si>
    <t>Año 5</t>
  </si>
  <si>
    <t>Duración</t>
  </si>
  <si>
    <t>Salario</t>
  </si>
  <si>
    <t>Años</t>
  </si>
  <si>
    <t>Cantidad</t>
  </si>
  <si>
    <t xml:space="preserve">Recursos Humanos </t>
  </si>
  <si>
    <t>ADMINISTRACIÓN</t>
  </si>
  <si>
    <t>Total RRHH</t>
  </si>
  <si>
    <t>US$/unidad</t>
  </si>
  <si>
    <t>Total Auditoria, Monitoreo y Evaluación</t>
  </si>
  <si>
    <t>Coordinación del Programa</t>
  </si>
  <si>
    <t>Especialista en Seguimiento y Monitoreo</t>
  </si>
  <si>
    <t>Coordinación Administrativa</t>
  </si>
  <si>
    <t>Especialista en Tesoreria</t>
  </si>
  <si>
    <t>Coordinación Técnica</t>
  </si>
  <si>
    <t>Soles/US$=</t>
  </si>
  <si>
    <t>Soles</t>
  </si>
  <si>
    <t>Costos Personal (US$)</t>
  </si>
  <si>
    <t>Bienes</t>
  </si>
  <si>
    <t>Equipamiento informatico</t>
  </si>
  <si>
    <t>Software</t>
  </si>
  <si>
    <t>Costo Unitario (US$)</t>
  </si>
  <si>
    <t>Gastos Operativos</t>
  </si>
  <si>
    <t>Alquiler de oficina</t>
  </si>
  <si>
    <t>Suministros</t>
  </si>
  <si>
    <t>Mantenimiento de equipos informáticos</t>
  </si>
  <si>
    <t>Limpieza</t>
  </si>
  <si>
    <t>Servicios Básicos (luz, agua, internet, telefono fijo y movil, cable)</t>
  </si>
  <si>
    <t>Viaticos x 2 días</t>
  </si>
  <si>
    <t>Eventos</t>
  </si>
  <si>
    <t>Pasajes nacionales de especialistas</t>
  </si>
  <si>
    <t>Auditorias administrativas/financieras</t>
  </si>
  <si>
    <t>US$/año</t>
  </si>
  <si>
    <t>TOTAL 
US$</t>
  </si>
  <si>
    <t>AUDITORIA, MONITOREO Y EVALUACION</t>
  </si>
  <si>
    <t>Presupuesto Detallado (US$)</t>
  </si>
  <si>
    <t>COMPONENTES</t>
  </si>
  <si>
    <t>Administración</t>
  </si>
  <si>
    <t>ADMINISTRACION - UE 003 / PROGRAMA PE-L 1153 - BID</t>
  </si>
  <si>
    <t>Financiamiento</t>
  </si>
  <si>
    <t>Coordinador Administrativo - Clave</t>
  </si>
  <si>
    <t>Especialista en Adquisiciones - Clave</t>
  </si>
  <si>
    <t>Especialista Contable Patrimonial - Clave</t>
  </si>
  <si>
    <t>Analista Contable</t>
  </si>
  <si>
    <t>Asistentes técnicos</t>
  </si>
  <si>
    <t>Especialista en Planificación y Presupuesto</t>
  </si>
  <si>
    <t>Fuente</t>
  </si>
  <si>
    <t>Secretaria de la Coordinación del Programa</t>
  </si>
  <si>
    <t>Monitoreo, Evaluación y Auditoria</t>
  </si>
  <si>
    <t>Evaluación Intermedia del Programa</t>
  </si>
  <si>
    <t>Evaluación Final del Programa (inlcuye Expost)</t>
  </si>
  <si>
    <t>Coordinador del Programa - Clave</t>
  </si>
  <si>
    <t>Analista en Adquisiciones</t>
  </si>
  <si>
    <t>2.1.1</t>
  </si>
  <si>
    <t>2.2.2</t>
  </si>
  <si>
    <t>Gastos administrativos y de movilización</t>
  </si>
  <si>
    <t>Local</t>
  </si>
  <si>
    <t>3.1.1</t>
  </si>
  <si>
    <t>3.1.2</t>
  </si>
  <si>
    <t>3.1.3</t>
  </si>
  <si>
    <t>3.2.1</t>
  </si>
  <si>
    <t>RECURSOS HUMANOS - UE / PROGRAMA PE-L 1222 - BID</t>
  </si>
  <si>
    <t>COMPONENTES / PROGRAMA PE-L 1222 - BID</t>
  </si>
  <si>
    <t>1.1.1</t>
  </si>
  <si>
    <t>1.1.2</t>
  </si>
  <si>
    <t>Suma Alzada</t>
  </si>
  <si>
    <t>1.1.3</t>
  </si>
  <si>
    <t>1.2.1</t>
  </si>
  <si>
    <t>1.2.2</t>
  </si>
  <si>
    <t>1.2.3</t>
  </si>
  <si>
    <t>2.2.1</t>
  </si>
  <si>
    <t>2.1.2</t>
  </si>
  <si>
    <t>2.1.3</t>
  </si>
  <si>
    <t>2.4.1</t>
  </si>
  <si>
    <t>2.4.2</t>
  </si>
  <si>
    <t>3.4.1</t>
  </si>
  <si>
    <t>3.4.2</t>
  </si>
  <si>
    <t>4.1.1</t>
  </si>
  <si>
    <t>4.2.1</t>
  </si>
  <si>
    <t>4.2.2</t>
  </si>
  <si>
    <t>4.3.1</t>
  </si>
  <si>
    <t>4.3.2</t>
  </si>
  <si>
    <t>Coordinador Sectorial - Clave</t>
  </si>
  <si>
    <t>Asesor Legal - Clave</t>
  </si>
  <si>
    <t>PCM</t>
  </si>
  <si>
    <t>Total Administración del Proyecto</t>
  </si>
  <si>
    <t>Gestión de Documentos</t>
  </si>
  <si>
    <t>Publicaciones en prensa nacional (llamados)</t>
  </si>
  <si>
    <t>US$/llamado</t>
  </si>
  <si>
    <t>1.3.1</t>
  </si>
  <si>
    <t>1.3.2</t>
  </si>
  <si>
    <t>1.1.4</t>
  </si>
  <si>
    <t>Adquisición de equipamiento</t>
  </si>
  <si>
    <t xml:space="preserve">Actualización de software para interoperabilidad </t>
  </si>
  <si>
    <t xml:space="preserve">Acondicionamiento de espacios físicos (Salas) para data center </t>
  </si>
  <si>
    <t>Integración de servicios “complejos” en la plataforma de interoperabilidad</t>
  </si>
  <si>
    <t>2.2.3.1</t>
  </si>
  <si>
    <t>2.3.1</t>
  </si>
  <si>
    <t>2.3.2</t>
  </si>
  <si>
    <t>2.3.3.1</t>
  </si>
  <si>
    <t xml:space="preserve">Desarrollo e implementación de carpeta ciudadana </t>
  </si>
  <si>
    <t xml:space="preserve">Desarrollo e implementación de canal integrado (telefonía, móvil web)  </t>
  </si>
  <si>
    <t>Costo Unitario (Soles)</t>
  </si>
  <si>
    <t xml:space="preserve">Implementación de la digitalización documental </t>
  </si>
  <si>
    <t>2.5.1</t>
  </si>
  <si>
    <t>2.5.2</t>
  </si>
  <si>
    <t>3.2.2</t>
  </si>
  <si>
    <t>3.2.3</t>
  </si>
  <si>
    <t>3.2.4</t>
  </si>
  <si>
    <t>Migración de portales base administrados por SEGDI</t>
  </si>
  <si>
    <t>Mejora de la infraestructura tecnológica de los portales del Estado</t>
  </si>
  <si>
    <t>Asistencia técnica en digitalización de servicios priorizados para la plataforma gob.pe</t>
  </si>
  <si>
    <t xml:space="preserve">Asistencia técnica a la unidad de innovación de la PCM para el diseño de proyectos de innovación </t>
  </si>
  <si>
    <t>Asistencia técnica a las entidades públicas para desarrollar la innovación</t>
  </si>
  <si>
    <t>Promoción de innovación mediante concursos abiertos</t>
  </si>
  <si>
    <t>3.5.1</t>
  </si>
  <si>
    <t>4.1.2</t>
  </si>
  <si>
    <t>Implementación de la gestión del cumplimiento en entidades del Gobierno Nacional en las áreas priorizadas</t>
  </si>
  <si>
    <t>Elaboración de herramientas de evaluaciones de cumplimiento de objetivos prioritarios en las áreas priorizadas</t>
  </si>
  <si>
    <t xml:space="preserve">Elaboración de un modelo institucional de coordinación multisectorial </t>
  </si>
  <si>
    <t xml:space="preserve">Elaboración de instrumentos para gestionar el modelo institucional </t>
  </si>
  <si>
    <t xml:space="preserve">Implementación de un sistema de información multisectorial </t>
  </si>
  <si>
    <t xml:space="preserve">Implementación de un sistema de trazabilidad de las iniciativas legislativas de cáracter multisectorial </t>
  </si>
  <si>
    <t>Elaboración del diseño de organización de las Agencias Regionales de Desarrollo (ARD)</t>
  </si>
  <si>
    <t xml:space="preserve">Elaboración de tipologías de agendas de desarrollo regional </t>
  </si>
  <si>
    <t>Elaboración de herramientas de evaluación de agendas de desarrollo regional</t>
  </si>
  <si>
    <t>4.2.3</t>
  </si>
  <si>
    <t>Creación de un sistema de información para prevención y gestión de factores de riesgo de conflictos</t>
  </si>
  <si>
    <t>Diseño de herramientas obligatorias en prevención de conflictos</t>
  </si>
  <si>
    <t>Talleres de capacitación en la implementación de herramientas</t>
  </si>
  <si>
    <t>4.2.4</t>
  </si>
  <si>
    <t>Ampliación de capacidades operativas del aplicativo Sayhuite de la IDEP</t>
  </si>
  <si>
    <t>Acompañamiento técnico a entidades para reducir cargas administrativas</t>
  </si>
  <si>
    <t>Metodología y acompañamiento técnico para evaluación de la reducción de cargas administrativas</t>
  </si>
  <si>
    <t>Revisión y actualización de la metodología de ACR</t>
  </si>
  <si>
    <t>Aplicación de la metodología actualizada de ACR</t>
  </si>
  <si>
    <t>Control de calidad del trabajo en sectores</t>
  </si>
  <si>
    <t>Mejora de la calidad de nuevas regulaciones a partir de la generación de capacidad en Análisis de Impacto Regulatorio en el poder ejecutivo</t>
  </si>
  <si>
    <t>Estrategia de implementación del RIA ex ante</t>
  </si>
  <si>
    <t>Asistencia técnica para la implementación del RIA ex ante</t>
  </si>
  <si>
    <t>Estrategia de implementación del RIA ex post</t>
  </si>
  <si>
    <t>Estudios temáticos para construir evaluabilidad</t>
  </si>
  <si>
    <t>Evaluación de impacto del RIA ex post</t>
  </si>
  <si>
    <t>Revisión, evaluación y propuesta de reformas del marco legal e institucional de supervisión y fiscalización.</t>
  </si>
  <si>
    <t>Sesiones con representantes del sector privado, academia y entidades públicas</t>
  </si>
  <si>
    <t>Elaborar documento con propuesta para la interrelación de aplicativos</t>
  </si>
  <si>
    <t>Diseño, desarrollo e implementación de la plataforma tecnológica</t>
  </si>
  <si>
    <t>Difusión de la plataforma</t>
  </si>
  <si>
    <t>Elaboración de talleres de transferencia metodológica</t>
  </si>
  <si>
    <t>Implementación de talleres de transferencia metodológica</t>
  </si>
  <si>
    <t>Implementación  del curso de formadores para  transferencia metodológica</t>
  </si>
  <si>
    <t>Participantes en el curso (costos de desplazamiento)</t>
  </si>
  <si>
    <t>Diseño de la plataforma virtual</t>
  </si>
  <si>
    <t>Elaboración de contenidos y materiales</t>
  </si>
  <si>
    <t>Asesoría en la capacitaciòn</t>
  </si>
  <si>
    <t>Implementación de la plataforma</t>
  </si>
  <si>
    <t>Presentación de experiencias de mejora regulatoria a nivel internacional</t>
  </si>
  <si>
    <t>Sistematización de experiencias</t>
  </si>
  <si>
    <t>Estandarización de procedimientos administrativos para trámites sub-nacionales priorizados</t>
  </si>
  <si>
    <t>Simplificación de trámites en base a la aplicación de costo estándar sub-nacional</t>
  </si>
  <si>
    <t xml:space="preserve">Estandarización de procesos administrativos </t>
  </si>
  <si>
    <t>Acompañamiento metodológico</t>
  </si>
  <si>
    <t>Diseño de la estrategia de implementación</t>
  </si>
  <si>
    <t>Encuestas linea de base (urbana nacional)</t>
  </si>
  <si>
    <t>Elaboración de guías e instructivos</t>
  </si>
  <si>
    <t>Aplicación de metodología de costo estándar</t>
  </si>
  <si>
    <t>Supervisión del trabajo en gobiernos subnacionales</t>
  </si>
  <si>
    <t>Revisión y actualización tecnológica del Sistema Único de Trámites, vinculado con la PIDE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</si>
  <si>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</si>
  <si>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</si>
  <si>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</si>
  <si>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</si>
  <si>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</si>
  <si>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</si>
  <si>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</si>
  <si>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</si>
  <si>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</si>
  <si>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</si>
  <si>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</si>
  <si>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</si>
  <si>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</si>
  <si>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</si>
  <si>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</si>
  <si>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</si>
  <si>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</si>
  <si>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1.4.1</t>
  </si>
  <si>
    <t>1.4.2</t>
  </si>
  <si>
    <t>1.4.3</t>
  </si>
  <si>
    <t>1.4.4</t>
  </si>
  <si>
    <t>1.4.5</t>
  </si>
  <si>
    <t>1.5.1</t>
  </si>
  <si>
    <t>1.5.2</t>
  </si>
  <si>
    <t>Revisión de modelos de SUT</t>
  </si>
  <si>
    <t>Rediseño de plataforma SUT</t>
  </si>
  <si>
    <t>Ampliación de capacidades de interoperabilidad técnica a través del fortalecimiento de la PIDE, actualizando el equipamiento y software, y habilitando un centro de datos</t>
  </si>
  <si>
    <t>Ampliación de capacidades de interoperabilidad organizacional, desarrollando herramientas para su gestión, la integración de servicios complejos y la estandarización y codificación de trámites y servicios</t>
  </si>
  <si>
    <t xml:space="preserve">Elaboración de metodologías sobre estandarización para la PIDE </t>
  </si>
  <si>
    <t>Adquisición de herramientas de software para la gestión de interoperabilidad</t>
  </si>
  <si>
    <t>Integración de bases de datos de ciudadanos a través de la implementación de la Carpeta Ciudadana</t>
  </si>
  <si>
    <t>Creación de registros nacionales únicos</t>
  </si>
  <si>
    <t>Implementación  del Centro de Ciberseguridad</t>
  </si>
  <si>
    <t>Mejoras en regulación y estándares en ciberseguridad</t>
  </si>
  <si>
    <t>Desarrollo e implementación de un sistema de Customer Relationship Management (CRM) e implementación del centro de ciberseguridad y mejoras en la regulación y estándares de seguridad de la información de forma transversal</t>
  </si>
  <si>
    <t>2.5.3</t>
  </si>
  <si>
    <t>Organización, digitalización y mejora del archivo de documentación institucional prioritaria de la PCM</t>
  </si>
  <si>
    <t xml:space="preserve">Organización, descripción y selección documental </t>
  </si>
  <si>
    <t>Mejoramiento del sistema del gestor de archivos - SIGAR</t>
  </si>
  <si>
    <t>Diseño e implementación de mecanismos de gestión de la calidad de los servicios</t>
  </si>
  <si>
    <t>Elaboración de mapas de “eventos de vida” de ciudadanos.</t>
  </si>
  <si>
    <t>Elaboración de mapas de “rutas empresariales”.</t>
  </si>
  <si>
    <t>Estudios del estudio sobre calidad de servicios al ciudadano.</t>
  </si>
  <si>
    <t>Elaboración de la propuesta de sistema de medición de la calidad de servicios</t>
  </si>
  <si>
    <t xml:space="preserve">Validación de la propuesta de sistema de medición de la calidad de servicios </t>
  </si>
  <si>
    <t>Estudio de modelo de calidad de atención para los gobiernos regionales</t>
  </si>
  <si>
    <t>Elaboración del Índice de Calidad de Servicios al Ciudadano (CSC)</t>
  </si>
  <si>
    <t>Elaboración de estándares de atención.</t>
  </si>
  <si>
    <t>Estrategia de difusión de los estándares de atención.</t>
  </si>
  <si>
    <t>Implementación  curso de formadores para  transferencia metodológica</t>
  </si>
  <si>
    <t>Diseño del programa de incentivos condicionados</t>
  </si>
  <si>
    <t>Asistencia técnica para el piloto de validación</t>
  </si>
  <si>
    <t>Talleres de transferencia metodológica del programa de incentivos a las entidades públicas</t>
  </si>
  <si>
    <t>Diseño de un programa de incentivos condicionados a las entidades públicas</t>
  </si>
  <si>
    <t>Estudios de demanda</t>
  </si>
  <si>
    <t>Estudios de oferta</t>
  </si>
  <si>
    <t>Estudios de localización</t>
  </si>
  <si>
    <t>Organización y coordinación interinstitucional</t>
  </si>
  <si>
    <t>Diseño y desarrollo de herramientas para la atención integrada</t>
  </si>
  <si>
    <t>Capacitación del personal para el desarrollo de competencias</t>
  </si>
  <si>
    <t>Diseño y desarrollo de estrategias de posicionamiento de los MAC</t>
  </si>
  <si>
    <t>Habilitación física y equipamiento</t>
  </si>
  <si>
    <t>Diseño del modelo de supervisión</t>
  </si>
  <si>
    <t>Plataforma informática de supervisión</t>
  </si>
  <si>
    <t>Asistencia técnica y capacitación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</si>
  <si>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</si>
  <si>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</si>
  <si>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</si>
  <si>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</si>
  <si>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</si>
  <si>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</si>
  <si>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</si>
  <si>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</si>
  <si>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</si>
  <si>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</si>
  <si>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</si>
  <si>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3.2.5</t>
  </si>
  <si>
    <t>3.2.6</t>
  </si>
  <si>
    <t>3.2.7</t>
  </si>
  <si>
    <t>3.2.8</t>
  </si>
  <si>
    <t>3.2.9</t>
  </si>
  <si>
    <t>3.2.10</t>
  </si>
  <si>
    <t>3.2.11</t>
  </si>
  <si>
    <t>Mejora de los MAC y ampliación de su cobertura</t>
  </si>
  <si>
    <t>Mejora de la infraestructura tecnológica de los portales web del Estado que proveen servicios</t>
  </si>
  <si>
    <t>Asistencia técnica a entidades públicas para digitalización de 24 servicios priorizados en el portal gob.pe</t>
  </si>
  <si>
    <t>Generación de capacidades para la innovación en la atención a ciudadanos y empresas</t>
  </si>
  <si>
    <t>3.6.1</t>
  </si>
  <si>
    <t>3.6.2</t>
  </si>
  <si>
    <t>3.6.3</t>
  </si>
  <si>
    <t>3.7.1</t>
  </si>
  <si>
    <t>3.7.2</t>
  </si>
  <si>
    <t>3.7.3</t>
  </si>
  <si>
    <t>3.7.4</t>
  </si>
  <si>
    <t>3.7.5</t>
  </si>
  <si>
    <t>3.7.6</t>
  </si>
  <si>
    <t>3.7.7</t>
  </si>
  <si>
    <t>Fortalecimiento y modernización de los procesos de gestión interna de las entidades que proveen servicios a ciudadanos y empresas</t>
  </si>
  <si>
    <t>3.7.8</t>
  </si>
  <si>
    <t>3.7.9</t>
  </si>
  <si>
    <t>3.7.10</t>
  </si>
  <si>
    <t>3.7.11</t>
  </si>
  <si>
    <t>3.7.12</t>
  </si>
  <si>
    <t>3.7.13</t>
  </si>
  <si>
    <t>3.7.14</t>
  </si>
  <si>
    <t>3.7.15</t>
  </si>
  <si>
    <t>3.7.16</t>
  </si>
  <si>
    <t>3.7.17</t>
  </si>
  <si>
    <t>3.7.18</t>
  </si>
  <si>
    <t>3.7.19</t>
  </si>
  <si>
    <t>3.7.20</t>
  </si>
  <si>
    <t>3.7.21</t>
  </si>
  <si>
    <t>3.7.22</t>
  </si>
  <si>
    <t>Desarrollo de la metodología para el estudio situacional  de las operaciones, programas y proyectos del Poder Ejecutivo y herramientas aplicativas.</t>
  </si>
  <si>
    <t>Difusión y transferencia de capacidades en el uso de herramientas de gestión</t>
  </si>
  <si>
    <t>Elaboración de estudios y propuestas</t>
  </si>
  <si>
    <t>Asistencia Técnica a la Secretaría de Gestión Pública</t>
  </si>
  <si>
    <t>Estudio costos de control ex ante de sistemas administrativos</t>
  </si>
  <si>
    <t>Sistema de gestión integrado para gobiernos locales</t>
  </si>
  <si>
    <t>Elaboración de la metodología para aplicación del Análisis del Impacto Regulatorio (RIA) en regulaciones de gestión interna (sistemas administrativos)</t>
  </si>
  <si>
    <t>Implementación de pilotos de aplicación de la metodología</t>
  </si>
  <si>
    <t>Desarrollo de formulario virtual</t>
  </si>
  <si>
    <t>Diseño y ejecución de programas de transferenia metodológica</t>
  </si>
  <si>
    <t>Elaboración de un estudio situacional y diseño de procesos de gestión de riesgos en procesos claves de las entidades públicas</t>
  </si>
  <si>
    <t>Elaboración de una metodología y material  para implementar la gestión de riesgos en las entidades públicas</t>
  </si>
  <si>
    <t>Plan de implementación de la metodología y transferencia de conocimientos</t>
  </si>
  <si>
    <t>Elaboración de modelos de gestión territorial</t>
  </si>
  <si>
    <t>Validación de los modelos de gestión territorial</t>
  </si>
  <si>
    <t>Elaboración de documentos normativos</t>
  </si>
  <si>
    <t>Implementación y transferencia de conocimientos en plataforma tecnológica</t>
  </si>
  <si>
    <t>Desarrollo de metodología y herramientas para identificación y clasificación de servicios de las entidades públicas</t>
  </si>
  <si>
    <t>Difusión y transferencias de capacidades en el uso de herramientas de gestión</t>
  </si>
  <si>
    <t>Asistencia técnica a la Secretaría de Gestión Pública</t>
  </si>
  <si>
    <t>Desarrollo del modelo de calidad de atención de servicios priorizados</t>
  </si>
  <si>
    <t>Implementación de un modelo de gestión de cumplimiento para las políticas prioritarias del gobierno</t>
  </si>
  <si>
    <t>Mejora de los mecanismos de coordinación para el diseño y la implementación de políticas multi-sectoriales</t>
  </si>
  <si>
    <t>Diseño de plataformas de información sobre problemáticas multi-sectoriales prioritarias</t>
  </si>
  <si>
    <t>Diseño de la organización, tipologías y herramientas de evaluación para agencias de desarrollo regional.</t>
  </si>
  <si>
    <t>4.3.3</t>
  </si>
  <si>
    <r>
      <rPr>
        <sz val="8"/>
        <color theme="1"/>
        <rFont val="Calibri"/>
        <family val="2"/>
      </rPr>
      <t>Sistematización de</t>
    </r>
    <r>
      <rPr>
        <b/>
        <sz val="8"/>
        <color theme="1"/>
        <rFont val="Calibri"/>
        <family val="2"/>
      </rPr>
      <t xml:space="preserve"> </t>
    </r>
    <r>
      <rPr>
        <sz val="8"/>
        <color theme="1"/>
        <rFont val="Calibri"/>
        <family val="2"/>
      </rPr>
      <t>experiencias internacionales sobre prevención de conflictos</t>
    </r>
  </si>
  <si>
    <t>Mejora y ampliación de la plataforma tecnológica geoespacial de la Infraestructura de Datos Espaciales del Perú.</t>
  </si>
  <si>
    <t>Mejoramiento de los procedimientos técnicos y el marco normativo institucional de la Infraestructura de Datos Espaciales del Perú (IDEP)</t>
  </si>
  <si>
    <t>Elaboración de protocolos de datos espaciales estandarizados en sectores prioritarios</t>
  </si>
  <si>
    <t>Creación de una plataforma de registros administrativos de infraestructura de servicios</t>
  </si>
  <si>
    <t xml:space="preserve">Creación del registro de límites político-administrativos referenciales </t>
  </si>
  <si>
    <t xml:space="preserve">Creación de una plataforma de registros administrativos de centros poblados 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</si>
  <si>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</si>
  <si>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</si>
  <si>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</si>
  <si>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</si>
  <si>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</si>
  <si>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</si>
  <si>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</si>
  <si>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</si>
  <si>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</si>
  <si>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</si>
  <si>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</si>
  <si>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Componente 4 - Mejora de las condiciones para la planificación y coordinación de los servicios públicos</t>
  </si>
  <si>
    <t>Componente 2 -  Mejora y ampliación de la capacidad de interoperabilidad en las entidades del Estado</t>
  </si>
  <si>
    <t>Componente 1 - Simplificación, estandarización y mejora regulatoria.</t>
  </si>
  <si>
    <t>MEJORAMIENTO Y AMPLIACIÓN DE LOS SERVICIOS DE SOPORTE PARA LA PROVISIÓN DE LOS SERVICIOS A LOS CIUDADANOS Y LAS EMPRESAS A NIVEL NACIONAL</t>
  </si>
  <si>
    <t>PE-L1222</t>
  </si>
  <si>
    <t>Componente 3 - Mejora de la gestión en la atención a ciudadanos y empresas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</si>
</sst>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(* #,##0_);_(* \(#,##0\);_(* &quot;-&quot;??_);_(@_)"/>
    <numFmt numFmtId="168" formatCode="_-* #,##0_-;\-* #,##0_-;_-* &quot;-&quot;??_-;_-@_-"/>
    <numFmt numFmtId="169" formatCode="_-* #,##0.00\ _€_-;\-* #,##0.00\ _€_-;_-* &quot;-&quot;??\ _€_-;_-@_-"/>
    <numFmt numFmtId="170" formatCode="0.00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 applyAlignment="1">
      <alignment vertical="center"/>
    </xf>
    <xf numFmtId="43" fontId="4" fillId="0" borderId="2" xfId="2" applyFont="1" applyBorder="1" applyAlignment="1">
      <alignment vertical="center"/>
    </xf>
    <xf numFmtId="0" fontId="4" fillId="0" borderId="1" xfId="2" applyNumberFormat="1" applyFont="1" applyBorder="1" applyAlignment="1">
      <alignment horizontal="center" vertical="center"/>
    </xf>
    <xf numFmtId="43" fontId="4" fillId="0" borderId="1" xfId="2" applyNumberFormat="1" applyFont="1" applyBorder="1" applyAlignment="1">
      <alignment vertical="center"/>
    </xf>
    <xf numFmtId="43" fontId="4" fillId="0" borderId="1" xfId="2" applyFont="1" applyBorder="1" applyAlignment="1">
      <alignment vertical="center"/>
    </xf>
    <xf numFmtId="0" fontId="4" fillId="0" borderId="0" xfId="0" applyFont="1" applyAlignment="1">
      <alignment vertical="center" wrapText="1"/>
    </xf>
    <xf numFmtId="167" fontId="4" fillId="0" borderId="2" xfId="2" applyNumberFormat="1" applyFont="1" applyBorder="1" applyAlignment="1">
      <alignment vertical="center"/>
    </xf>
    <xf numFmtId="43" fontId="4" fillId="0" borderId="0" xfId="2" applyFont="1" applyAlignment="1">
      <alignment vertical="center"/>
    </xf>
    <xf numFmtId="43" fontId="4" fillId="4" borderId="1" xfId="2" applyFont="1" applyFill="1" applyBorder="1" applyAlignment="1">
      <alignment vertical="center"/>
    </xf>
    <xf numFmtId="43" fontId="5" fillId="4" borderId="1" xfId="2" applyFont="1" applyFill="1" applyBorder="1" applyAlignment="1">
      <alignment horizontal="center" vertical="center"/>
    </xf>
    <xf numFmtId="0" fontId="4" fillId="4" borderId="0" xfId="0" applyFont="1" applyFill="1" applyAlignment="1">
      <alignment vertical="center" wrapText="1"/>
    </xf>
    <xf numFmtId="43" fontId="5" fillId="4" borderId="2" xfId="2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3" fontId="5" fillId="4" borderId="1" xfId="2" applyFont="1" applyFill="1" applyBorder="1" applyAlignment="1">
      <alignment vertical="center"/>
    </xf>
    <xf numFmtId="0" fontId="3" fillId="0" borderId="0" xfId="0" applyFont="1"/>
    <xf numFmtId="41" fontId="6" fillId="4" borderId="1" xfId="1" applyFont="1" applyFill="1" applyBorder="1" applyAlignment="1">
      <alignment horizontal="left"/>
    </xf>
    <xf numFmtId="0" fontId="6" fillId="0" borderId="0" xfId="0" applyFont="1"/>
    <xf numFmtId="41" fontId="3" fillId="5" borderId="1" xfId="1" applyFont="1" applyFill="1" applyBorder="1"/>
    <xf numFmtId="0" fontId="3" fillId="5" borderId="0" xfId="0" applyFont="1" applyFill="1"/>
    <xf numFmtId="0" fontId="3" fillId="0" borderId="1" xfId="0" applyFont="1" applyBorder="1" applyAlignment="1">
      <alignment horizontal="center"/>
    </xf>
    <xf numFmtId="41" fontId="3" fillId="0" borderId="1" xfId="1" applyFont="1" applyBorder="1"/>
    <xf numFmtId="41" fontId="8" fillId="0" borderId="1" xfId="1" applyFont="1" applyBorder="1"/>
    <xf numFmtId="0" fontId="8" fillId="0" borderId="0" xfId="0" applyFont="1"/>
    <xf numFmtId="41" fontId="8" fillId="0" borderId="1" xfId="1" applyFont="1" applyFill="1" applyBorder="1"/>
    <xf numFmtId="41" fontId="3" fillId="0" borderId="0" xfId="0" applyNumberFormat="1" applyFont="1"/>
    <xf numFmtId="49" fontId="8" fillId="0" borderId="1" xfId="0" applyNumberFormat="1" applyFont="1" applyBorder="1" applyAlignment="1">
      <alignment horizontal="center" wrapText="1"/>
    </xf>
    <xf numFmtId="41" fontId="7" fillId="0" borderId="1" xfId="1" applyFont="1" applyBorder="1" applyAlignment="1">
      <alignment wrapText="1"/>
    </xf>
    <xf numFmtId="49" fontId="8" fillId="0" borderId="1" xfId="0" applyNumberFormat="1" applyFont="1" applyBorder="1" applyAlignment="1"/>
    <xf numFmtId="43" fontId="4" fillId="5" borderId="1" xfId="2" applyFont="1" applyFill="1" applyBorder="1" applyAlignment="1">
      <alignment vertical="center"/>
    </xf>
    <xf numFmtId="167" fontId="4" fillId="0" borderId="1" xfId="2" applyNumberFormat="1" applyFont="1" applyBorder="1" applyAlignment="1">
      <alignment vertical="center"/>
    </xf>
    <xf numFmtId="167" fontId="5" fillId="4" borderId="1" xfId="2" applyNumberFormat="1" applyFont="1" applyFill="1" applyBorder="1" applyAlignment="1">
      <alignment horizontal="center" vertical="center"/>
    </xf>
    <xf numFmtId="167" fontId="5" fillId="4" borderId="1" xfId="2" applyNumberFormat="1" applyFont="1" applyFill="1" applyBorder="1" applyAlignment="1">
      <alignment vertical="center"/>
    </xf>
    <xf numFmtId="43" fontId="5" fillId="0" borderId="0" xfId="2" applyFont="1" applyAlignment="1">
      <alignment vertical="center"/>
    </xf>
    <xf numFmtId="167" fontId="5" fillId="0" borderId="1" xfId="2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0" fontId="0" fillId="0" borderId="0" xfId="0"/>
    <xf numFmtId="164" fontId="9" fillId="0" borderId="1" xfId="4" applyNumberFormat="1" applyFont="1" applyBorder="1"/>
    <xf numFmtId="164" fontId="9" fillId="0" borderId="0" xfId="0" applyNumberFormat="1" applyFont="1"/>
    <xf numFmtId="164" fontId="9" fillId="0" borderId="0" xfId="4" applyFont="1"/>
    <xf numFmtId="0" fontId="9" fillId="0" borderId="1" xfId="0" applyFont="1" applyBorder="1" applyAlignment="1">
      <alignment horizontal="left" wrapText="1" indent="1"/>
    </xf>
    <xf numFmtId="0" fontId="9" fillId="0" borderId="1" xfId="0" applyFont="1" applyBorder="1" applyAlignment="1">
      <alignment horizontal="left" indent="1"/>
    </xf>
    <xf numFmtId="164" fontId="10" fillId="4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/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4" fontId="11" fillId="0" borderId="1" xfId="4" applyNumberFormat="1" applyFont="1" applyBorder="1"/>
    <xf numFmtId="168" fontId="3" fillId="0" borderId="1" xfId="1" applyNumberFormat="1" applyFont="1" applyBorder="1"/>
    <xf numFmtId="49" fontId="8" fillId="0" borderId="1" xfId="0" applyNumberFormat="1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2" fillId="0" borderId="1" xfId="0" applyFont="1" applyBorder="1" applyAlignment="1">
      <alignment horizontal="center"/>
    </xf>
    <xf numFmtId="0" fontId="13" fillId="0" borderId="0" xfId="0" applyFont="1"/>
    <xf numFmtId="49" fontId="7" fillId="0" borderId="1" xfId="0" applyNumberFormat="1" applyFont="1" applyBorder="1" applyAlignment="1"/>
    <xf numFmtId="41" fontId="6" fillId="3" borderId="1" xfId="0" applyNumberFormat="1" applyFont="1" applyFill="1" applyBorder="1" applyAlignment="1"/>
    <xf numFmtId="41" fontId="8" fillId="0" borderId="1" xfId="1" applyFont="1" applyBorder="1" applyAlignment="1">
      <alignment wrapText="1"/>
    </xf>
    <xf numFmtId="0" fontId="5" fillId="6" borderId="1" xfId="0" applyFont="1" applyFill="1" applyBorder="1" applyAlignment="1">
      <alignment vertical="center" wrapText="1"/>
    </xf>
    <xf numFmtId="0" fontId="4" fillId="7" borderId="0" xfId="0" applyFont="1" applyFill="1" applyAlignment="1">
      <alignment horizontal="center" vertical="center"/>
    </xf>
    <xf numFmtId="43" fontId="3" fillId="0" borderId="0" xfId="2" applyFont="1"/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7" fontId="5" fillId="0" borderId="2" xfId="2" applyNumberFormat="1" applyFont="1" applyBorder="1" applyAlignment="1">
      <alignment vertical="center"/>
    </xf>
    <xf numFmtId="170" fontId="3" fillId="0" borderId="0" xfId="3" applyNumberFormat="1" applyFont="1" applyBorder="1" applyAlignment="1">
      <alignment horizontal="center"/>
    </xf>
    <xf numFmtId="167" fontId="14" fillId="9" borderId="0" xfId="2" applyNumberFormat="1" applyFont="1" applyFill="1"/>
    <xf numFmtId="164" fontId="9" fillId="0" borderId="0" xfId="3" applyNumberFormat="1" applyFont="1"/>
    <xf numFmtId="0" fontId="13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41" fontId="12" fillId="0" borderId="1" xfId="1" applyFont="1" applyBorder="1" applyAlignment="1">
      <alignment vertical="center"/>
    </xf>
    <xf numFmtId="168" fontId="12" fillId="0" borderId="1" xfId="1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164" fontId="10" fillId="9" borderId="0" xfId="0" applyNumberFormat="1" applyFont="1" applyFill="1"/>
    <xf numFmtId="0" fontId="12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 indent="1"/>
    </xf>
    <xf numFmtId="0" fontId="5" fillId="0" borderId="0" xfId="0" applyFont="1" applyAlignment="1">
      <alignment horizontal="center" vertical="center"/>
    </xf>
    <xf numFmtId="0" fontId="5" fillId="4" borderId="0" xfId="0" applyFont="1" applyFill="1" applyAlignment="1">
      <alignment vertical="center" wrapText="1"/>
    </xf>
    <xf numFmtId="49" fontId="13" fillId="5" borderId="1" xfId="0" applyNumberFormat="1" applyFont="1" applyFill="1" applyBorder="1" applyAlignment="1">
      <alignment horizontal="left" wrapText="1" indent="1"/>
    </xf>
    <xf numFmtId="0" fontId="12" fillId="5" borderId="1" xfId="0" applyFont="1" applyFill="1" applyBorder="1" applyAlignment="1">
      <alignment horizontal="center" vertical="center"/>
    </xf>
    <xf numFmtId="41" fontId="12" fillId="5" borderId="1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10" borderId="3" xfId="0" applyFont="1" applyFill="1" applyBorder="1" applyAlignment="1">
      <alignment horizontal="left"/>
    </xf>
    <xf numFmtId="0" fontId="6" fillId="10" borderId="7" xfId="0" applyFont="1" applyFill="1" applyBorder="1" applyAlignment="1">
      <alignment horizontal="left"/>
    </xf>
    <xf numFmtId="0" fontId="6" fillId="10" borderId="2" xfId="0" applyFont="1" applyFill="1" applyBorder="1" applyAlignment="1">
      <alignment horizontal="left"/>
    </xf>
    <xf numFmtId="41" fontId="6" fillId="10" borderId="1" xfId="1" applyFont="1" applyFill="1" applyBorder="1" applyAlignment="1">
      <alignment horizontal="left"/>
    </xf>
    <xf numFmtId="167" fontId="12" fillId="0" borderId="1" xfId="2" applyNumberFormat="1" applyFont="1" applyBorder="1" applyAlignment="1">
      <alignment horizontal="right" vertical="center"/>
    </xf>
    <xf numFmtId="167" fontId="12" fillId="0" borderId="1" xfId="2" applyNumberFormat="1" applyFont="1" applyBorder="1" applyAlignment="1">
      <alignment horizontal="center" vertical="center"/>
    </xf>
    <xf numFmtId="41" fontId="8" fillId="5" borderId="1" xfId="1" applyFont="1" applyFill="1" applyBorder="1"/>
    <xf numFmtId="9" fontId="9" fillId="0" borderId="0" xfId="3" applyFont="1"/>
    <xf numFmtId="41" fontId="2" fillId="4" borderId="1" xfId="1" applyFont="1" applyFill="1" applyBorder="1" applyAlignment="1">
      <alignment horizontal="left"/>
    </xf>
    <xf numFmtId="41" fontId="2" fillId="4" borderId="1" xfId="1" applyFont="1" applyFill="1" applyBorder="1" applyAlignment="1">
      <alignment horizontal="left" vertical="center"/>
    </xf>
    <xf numFmtId="168" fontId="13" fillId="0" borderId="0" xfId="0" applyNumberFormat="1" applyFont="1"/>
    <xf numFmtId="167" fontId="12" fillId="0" borderId="1" xfId="2" applyNumberFormat="1" applyFont="1" applyBorder="1" applyAlignment="1">
      <alignment horizontal="center" vertical="center" wrapText="1"/>
    </xf>
    <xf numFmtId="167" fontId="12" fillId="5" borderId="1" xfId="2" applyNumberFormat="1" applyFont="1" applyFill="1" applyBorder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6" fillId="10" borderId="3" xfId="0" applyFont="1" applyFill="1" applyBorder="1" applyAlignment="1">
      <alignment horizontal="left" wrapText="1"/>
    </xf>
    <xf numFmtId="0" fontId="6" fillId="10" borderId="3" xfId="0" applyFont="1" applyFill="1" applyBorder="1" applyAlignment="1">
      <alignment wrapText="1"/>
    </xf>
    <xf numFmtId="0" fontId="6" fillId="10" borderId="7" xfId="0" applyFont="1" applyFill="1" applyBorder="1" applyAlignment="1">
      <alignment wrapText="1"/>
    </xf>
    <xf numFmtId="0" fontId="6" fillId="10" borderId="2" xfId="0" applyFont="1" applyFill="1" applyBorder="1" applyAlignment="1">
      <alignment wrapText="1"/>
    </xf>
    <xf numFmtId="49" fontId="15" fillId="0" borderId="1" xfId="0" applyNumberFormat="1" applyFont="1" applyBorder="1" applyAlignment="1">
      <alignment horizontal="left" vertical="center" wrapText="1" indent="1"/>
    </xf>
    <xf numFmtId="0" fontId="5" fillId="7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9" fontId="9" fillId="11" borderId="1" xfId="3" applyFont="1" applyFill="1" applyBorder="1"/>
    <xf numFmtId="9" fontId="9" fillId="12" borderId="1" xfId="3" applyFont="1" applyFill="1" applyBorder="1"/>
    <xf numFmtId="0" fontId="0" fillId="2" borderId="1" xfId="0" applyFill="1" applyBorder="1" applyAlignment="1">
      <alignment horizontal="center"/>
    </xf>
    <xf numFmtId="164" fontId="0" fillId="0" borderId="0" xfId="0" applyNumberFormat="1"/>
    <xf numFmtId="168" fontId="12" fillId="5" borderId="1" xfId="1" applyNumberFormat="1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center"/>
    </xf>
    <xf numFmtId="0" fontId="5" fillId="7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4" fillId="7" borderId="0" xfId="0" applyFont="1" applyFill="1" applyAlignment="1">
      <alignment horizontal="center" vertical="center"/>
    </xf>
    <xf numFmtId="43" fontId="5" fillId="8" borderId="1" xfId="2" applyFont="1" applyFill="1" applyBorder="1" applyAlignment="1">
      <alignment horizontal="center" vertical="center"/>
    </xf>
    <xf numFmtId="43" fontId="5" fillId="8" borderId="3" xfId="2" applyFont="1" applyFill="1" applyBorder="1" applyAlignment="1">
      <alignment horizontal="center" vertical="center"/>
    </xf>
    <xf numFmtId="43" fontId="5" fillId="8" borderId="2" xfId="2" applyFont="1" applyFill="1" applyBorder="1" applyAlignment="1">
      <alignment horizontal="center" vertical="center"/>
    </xf>
    <xf numFmtId="43" fontId="5" fillId="8" borderId="4" xfId="2" applyFont="1" applyFill="1" applyBorder="1" applyAlignment="1">
      <alignment horizontal="center" vertical="center" wrapText="1"/>
    </xf>
    <xf numFmtId="43" fontId="5" fillId="8" borderId="6" xfId="2" applyFont="1" applyFill="1" applyBorder="1" applyAlignment="1">
      <alignment horizontal="center" vertical="center"/>
    </xf>
  </cellXfs>
  <cellStyles count="8">
    <cellStyle name="Comma" xfId="2" builtinId="3"/>
    <cellStyle name="Comma [0]" xfId="1" builtinId="6"/>
    <cellStyle name="Millares [0] 2" xfId="4" xr:uid="{00000000-0005-0000-0000-000002000000}"/>
    <cellStyle name="Millares 2" xfId="5" xr:uid="{00000000-0005-0000-0000-000003000000}"/>
    <cellStyle name="Millares 2 3" xfId="6" xr:uid="{00000000-0005-0000-0000-000004000000}"/>
    <cellStyle name="Millares 3" xfId="7" xr:uid="{00000000-0005-0000-0000-000005000000}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Patricia_160624/PERU_PMC_PEL1222/Contrato/Producto%203_para%20cierre%20de%20contrato/Cuadro%20de%20Desembolso_PEL1222_1708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Patricia_160624/PERU_PMC_PEL1222/Contrato/Producto%203_final/Cuadro%20de%20Costos_PEL1222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Componentes"/>
      <sheetName val="Administración_ME_Auditoria"/>
      <sheetName val="Costos RRHH"/>
    </sheetNames>
    <sheetDataSet>
      <sheetData sheetId="0" refreshError="1"/>
      <sheetData sheetId="1">
        <row r="8">
          <cell r="J8">
            <v>2395380</v>
          </cell>
        </row>
      </sheetData>
      <sheetData sheetId="2">
        <row r="24">
          <cell r="H24">
            <v>726000</v>
          </cell>
        </row>
        <row r="31">
          <cell r="H31">
            <v>24000</v>
          </cell>
          <cell r="I31">
            <v>6000</v>
          </cell>
          <cell r="J31">
            <v>24000</v>
          </cell>
          <cell r="K31">
            <v>6000</v>
          </cell>
          <cell r="L31">
            <v>249000</v>
          </cell>
          <cell r="M31">
            <v>81000</v>
          </cell>
          <cell r="N31">
            <v>24000</v>
          </cell>
          <cell r="O31">
            <v>6000</v>
          </cell>
          <cell r="P31">
            <v>249000</v>
          </cell>
          <cell r="Q31">
            <v>81000</v>
          </cell>
        </row>
      </sheetData>
      <sheetData sheetId="3">
        <row r="25">
          <cell r="K25">
            <v>726000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Componentes"/>
      <sheetName val="Administración_ME_Auditoria"/>
      <sheetName val="Costos RRHH"/>
    </sheetNames>
    <sheetDataSet>
      <sheetData sheetId="0"/>
      <sheetData sheetId="1"/>
      <sheetData sheetId="2"/>
      <sheetData sheetId="3">
        <row r="25">
          <cell r="I25">
            <v>3025816</v>
          </cell>
          <cell r="J25">
            <v>430184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8"/>
  <sheetViews>
    <sheetView tabSelected="1" zoomScale="90" zoomScaleNormal="90" workbookViewId="0">
      <selection activeCell="A11" sqref="A11"/>
    </sheetView>
  </sheetViews>
  <sheetFormatPr defaultColWidth="11.5546875" defaultRowHeight="14.4" x14ac:dyDescent="0.3"/>
  <cols>
    <col min="1" max="1" width="93.109375" customWidth="1"/>
    <col min="2" max="3" width="12.109375" bestFit="1" customWidth="1"/>
    <col min="4" max="4" width="13.6640625" customWidth="1"/>
    <col min="5" max="5" width="12.88671875" style="42" bestFit="1" customWidth="1"/>
    <col min="6" max="6" width="12.33203125" style="42" bestFit="1" customWidth="1"/>
    <col min="7" max="7" width="12.88671875" style="42" bestFit="1" customWidth="1"/>
    <col min="8" max="8" width="12.33203125" style="42" bestFit="1" customWidth="1"/>
    <col min="9" max="9" width="12.88671875" style="42" bestFit="1" customWidth="1"/>
    <col min="10" max="10" width="12.33203125" style="42" bestFit="1" customWidth="1"/>
    <col min="11" max="11" width="12.88671875" style="42" bestFit="1" customWidth="1"/>
    <col min="12" max="12" width="11.33203125" style="42" bestFit="1" customWidth="1"/>
    <col min="13" max="13" width="11.88671875" style="42" bestFit="1" customWidth="1"/>
    <col min="14" max="14" width="11.33203125" style="42" bestFit="1" customWidth="1"/>
    <col min="15" max="15" width="12.109375" bestFit="1" customWidth="1"/>
  </cols>
  <sheetData>
    <row r="2" spans="1:15" x14ac:dyDescent="0.3">
      <c r="A2" s="115" t="s">
        <v>342</v>
      </c>
      <c r="B2" s="115"/>
      <c r="C2" s="115"/>
      <c r="D2" s="115"/>
      <c r="E2"/>
      <c r="F2"/>
      <c r="G2"/>
      <c r="H2"/>
      <c r="I2"/>
      <c r="J2"/>
      <c r="K2"/>
      <c r="L2"/>
      <c r="M2"/>
      <c r="N2"/>
    </row>
    <row r="3" spans="1:15" x14ac:dyDescent="0.3">
      <c r="A3" s="115" t="s">
        <v>343</v>
      </c>
      <c r="B3" s="115"/>
      <c r="C3" s="115"/>
      <c r="D3" s="115"/>
      <c r="E3"/>
      <c r="F3"/>
      <c r="G3"/>
      <c r="H3"/>
      <c r="I3"/>
      <c r="J3"/>
      <c r="K3"/>
      <c r="L3"/>
      <c r="M3"/>
      <c r="N3"/>
    </row>
    <row r="4" spans="1:15" x14ac:dyDescent="0.3">
      <c r="A4" s="115" t="s">
        <v>49</v>
      </c>
      <c r="B4" s="115"/>
      <c r="C4" s="115"/>
      <c r="D4" s="115"/>
      <c r="E4"/>
      <c r="F4"/>
      <c r="G4"/>
      <c r="H4"/>
      <c r="I4"/>
      <c r="J4"/>
      <c r="K4"/>
      <c r="L4"/>
      <c r="M4"/>
      <c r="N4"/>
    </row>
    <row r="5" spans="1:15" x14ac:dyDescent="0.3">
      <c r="A5" s="42"/>
      <c r="B5" s="42"/>
      <c r="C5" s="42"/>
      <c r="D5" s="42"/>
      <c r="E5" s="112" t="s">
        <v>10</v>
      </c>
      <c r="F5" s="112"/>
      <c r="G5" s="112" t="s">
        <v>11</v>
      </c>
      <c r="H5" s="112"/>
      <c r="I5" s="112" t="s">
        <v>12</v>
      </c>
      <c r="J5" s="112"/>
      <c r="K5" s="112" t="s">
        <v>13</v>
      </c>
      <c r="L5" s="112"/>
      <c r="M5" s="112" t="s">
        <v>14</v>
      </c>
      <c r="N5" s="112"/>
    </row>
    <row r="6" spans="1:15" x14ac:dyDescent="0.3">
      <c r="A6" s="51" t="s">
        <v>50</v>
      </c>
      <c r="B6" s="51" t="s">
        <v>5</v>
      </c>
      <c r="C6" s="51" t="s">
        <v>70</v>
      </c>
      <c r="D6" s="51" t="s">
        <v>4</v>
      </c>
      <c r="E6" s="108" t="s">
        <v>5</v>
      </c>
      <c r="F6" s="109" t="s">
        <v>70</v>
      </c>
      <c r="G6" s="108" t="s">
        <v>5</v>
      </c>
      <c r="H6" s="109" t="s">
        <v>70</v>
      </c>
      <c r="I6" s="108" t="s">
        <v>5</v>
      </c>
      <c r="J6" s="109" t="s">
        <v>70</v>
      </c>
      <c r="K6" s="108" t="s">
        <v>5</v>
      </c>
      <c r="L6" s="109" t="s">
        <v>70</v>
      </c>
      <c r="M6" s="108" t="s">
        <v>5</v>
      </c>
      <c r="N6" s="109" t="s">
        <v>70</v>
      </c>
    </row>
    <row r="7" spans="1:15" x14ac:dyDescent="0.3">
      <c r="A7" s="46" t="str">
        <f>+Componentes!B8</f>
        <v>Componente 1 - Simplificación, estandarización y mejora regulatoria.</v>
      </c>
      <c r="B7" s="43">
        <f>+Componentes!H8</f>
        <v>7047200.7060000002</v>
      </c>
      <c r="C7" s="43">
        <f>+Componentes!I8</f>
        <v>1464939.2940000002</v>
      </c>
      <c r="D7" s="43">
        <f t="shared" ref="D7:D12" si="0">+C7+B7</f>
        <v>8512140</v>
      </c>
      <c r="E7" s="43">
        <f>+Componentes!K8</f>
        <v>2112676.6150000002</v>
      </c>
      <c r="F7" s="43">
        <f>+Componentes!L8</f>
        <v>439173.38500000001</v>
      </c>
      <c r="G7" s="43">
        <f>+Componentes!M8</f>
        <v>898072.804</v>
      </c>
      <c r="H7" s="43">
        <f>+Componentes!N8</f>
        <v>186687.196</v>
      </c>
      <c r="I7" s="43">
        <f>+Componentes!O8</f>
        <v>1454926.6229999999</v>
      </c>
      <c r="J7" s="43">
        <f>+Componentes!P8</f>
        <v>302443.37700000009</v>
      </c>
      <c r="K7" s="43">
        <f>+Componentes!Q8</f>
        <v>1756091.8060000001</v>
      </c>
      <c r="L7" s="43">
        <f>+Componentes!R8</f>
        <v>365048.1939999999</v>
      </c>
      <c r="M7" s="43">
        <f>+Componentes!S8</f>
        <v>825432.85800000001</v>
      </c>
      <c r="N7" s="43">
        <f>+Componentes!T8</f>
        <v>171587.14200000002</v>
      </c>
      <c r="O7" s="113"/>
    </row>
    <row r="8" spans="1:15" s="42" customFormat="1" x14ac:dyDescent="0.3">
      <c r="A8" s="46" t="str">
        <f>+Componentes!B47</f>
        <v>Componente 2 -  Mejora y ampliación de la capacidad de interoperabilidad en las entidades del Estado</v>
      </c>
      <c r="B8" s="52">
        <f>+Componentes!H47</f>
        <v>12006977.286692075</v>
      </c>
      <c r="C8" s="52">
        <f>+Componentes!I47</f>
        <v>2495954.5730640246</v>
      </c>
      <c r="D8" s="43">
        <f t="shared" si="0"/>
        <v>14502931.859756101</v>
      </c>
      <c r="E8" s="52">
        <f>+Componentes!K47</f>
        <v>4942384.5976463417</v>
      </c>
      <c r="F8" s="52">
        <f>+Componentes!L47</f>
        <v>1027399.9145487807</v>
      </c>
      <c r="G8" s="52">
        <f>+Componentes!M47</f>
        <v>4266674.3500213418</v>
      </c>
      <c r="H8" s="52">
        <f>+Componentes!N47</f>
        <v>886936.41217378085</v>
      </c>
      <c r="I8" s="52">
        <f>+Componentes!O47</f>
        <v>2797918.3390243906</v>
      </c>
      <c r="J8" s="52">
        <f>+Componentes!P47</f>
        <v>581618.24634146341</v>
      </c>
      <c r="K8" s="52">
        <f>+Componentes!Q47</f>
        <v>0</v>
      </c>
      <c r="L8" s="52">
        <f>+Componentes!R47</f>
        <v>0</v>
      </c>
      <c r="M8" s="52">
        <f>+Componentes!S47</f>
        <v>0</v>
      </c>
      <c r="N8" s="52">
        <f>+Componentes!T47</f>
        <v>0</v>
      </c>
      <c r="O8" s="113"/>
    </row>
    <row r="9" spans="1:15" x14ac:dyDescent="0.3">
      <c r="A9" s="47" t="str">
        <f>+Componentes!B67</f>
        <v>Componente 3 - Mejora de la gestión en la atención a ciudadanos y empresas</v>
      </c>
      <c r="B9" s="43">
        <f>+Componentes!H67</f>
        <v>20158261.97469512</v>
      </c>
      <c r="C9" s="43">
        <f>+Componentes!I67</f>
        <v>4190405.7082317076</v>
      </c>
      <c r="D9" s="43">
        <f t="shared" si="0"/>
        <v>24348667.682926826</v>
      </c>
      <c r="E9" s="43">
        <f>+Componentes!K67</f>
        <v>5742498.0172195118</v>
      </c>
      <c r="F9" s="43">
        <f>+Componentes!L67</f>
        <v>1064615.1228719512</v>
      </c>
      <c r="G9" s="43">
        <f>+Componentes!M67</f>
        <v>7102261.3775560977</v>
      </c>
      <c r="H9" s="43">
        <f>+Componentes!N67</f>
        <v>1349706.8405841466</v>
      </c>
      <c r="I9" s="43">
        <f>+Componentes!O67</f>
        <v>2725842.7339341464</v>
      </c>
      <c r="J9" s="43">
        <f>+Componentes!P67</f>
        <v>601003.35737682937</v>
      </c>
      <c r="K9" s="43">
        <f>+Componentes!Q67</f>
        <v>3929793.3887999998</v>
      </c>
      <c r="L9" s="43">
        <f>+Componentes!R67</f>
        <v>1005568.4829987806</v>
      </c>
      <c r="M9" s="43">
        <f>+Componentes!S67</f>
        <v>657866.64560000005</v>
      </c>
      <c r="N9" s="43">
        <f>+Componentes!T67</f>
        <v>135436.50440000001</v>
      </c>
      <c r="O9" s="113"/>
    </row>
    <row r="10" spans="1:15" s="42" customFormat="1" x14ac:dyDescent="0.3">
      <c r="A10" s="46" t="str">
        <f>+Componentes!B128</f>
        <v>Componente 4 - Mejora de las condiciones para la planificación y coordinación de los servicios públicos</v>
      </c>
      <c r="B10" s="52">
        <f>+Componentes!H128</f>
        <v>7180083.3164712191</v>
      </c>
      <c r="C10" s="52">
        <f>+Componentes!I128</f>
        <v>1492562.3127970735</v>
      </c>
      <c r="D10" s="43">
        <f t="shared" si="0"/>
        <v>8672645.6292682923</v>
      </c>
      <c r="E10" s="52">
        <f>+Componentes!K128</f>
        <v>0</v>
      </c>
      <c r="F10" s="52">
        <f>+Componentes!L128</f>
        <v>0</v>
      </c>
      <c r="G10" s="52">
        <f>+Componentes!M128</f>
        <v>1228486.997352439</v>
      </c>
      <c r="H10" s="52">
        <f>+Componentes!N128</f>
        <v>255372.16118414636</v>
      </c>
      <c r="I10" s="52">
        <f>+Componentes!O128</f>
        <v>3974976.8135422925</v>
      </c>
      <c r="J10" s="52">
        <f>+Componentes!P128</f>
        <v>826299.68548209779</v>
      </c>
      <c r="K10" s="52">
        <f>+Componentes!Q128</f>
        <v>1976619.5055764879</v>
      </c>
      <c r="L10" s="52">
        <f>+Componentes!R128</f>
        <v>410890.4661308293</v>
      </c>
      <c r="M10" s="52">
        <f>+Componentes!S128</f>
        <v>0</v>
      </c>
      <c r="N10" s="52">
        <f>+Componentes!T128</f>
        <v>0</v>
      </c>
      <c r="O10" s="113"/>
    </row>
    <row r="11" spans="1:15" x14ac:dyDescent="0.3">
      <c r="A11" s="46" t="s">
        <v>62</v>
      </c>
      <c r="B11" s="43">
        <f>+Administración_ME_Auditoria!F31</f>
        <v>570000</v>
      </c>
      <c r="C11" s="43">
        <f>+Administración_ME_Auditoria!G31</f>
        <v>180000</v>
      </c>
      <c r="D11" s="43">
        <f t="shared" si="0"/>
        <v>750000</v>
      </c>
      <c r="E11" s="43">
        <f>+[1]Administración_ME_Auditoria!H31</f>
        <v>24000</v>
      </c>
      <c r="F11" s="43">
        <f>+[1]Administración_ME_Auditoria!I31</f>
        <v>6000</v>
      </c>
      <c r="G11" s="43">
        <f>+[1]Administración_ME_Auditoria!J31</f>
        <v>24000</v>
      </c>
      <c r="H11" s="43">
        <f>+[1]Administración_ME_Auditoria!K31</f>
        <v>6000</v>
      </c>
      <c r="I11" s="43">
        <f>+[1]Administración_ME_Auditoria!L31</f>
        <v>249000</v>
      </c>
      <c r="J11" s="43">
        <f>+[1]Administración_ME_Auditoria!M31</f>
        <v>81000</v>
      </c>
      <c r="K11" s="43">
        <f>+[1]Administración_ME_Auditoria!N31</f>
        <v>24000</v>
      </c>
      <c r="L11" s="43">
        <f>+[1]Administración_ME_Auditoria!O31</f>
        <v>6000</v>
      </c>
      <c r="M11" s="43">
        <f>+[1]Administración_ME_Auditoria!P31</f>
        <v>249000</v>
      </c>
      <c r="N11" s="43">
        <f>+[1]Administración_ME_Auditoria!Q31</f>
        <v>81000</v>
      </c>
      <c r="O11" s="113"/>
    </row>
    <row r="12" spans="1:15" x14ac:dyDescent="0.3">
      <c r="A12" s="47" t="s">
        <v>51</v>
      </c>
      <c r="B12" s="43">
        <f>+Administración_ME_Auditoria!F24</f>
        <v>3037477</v>
      </c>
      <c r="C12" s="43">
        <f>+Administración_ME_Auditoria!G24</f>
        <v>1104123</v>
      </c>
      <c r="D12" s="43">
        <f t="shared" si="0"/>
        <v>4141600</v>
      </c>
      <c r="E12" s="43">
        <f>+Administración_ME_Auditoria!H24</f>
        <v>616824.19999999995</v>
      </c>
      <c r="F12" s="43">
        <f>+Administración_ME_Auditoria!I24</f>
        <v>228135.8</v>
      </c>
      <c r="G12" s="43">
        <f>+Administración_ME_Auditoria!J24</f>
        <v>605163.19999999995</v>
      </c>
      <c r="H12" s="43">
        <f>+Administración_ME_Auditoria!K24</f>
        <v>218996.8</v>
      </c>
      <c r="I12" s="43">
        <f t="shared" ref="I12:N12" si="1">+G12</f>
        <v>605163.19999999995</v>
      </c>
      <c r="J12" s="43">
        <f t="shared" si="1"/>
        <v>218996.8</v>
      </c>
      <c r="K12" s="43">
        <f t="shared" si="1"/>
        <v>605163.19999999995</v>
      </c>
      <c r="L12" s="43">
        <f t="shared" si="1"/>
        <v>218996.8</v>
      </c>
      <c r="M12" s="43">
        <f t="shared" si="1"/>
        <v>605163.19999999995</v>
      </c>
      <c r="N12" s="43">
        <f t="shared" si="1"/>
        <v>218996.8</v>
      </c>
      <c r="O12" s="113"/>
    </row>
    <row r="13" spans="1:15" x14ac:dyDescent="0.3">
      <c r="A13" s="49" t="s">
        <v>4</v>
      </c>
      <c r="B13" s="48">
        <f>+B7+B9+B11+B12+B10+B8</f>
        <v>50000000.283858411</v>
      </c>
      <c r="C13" s="48">
        <f>+C7+C9+C11+C12+C10+C8</f>
        <v>10927984.888092805</v>
      </c>
      <c r="D13" s="48">
        <f>+D7+D9+D11+D12+D10+D8</f>
        <v>60927985.171951219</v>
      </c>
      <c r="E13" s="48">
        <f t="shared" ref="E13:N13" si="2">+E7+E9+E11+E12+E10+E8</f>
        <v>13438383.429865852</v>
      </c>
      <c r="F13" s="48">
        <f t="shared" si="2"/>
        <v>2765324.222420732</v>
      </c>
      <c r="G13" s="48">
        <f t="shared" si="2"/>
        <v>14124658.728929879</v>
      </c>
      <c r="H13" s="48">
        <f t="shared" si="2"/>
        <v>2903699.4099420737</v>
      </c>
      <c r="I13" s="48">
        <f t="shared" si="2"/>
        <v>11807827.709500831</v>
      </c>
      <c r="J13" s="48">
        <f t="shared" si="2"/>
        <v>2611361.4662003908</v>
      </c>
      <c r="K13" s="48">
        <f t="shared" si="2"/>
        <v>8291667.9003764875</v>
      </c>
      <c r="L13" s="48">
        <f t="shared" si="2"/>
        <v>2006503.9431296098</v>
      </c>
      <c r="M13" s="48">
        <f t="shared" si="2"/>
        <v>2337462.7035999997</v>
      </c>
      <c r="N13" s="48">
        <f t="shared" si="2"/>
        <v>607020.44640000002</v>
      </c>
    </row>
    <row r="14" spans="1:15" x14ac:dyDescent="0.3">
      <c r="B14" s="70">
        <f>50000000-B13</f>
        <v>-0.28385841101408005</v>
      </c>
      <c r="C14" s="70">
        <f>10927985-C13</f>
        <v>0.11190719529986382</v>
      </c>
      <c r="D14" s="77">
        <f>+C14+B14</f>
        <v>-0.17195121571421623</v>
      </c>
      <c r="E14" s="110">
        <f>+E13/$B$13</f>
        <v>0.26876766707147776</v>
      </c>
      <c r="F14" s="111">
        <f>+F13/$C$13</f>
        <v>0.25304978463447964</v>
      </c>
      <c r="G14" s="110">
        <f t="shared" ref="G14" si="3">+G13/$B$13</f>
        <v>0.28249317297483634</v>
      </c>
      <c r="H14" s="111">
        <f t="shared" ref="H14" si="4">+H13/$C$13</f>
        <v>0.26571224609817695</v>
      </c>
      <c r="I14" s="110">
        <f t="shared" ref="I14" si="5">+I13/$B$13</f>
        <v>0.23615655284931614</v>
      </c>
      <c r="J14" s="111">
        <f t="shared" ref="J14" si="6">+J13/$C$13</f>
        <v>0.2389609331401753</v>
      </c>
      <c r="K14" s="110">
        <f t="shared" ref="K14" si="7">+K13/$B$13</f>
        <v>0.16583335706606589</v>
      </c>
      <c r="L14" s="111">
        <f t="shared" ref="L14" si="8">+L13/$C$13</f>
        <v>0.18361152249724541</v>
      </c>
      <c r="M14" s="110">
        <f t="shared" ref="M14" si="9">+M13/$B$13</f>
        <v>4.6749253806596613E-2</v>
      </c>
      <c r="N14" s="111">
        <f t="shared" ref="N14" si="10">+N13/$C$13</f>
        <v>5.5547335818647861E-2</v>
      </c>
    </row>
    <row r="15" spans="1:15" x14ac:dyDescent="0.3">
      <c r="A15" s="45"/>
      <c r="B15" s="45"/>
      <c r="C15" s="71"/>
      <c r="D15" s="44"/>
      <c r="E15" s="45"/>
      <c r="F15" s="93"/>
      <c r="G15" s="45"/>
      <c r="H15" s="93"/>
      <c r="I15" s="45"/>
      <c r="J15" s="93"/>
      <c r="K15" s="45"/>
      <c r="L15" s="93"/>
      <c r="M15" s="45"/>
      <c r="N15" s="93"/>
    </row>
    <row r="16" spans="1:15" x14ac:dyDescent="0.3">
      <c r="A16" s="45"/>
      <c r="B16" s="45"/>
      <c r="C16" s="93"/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x14ac:dyDescent="0.3">
      <c r="A17" s="45"/>
      <c r="B17" s="45"/>
      <c r="C17" s="45"/>
      <c r="D17" s="44"/>
    </row>
    <row r="18" spans="1:14" x14ac:dyDescent="0.3">
      <c r="A18" s="45"/>
      <c r="B18" s="45"/>
      <c r="C18" s="45"/>
      <c r="D18" s="42"/>
      <c r="E18" s="45"/>
      <c r="F18" s="45"/>
      <c r="G18" s="45"/>
      <c r="H18" s="45"/>
      <c r="I18" s="45"/>
      <c r="J18" s="45"/>
      <c r="K18" s="45"/>
      <c r="L18" s="45"/>
      <c r="M18" s="45"/>
      <c r="N18" s="45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52"/>
  <sheetViews>
    <sheetView topLeftCell="A130" zoomScaleNormal="100" workbookViewId="0">
      <selection activeCell="B128" sqref="B128:F128"/>
    </sheetView>
  </sheetViews>
  <sheetFormatPr defaultColWidth="11.44140625" defaultRowHeight="10.199999999999999" x14ac:dyDescent="0.2"/>
  <cols>
    <col min="1" max="1" width="6.33203125" style="38" customWidth="1"/>
    <col min="2" max="2" width="61.88671875" style="16" customWidth="1"/>
    <col min="3" max="3" width="12.109375" style="16" customWidth="1"/>
    <col min="4" max="4" width="10.44140625" style="16" customWidth="1"/>
    <col min="5" max="5" width="9.5546875" style="16" customWidth="1"/>
    <col min="6" max="6" width="5.88671875" style="16" customWidth="1"/>
    <col min="7" max="7" width="12.44140625" style="16" bestFit="1" customWidth="1"/>
    <col min="8" max="8" width="11.6640625" style="16" bestFit="1" customWidth="1"/>
    <col min="9" max="9" width="8.6640625" style="16" bestFit="1" customWidth="1"/>
    <col min="10" max="10" width="9.5546875" style="16" bestFit="1" customWidth="1"/>
    <col min="11" max="11" width="11.6640625" style="16" bestFit="1" customWidth="1"/>
    <col min="12" max="12" width="8.6640625" style="16" bestFit="1" customWidth="1"/>
    <col min="13" max="13" width="11.6640625" style="16" bestFit="1" customWidth="1"/>
    <col min="14" max="14" width="8.6640625" style="16" bestFit="1" customWidth="1"/>
    <col min="15" max="15" width="11.6640625" style="16" bestFit="1" customWidth="1"/>
    <col min="16" max="16" width="8.6640625" style="16" bestFit="1" customWidth="1"/>
    <col min="17" max="17" width="11.6640625" style="16" bestFit="1" customWidth="1"/>
    <col min="18" max="18" width="8.6640625" style="16" bestFit="1" customWidth="1"/>
    <col min="19" max="19" width="11.6640625" style="16" bestFit="1" customWidth="1"/>
    <col min="20" max="20" width="8.6640625" style="16" bestFit="1" customWidth="1"/>
    <col min="21" max="16384" width="11.44140625" style="16"/>
  </cols>
  <sheetData>
    <row r="1" spans="1:20" s="1" customFormat="1" ht="13.8" x14ac:dyDescent="0.3">
      <c r="A1" s="37"/>
      <c r="C1" s="6"/>
      <c r="D1" s="6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s="1" customFormat="1" ht="13.8" x14ac:dyDescent="0.3">
      <c r="A2" s="37"/>
      <c r="B2" s="122" t="s">
        <v>76</v>
      </c>
      <c r="C2" s="122"/>
      <c r="D2" s="122"/>
      <c r="E2" s="122"/>
      <c r="F2" s="122"/>
      <c r="G2" s="122"/>
      <c r="H2" s="122"/>
      <c r="I2" s="122"/>
      <c r="J2" s="106"/>
    </row>
    <row r="3" spans="1:20" s="1" customFormat="1" ht="13.8" x14ac:dyDescent="0.3">
      <c r="A3" s="37"/>
      <c r="C3" s="6"/>
      <c r="D3" s="6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s="1" customFormat="1" ht="13.8" x14ac:dyDescent="0.3">
      <c r="A4" s="37"/>
      <c r="B4" s="6" t="s">
        <v>29</v>
      </c>
      <c r="C4" s="9">
        <v>3.28</v>
      </c>
      <c r="D4" s="100"/>
      <c r="E4" s="99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s="1" customFormat="1" ht="13.8" x14ac:dyDescent="0.3">
      <c r="A5" s="37"/>
      <c r="C5" s="6"/>
      <c r="D5" s="6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1.25" customHeight="1" x14ac:dyDescent="0.2">
      <c r="B6" s="116" t="s">
        <v>20</v>
      </c>
      <c r="C6" s="116" t="s">
        <v>0</v>
      </c>
      <c r="D6" s="116" t="s">
        <v>116</v>
      </c>
      <c r="E6" s="116" t="s">
        <v>35</v>
      </c>
      <c r="F6" s="116" t="s">
        <v>2</v>
      </c>
      <c r="G6" s="116" t="s">
        <v>3</v>
      </c>
      <c r="H6" s="116" t="s">
        <v>60</v>
      </c>
      <c r="I6" s="116"/>
      <c r="J6" s="107"/>
      <c r="K6" s="116" t="s">
        <v>10</v>
      </c>
      <c r="L6" s="116"/>
      <c r="M6" s="116" t="s">
        <v>11</v>
      </c>
      <c r="N6" s="116"/>
      <c r="O6" s="116" t="s">
        <v>12</v>
      </c>
      <c r="P6" s="116"/>
      <c r="Q6" s="116" t="s">
        <v>13</v>
      </c>
      <c r="R6" s="116"/>
      <c r="S6" s="116" t="s">
        <v>14</v>
      </c>
      <c r="T6" s="116"/>
    </row>
    <row r="7" spans="1:20" x14ac:dyDescent="0.2">
      <c r="B7" s="116"/>
      <c r="C7" s="116"/>
      <c r="D7" s="116"/>
      <c r="E7" s="116"/>
      <c r="F7" s="116"/>
      <c r="G7" s="116"/>
      <c r="H7" s="107" t="s">
        <v>5</v>
      </c>
      <c r="I7" s="107" t="s">
        <v>70</v>
      </c>
      <c r="J7" s="107"/>
      <c r="K7" s="107" t="s">
        <v>5</v>
      </c>
      <c r="L7" s="107" t="s">
        <v>70</v>
      </c>
      <c r="M7" s="107" t="s">
        <v>5</v>
      </c>
      <c r="N7" s="107" t="s">
        <v>70</v>
      </c>
      <c r="O7" s="107" t="s">
        <v>5</v>
      </c>
      <c r="P7" s="107" t="s">
        <v>70</v>
      </c>
      <c r="Q7" s="107" t="s">
        <v>5</v>
      </c>
      <c r="R7" s="107" t="s">
        <v>70</v>
      </c>
      <c r="S7" s="107" t="s">
        <v>5</v>
      </c>
      <c r="T7" s="107" t="s">
        <v>70</v>
      </c>
    </row>
    <row r="8" spans="1:20" s="18" customFormat="1" x14ac:dyDescent="0.2">
      <c r="A8" s="38">
        <v>1</v>
      </c>
      <c r="B8" s="120" t="s">
        <v>341</v>
      </c>
      <c r="C8" s="120"/>
      <c r="D8" s="120"/>
      <c r="E8" s="120"/>
      <c r="F8" s="120"/>
      <c r="G8" s="94">
        <f>+G9+G14+G35+G38+G44</f>
        <v>8512140</v>
      </c>
      <c r="H8" s="94">
        <f t="shared" ref="H8:I8" si="0">+H9+H14+H35+H38+H44</f>
        <v>7047200.7060000002</v>
      </c>
      <c r="I8" s="94">
        <f t="shared" si="0"/>
        <v>1464939.2940000002</v>
      </c>
      <c r="J8" s="94">
        <f>SUM(K8:T8)</f>
        <v>8512140</v>
      </c>
      <c r="K8" s="94">
        <f t="shared" ref="K8:T8" si="1">+K9+K14+K35+K38+K44</f>
        <v>2112676.6150000002</v>
      </c>
      <c r="L8" s="94">
        <f t="shared" si="1"/>
        <v>439173.38500000001</v>
      </c>
      <c r="M8" s="94">
        <f t="shared" si="1"/>
        <v>898072.804</v>
      </c>
      <c r="N8" s="94">
        <f t="shared" si="1"/>
        <v>186687.196</v>
      </c>
      <c r="O8" s="94">
        <f t="shared" si="1"/>
        <v>1454926.6229999999</v>
      </c>
      <c r="P8" s="94">
        <f t="shared" si="1"/>
        <v>302443.37700000009</v>
      </c>
      <c r="Q8" s="94">
        <f t="shared" si="1"/>
        <v>1756091.8060000001</v>
      </c>
      <c r="R8" s="94">
        <f t="shared" si="1"/>
        <v>365048.1939999999</v>
      </c>
      <c r="S8" s="94">
        <f t="shared" si="1"/>
        <v>825432.85800000001</v>
      </c>
      <c r="T8" s="94">
        <f t="shared" si="1"/>
        <v>171587.14200000002</v>
      </c>
    </row>
    <row r="9" spans="1:20" s="18" customFormat="1" x14ac:dyDescent="0.2">
      <c r="A9" s="38">
        <v>1.1000000000000001</v>
      </c>
      <c r="B9" s="86" t="s">
        <v>147</v>
      </c>
      <c r="C9" s="87"/>
      <c r="D9" s="87"/>
      <c r="E9" s="87"/>
      <c r="F9" s="88"/>
      <c r="G9" s="89">
        <f>SUM(G10:G13)</f>
        <v>1174500</v>
      </c>
      <c r="H9" s="89">
        <f>SUM(H10:H13)</f>
        <v>972368.55</v>
      </c>
      <c r="I9" s="89">
        <f>SUM(I10:I13)</f>
        <v>202131.45</v>
      </c>
      <c r="J9" s="89">
        <f t="shared" ref="J9:J72" si="2">SUM(K9:T9)</f>
        <v>1174500</v>
      </c>
      <c r="K9" s="89">
        <f t="shared" ref="K9:T9" si="3">SUM(K10:K13)</f>
        <v>972368.55</v>
      </c>
      <c r="L9" s="89">
        <f t="shared" si="3"/>
        <v>202131.45</v>
      </c>
      <c r="M9" s="89">
        <f t="shared" si="3"/>
        <v>0</v>
      </c>
      <c r="N9" s="89">
        <f t="shared" si="3"/>
        <v>0</v>
      </c>
      <c r="O9" s="89">
        <f t="shared" si="3"/>
        <v>0</v>
      </c>
      <c r="P9" s="89">
        <f t="shared" si="3"/>
        <v>0</v>
      </c>
      <c r="Q9" s="89">
        <f t="shared" si="3"/>
        <v>0</v>
      </c>
      <c r="R9" s="89">
        <f t="shared" si="3"/>
        <v>0</v>
      </c>
      <c r="S9" s="89">
        <f t="shared" si="3"/>
        <v>0</v>
      </c>
      <c r="T9" s="89">
        <f t="shared" si="3"/>
        <v>0</v>
      </c>
    </row>
    <row r="10" spans="1:20" s="76" customFormat="1" x14ac:dyDescent="0.3">
      <c r="A10" s="72" t="s">
        <v>77</v>
      </c>
      <c r="B10" s="79" t="s">
        <v>146</v>
      </c>
      <c r="C10" s="73" t="s">
        <v>79</v>
      </c>
      <c r="D10" s="91">
        <v>1638360</v>
      </c>
      <c r="E10" s="84">
        <f>+D10/$C$4</f>
        <v>499500.00000000006</v>
      </c>
      <c r="F10" s="74">
        <v>1</v>
      </c>
      <c r="G10" s="75">
        <f>+F10*E10</f>
        <v>499500.00000000006</v>
      </c>
      <c r="H10" s="75">
        <f>+G10*0.8279</f>
        <v>413536.05000000005</v>
      </c>
      <c r="I10" s="75">
        <f>+G10-H10</f>
        <v>85963.950000000012</v>
      </c>
      <c r="J10" s="75">
        <f t="shared" si="2"/>
        <v>499500.00000000006</v>
      </c>
      <c r="K10" s="75">
        <f t="shared" ref="K10:L13" si="4">+H10</f>
        <v>413536.05000000005</v>
      </c>
      <c r="L10" s="75">
        <f t="shared" si="4"/>
        <v>85963.950000000012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  <c r="R10" s="75">
        <v>0</v>
      </c>
      <c r="S10" s="75">
        <v>0</v>
      </c>
      <c r="T10" s="75">
        <v>0</v>
      </c>
    </row>
    <row r="11" spans="1:20" s="58" customFormat="1" x14ac:dyDescent="0.2">
      <c r="A11" s="72" t="s">
        <v>78</v>
      </c>
      <c r="B11" s="79" t="s">
        <v>148</v>
      </c>
      <c r="C11" s="78" t="s">
        <v>79</v>
      </c>
      <c r="D11" s="97">
        <v>213200</v>
      </c>
      <c r="E11" s="84">
        <f t="shared" ref="E11:E13" si="5">+D11/$C$4</f>
        <v>65000.000000000007</v>
      </c>
      <c r="F11" s="74">
        <v>1</v>
      </c>
      <c r="G11" s="75">
        <f t="shared" ref="G11:G13" si="6">+E11*F11</f>
        <v>65000.000000000007</v>
      </c>
      <c r="H11" s="75">
        <f t="shared" ref="H11:H13" si="7">+G11*0.8279</f>
        <v>53813.500000000007</v>
      </c>
      <c r="I11" s="75">
        <f t="shared" ref="I11:I13" si="8">+G11-H11</f>
        <v>11186.5</v>
      </c>
      <c r="J11" s="75">
        <f t="shared" si="2"/>
        <v>65000.000000000007</v>
      </c>
      <c r="K11" s="75">
        <f t="shared" si="4"/>
        <v>53813.500000000007</v>
      </c>
      <c r="L11" s="75">
        <f t="shared" si="4"/>
        <v>11186.5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  <c r="R11" s="75">
        <v>0</v>
      </c>
      <c r="S11" s="75">
        <v>0</v>
      </c>
      <c r="T11" s="75">
        <v>0</v>
      </c>
    </row>
    <row r="12" spans="1:20" s="58" customFormat="1" x14ac:dyDescent="0.2">
      <c r="A12" s="72" t="s">
        <v>80</v>
      </c>
      <c r="B12" s="79" t="s">
        <v>149</v>
      </c>
      <c r="C12" s="73" t="s">
        <v>79</v>
      </c>
      <c r="D12" s="91">
        <v>1738400</v>
      </c>
      <c r="E12" s="84">
        <f t="shared" si="5"/>
        <v>530000</v>
      </c>
      <c r="F12" s="74">
        <v>1</v>
      </c>
      <c r="G12" s="75">
        <f t="shared" si="6"/>
        <v>530000</v>
      </c>
      <c r="H12" s="75">
        <f t="shared" si="7"/>
        <v>438787</v>
      </c>
      <c r="I12" s="75">
        <f t="shared" si="8"/>
        <v>91213</v>
      </c>
      <c r="J12" s="75">
        <f t="shared" si="2"/>
        <v>530000</v>
      </c>
      <c r="K12" s="75">
        <f t="shared" si="4"/>
        <v>438787</v>
      </c>
      <c r="L12" s="75">
        <f t="shared" si="4"/>
        <v>91213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  <c r="S12" s="75">
        <v>0</v>
      </c>
      <c r="T12" s="75">
        <v>0</v>
      </c>
    </row>
    <row r="13" spans="1:20" s="58" customFormat="1" x14ac:dyDescent="0.2">
      <c r="A13" s="72" t="s">
        <v>105</v>
      </c>
      <c r="B13" s="82" t="s">
        <v>150</v>
      </c>
      <c r="C13" s="83" t="s">
        <v>79</v>
      </c>
      <c r="D13" s="98">
        <v>262400</v>
      </c>
      <c r="E13" s="84">
        <f t="shared" si="5"/>
        <v>80000</v>
      </c>
      <c r="F13" s="84">
        <v>1</v>
      </c>
      <c r="G13" s="75">
        <f t="shared" si="6"/>
        <v>80000</v>
      </c>
      <c r="H13" s="75">
        <f t="shared" si="7"/>
        <v>66232</v>
      </c>
      <c r="I13" s="75">
        <f t="shared" si="8"/>
        <v>13768</v>
      </c>
      <c r="J13" s="75">
        <f t="shared" si="2"/>
        <v>80000</v>
      </c>
      <c r="K13" s="75">
        <f t="shared" si="4"/>
        <v>66232</v>
      </c>
      <c r="L13" s="75">
        <f t="shared" si="4"/>
        <v>13768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  <c r="S13" s="75">
        <v>0</v>
      </c>
      <c r="T13" s="75">
        <v>0</v>
      </c>
    </row>
    <row r="14" spans="1:20" s="18" customFormat="1" x14ac:dyDescent="0.2">
      <c r="A14" s="38">
        <v>1.2</v>
      </c>
      <c r="B14" s="86" t="s">
        <v>151</v>
      </c>
      <c r="C14" s="87"/>
      <c r="D14" s="87"/>
      <c r="E14" s="87"/>
      <c r="F14" s="88"/>
      <c r="G14" s="89">
        <f>SUM(G15:G34)</f>
        <v>4293300</v>
      </c>
      <c r="H14" s="89">
        <f>SUM(H15:H34)</f>
        <v>3554423.07</v>
      </c>
      <c r="I14" s="89">
        <f>SUM(I15:I34)</f>
        <v>738876.93</v>
      </c>
      <c r="J14" s="89">
        <f t="shared" si="2"/>
        <v>4293300</v>
      </c>
      <c r="K14" s="89">
        <f t="shared" ref="K14:T14" si="9">SUM(K15:K34)</f>
        <v>184621.7</v>
      </c>
      <c r="L14" s="89">
        <f t="shared" si="9"/>
        <v>38378.300000000003</v>
      </c>
      <c r="M14" s="89">
        <f t="shared" si="9"/>
        <v>317913.59999999998</v>
      </c>
      <c r="N14" s="89">
        <f t="shared" si="9"/>
        <v>66086.399999999994</v>
      </c>
      <c r="O14" s="89">
        <f t="shared" si="9"/>
        <v>958757.87399999995</v>
      </c>
      <c r="P14" s="89">
        <f t="shared" si="9"/>
        <v>199302.12600000005</v>
      </c>
      <c r="Q14" s="89">
        <f t="shared" si="9"/>
        <v>1511894.422</v>
      </c>
      <c r="R14" s="89">
        <f t="shared" si="9"/>
        <v>314285.57799999992</v>
      </c>
      <c r="S14" s="89">
        <f t="shared" si="9"/>
        <v>581235.47400000005</v>
      </c>
      <c r="T14" s="89">
        <f t="shared" si="9"/>
        <v>120824.52600000001</v>
      </c>
    </row>
    <row r="15" spans="1:20" s="58" customFormat="1" ht="12.75" customHeight="1" x14ac:dyDescent="0.2">
      <c r="A15" s="72" t="s">
        <v>81</v>
      </c>
      <c r="B15" s="79" t="s">
        <v>152</v>
      </c>
      <c r="C15" s="73" t="s">
        <v>79</v>
      </c>
      <c r="D15" s="91">
        <v>328000</v>
      </c>
      <c r="E15" s="84">
        <f t="shared" ref="E15:E46" si="10">+D15/$C$4</f>
        <v>100000</v>
      </c>
      <c r="F15" s="74">
        <v>1</v>
      </c>
      <c r="G15" s="75">
        <f t="shared" ref="G15:G34" si="11">+F15*E15</f>
        <v>100000</v>
      </c>
      <c r="H15" s="75">
        <f t="shared" ref="H15:H46" si="12">+G15*0.8279</f>
        <v>82790</v>
      </c>
      <c r="I15" s="75">
        <f t="shared" ref="I15:I34" si="13">+G15-H15</f>
        <v>17210</v>
      </c>
      <c r="J15" s="75">
        <f t="shared" si="2"/>
        <v>100000</v>
      </c>
      <c r="K15" s="75">
        <f>+H15</f>
        <v>82790</v>
      </c>
      <c r="L15" s="75">
        <f>+I15</f>
        <v>17210</v>
      </c>
      <c r="M15" s="75">
        <v>0</v>
      </c>
      <c r="N15" s="75">
        <v>0</v>
      </c>
      <c r="O15" s="75">
        <v>0</v>
      </c>
      <c r="P15" s="75">
        <v>0</v>
      </c>
      <c r="Q15" s="75">
        <v>0</v>
      </c>
      <c r="R15" s="75">
        <v>0</v>
      </c>
      <c r="S15" s="75">
        <v>0</v>
      </c>
      <c r="T15" s="75">
        <v>0</v>
      </c>
    </row>
    <row r="16" spans="1:20" s="58" customFormat="1" x14ac:dyDescent="0.2">
      <c r="A16" s="72" t="s">
        <v>82</v>
      </c>
      <c r="B16" s="79" t="s">
        <v>153</v>
      </c>
      <c r="C16" s="73" t="s">
        <v>79</v>
      </c>
      <c r="D16" s="91">
        <v>1836800</v>
      </c>
      <c r="E16" s="84">
        <f t="shared" si="10"/>
        <v>560000</v>
      </c>
      <c r="F16" s="74">
        <v>1</v>
      </c>
      <c r="G16" s="75">
        <f t="shared" si="11"/>
        <v>560000</v>
      </c>
      <c r="H16" s="75">
        <f t="shared" si="12"/>
        <v>463624</v>
      </c>
      <c r="I16" s="75">
        <f t="shared" si="13"/>
        <v>96376</v>
      </c>
      <c r="J16" s="75">
        <f t="shared" si="2"/>
        <v>560000</v>
      </c>
      <c r="K16" s="75">
        <v>0</v>
      </c>
      <c r="L16" s="75">
        <v>0</v>
      </c>
      <c r="M16" s="75">
        <f>+H16*0.4</f>
        <v>185449.60000000001</v>
      </c>
      <c r="N16" s="75">
        <f>+I16*0.4</f>
        <v>38550.400000000001</v>
      </c>
      <c r="O16" s="75">
        <f>+H16*0.6</f>
        <v>278174.39999999997</v>
      </c>
      <c r="P16" s="75">
        <f>+I16*0.6</f>
        <v>57825.599999999999</v>
      </c>
      <c r="Q16" s="75">
        <v>0</v>
      </c>
      <c r="R16" s="75">
        <v>0</v>
      </c>
      <c r="S16" s="75">
        <v>0</v>
      </c>
      <c r="T16" s="75">
        <v>0</v>
      </c>
    </row>
    <row r="17" spans="1:20" s="58" customFormat="1" x14ac:dyDescent="0.2">
      <c r="A17" s="72" t="s">
        <v>83</v>
      </c>
      <c r="B17" s="79" t="s">
        <v>154</v>
      </c>
      <c r="C17" s="73" t="s">
        <v>79</v>
      </c>
      <c r="D17" s="91">
        <v>164000</v>
      </c>
      <c r="E17" s="84">
        <f t="shared" si="10"/>
        <v>50000</v>
      </c>
      <c r="F17" s="74">
        <v>1</v>
      </c>
      <c r="G17" s="75">
        <f t="shared" si="11"/>
        <v>50000</v>
      </c>
      <c r="H17" s="75">
        <f t="shared" si="12"/>
        <v>41395</v>
      </c>
      <c r="I17" s="75">
        <f t="shared" si="13"/>
        <v>8605</v>
      </c>
      <c r="J17" s="75">
        <f t="shared" si="2"/>
        <v>50000</v>
      </c>
      <c r="K17" s="75">
        <f>+H17</f>
        <v>41395</v>
      </c>
      <c r="L17" s="75">
        <f>+I17</f>
        <v>8605</v>
      </c>
      <c r="M17" s="75">
        <v>0</v>
      </c>
      <c r="N17" s="75">
        <v>0</v>
      </c>
      <c r="O17" s="75">
        <v>0</v>
      </c>
      <c r="P17" s="75">
        <v>0</v>
      </c>
      <c r="Q17" s="75">
        <v>0</v>
      </c>
      <c r="R17" s="75">
        <v>0</v>
      </c>
      <c r="S17" s="75">
        <v>0</v>
      </c>
      <c r="T17" s="75">
        <v>0</v>
      </c>
    </row>
    <row r="18" spans="1:20" s="58" customFormat="1" x14ac:dyDescent="0.2">
      <c r="A18" s="72" t="s">
        <v>182</v>
      </c>
      <c r="B18" s="79" t="s">
        <v>155</v>
      </c>
      <c r="C18" s="73" t="s">
        <v>79</v>
      </c>
      <c r="D18" s="91">
        <v>1312000</v>
      </c>
      <c r="E18" s="84">
        <f t="shared" si="10"/>
        <v>400000</v>
      </c>
      <c r="F18" s="74">
        <v>1</v>
      </c>
      <c r="G18" s="75">
        <f t="shared" si="11"/>
        <v>400000</v>
      </c>
      <c r="H18" s="75">
        <f t="shared" si="12"/>
        <v>331160</v>
      </c>
      <c r="I18" s="75">
        <f t="shared" si="13"/>
        <v>68840</v>
      </c>
      <c r="J18" s="75">
        <f t="shared" si="2"/>
        <v>400000</v>
      </c>
      <c r="K18" s="75">
        <v>0</v>
      </c>
      <c r="L18" s="75">
        <v>0</v>
      </c>
      <c r="M18" s="75">
        <f>+H18*0.4</f>
        <v>132464</v>
      </c>
      <c r="N18" s="75">
        <f>+I18*0.4</f>
        <v>27536</v>
      </c>
      <c r="O18" s="75">
        <f>+H18*0.6</f>
        <v>198696</v>
      </c>
      <c r="P18" s="75">
        <f>+I18*0.6</f>
        <v>41304</v>
      </c>
      <c r="Q18" s="75">
        <v>0</v>
      </c>
      <c r="R18" s="75">
        <v>0</v>
      </c>
      <c r="S18" s="75">
        <v>0</v>
      </c>
      <c r="T18" s="75">
        <v>0</v>
      </c>
    </row>
    <row r="19" spans="1:20" s="58" customFormat="1" x14ac:dyDescent="0.2">
      <c r="A19" s="72" t="s">
        <v>183</v>
      </c>
      <c r="B19" s="79" t="s">
        <v>156</v>
      </c>
      <c r="C19" s="73" t="s">
        <v>79</v>
      </c>
      <c r="D19" s="91">
        <v>3935999.9999999995</v>
      </c>
      <c r="E19" s="84">
        <f t="shared" si="10"/>
        <v>1200000</v>
      </c>
      <c r="F19" s="74">
        <v>1</v>
      </c>
      <c r="G19" s="75">
        <f t="shared" si="11"/>
        <v>1200000</v>
      </c>
      <c r="H19" s="75">
        <f t="shared" si="12"/>
        <v>993480</v>
      </c>
      <c r="I19" s="75">
        <f t="shared" si="13"/>
        <v>206520</v>
      </c>
      <c r="J19" s="75">
        <f t="shared" si="2"/>
        <v>1200000</v>
      </c>
      <c r="K19" s="75">
        <v>0</v>
      </c>
      <c r="L19" s="75">
        <v>0</v>
      </c>
      <c r="M19" s="75">
        <v>0</v>
      </c>
      <c r="N19" s="75">
        <v>0</v>
      </c>
      <c r="O19" s="75">
        <f>+H19*0.2</f>
        <v>198696</v>
      </c>
      <c r="P19" s="75">
        <f>+I19*0.2</f>
        <v>41304</v>
      </c>
      <c r="Q19" s="75">
        <f>+H19*0.6</f>
        <v>596088</v>
      </c>
      <c r="R19" s="75">
        <f>+I19*0.6</f>
        <v>123912</v>
      </c>
      <c r="S19" s="75">
        <f>+H19*0.2</f>
        <v>198696</v>
      </c>
      <c r="T19" s="75">
        <f>+I19*0.2</f>
        <v>41304</v>
      </c>
    </row>
    <row r="20" spans="1:20" s="58" customFormat="1" ht="20.399999999999999" x14ac:dyDescent="0.2">
      <c r="A20" s="72" t="s">
        <v>184</v>
      </c>
      <c r="B20" s="79" t="s">
        <v>157</v>
      </c>
      <c r="C20" s="73" t="s">
        <v>79</v>
      </c>
      <c r="D20" s="91">
        <v>656000</v>
      </c>
      <c r="E20" s="84">
        <f t="shared" si="10"/>
        <v>200000</v>
      </c>
      <c r="F20" s="74">
        <v>1</v>
      </c>
      <c r="G20" s="75">
        <f t="shared" si="11"/>
        <v>200000</v>
      </c>
      <c r="H20" s="75">
        <f t="shared" si="12"/>
        <v>165580</v>
      </c>
      <c r="I20" s="75">
        <f t="shared" si="13"/>
        <v>34420</v>
      </c>
      <c r="J20" s="75">
        <f t="shared" si="2"/>
        <v>200000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75">
        <f>+H20*0.4</f>
        <v>66232</v>
      </c>
      <c r="R20" s="75">
        <f>+I20*0.4</f>
        <v>13768</v>
      </c>
      <c r="S20" s="75">
        <f>+H20*0.6</f>
        <v>99348</v>
      </c>
      <c r="T20" s="75">
        <f>+I20*0.6</f>
        <v>20652</v>
      </c>
    </row>
    <row r="21" spans="1:20" s="58" customFormat="1" x14ac:dyDescent="0.2">
      <c r="A21" s="72" t="s">
        <v>185</v>
      </c>
      <c r="B21" s="79" t="s">
        <v>158</v>
      </c>
      <c r="C21" s="73" t="s">
        <v>79</v>
      </c>
      <c r="D21" s="91">
        <v>129887.99999999999</v>
      </c>
      <c r="E21" s="84">
        <f t="shared" si="10"/>
        <v>39600</v>
      </c>
      <c r="F21" s="74">
        <v>1</v>
      </c>
      <c r="G21" s="75">
        <f t="shared" si="11"/>
        <v>39600</v>
      </c>
      <c r="H21" s="75">
        <f t="shared" si="12"/>
        <v>32784.839999999997</v>
      </c>
      <c r="I21" s="75">
        <f t="shared" si="13"/>
        <v>6815.1600000000035</v>
      </c>
      <c r="J21" s="75">
        <f t="shared" si="2"/>
        <v>39600</v>
      </c>
      <c r="K21" s="75">
        <v>0</v>
      </c>
      <c r="L21" s="75">
        <v>0</v>
      </c>
      <c r="M21" s="75">
        <v>0</v>
      </c>
      <c r="N21" s="75">
        <v>0</v>
      </c>
      <c r="O21" s="75">
        <f t="shared" ref="O21:O24" si="14">+H21*0.2</f>
        <v>6556.9679999999998</v>
      </c>
      <c r="P21" s="75">
        <f t="shared" ref="P21:P24" si="15">+I21*0.2</f>
        <v>1363.0320000000008</v>
      </c>
      <c r="Q21" s="75">
        <f t="shared" ref="Q21:Q24" si="16">+H21*0.6</f>
        <v>19670.903999999999</v>
      </c>
      <c r="R21" s="75">
        <f t="shared" ref="R21:R24" si="17">+I21*0.6</f>
        <v>4089.0960000000018</v>
      </c>
      <c r="S21" s="75">
        <f t="shared" ref="S21:S24" si="18">+H21*0.2</f>
        <v>6556.9679999999998</v>
      </c>
      <c r="T21" s="75">
        <f t="shared" ref="T21:T24" si="19">+I21*0.2</f>
        <v>1363.0320000000008</v>
      </c>
    </row>
    <row r="22" spans="1:20" s="58" customFormat="1" x14ac:dyDescent="0.2">
      <c r="A22" s="72" t="s">
        <v>186</v>
      </c>
      <c r="B22" s="79" t="s">
        <v>159</v>
      </c>
      <c r="C22" s="73" t="s">
        <v>79</v>
      </c>
      <c r="D22" s="91">
        <v>82000</v>
      </c>
      <c r="E22" s="84">
        <f t="shared" si="10"/>
        <v>25000</v>
      </c>
      <c r="F22" s="74">
        <v>1</v>
      </c>
      <c r="G22" s="75">
        <f t="shared" si="11"/>
        <v>25000</v>
      </c>
      <c r="H22" s="75">
        <f t="shared" si="12"/>
        <v>20697.5</v>
      </c>
      <c r="I22" s="75">
        <f t="shared" si="13"/>
        <v>4302.5</v>
      </c>
      <c r="J22" s="75">
        <f t="shared" si="2"/>
        <v>25000</v>
      </c>
      <c r="K22" s="75">
        <v>0</v>
      </c>
      <c r="L22" s="75">
        <v>0</v>
      </c>
      <c r="M22" s="75">
        <v>0</v>
      </c>
      <c r="N22" s="75">
        <v>0</v>
      </c>
      <c r="O22" s="75">
        <f t="shared" si="14"/>
        <v>4139.5</v>
      </c>
      <c r="P22" s="75">
        <f t="shared" si="15"/>
        <v>860.5</v>
      </c>
      <c r="Q22" s="75">
        <f t="shared" si="16"/>
        <v>12418.5</v>
      </c>
      <c r="R22" s="75">
        <f t="shared" si="17"/>
        <v>2581.5</v>
      </c>
      <c r="S22" s="75">
        <f t="shared" si="18"/>
        <v>4139.5</v>
      </c>
      <c r="T22" s="75">
        <f t="shared" si="19"/>
        <v>860.5</v>
      </c>
    </row>
    <row r="23" spans="1:20" s="58" customFormat="1" x14ac:dyDescent="0.2">
      <c r="A23" s="72" t="s">
        <v>187</v>
      </c>
      <c r="B23" s="79" t="s">
        <v>160</v>
      </c>
      <c r="C23" s="73" t="s">
        <v>79</v>
      </c>
      <c r="D23" s="91">
        <v>820000</v>
      </c>
      <c r="E23" s="84">
        <f t="shared" si="10"/>
        <v>250000.00000000003</v>
      </c>
      <c r="F23" s="74">
        <v>1</v>
      </c>
      <c r="G23" s="75">
        <f t="shared" si="11"/>
        <v>250000.00000000003</v>
      </c>
      <c r="H23" s="75">
        <f t="shared" si="12"/>
        <v>206975.00000000003</v>
      </c>
      <c r="I23" s="75">
        <f t="shared" si="13"/>
        <v>43025</v>
      </c>
      <c r="J23" s="75">
        <f t="shared" si="2"/>
        <v>250000.00000000003</v>
      </c>
      <c r="K23" s="75">
        <v>0</v>
      </c>
      <c r="L23" s="75">
        <v>0</v>
      </c>
      <c r="M23" s="75">
        <v>0</v>
      </c>
      <c r="N23" s="75">
        <v>0</v>
      </c>
      <c r="O23" s="75">
        <f t="shared" si="14"/>
        <v>41395.000000000007</v>
      </c>
      <c r="P23" s="75">
        <f t="shared" si="15"/>
        <v>8605</v>
      </c>
      <c r="Q23" s="75">
        <f t="shared" si="16"/>
        <v>124185.00000000001</v>
      </c>
      <c r="R23" s="75">
        <f t="shared" si="17"/>
        <v>25815</v>
      </c>
      <c r="S23" s="75">
        <f t="shared" si="18"/>
        <v>41395.000000000007</v>
      </c>
      <c r="T23" s="75">
        <f t="shared" si="19"/>
        <v>8605</v>
      </c>
    </row>
    <row r="24" spans="1:20" s="58" customFormat="1" x14ac:dyDescent="0.2">
      <c r="A24" s="72" t="s">
        <v>188</v>
      </c>
      <c r="B24" s="79" t="s">
        <v>161</v>
      </c>
      <c r="C24" s="73" t="s">
        <v>79</v>
      </c>
      <c r="D24" s="91">
        <v>208280</v>
      </c>
      <c r="E24" s="84">
        <f t="shared" si="10"/>
        <v>63500.000000000007</v>
      </c>
      <c r="F24" s="74">
        <v>1</v>
      </c>
      <c r="G24" s="75">
        <f t="shared" si="11"/>
        <v>63500.000000000007</v>
      </c>
      <c r="H24" s="75">
        <f t="shared" si="12"/>
        <v>52571.65</v>
      </c>
      <c r="I24" s="75">
        <f t="shared" si="13"/>
        <v>10928.350000000006</v>
      </c>
      <c r="J24" s="75">
        <f t="shared" si="2"/>
        <v>63500.000000000007</v>
      </c>
      <c r="K24" s="75">
        <v>0</v>
      </c>
      <c r="L24" s="75">
        <v>0</v>
      </c>
      <c r="M24" s="75">
        <v>0</v>
      </c>
      <c r="N24" s="75">
        <v>0</v>
      </c>
      <c r="O24" s="75">
        <f t="shared" si="14"/>
        <v>10514.330000000002</v>
      </c>
      <c r="P24" s="75">
        <f t="shared" si="15"/>
        <v>2185.6700000000014</v>
      </c>
      <c r="Q24" s="75">
        <f t="shared" si="16"/>
        <v>31542.989999999998</v>
      </c>
      <c r="R24" s="75">
        <f t="shared" si="17"/>
        <v>6557.0100000000029</v>
      </c>
      <c r="S24" s="75">
        <f t="shared" si="18"/>
        <v>10514.330000000002</v>
      </c>
      <c r="T24" s="75">
        <f t="shared" si="19"/>
        <v>2185.6700000000014</v>
      </c>
    </row>
    <row r="25" spans="1:20" s="58" customFormat="1" x14ac:dyDescent="0.2">
      <c r="A25" s="72" t="s">
        <v>189</v>
      </c>
      <c r="B25" s="79" t="s">
        <v>162</v>
      </c>
      <c r="C25" s="73" t="s">
        <v>79</v>
      </c>
      <c r="D25" s="91">
        <v>98400</v>
      </c>
      <c r="E25" s="84">
        <f t="shared" si="10"/>
        <v>30000</v>
      </c>
      <c r="F25" s="74">
        <v>1</v>
      </c>
      <c r="G25" s="75">
        <f t="shared" si="11"/>
        <v>30000</v>
      </c>
      <c r="H25" s="75">
        <f t="shared" si="12"/>
        <v>24837</v>
      </c>
      <c r="I25" s="75">
        <f t="shared" si="13"/>
        <v>5163</v>
      </c>
      <c r="J25" s="75">
        <f t="shared" si="2"/>
        <v>30000</v>
      </c>
      <c r="K25" s="75">
        <v>0</v>
      </c>
      <c r="L25" s="75">
        <v>0</v>
      </c>
      <c r="M25" s="75">
        <v>0</v>
      </c>
      <c r="N25" s="75">
        <v>0</v>
      </c>
      <c r="O25" s="75">
        <f t="shared" ref="O25:O31" si="20">+H25*0.2</f>
        <v>4967.4000000000005</v>
      </c>
      <c r="P25" s="75">
        <f t="shared" ref="P25:P31" si="21">+I25*0.2</f>
        <v>1032.6000000000001</v>
      </c>
      <c r="Q25" s="75">
        <f t="shared" ref="Q25:Q31" si="22">+H25*0.6</f>
        <v>14902.199999999999</v>
      </c>
      <c r="R25" s="75">
        <f t="shared" ref="R25:R31" si="23">+I25*0.6</f>
        <v>3097.7999999999997</v>
      </c>
      <c r="S25" s="75">
        <f t="shared" ref="S25:S31" si="24">+H25*0.2</f>
        <v>4967.4000000000005</v>
      </c>
      <c r="T25" s="75">
        <f t="shared" ref="T25:T31" si="25">+I25*0.2</f>
        <v>1032.6000000000001</v>
      </c>
    </row>
    <row r="26" spans="1:20" s="58" customFormat="1" x14ac:dyDescent="0.2">
      <c r="A26" s="72" t="s">
        <v>190</v>
      </c>
      <c r="B26" s="79" t="s">
        <v>163</v>
      </c>
      <c r="C26" s="73" t="s">
        <v>79</v>
      </c>
      <c r="D26" s="91">
        <v>233536</v>
      </c>
      <c r="E26" s="84">
        <f t="shared" si="10"/>
        <v>71200</v>
      </c>
      <c r="F26" s="74">
        <v>1</v>
      </c>
      <c r="G26" s="75">
        <f t="shared" si="11"/>
        <v>71200</v>
      </c>
      <c r="H26" s="75">
        <f t="shared" si="12"/>
        <v>58946.479999999996</v>
      </c>
      <c r="I26" s="75">
        <f t="shared" si="13"/>
        <v>12253.520000000004</v>
      </c>
      <c r="J26" s="75">
        <f t="shared" si="2"/>
        <v>71200</v>
      </c>
      <c r="K26" s="75">
        <v>0</v>
      </c>
      <c r="L26" s="75">
        <v>0</v>
      </c>
      <c r="M26" s="75">
        <v>0</v>
      </c>
      <c r="N26" s="75">
        <v>0</v>
      </c>
      <c r="O26" s="75">
        <f t="shared" si="20"/>
        <v>11789.296</v>
      </c>
      <c r="P26" s="75">
        <f t="shared" si="21"/>
        <v>2450.7040000000011</v>
      </c>
      <c r="Q26" s="75">
        <f t="shared" si="22"/>
        <v>35367.887999999999</v>
      </c>
      <c r="R26" s="75">
        <f t="shared" si="23"/>
        <v>7352.1120000000019</v>
      </c>
      <c r="S26" s="75">
        <f t="shared" si="24"/>
        <v>11789.296</v>
      </c>
      <c r="T26" s="75">
        <f t="shared" si="25"/>
        <v>2450.7040000000011</v>
      </c>
    </row>
    <row r="27" spans="1:20" s="58" customFormat="1" x14ac:dyDescent="0.2">
      <c r="A27" s="72" t="s">
        <v>191</v>
      </c>
      <c r="B27" s="79" t="s">
        <v>164</v>
      </c>
      <c r="C27" s="73" t="s">
        <v>79</v>
      </c>
      <c r="D27" s="91">
        <v>1088960</v>
      </c>
      <c r="E27" s="84">
        <f t="shared" si="10"/>
        <v>332000</v>
      </c>
      <c r="F27" s="74">
        <v>1</v>
      </c>
      <c r="G27" s="75">
        <f t="shared" si="11"/>
        <v>332000</v>
      </c>
      <c r="H27" s="75">
        <f t="shared" si="12"/>
        <v>274862.8</v>
      </c>
      <c r="I27" s="75">
        <f t="shared" si="13"/>
        <v>57137.200000000012</v>
      </c>
      <c r="J27" s="75">
        <f t="shared" si="2"/>
        <v>332000</v>
      </c>
      <c r="K27" s="75">
        <v>0</v>
      </c>
      <c r="L27" s="75">
        <v>0</v>
      </c>
      <c r="M27" s="75">
        <v>0</v>
      </c>
      <c r="N27" s="75">
        <v>0</v>
      </c>
      <c r="O27" s="75">
        <f t="shared" si="20"/>
        <v>54972.56</v>
      </c>
      <c r="P27" s="75">
        <f t="shared" si="21"/>
        <v>11427.440000000002</v>
      </c>
      <c r="Q27" s="75">
        <f t="shared" si="22"/>
        <v>164917.68</v>
      </c>
      <c r="R27" s="75">
        <f t="shared" si="23"/>
        <v>34282.320000000007</v>
      </c>
      <c r="S27" s="75">
        <f t="shared" si="24"/>
        <v>54972.56</v>
      </c>
      <c r="T27" s="75">
        <f t="shared" si="25"/>
        <v>11427.440000000002</v>
      </c>
    </row>
    <row r="28" spans="1:20" s="58" customFormat="1" x14ac:dyDescent="0.2">
      <c r="A28" s="72" t="s">
        <v>192</v>
      </c>
      <c r="B28" s="79" t="s">
        <v>165</v>
      </c>
      <c r="C28" s="73" t="s">
        <v>79</v>
      </c>
      <c r="D28" s="91">
        <v>660920</v>
      </c>
      <c r="E28" s="84">
        <f t="shared" si="10"/>
        <v>201500</v>
      </c>
      <c r="F28" s="74">
        <v>1</v>
      </c>
      <c r="G28" s="75">
        <f t="shared" si="11"/>
        <v>201500</v>
      </c>
      <c r="H28" s="75">
        <f t="shared" si="12"/>
        <v>166821.85</v>
      </c>
      <c r="I28" s="75">
        <f t="shared" si="13"/>
        <v>34678.149999999994</v>
      </c>
      <c r="J28" s="75">
        <f t="shared" si="2"/>
        <v>201499.99999999997</v>
      </c>
      <c r="K28" s="75">
        <v>0</v>
      </c>
      <c r="L28" s="75">
        <v>0</v>
      </c>
      <c r="M28" s="75">
        <v>0</v>
      </c>
      <c r="N28" s="75">
        <v>0</v>
      </c>
      <c r="O28" s="75">
        <f t="shared" si="20"/>
        <v>33364.370000000003</v>
      </c>
      <c r="P28" s="75">
        <f t="shared" si="21"/>
        <v>6935.6299999999992</v>
      </c>
      <c r="Q28" s="75">
        <f t="shared" si="22"/>
        <v>100093.11</v>
      </c>
      <c r="R28" s="75">
        <f t="shared" si="23"/>
        <v>20806.889999999996</v>
      </c>
      <c r="S28" s="75">
        <f t="shared" si="24"/>
        <v>33364.370000000003</v>
      </c>
      <c r="T28" s="75">
        <f t="shared" si="25"/>
        <v>6935.6299999999992</v>
      </c>
    </row>
    <row r="29" spans="1:20" s="58" customFormat="1" x14ac:dyDescent="0.2">
      <c r="A29" s="72" t="s">
        <v>193</v>
      </c>
      <c r="B29" s="79" t="s">
        <v>166</v>
      </c>
      <c r="C29" s="73" t="s">
        <v>79</v>
      </c>
      <c r="D29" s="91">
        <v>98400</v>
      </c>
      <c r="E29" s="84">
        <f t="shared" si="10"/>
        <v>30000</v>
      </c>
      <c r="F29" s="74">
        <v>1</v>
      </c>
      <c r="G29" s="75">
        <f t="shared" si="11"/>
        <v>30000</v>
      </c>
      <c r="H29" s="75">
        <f t="shared" si="12"/>
        <v>24837</v>
      </c>
      <c r="I29" s="75">
        <f t="shared" si="13"/>
        <v>5163</v>
      </c>
      <c r="J29" s="75">
        <f t="shared" si="2"/>
        <v>30000</v>
      </c>
      <c r="K29" s="75">
        <v>0</v>
      </c>
      <c r="L29" s="75">
        <v>0</v>
      </c>
      <c r="M29" s="75">
        <v>0</v>
      </c>
      <c r="N29" s="75">
        <v>0</v>
      </c>
      <c r="O29" s="75">
        <f t="shared" si="20"/>
        <v>4967.4000000000005</v>
      </c>
      <c r="P29" s="75">
        <f t="shared" si="21"/>
        <v>1032.6000000000001</v>
      </c>
      <c r="Q29" s="75">
        <f t="shared" si="22"/>
        <v>14902.199999999999</v>
      </c>
      <c r="R29" s="75">
        <f t="shared" si="23"/>
        <v>3097.7999999999997</v>
      </c>
      <c r="S29" s="75">
        <f t="shared" si="24"/>
        <v>4967.4000000000005</v>
      </c>
      <c r="T29" s="75">
        <f t="shared" si="25"/>
        <v>1032.6000000000001</v>
      </c>
    </row>
    <row r="30" spans="1:20" s="58" customFormat="1" x14ac:dyDescent="0.2">
      <c r="A30" s="72" t="s">
        <v>194</v>
      </c>
      <c r="B30" s="79" t="s">
        <v>167</v>
      </c>
      <c r="C30" s="73" t="s">
        <v>79</v>
      </c>
      <c r="D30" s="91">
        <v>491999.99999999994</v>
      </c>
      <c r="E30" s="84">
        <f t="shared" si="10"/>
        <v>150000</v>
      </c>
      <c r="F30" s="74">
        <v>1</v>
      </c>
      <c r="G30" s="75">
        <f t="shared" si="11"/>
        <v>150000</v>
      </c>
      <c r="H30" s="75">
        <f t="shared" si="12"/>
        <v>124185</v>
      </c>
      <c r="I30" s="75">
        <f t="shared" si="13"/>
        <v>25815</v>
      </c>
      <c r="J30" s="75">
        <f t="shared" si="2"/>
        <v>150000</v>
      </c>
      <c r="K30" s="75">
        <v>0</v>
      </c>
      <c r="L30" s="75">
        <v>0</v>
      </c>
      <c r="M30" s="75">
        <v>0</v>
      </c>
      <c r="N30" s="75">
        <v>0</v>
      </c>
      <c r="O30" s="75">
        <f t="shared" si="20"/>
        <v>24837</v>
      </c>
      <c r="P30" s="75">
        <f t="shared" si="21"/>
        <v>5163</v>
      </c>
      <c r="Q30" s="75">
        <f t="shared" si="22"/>
        <v>74511</v>
      </c>
      <c r="R30" s="75">
        <f t="shared" si="23"/>
        <v>15489</v>
      </c>
      <c r="S30" s="75">
        <f t="shared" si="24"/>
        <v>24837</v>
      </c>
      <c r="T30" s="75">
        <f t="shared" si="25"/>
        <v>5163</v>
      </c>
    </row>
    <row r="31" spans="1:20" s="58" customFormat="1" x14ac:dyDescent="0.2">
      <c r="A31" s="72" t="s">
        <v>195</v>
      </c>
      <c r="B31" s="79" t="s">
        <v>168</v>
      </c>
      <c r="C31" s="73" t="s">
        <v>79</v>
      </c>
      <c r="D31" s="91">
        <v>393600</v>
      </c>
      <c r="E31" s="84">
        <f t="shared" si="10"/>
        <v>120000</v>
      </c>
      <c r="F31" s="74">
        <v>1</v>
      </c>
      <c r="G31" s="75">
        <f t="shared" si="11"/>
        <v>120000</v>
      </c>
      <c r="H31" s="75">
        <f t="shared" si="12"/>
        <v>99348</v>
      </c>
      <c r="I31" s="75">
        <f t="shared" si="13"/>
        <v>20652</v>
      </c>
      <c r="J31" s="75">
        <f t="shared" si="2"/>
        <v>120000</v>
      </c>
      <c r="K31" s="75">
        <v>0</v>
      </c>
      <c r="L31" s="75">
        <v>0</v>
      </c>
      <c r="M31" s="75">
        <v>0</v>
      </c>
      <c r="N31" s="75">
        <v>0</v>
      </c>
      <c r="O31" s="75">
        <f t="shared" si="20"/>
        <v>19869.600000000002</v>
      </c>
      <c r="P31" s="75">
        <f t="shared" si="21"/>
        <v>4130.4000000000005</v>
      </c>
      <c r="Q31" s="75">
        <f t="shared" si="22"/>
        <v>59608.799999999996</v>
      </c>
      <c r="R31" s="75">
        <f t="shared" si="23"/>
        <v>12391.199999999999</v>
      </c>
      <c r="S31" s="75">
        <f t="shared" si="24"/>
        <v>19869.600000000002</v>
      </c>
      <c r="T31" s="75">
        <f t="shared" si="25"/>
        <v>4130.4000000000005</v>
      </c>
    </row>
    <row r="32" spans="1:20" s="58" customFormat="1" x14ac:dyDescent="0.2">
      <c r="A32" s="72" t="s">
        <v>196</v>
      </c>
      <c r="B32" s="79" t="s">
        <v>169</v>
      </c>
      <c r="C32" s="73" t="s">
        <v>79</v>
      </c>
      <c r="D32" s="91">
        <v>983999.99999999988</v>
      </c>
      <c r="E32" s="84">
        <f t="shared" si="10"/>
        <v>300000</v>
      </c>
      <c r="F32" s="74">
        <v>1</v>
      </c>
      <c r="G32" s="75">
        <f t="shared" si="11"/>
        <v>300000</v>
      </c>
      <c r="H32" s="75">
        <f t="shared" si="12"/>
        <v>248370</v>
      </c>
      <c r="I32" s="75">
        <f t="shared" si="13"/>
        <v>51630</v>
      </c>
      <c r="J32" s="75">
        <f t="shared" si="2"/>
        <v>300000</v>
      </c>
      <c r="K32" s="75">
        <v>0</v>
      </c>
      <c r="L32" s="75">
        <v>0</v>
      </c>
      <c r="M32" s="75">
        <v>0</v>
      </c>
      <c r="N32" s="75">
        <v>0</v>
      </c>
      <c r="O32" s="75">
        <f t="shared" ref="O32:O33" si="26">+H32*0.2</f>
        <v>49674</v>
      </c>
      <c r="P32" s="75">
        <f t="shared" ref="P32:P33" si="27">+I32*0.2</f>
        <v>10326</v>
      </c>
      <c r="Q32" s="75">
        <f t="shared" ref="Q32:Q33" si="28">+H32*0.6</f>
        <v>149022</v>
      </c>
      <c r="R32" s="75">
        <f t="shared" ref="R32:R33" si="29">+I32*0.6</f>
        <v>30978</v>
      </c>
      <c r="S32" s="75">
        <f t="shared" ref="S32:S33" si="30">+H32*0.2</f>
        <v>49674</v>
      </c>
      <c r="T32" s="75">
        <f t="shared" ref="T32:T33" si="31">+I32*0.2</f>
        <v>10326</v>
      </c>
    </row>
    <row r="33" spans="1:20" s="58" customFormat="1" x14ac:dyDescent="0.2">
      <c r="A33" s="72" t="s">
        <v>197</v>
      </c>
      <c r="B33" s="79" t="s">
        <v>170</v>
      </c>
      <c r="C33" s="73" t="s">
        <v>79</v>
      </c>
      <c r="D33" s="91">
        <v>319800</v>
      </c>
      <c r="E33" s="84">
        <f t="shared" si="10"/>
        <v>97500</v>
      </c>
      <c r="F33" s="74">
        <v>1</v>
      </c>
      <c r="G33" s="75">
        <f t="shared" si="11"/>
        <v>97500</v>
      </c>
      <c r="H33" s="75">
        <f t="shared" si="12"/>
        <v>80720.25</v>
      </c>
      <c r="I33" s="75">
        <f t="shared" si="13"/>
        <v>16779.75</v>
      </c>
      <c r="J33" s="75">
        <f t="shared" si="2"/>
        <v>97500</v>
      </c>
      <c r="K33" s="75">
        <v>0</v>
      </c>
      <c r="L33" s="75">
        <v>0</v>
      </c>
      <c r="M33" s="75">
        <v>0</v>
      </c>
      <c r="N33" s="75">
        <v>0</v>
      </c>
      <c r="O33" s="75">
        <f t="shared" si="26"/>
        <v>16144.050000000001</v>
      </c>
      <c r="P33" s="75">
        <f t="shared" si="27"/>
        <v>3355.9500000000003</v>
      </c>
      <c r="Q33" s="75">
        <f t="shared" si="28"/>
        <v>48432.15</v>
      </c>
      <c r="R33" s="75">
        <f t="shared" si="29"/>
        <v>10067.85</v>
      </c>
      <c r="S33" s="75">
        <f t="shared" si="30"/>
        <v>16144.050000000001</v>
      </c>
      <c r="T33" s="75">
        <f t="shared" si="31"/>
        <v>3355.9500000000003</v>
      </c>
    </row>
    <row r="34" spans="1:20" s="58" customFormat="1" x14ac:dyDescent="0.2">
      <c r="A34" s="72" t="s">
        <v>198</v>
      </c>
      <c r="B34" s="79" t="s">
        <v>171</v>
      </c>
      <c r="C34" s="73" t="s">
        <v>79</v>
      </c>
      <c r="D34" s="91">
        <v>239440</v>
      </c>
      <c r="E34" s="84">
        <f t="shared" si="10"/>
        <v>73000</v>
      </c>
      <c r="F34" s="74">
        <v>1</v>
      </c>
      <c r="G34" s="75">
        <f t="shared" si="11"/>
        <v>73000</v>
      </c>
      <c r="H34" s="75">
        <f t="shared" si="12"/>
        <v>60436.7</v>
      </c>
      <c r="I34" s="75">
        <f t="shared" si="13"/>
        <v>12563.300000000003</v>
      </c>
      <c r="J34" s="75">
        <f t="shared" si="2"/>
        <v>73000</v>
      </c>
      <c r="K34" s="75">
        <f>+H34</f>
        <v>60436.7</v>
      </c>
      <c r="L34" s="75">
        <f>+I34</f>
        <v>12563.300000000003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 s="75">
        <v>0</v>
      </c>
      <c r="T34" s="75">
        <v>0</v>
      </c>
    </row>
    <row r="35" spans="1:20" s="18" customFormat="1" x14ac:dyDescent="0.2">
      <c r="A35" s="38">
        <v>1.3</v>
      </c>
      <c r="B35" s="86" t="s">
        <v>172</v>
      </c>
      <c r="C35" s="87"/>
      <c r="D35" s="87"/>
      <c r="E35" s="87"/>
      <c r="F35" s="88"/>
      <c r="G35" s="89">
        <f>+G36+G37</f>
        <v>490000</v>
      </c>
      <c r="H35" s="89">
        <f>+H36+H37</f>
        <v>405671</v>
      </c>
      <c r="I35" s="89">
        <f>+I36+I37</f>
        <v>84329</v>
      </c>
      <c r="J35" s="89">
        <f t="shared" si="2"/>
        <v>490000</v>
      </c>
      <c r="K35" s="89">
        <f t="shared" ref="K35:T35" si="32">+K36+K37</f>
        <v>121701.3</v>
      </c>
      <c r="L35" s="89">
        <f t="shared" si="32"/>
        <v>25298.7</v>
      </c>
      <c r="M35" s="89">
        <f t="shared" si="32"/>
        <v>162268.4</v>
      </c>
      <c r="N35" s="89">
        <f t="shared" si="32"/>
        <v>33731.599999999999</v>
      </c>
      <c r="O35" s="89">
        <f t="shared" si="32"/>
        <v>121701.3</v>
      </c>
      <c r="P35" s="89">
        <f t="shared" si="32"/>
        <v>25298.7</v>
      </c>
      <c r="Q35" s="89">
        <f t="shared" si="32"/>
        <v>0</v>
      </c>
      <c r="R35" s="89">
        <f t="shared" si="32"/>
        <v>0</v>
      </c>
      <c r="S35" s="89">
        <f t="shared" si="32"/>
        <v>0</v>
      </c>
      <c r="T35" s="89">
        <f t="shared" si="32"/>
        <v>0</v>
      </c>
    </row>
    <row r="36" spans="1:20" s="58" customFormat="1" x14ac:dyDescent="0.2">
      <c r="A36" s="72" t="s">
        <v>103</v>
      </c>
      <c r="B36" s="79" t="s">
        <v>174</v>
      </c>
      <c r="C36" s="73" t="s">
        <v>79</v>
      </c>
      <c r="D36" s="91">
        <v>1312000</v>
      </c>
      <c r="E36" s="84">
        <f t="shared" si="10"/>
        <v>400000</v>
      </c>
      <c r="F36" s="74">
        <v>1</v>
      </c>
      <c r="G36" s="75">
        <f t="shared" ref="G36:G37" si="33">+F36*E36</f>
        <v>400000</v>
      </c>
      <c r="H36" s="75">
        <f t="shared" si="12"/>
        <v>331160</v>
      </c>
      <c r="I36" s="75">
        <f t="shared" ref="I36:I37" si="34">+G36-H36</f>
        <v>68840</v>
      </c>
      <c r="J36" s="75">
        <f t="shared" si="2"/>
        <v>400000</v>
      </c>
      <c r="K36" s="75">
        <f>+H36*0.3</f>
        <v>99348</v>
      </c>
      <c r="L36" s="75">
        <f>+I36*0.3</f>
        <v>20652</v>
      </c>
      <c r="M36" s="75">
        <f>+H36*0.4</f>
        <v>132464</v>
      </c>
      <c r="N36" s="75">
        <f>+I36*0.4</f>
        <v>27536</v>
      </c>
      <c r="O36" s="75">
        <f>+H36*0.3</f>
        <v>99348</v>
      </c>
      <c r="P36" s="75">
        <f>+I36*0.3</f>
        <v>20652</v>
      </c>
      <c r="Q36" s="75">
        <v>0</v>
      </c>
      <c r="R36" s="75">
        <v>0</v>
      </c>
      <c r="S36" s="75">
        <v>0</v>
      </c>
      <c r="T36" s="75">
        <v>0</v>
      </c>
    </row>
    <row r="37" spans="1:20" s="58" customFormat="1" x14ac:dyDescent="0.2">
      <c r="A37" s="72" t="s">
        <v>104</v>
      </c>
      <c r="B37" s="79" t="s">
        <v>175</v>
      </c>
      <c r="C37" s="73" t="s">
        <v>79</v>
      </c>
      <c r="D37" s="91">
        <v>295200</v>
      </c>
      <c r="E37" s="84">
        <f t="shared" si="10"/>
        <v>90000</v>
      </c>
      <c r="F37" s="74">
        <v>1</v>
      </c>
      <c r="G37" s="75">
        <f t="shared" si="33"/>
        <v>90000</v>
      </c>
      <c r="H37" s="75">
        <f t="shared" si="12"/>
        <v>74511</v>
      </c>
      <c r="I37" s="75">
        <f t="shared" si="34"/>
        <v>15489</v>
      </c>
      <c r="J37" s="75">
        <f t="shared" si="2"/>
        <v>90000</v>
      </c>
      <c r="K37" s="75">
        <f>+H37*0.3</f>
        <v>22353.3</v>
      </c>
      <c r="L37" s="75">
        <f>+I37*0.3</f>
        <v>4646.7</v>
      </c>
      <c r="M37" s="75">
        <f>+H37*0.4</f>
        <v>29804.400000000001</v>
      </c>
      <c r="N37" s="75">
        <f>+I37*0.4</f>
        <v>6195.6</v>
      </c>
      <c r="O37" s="75">
        <f>+H37*0.3</f>
        <v>22353.3</v>
      </c>
      <c r="P37" s="75">
        <f>+I37*0.3</f>
        <v>4646.7</v>
      </c>
      <c r="Q37" s="75">
        <v>0</v>
      </c>
      <c r="R37" s="75">
        <v>0</v>
      </c>
      <c r="S37" s="75">
        <v>0</v>
      </c>
      <c r="T37" s="75">
        <v>0</v>
      </c>
    </row>
    <row r="38" spans="1:20" s="18" customFormat="1" x14ac:dyDescent="0.2">
      <c r="A38" s="38">
        <v>1.4</v>
      </c>
      <c r="B38" s="86" t="s">
        <v>173</v>
      </c>
      <c r="C38" s="87"/>
      <c r="D38" s="87"/>
      <c r="E38" s="87"/>
      <c r="F38" s="88"/>
      <c r="G38" s="89">
        <f>SUM(G39:G43)</f>
        <v>1704340</v>
      </c>
      <c r="H38" s="89">
        <f>SUM(H39:H43)</f>
        <v>1411023.0859999999</v>
      </c>
      <c r="I38" s="89">
        <f>SUM(I39:I43)</f>
        <v>293316.91400000005</v>
      </c>
      <c r="J38" s="89">
        <f t="shared" si="2"/>
        <v>1704340</v>
      </c>
      <c r="K38" s="89">
        <f t="shared" ref="K38:T38" si="35">SUM(K39:K43)</f>
        <v>130270.06499999999</v>
      </c>
      <c r="L38" s="89">
        <f t="shared" si="35"/>
        <v>27079.934999999998</v>
      </c>
      <c r="M38" s="89">
        <f t="shared" si="35"/>
        <v>417890.804</v>
      </c>
      <c r="N38" s="89">
        <f t="shared" si="35"/>
        <v>86869.196000000011</v>
      </c>
      <c r="O38" s="89">
        <f t="shared" si="35"/>
        <v>374467.44899999996</v>
      </c>
      <c r="P38" s="89">
        <f t="shared" si="35"/>
        <v>77842.551000000007</v>
      </c>
      <c r="Q38" s="89">
        <f t="shared" si="35"/>
        <v>244197.38399999999</v>
      </c>
      <c r="R38" s="89">
        <f t="shared" si="35"/>
        <v>50762.616000000009</v>
      </c>
      <c r="S38" s="89">
        <f t="shared" si="35"/>
        <v>244197.38399999999</v>
      </c>
      <c r="T38" s="89">
        <f t="shared" si="35"/>
        <v>50762.616000000009</v>
      </c>
    </row>
    <row r="39" spans="1:20" s="58" customFormat="1" x14ac:dyDescent="0.2">
      <c r="A39" s="72" t="s">
        <v>199</v>
      </c>
      <c r="B39" s="79" t="s">
        <v>176</v>
      </c>
      <c r="C39" s="73" t="s">
        <v>79</v>
      </c>
      <c r="D39" s="91">
        <v>229600</v>
      </c>
      <c r="E39" s="84">
        <f t="shared" si="10"/>
        <v>70000</v>
      </c>
      <c r="F39" s="74">
        <v>1</v>
      </c>
      <c r="G39" s="75">
        <f t="shared" ref="G39:G43" si="36">+F39*E39</f>
        <v>70000</v>
      </c>
      <c r="H39" s="75">
        <f t="shared" si="12"/>
        <v>57953</v>
      </c>
      <c r="I39" s="75">
        <f t="shared" ref="I39:I43" si="37">+G39-H39</f>
        <v>12047</v>
      </c>
      <c r="J39" s="75">
        <f t="shared" si="2"/>
        <v>70000</v>
      </c>
      <c r="K39" s="75">
        <f t="shared" ref="K39:L41" si="38">+H39*0.3</f>
        <v>17385.899999999998</v>
      </c>
      <c r="L39" s="75">
        <f t="shared" si="38"/>
        <v>3614.1</v>
      </c>
      <c r="M39" s="75">
        <f t="shared" ref="M39:N41" si="39">+H39*0.4</f>
        <v>23181.200000000001</v>
      </c>
      <c r="N39" s="75">
        <f t="shared" si="39"/>
        <v>4818.8</v>
      </c>
      <c r="O39" s="75">
        <f t="shared" ref="O39:P41" si="40">+H39*0.3</f>
        <v>17385.899999999998</v>
      </c>
      <c r="P39" s="75">
        <f t="shared" si="40"/>
        <v>3614.1</v>
      </c>
      <c r="Q39" s="75">
        <v>0</v>
      </c>
      <c r="R39" s="75">
        <v>0</v>
      </c>
      <c r="S39" s="75">
        <v>0</v>
      </c>
      <c r="T39" s="75">
        <v>0</v>
      </c>
    </row>
    <row r="40" spans="1:20" s="58" customFormat="1" x14ac:dyDescent="0.2">
      <c r="A40" s="72" t="s">
        <v>200</v>
      </c>
      <c r="B40" s="79" t="s">
        <v>177</v>
      </c>
      <c r="C40" s="73" t="s">
        <v>79</v>
      </c>
      <c r="D40" s="91">
        <v>1180800</v>
      </c>
      <c r="E40" s="84">
        <f t="shared" si="10"/>
        <v>360000</v>
      </c>
      <c r="F40" s="74">
        <v>1</v>
      </c>
      <c r="G40" s="75">
        <f t="shared" si="36"/>
        <v>360000</v>
      </c>
      <c r="H40" s="75">
        <f t="shared" si="12"/>
        <v>298044</v>
      </c>
      <c r="I40" s="75">
        <f t="shared" si="37"/>
        <v>61956</v>
      </c>
      <c r="J40" s="75">
        <f t="shared" si="2"/>
        <v>360000</v>
      </c>
      <c r="K40" s="75">
        <f t="shared" si="38"/>
        <v>89413.2</v>
      </c>
      <c r="L40" s="75">
        <f t="shared" si="38"/>
        <v>18586.8</v>
      </c>
      <c r="M40" s="75">
        <f t="shared" si="39"/>
        <v>119217.60000000001</v>
      </c>
      <c r="N40" s="75">
        <f t="shared" si="39"/>
        <v>24782.400000000001</v>
      </c>
      <c r="O40" s="75">
        <f t="shared" si="40"/>
        <v>89413.2</v>
      </c>
      <c r="P40" s="75">
        <f t="shared" si="40"/>
        <v>18586.8</v>
      </c>
      <c r="Q40" s="75">
        <v>0</v>
      </c>
      <c r="R40" s="75">
        <v>0</v>
      </c>
      <c r="S40" s="75">
        <v>0</v>
      </c>
      <c r="T40" s="75">
        <v>0</v>
      </c>
    </row>
    <row r="41" spans="1:20" s="58" customFormat="1" x14ac:dyDescent="0.2">
      <c r="A41" s="72" t="s">
        <v>201</v>
      </c>
      <c r="B41" s="79" t="s">
        <v>178</v>
      </c>
      <c r="C41" s="73" t="s">
        <v>79</v>
      </c>
      <c r="D41" s="91">
        <v>309960</v>
      </c>
      <c r="E41" s="84">
        <f t="shared" si="10"/>
        <v>94500</v>
      </c>
      <c r="F41" s="74">
        <v>1</v>
      </c>
      <c r="G41" s="75">
        <f t="shared" si="36"/>
        <v>94500</v>
      </c>
      <c r="H41" s="75">
        <f t="shared" si="12"/>
        <v>78236.55</v>
      </c>
      <c r="I41" s="75">
        <f t="shared" si="37"/>
        <v>16263.449999999997</v>
      </c>
      <c r="J41" s="75">
        <f t="shared" si="2"/>
        <v>94500</v>
      </c>
      <c r="K41" s="75">
        <f t="shared" si="38"/>
        <v>23470.965</v>
      </c>
      <c r="L41" s="75">
        <f t="shared" si="38"/>
        <v>4879.0349999999989</v>
      </c>
      <c r="M41" s="75">
        <f t="shared" si="39"/>
        <v>31294.620000000003</v>
      </c>
      <c r="N41" s="75">
        <f t="shared" si="39"/>
        <v>6505.3799999999992</v>
      </c>
      <c r="O41" s="75">
        <f t="shared" si="40"/>
        <v>23470.965</v>
      </c>
      <c r="P41" s="75">
        <f t="shared" si="40"/>
        <v>4879.0349999999989</v>
      </c>
      <c r="Q41" s="75">
        <v>0</v>
      </c>
      <c r="R41" s="75">
        <v>0</v>
      </c>
      <c r="S41" s="75">
        <v>0</v>
      </c>
      <c r="T41" s="75">
        <v>0</v>
      </c>
    </row>
    <row r="42" spans="1:20" s="58" customFormat="1" x14ac:dyDescent="0.2">
      <c r="A42" s="72" t="s">
        <v>202</v>
      </c>
      <c r="B42" s="79" t="s">
        <v>179</v>
      </c>
      <c r="C42" s="73" t="s">
        <v>79</v>
      </c>
      <c r="D42" s="91">
        <v>2820275.1999999997</v>
      </c>
      <c r="E42" s="84">
        <f t="shared" si="10"/>
        <v>859840</v>
      </c>
      <c r="F42" s="74">
        <v>1</v>
      </c>
      <c r="G42" s="75">
        <f t="shared" si="36"/>
        <v>859840</v>
      </c>
      <c r="H42" s="75">
        <f t="shared" si="12"/>
        <v>711861.53599999996</v>
      </c>
      <c r="I42" s="75">
        <f t="shared" si="37"/>
        <v>147978.46400000004</v>
      </c>
      <c r="J42" s="75">
        <f t="shared" si="2"/>
        <v>859840</v>
      </c>
      <c r="K42" s="75">
        <v>0</v>
      </c>
      <c r="L42" s="75">
        <v>0</v>
      </c>
      <c r="M42" s="75">
        <f>+H42/4</f>
        <v>177965.38399999999</v>
      </c>
      <c r="N42" s="75">
        <f>+I42/4</f>
        <v>36994.616000000009</v>
      </c>
      <c r="O42" s="75">
        <f>+M42</f>
        <v>177965.38399999999</v>
      </c>
      <c r="P42" s="75">
        <f>+N42</f>
        <v>36994.616000000009</v>
      </c>
      <c r="Q42" s="75">
        <f t="shared" ref="Q42:T43" si="41">+M42</f>
        <v>177965.38399999999</v>
      </c>
      <c r="R42" s="75">
        <f t="shared" si="41"/>
        <v>36994.616000000009</v>
      </c>
      <c r="S42" s="75">
        <f t="shared" si="41"/>
        <v>177965.38399999999</v>
      </c>
      <c r="T42" s="75">
        <f t="shared" si="41"/>
        <v>36994.616000000009</v>
      </c>
    </row>
    <row r="43" spans="1:20" s="58" customFormat="1" x14ac:dyDescent="0.2">
      <c r="A43" s="72" t="s">
        <v>203</v>
      </c>
      <c r="B43" s="79" t="s">
        <v>180</v>
      </c>
      <c r="C43" s="73" t="s">
        <v>79</v>
      </c>
      <c r="D43" s="91">
        <v>1049600</v>
      </c>
      <c r="E43" s="84">
        <f t="shared" si="10"/>
        <v>320000</v>
      </c>
      <c r="F43" s="74">
        <v>1</v>
      </c>
      <c r="G43" s="75">
        <f t="shared" si="36"/>
        <v>320000</v>
      </c>
      <c r="H43" s="75">
        <f t="shared" si="12"/>
        <v>264928</v>
      </c>
      <c r="I43" s="75">
        <f t="shared" si="37"/>
        <v>55072</v>
      </c>
      <c r="J43" s="75">
        <f t="shared" si="2"/>
        <v>320000</v>
      </c>
      <c r="K43" s="75">
        <v>0</v>
      </c>
      <c r="L43" s="75">
        <v>0</v>
      </c>
      <c r="M43" s="75">
        <f>+H43/4</f>
        <v>66232</v>
      </c>
      <c r="N43" s="75">
        <f>+I43/4</f>
        <v>13768</v>
      </c>
      <c r="O43" s="75">
        <f>+M43</f>
        <v>66232</v>
      </c>
      <c r="P43" s="75">
        <f>+N43</f>
        <v>13768</v>
      </c>
      <c r="Q43" s="75">
        <f t="shared" si="41"/>
        <v>66232</v>
      </c>
      <c r="R43" s="75">
        <f t="shared" si="41"/>
        <v>13768</v>
      </c>
      <c r="S43" s="75">
        <f t="shared" si="41"/>
        <v>66232</v>
      </c>
      <c r="T43" s="75">
        <f t="shared" si="41"/>
        <v>13768</v>
      </c>
    </row>
    <row r="44" spans="1:20" s="18" customFormat="1" x14ac:dyDescent="0.2">
      <c r="A44" s="38">
        <v>1.5</v>
      </c>
      <c r="B44" s="86" t="s">
        <v>181</v>
      </c>
      <c r="C44" s="87"/>
      <c r="D44" s="87"/>
      <c r="E44" s="87"/>
      <c r="F44" s="88"/>
      <c r="G44" s="89">
        <f>SUM(G45:G46)</f>
        <v>850000</v>
      </c>
      <c r="H44" s="89">
        <f>SUM(H45:H46)</f>
        <v>703715</v>
      </c>
      <c r="I44" s="89">
        <f>SUM(I45:I46)</f>
        <v>146285</v>
      </c>
      <c r="J44" s="89">
        <f t="shared" si="2"/>
        <v>850000</v>
      </c>
      <c r="K44" s="89">
        <f t="shared" ref="K44:T44" si="42">SUM(K45:K46)</f>
        <v>703715</v>
      </c>
      <c r="L44" s="89">
        <f t="shared" si="42"/>
        <v>146285</v>
      </c>
      <c r="M44" s="89">
        <f t="shared" si="42"/>
        <v>0</v>
      </c>
      <c r="N44" s="89">
        <f t="shared" si="42"/>
        <v>0</v>
      </c>
      <c r="O44" s="89">
        <f t="shared" si="42"/>
        <v>0</v>
      </c>
      <c r="P44" s="89">
        <f t="shared" si="42"/>
        <v>0</v>
      </c>
      <c r="Q44" s="89">
        <f t="shared" si="42"/>
        <v>0</v>
      </c>
      <c r="R44" s="89">
        <f t="shared" si="42"/>
        <v>0</v>
      </c>
      <c r="S44" s="89">
        <f t="shared" si="42"/>
        <v>0</v>
      </c>
      <c r="T44" s="89">
        <f t="shared" si="42"/>
        <v>0</v>
      </c>
    </row>
    <row r="45" spans="1:20" s="24" customFormat="1" x14ac:dyDescent="0.2">
      <c r="A45" s="72" t="s">
        <v>204</v>
      </c>
      <c r="B45" s="79" t="s">
        <v>206</v>
      </c>
      <c r="C45" s="39" t="s">
        <v>79</v>
      </c>
      <c r="D45" s="91">
        <v>1148000</v>
      </c>
      <c r="E45" s="84">
        <f t="shared" si="10"/>
        <v>350000</v>
      </c>
      <c r="F45" s="74">
        <v>1</v>
      </c>
      <c r="G45" s="75">
        <f t="shared" ref="G45:G46" si="43">+F45*E45</f>
        <v>350000</v>
      </c>
      <c r="H45" s="75">
        <f t="shared" si="12"/>
        <v>289765</v>
      </c>
      <c r="I45" s="75">
        <f t="shared" ref="I45:I46" si="44">+G45-H45</f>
        <v>60235</v>
      </c>
      <c r="J45" s="75">
        <f t="shared" si="2"/>
        <v>350000</v>
      </c>
      <c r="K45" s="75">
        <f>+H45</f>
        <v>289765</v>
      </c>
      <c r="L45" s="75">
        <f>+I45</f>
        <v>60235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  <c r="R45" s="75">
        <v>0</v>
      </c>
      <c r="S45" s="75">
        <v>0</v>
      </c>
      <c r="T45" s="75">
        <v>0</v>
      </c>
    </row>
    <row r="46" spans="1:20" s="24" customFormat="1" x14ac:dyDescent="0.2">
      <c r="A46" s="72" t="s">
        <v>205</v>
      </c>
      <c r="B46" s="79" t="s">
        <v>207</v>
      </c>
      <c r="C46" s="39" t="s">
        <v>79</v>
      </c>
      <c r="D46" s="91">
        <v>1640000</v>
      </c>
      <c r="E46" s="84">
        <f t="shared" si="10"/>
        <v>500000.00000000006</v>
      </c>
      <c r="F46" s="74">
        <v>1</v>
      </c>
      <c r="G46" s="75">
        <f t="shared" si="43"/>
        <v>500000.00000000006</v>
      </c>
      <c r="H46" s="75">
        <f t="shared" si="12"/>
        <v>413950.00000000006</v>
      </c>
      <c r="I46" s="75">
        <f t="shared" si="44"/>
        <v>86050</v>
      </c>
      <c r="J46" s="75">
        <f t="shared" si="2"/>
        <v>500000.00000000006</v>
      </c>
      <c r="K46" s="75">
        <f>+H46</f>
        <v>413950.00000000006</v>
      </c>
      <c r="L46" s="75">
        <f>+I46</f>
        <v>86050</v>
      </c>
      <c r="M46" s="75">
        <v>0</v>
      </c>
      <c r="N46" s="75">
        <v>0</v>
      </c>
      <c r="O46" s="75">
        <v>0</v>
      </c>
      <c r="P46" s="75">
        <v>0</v>
      </c>
      <c r="Q46" s="75">
        <v>0</v>
      </c>
      <c r="R46" s="75">
        <v>0</v>
      </c>
      <c r="S46" s="75">
        <v>0</v>
      </c>
      <c r="T46" s="75">
        <v>0</v>
      </c>
    </row>
    <row r="47" spans="1:20" s="85" customFormat="1" ht="15" customHeight="1" x14ac:dyDescent="0.3">
      <c r="A47" s="72">
        <v>2</v>
      </c>
      <c r="B47" s="121" t="s">
        <v>340</v>
      </c>
      <c r="C47" s="121"/>
      <c r="D47" s="121"/>
      <c r="E47" s="121"/>
      <c r="F47" s="121"/>
      <c r="G47" s="95">
        <f>+G48+G52+G56+G60+G63</f>
        <v>14502931.859756099</v>
      </c>
      <c r="H47" s="95">
        <f>+H48+H52+H56+H60+H63</f>
        <v>12006977.286692075</v>
      </c>
      <c r="I47" s="95">
        <f>+I48+I52+I56+I60+I63</f>
        <v>2495954.5730640246</v>
      </c>
      <c r="J47" s="95">
        <f t="shared" si="2"/>
        <v>14502931.859756101</v>
      </c>
      <c r="K47" s="95">
        <f t="shared" ref="K47:T47" si="45">+K48+K52+K56+K60+K63</f>
        <v>4942384.5976463417</v>
      </c>
      <c r="L47" s="95">
        <f t="shared" si="45"/>
        <v>1027399.9145487807</v>
      </c>
      <c r="M47" s="95">
        <f t="shared" si="45"/>
        <v>4266674.3500213418</v>
      </c>
      <c r="N47" s="95">
        <f t="shared" si="45"/>
        <v>886936.41217378085</v>
      </c>
      <c r="O47" s="95">
        <f t="shared" si="45"/>
        <v>2797918.3390243906</v>
      </c>
      <c r="P47" s="95">
        <f t="shared" si="45"/>
        <v>581618.24634146341</v>
      </c>
      <c r="Q47" s="95">
        <f t="shared" si="45"/>
        <v>0</v>
      </c>
      <c r="R47" s="95">
        <f t="shared" si="45"/>
        <v>0</v>
      </c>
      <c r="S47" s="95">
        <f t="shared" si="45"/>
        <v>0</v>
      </c>
      <c r="T47" s="95">
        <f t="shared" si="45"/>
        <v>0</v>
      </c>
    </row>
    <row r="48" spans="1:20" s="18" customFormat="1" ht="22.5" customHeight="1" x14ac:dyDescent="0.2">
      <c r="A48" s="38">
        <v>2.1</v>
      </c>
      <c r="B48" s="102" t="s">
        <v>208</v>
      </c>
      <c r="C48" s="103"/>
      <c r="D48" s="103"/>
      <c r="E48" s="103"/>
      <c r="F48" s="104"/>
      <c r="G48" s="89">
        <f>SUM(G49:G51)</f>
        <v>5621341.4634146346</v>
      </c>
      <c r="H48" s="89">
        <f>SUM(H49:H51)</f>
        <v>4653908.5975609766</v>
      </c>
      <c r="I48" s="89">
        <f>SUM(I49:I51)</f>
        <v>967432.86585365853</v>
      </c>
      <c r="J48" s="89">
        <f t="shared" si="2"/>
        <v>5621341.4634146355</v>
      </c>
      <c r="K48" s="89">
        <f t="shared" ref="K48:T48" si="46">SUM(K49:K51)</f>
        <v>1396172.579268293</v>
      </c>
      <c r="L48" s="89">
        <f t="shared" si="46"/>
        <v>290229.85975609755</v>
      </c>
      <c r="M48" s="89">
        <f t="shared" si="46"/>
        <v>1861563.4390243907</v>
      </c>
      <c r="N48" s="89">
        <f t="shared" si="46"/>
        <v>386973.14634146343</v>
      </c>
      <c r="O48" s="89">
        <f t="shared" si="46"/>
        <v>1396172.579268293</v>
      </c>
      <c r="P48" s="89">
        <f t="shared" si="46"/>
        <v>290229.85975609755</v>
      </c>
      <c r="Q48" s="89">
        <f t="shared" si="46"/>
        <v>0</v>
      </c>
      <c r="R48" s="89">
        <f t="shared" si="46"/>
        <v>0</v>
      </c>
      <c r="S48" s="89">
        <f t="shared" si="46"/>
        <v>0</v>
      </c>
      <c r="T48" s="89">
        <f t="shared" si="46"/>
        <v>0</v>
      </c>
    </row>
    <row r="49" spans="1:20" s="56" customFormat="1" x14ac:dyDescent="0.3">
      <c r="A49" s="55" t="s">
        <v>67</v>
      </c>
      <c r="B49" s="79" t="s">
        <v>106</v>
      </c>
      <c r="C49" s="39" t="s">
        <v>79</v>
      </c>
      <c r="D49" s="90">
        <v>6036000</v>
      </c>
      <c r="E49" s="84">
        <f t="shared" ref="E49:E51" si="47">+D49/$C$4</f>
        <v>1840243.9024390245</v>
      </c>
      <c r="F49" s="74">
        <v>1</v>
      </c>
      <c r="G49" s="75">
        <f t="shared" ref="G49:G51" si="48">+F49*E49</f>
        <v>1840243.9024390245</v>
      </c>
      <c r="H49" s="75">
        <f t="shared" ref="H49:H51" si="49">+G49*0.8279</f>
        <v>1523537.9268292685</v>
      </c>
      <c r="I49" s="75">
        <f t="shared" ref="I49:I51" si="50">+G49-H49</f>
        <v>316705.97560975607</v>
      </c>
      <c r="J49" s="75">
        <f t="shared" si="2"/>
        <v>1840243.9024390245</v>
      </c>
      <c r="K49" s="75">
        <f t="shared" ref="K49:L51" si="51">+H49*0.3</f>
        <v>457061.37804878055</v>
      </c>
      <c r="L49" s="75">
        <f t="shared" si="51"/>
        <v>95011.792682926825</v>
      </c>
      <c r="M49" s="75">
        <f t="shared" ref="M49:N51" si="52">+H49*0.4</f>
        <v>609415.17073170736</v>
      </c>
      <c r="N49" s="75">
        <f t="shared" si="52"/>
        <v>126682.39024390244</v>
      </c>
      <c r="O49" s="75">
        <f t="shared" ref="O49:P51" si="53">+H49*0.3</f>
        <v>457061.37804878055</v>
      </c>
      <c r="P49" s="75">
        <f t="shared" si="53"/>
        <v>95011.792682926825</v>
      </c>
      <c r="Q49" s="75">
        <v>0</v>
      </c>
      <c r="R49" s="75">
        <v>0</v>
      </c>
      <c r="S49" s="75">
        <v>0</v>
      </c>
      <c r="T49" s="75">
        <v>0</v>
      </c>
    </row>
    <row r="50" spans="1:20" s="76" customFormat="1" x14ac:dyDescent="0.3">
      <c r="A50" s="55" t="s">
        <v>85</v>
      </c>
      <c r="B50" s="79" t="s">
        <v>107</v>
      </c>
      <c r="C50" s="73" t="s">
        <v>79</v>
      </c>
      <c r="D50" s="90">
        <v>9644000</v>
      </c>
      <c r="E50" s="84">
        <f t="shared" si="47"/>
        <v>2940243.9024390248</v>
      </c>
      <c r="F50" s="74">
        <v>1</v>
      </c>
      <c r="G50" s="75">
        <f t="shared" si="48"/>
        <v>2940243.9024390248</v>
      </c>
      <c r="H50" s="75">
        <f t="shared" si="49"/>
        <v>2434227.9268292687</v>
      </c>
      <c r="I50" s="75">
        <f t="shared" si="50"/>
        <v>506015.97560975607</v>
      </c>
      <c r="J50" s="75">
        <f t="shared" si="2"/>
        <v>2940243.9024390248</v>
      </c>
      <c r="K50" s="75">
        <f t="shared" si="51"/>
        <v>730268.37804878061</v>
      </c>
      <c r="L50" s="75">
        <f t="shared" si="51"/>
        <v>151804.79268292681</v>
      </c>
      <c r="M50" s="75">
        <f t="shared" si="52"/>
        <v>973691.17073170748</v>
      </c>
      <c r="N50" s="75">
        <f t="shared" si="52"/>
        <v>202406.39024390245</v>
      </c>
      <c r="O50" s="75">
        <f t="shared" si="53"/>
        <v>730268.37804878061</v>
      </c>
      <c r="P50" s="75">
        <f t="shared" si="53"/>
        <v>151804.79268292681</v>
      </c>
      <c r="Q50" s="75">
        <v>0</v>
      </c>
      <c r="R50" s="75">
        <v>0</v>
      </c>
      <c r="S50" s="75">
        <v>0</v>
      </c>
      <c r="T50" s="75">
        <v>0</v>
      </c>
    </row>
    <row r="51" spans="1:20" s="58" customFormat="1" x14ac:dyDescent="0.2">
      <c r="A51" s="55" t="s">
        <v>86</v>
      </c>
      <c r="B51" s="79" t="s">
        <v>108</v>
      </c>
      <c r="C51" s="73" t="s">
        <v>79</v>
      </c>
      <c r="D51" s="90">
        <v>2758000</v>
      </c>
      <c r="E51" s="84">
        <f t="shared" si="47"/>
        <v>840853.6585365854</v>
      </c>
      <c r="F51" s="74">
        <v>1</v>
      </c>
      <c r="G51" s="75">
        <f t="shared" si="48"/>
        <v>840853.6585365854</v>
      </c>
      <c r="H51" s="75">
        <f t="shared" si="49"/>
        <v>696142.74390243902</v>
      </c>
      <c r="I51" s="75">
        <f t="shared" si="50"/>
        <v>144710.91463414638</v>
      </c>
      <c r="J51" s="75">
        <f t="shared" si="2"/>
        <v>840853.65853658528</v>
      </c>
      <c r="K51" s="75">
        <f t="shared" si="51"/>
        <v>208842.82317073169</v>
      </c>
      <c r="L51" s="75">
        <f t="shared" si="51"/>
        <v>43413.274390243911</v>
      </c>
      <c r="M51" s="75">
        <f t="shared" si="52"/>
        <v>278457.09756097564</v>
      </c>
      <c r="N51" s="75">
        <f t="shared" si="52"/>
        <v>57884.365853658557</v>
      </c>
      <c r="O51" s="75">
        <f t="shared" si="53"/>
        <v>208842.82317073169</v>
      </c>
      <c r="P51" s="75">
        <f t="shared" si="53"/>
        <v>43413.274390243911</v>
      </c>
      <c r="Q51" s="75">
        <v>0</v>
      </c>
      <c r="R51" s="75">
        <v>0</v>
      </c>
      <c r="S51" s="75">
        <v>0</v>
      </c>
      <c r="T51" s="75">
        <v>0</v>
      </c>
    </row>
    <row r="52" spans="1:20" s="18" customFormat="1" ht="30.6" x14ac:dyDescent="0.2">
      <c r="A52" s="38">
        <v>2.2000000000000002</v>
      </c>
      <c r="B52" s="101" t="s">
        <v>209</v>
      </c>
      <c r="C52" s="87"/>
      <c r="D52" s="87"/>
      <c r="E52" s="87"/>
      <c r="F52" s="88"/>
      <c r="G52" s="89">
        <f>SUM(G53:G55)</f>
        <v>1984756.0975609757</v>
      </c>
      <c r="H52" s="89">
        <f>SUM(H53:H55)</f>
        <v>1643179.5731707318</v>
      </c>
      <c r="I52" s="89">
        <f>SUM(I53:I55)</f>
        <v>341576.52439024404</v>
      </c>
      <c r="J52" s="89">
        <f t="shared" si="2"/>
        <v>1984756.0975609759</v>
      </c>
      <c r="K52" s="89">
        <f t="shared" ref="K52:T52" si="54">SUM(K53:K55)</f>
        <v>492953.87195121951</v>
      </c>
      <c r="L52" s="89">
        <f t="shared" si="54"/>
        <v>102472.9573170732</v>
      </c>
      <c r="M52" s="89">
        <f t="shared" si="54"/>
        <v>657271.82926829264</v>
      </c>
      <c r="N52" s="89">
        <f t="shared" si="54"/>
        <v>136630.60975609763</v>
      </c>
      <c r="O52" s="89">
        <f t="shared" si="54"/>
        <v>492953.87195121951</v>
      </c>
      <c r="P52" s="89">
        <f t="shared" si="54"/>
        <v>102472.9573170732</v>
      </c>
      <c r="Q52" s="89">
        <f t="shared" si="54"/>
        <v>0</v>
      </c>
      <c r="R52" s="89">
        <f t="shared" si="54"/>
        <v>0</v>
      </c>
      <c r="S52" s="89">
        <f t="shared" si="54"/>
        <v>0</v>
      </c>
      <c r="T52" s="89">
        <f t="shared" si="54"/>
        <v>0</v>
      </c>
    </row>
    <row r="53" spans="1:20" s="58" customFormat="1" x14ac:dyDescent="0.2">
      <c r="A53" s="55" t="s">
        <v>84</v>
      </c>
      <c r="B53" s="79" t="s">
        <v>211</v>
      </c>
      <c r="C53" s="73" t="s">
        <v>79</v>
      </c>
      <c r="D53" s="90">
        <v>4900000</v>
      </c>
      <c r="E53" s="84">
        <f t="shared" ref="E53:E66" si="55">+D53/$C$4</f>
        <v>1493902.4390243904</v>
      </c>
      <c r="F53" s="74">
        <v>1</v>
      </c>
      <c r="G53" s="75">
        <f t="shared" ref="G53:G55" si="56">+F53*E53</f>
        <v>1493902.4390243904</v>
      </c>
      <c r="H53" s="75">
        <f t="shared" ref="H53:H55" si="57">+G53*0.8279</f>
        <v>1236801.8292682928</v>
      </c>
      <c r="I53" s="75">
        <f t="shared" ref="I53:I55" si="58">+G53-H53</f>
        <v>257100.60975609766</v>
      </c>
      <c r="J53" s="75">
        <f t="shared" si="2"/>
        <v>1493902.4390243902</v>
      </c>
      <c r="K53" s="75">
        <f t="shared" ref="K53:L55" si="59">+H53*0.3</f>
        <v>371040.54878048779</v>
      </c>
      <c r="L53" s="75">
        <f t="shared" si="59"/>
        <v>77130.182926829293</v>
      </c>
      <c r="M53" s="75">
        <f t="shared" ref="M53:N55" si="60">+H53*0.4</f>
        <v>494720.73170731711</v>
      </c>
      <c r="N53" s="75">
        <f t="shared" si="60"/>
        <v>102840.24390243908</v>
      </c>
      <c r="O53" s="75">
        <f t="shared" ref="O53:P55" si="61">+H53*0.3</f>
        <v>371040.54878048779</v>
      </c>
      <c r="P53" s="75">
        <f t="shared" si="61"/>
        <v>77130.182926829293</v>
      </c>
      <c r="Q53" s="75">
        <v>0</v>
      </c>
      <c r="R53" s="75">
        <v>0</v>
      </c>
      <c r="S53" s="75">
        <v>0</v>
      </c>
      <c r="T53" s="75">
        <v>0</v>
      </c>
    </row>
    <row r="54" spans="1:20" s="58" customFormat="1" x14ac:dyDescent="0.2">
      <c r="A54" s="55" t="s">
        <v>68</v>
      </c>
      <c r="B54" s="79" t="s">
        <v>109</v>
      </c>
      <c r="C54" s="73" t="s">
        <v>79</v>
      </c>
      <c r="D54" s="90">
        <v>1360000</v>
      </c>
      <c r="E54" s="84">
        <f t="shared" si="55"/>
        <v>414634.14634146343</v>
      </c>
      <c r="F54" s="74">
        <v>1</v>
      </c>
      <c r="G54" s="75">
        <f t="shared" si="56"/>
        <v>414634.14634146343</v>
      </c>
      <c r="H54" s="75">
        <f t="shared" si="57"/>
        <v>343275.60975609755</v>
      </c>
      <c r="I54" s="75">
        <f t="shared" si="58"/>
        <v>71358.536585365888</v>
      </c>
      <c r="J54" s="75">
        <f t="shared" si="2"/>
        <v>414634.14634146343</v>
      </c>
      <c r="K54" s="75">
        <f t="shared" si="59"/>
        <v>102982.68292682926</v>
      </c>
      <c r="L54" s="75">
        <f t="shared" si="59"/>
        <v>21407.560975609766</v>
      </c>
      <c r="M54" s="75">
        <f t="shared" si="60"/>
        <v>137310.24390243902</v>
      </c>
      <c r="N54" s="75">
        <f t="shared" si="60"/>
        <v>28543.414634146357</v>
      </c>
      <c r="O54" s="75">
        <f t="shared" si="61"/>
        <v>102982.68292682926</v>
      </c>
      <c r="P54" s="75">
        <f t="shared" si="61"/>
        <v>21407.560975609766</v>
      </c>
      <c r="Q54" s="75">
        <v>0</v>
      </c>
      <c r="R54" s="75">
        <v>0</v>
      </c>
      <c r="S54" s="75">
        <v>0</v>
      </c>
      <c r="T54" s="75">
        <v>0</v>
      </c>
    </row>
    <row r="55" spans="1:20" s="58" customFormat="1" x14ac:dyDescent="0.2">
      <c r="A55" s="72" t="s">
        <v>110</v>
      </c>
      <c r="B55" s="79" t="s">
        <v>210</v>
      </c>
      <c r="C55" s="73" t="s">
        <v>79</v>
      </c>
      <c r="D55" s="90">
        <v>250000</v>
      </c>
      <c r="E55" s="84">
        <f t="shared" si="55"/>
        <v>76219.512195121963</v>
      </c>
      <c r="F55" s="74">
        <v>1</v>
      </c>
      <c r="G55" s="75">
        <f t="shared" si="56"/>
        <v>76219.512195121963</v>
      </c>
      <c r="H55" s="75">
        <f t="shared" si="57"/>
        <v>63102.134146341472</v>
      </c>
      <c r="I55" s="75">
        <f t="shared" si="58"/>
        <v>13117.378048780491</v>
      </c>
      <c r="J55" s="75">
        <f t="shared" si="2"/>
        <v>76219.512195121948</v>
      </c>
      <c r="K55" s="75">
        <f t="shared" si="59"/>
        <v>18930.640243902442</v>
      </c>
      <c r="L55" s="75">
        <f t="shared" si="59"/>
        <v>3935.2134146341468</v>
      </c>
      <c r="M55" s="75">
        <f t="shared" si="60"/>
        <v>25240.853658536591</v>
      </c>
      <c r="N55" s="75">
        <f t="shared" si="60"/>
        <v>5246.951219512197</v>
      </c>
      <c r="O55" s="75">
        <f t="shared" si="61"/>
        <v>18930.640243902442</v>
      </c>
      <c r="P55" s="75">
        <f t="shared" si="61"/>
        <v>3935.2134146341468</v>
      </c>
      <c r="Q55" s="75">
        <v>0</v>
      </c>
      <c r="R55" s="75">
        <v>0</v>
      </c>
      <c r="S55" s="75">
        <v>0</v>
      </c>
      <c r="T55" s="75">
        <v>0</v>
      </c>
    </row>
    <row r="56" spans="1:20" s="18" customFormat="1" x14ac:dyDescent="0.2">
      <c r="A56" s="38">
        <v>2.2999999999999998</v>
      </c>
      <c r="B56" s="86" t="s">
        <v>212</v>
      </c>
      <c r="C56" s="87"/>
      <c r="D56" s="87"/>
      <c r="E56" s="87"/>
      <c r="F56" s="88"/>
      <c r="G56" s="89">
        <f>SUM(G57:G59)</f>
        <v>1651219.512195122</v>
      </c>
      <c r="H56" s="89">
        <f>SUM(H57:H59)</f>
        <v>1367044.6341463416</v>
      </c>
      <c r="I56" s="89">
        <f>SUM(I57:I59)</f>
        <v>284174.87804878049</v>
      </c>
      <c r="J56" s="89">
        <f t="shared" si="2"/>
        <v>1651219.512195122</v>
      </c>
      <c r="K56" s="89">
        <f t="shared" ref="K56:T56" si="62">SUM(K57:K59)</f>
        <v>410113.39024390245</v>
      </c>
      <c r="L56" s="89">
        <f t="shared" si="62"/>
        <v>85252.463414634156</v>
      </c>
      <c r="M56" s="89">
        <f t="shared" si="62"/>
        <v>546817.85365853668</v>
      </c>
      <c r="N56" s="89">
        <f t="shared" si="62"/>
        <v>113669.95121951221</v>
      </c>
      <c r="O56" s="89">
        <f t="shared" si="62"/>
        <v>410113.39024390245</v>
      </c>
      <c r="P56" s="89">
        <f t="shared" si="62"/>
        <v>85252.463414634156</v>
      </c>
      <c r="Q56" s="89">
        <f t="shared" si="62"/>
        <v>0</v>
      </c>
      <c r="R56" s="89">
        <f t="shared" si="62"/>
        <v>0</v>
      </c>
      <c r="S56" s="89">
        <f t="shared" si="62"/>
        <v>0</v>
      </c>
      <c r="T56" s="89">
        <f t="shared" si="62"/>
        <v>0</v>
      </c>
    </row>
    <row r="57" spans="1:20" s="58" customFormat="1" x14ac:dyDescent="0.2">
      <c r="A57" s="55" t="s">
        <v>111</v>
      </c>
      <c r="B57" s="79" t="s">
        <v>114</v>
      </c>
      <c r="C57" s="73" t="s">
        <v>79</v>
      </c>
      <c r="D57" s="90">
        <v>2928000</v>
      </c>
      <c r="E57" s="84">
        <f t="shared" si="55"/>
        <v>892682.92682926834</v>
      </c>
      <c r="F57" s="74">
        <v>1</v>
      </c>
      <c r="G57" s="75">
        <f t="shared" ref="G57:G59" si="63">+F57*E57</f>
        <v>892682.92682926834</v>
      </c>
      <c r="H57" s="75">
        <f t="shared" ref="H57:H59" si="64">+G57*0.8279</f>
        <v>739052.19512195128</v>
      </c>
      <c r="I57" s="75">
        <f t="shared" ref="I57:I59" si="65">+G57-H57</f>
        <v>153630.73170731706</v>
      </c>
      <c r="J57" s="75">
        <f t="shared" si="2"/>
        <v>892682.92682926834</v>
      </c>
      <c r="K57" s="75">
        <f t="shared" ref="K57:L59" si="66">+H57*0.3</f>
        <v>221715.65853658537</v>
      </c>
      <c r="L57" s="75">
        <f t="shared" si="66"/>
        <v>46089.219512195115</v>
      </c>
      <c r="M57" s="75">
        <f t="shared" ref="M57:N59" si="67">+H57*0.4</f>
        <v>295620.87804878055</v>
      </c>
      <c r="N57" s="75">
        <f t="shared" si="67"/>
        <v>61452.292682926825</v>
      </c>
      <c r="O57" s="75">
        <f t="shared" ref="O57:P59" si="68">+H57*0.3</f>
        <v>221715.65853658537</v>
      </c>
      <c r="P57" s="75">
        <f t="shared" si="68"/>
        <v>46089.219512195115</v>
      </c>
      <c r="Q57" s="75">
        <v>0</v>
      </c>
      <c r="R57" s="75">
        <v>0</v>
      </c>
      <c r="S57" s="75">
        <v>0</v>
      </c>
      <c r="T57" s="75">
        <v>0</v>
      </c>
    </row>
    <row r="58" spans="1:20" s="58" customFormat="1" x14ac:dyDescent="0.2">
      <c r="A58" s="55" t="s">
        <v>112</v>
      </c>
      <c r="B58" s="79" t="s">
        <v>115</v>
      </c>
      <c r="C58" s="73" t="s">
        <v>79</v>
      </c>
      <c r="D58" s="90">
        <v>1988000</v>
      </c>
      <c r="E58" s="84">
        <f t="shared" si="55"/>
        <v>606097.56097560981</v>
      </c>
      <c r="F58" s="74">
        <v>1</v>
      </c>
      <c r="G58" s="75">
        <f t="shared" si="63"/>
        <v>606097.56097560981</v>
      </c>
      <c r="H58" s="75">
        <f t="shared" si="64"/>
        <v>501788.17073170736</v>
      </c>
      <c r="I58" s="75">
        <f t="shared" si="65"/>
        <v>104309.39024390245</v>
      </c>
      <c r="J58" s="75">
        <f t="shared" si="2"/>
        <v>606097.56097560981</v>
      </c>
      <c r="K58" s="75">
        <f t="shared" si="66"/>
        <v>150536.45121951221</v>
      </c>
      <c r="L58" s="75">
        <f t="shared" si="66"/>
        <v>31292.817073170736</v>
      </c>
      <c r="M58" s="75">
        <f t="shared" si="67"/>
        <v>200715.26829268294</v>
      </c>
      <c r="N58" s="75">
        <f t="shared" si="67"/>
        <v>41723.756097560981</v>
      </c>
      <c r="O58" s="75">
        <f t="shared" si="68"/>
        <v>150536.45121951221</v>
      </c>
      <c r="P58" s="75">
        <f t="shared" si="68"/>
        <v>31292.817073170736</v>
      </c>
      <c r="Q58" s="75">
        <v>0</v>
      </c>
      <c r="R58" s="75">
        <v>0</v>
      </c>
      <c r="S58" s="75">
        <v>0</v>
      </c>
      <c r="T58" s="75">
        <v>0</v>
      </c>
    </row>
    <row r="59" spans="1:20" s="58" customFormat="1" x14ac:dyDescent="0.2">
      <c r="A59" s="72" t="s">
        <v>113</v>
      </c>
      <c r="B59" s="79" t="s">
        <v>213</v>
      </c>
      <c r="C59" s="73" t="s">
        <v>79</v>
      </c>
      <c r="D59" s="90">
        <v>500000</v>
      </c>
      <c r="E59" s="84">
        <f t="shared" si="55"/>
        <v>152439.02439024393</v>
      </c>
      <c r="F59" s="74">
        <v>1</v>
      </c>
      <c r="G59" s="75">
        <f t="shared" si="63"/>
        <v>152439.02439024393</v>
      </c>
      <c r="H59" s="75">
        <f t="shared" si="64"/>
        <v>126204.26829268294</v>
      </c>
      <c r="I59" s="75">
        <f t="shared" si="65"/>
        <v>26234.756097560981</v>
      </c>
      <c r="J59" s="75">
        <f t="shared" si="2"/>
        <v>152439.0243902439</v>
      </c>
      <c r="K59" s="75">
        <f t="shared" si="66"/>
        <v>37861.280487804885</v>
      </c>
      <c r="L59" s="75">
        <f t="shared" si="66"/>
        <v>7870.4268292682937</v>
      </c>
      <c r="M59" s="75">
        <f t="shared" si="67"/>
        <v>50481.707317073182</v>
      </c>
      <c r="N59" s="75">
        <f t="shared" si="67"/>
        <v>10493.902439024394</v>
      </c>
      <c r="O59" s="75">
        <f t="shared" si="68"/>
        <v>37861.280487804885</v>
      </c>
      <c r="P59" s="75">
        <f t="shared" si="68"/>
        <v>7870.4268292682937</v>
      </c>
      <c r="Q59" s="75">
        <v>0</v>
      </c>
      <c r="R59" s="75">
        <v>0</v>
      </c>
      <c r="S59" s="75">
        <v>0</v>
      </c>
      <c r="T59" s="75">
        <v>0</v>
      </c>
    </row>
    <row r="60" spans="1:20" s="18" customFormat="1" ht="30.6" x14ac:dyDescent="0.2">
      <c r="A60" s="38">
        <v>2.4</v>
      </c>
      <c r="B60" s="101" t="s">
        <v>216</v>
      </c>
      <c r="C60" s="87"/>
      <c r="D60" s="87"/>
      <c r="E60" s="87"/>
      <c r="F60" s="88"/>
      <c r="G60" s="89">
        <f>+G61+G62</f>
        <v>2395731.7073170734</v>
      </c>
      <c r="H60" s="89">
        <f>+H61+H62</f>
        <v>1983426.2804878049</v>
      </c>
      <c r="I60" s="89">
        <f>+I61+I62</f>
        <v>412305.42682926846</v>
      </c>
      <c r="J60" s="89">
        <f t="shared" si="2"/>
        <v>2395731.7073170734</v>
      </c>
      <c r="K60" s="89">
        <f t="shared" ref="K60:T60" si="69">+K61+K62</f>
        <v>1586741.0243902439</v>
      </c>
      <c r="L60" s="89">
        <f t="shared" si="69"/>
        <v>329844.34146341478</v>
      </c>
      <c r="M60" s="89">
        <f t="shared" si="69"/>
        <v>396685.25609756098</v>
      </c>
      <c r="N60" s="89">
        <f t="shared" si="69"/>
        <v>82461.085365853694</v>
      </c>
      <c r="O60" s="89">
        <f t="shared" si="69"/>
        <v>0</v>
      </c>
      <c r="P60" s="89">
        <f t="shared" si="69"/>
        <v>0</v>
      </c>
      <c r="Q60" s="89">
        <f t="shared" si="69"/>
        <v>0</v>
      </c>
      <c r="R60" s="89">
        <f t="shared" si="69"/>
        <v>0</v>
      </c>
      <c r="S60" s="89">
        <f t="shared" si="69"/>
        <v>0</v>
      </c>
      <c r="T60" s="89">
        <f t="shared" si="69"/>
        <v>0</v>
      </c>
    </row>
    <row r="61" spans="1:20" s="58" customFormat="1" x14ac:dyDescent="0.2">
      <c r="A61" s="55" t="s">
        <v>87</v>
      </c>
      <c r="B61" s="79" t="s">
        <v>214</v>
      </c>
      <c r="C61" s="73" t="s">
        <v>79</v>
      </c>
      <c r="D61" s="91">
        <v>7358000</v>
      </c>
      <c r="E61" s="84">
        <f t="shared" si="55"/>
        <v>2243292.6829268294</v>
      </c>
      <c r="F61" s="74">
        <v>1</v>
      </c>
      <c r="G61" s="75">
        <f t="shared" ref="G61:G62" si="70">+F61*E61</f>
        <v>2243292.6829268294</v>
      </c>
      <c r="H61" s="75">
        <f t="shared" ref="H61:H62" si="71">+G61*0.8279</f>
        <v>1857222.012195122</v>
      </c>
      <c r="I61" s="75">
        <f t="shared" ref="I61:I62" si="72">+G61-H61</f>
        <v>386070.67073170748</v>
      </c>
      <c r="J61" s="75">
        <f t="shared" si="2"/>
        <v>2243292.6829268294</v>
      </c>
      <c r="K61" s="75">
        <f>+H61*0.8</f>
        <v>1485777.6097560977</v>
      </c>
      <c r="L61" s="75">
        <f>+I61*0.8</f>
        <v>308856.536585366</v>
      </c>
      <c r="M61" s="75">
        <f>+H61*0.2</f>
        <v>371444.40243902442</v>
      </c>
      <c r="N61" s="75">
        <f>+I61*0.2</f>
        <v>77214.134146341501</v>
      </c>
      <c r="O61" s="75">
        <v>0</v>
      </c>
      <c r="P61" s="75">
        <v>0</v>
      </c>
      <c r="Q61" s="75">
        <v>0</v>
      </c>
      <c r="R61" s="75">
        <v>0</v>
      </c>
      <c r="S61" s="75">
        <v>0</v>
      </c>
      <c r="T61" s="75">
        <v>0</v>
      </c>
    </row>
    <row r="62" spans="1:20" s="58" customFormat="1" x14ac:dyDescent="0.2">
      <c r="A62" s="55" t="s">
        <v>88</v>
      </c>
      <c r="B62" s="79" t="s">
        <v>215</v>
      </c>
      <c r="C62" s="73" t="s">
        <v>79</v>
      </c>
      <c r="D62" s="91">
        <v>500000</v>
      </c>
      <c r="E62" s="84">
        <f t="shared" si="55"/>
        <v>152439.02439024393</v>
      </c>
      <c r="F62" s="74">
        <v>1</v>
      </c>
      <c r="G62" s="75">
        <f t="shared" si="70"/>
        <v>152439.02439024393</v>
      </c>
      <c r="H62" s="75">
        <f t="shared" si="71"/>
        <v>126204.26829268294</v>
      </c>
      <c r="I62" s="75">
        <f t="shared" si="72"/>
        <v>26234.756097560981</v>
      </c>
      <c r="J62" s="75">
        <f t="shared" si="2"/>
        <v>152439.02439024395</v>
      </c>
      <c r="K62" s="75">
        <f>+H62*0.8</f>
        <v>100963.41463414636</v>
      </c>
      <c r="L62" s="75">
        <f>+I62*0.8</f>
        <v>20987.804878048788</v>
      </c>
      <c r="M62" s="75">
        <f>+H62*0.2</f>
        <v>25240.853658536591</v>
      </c>
      <c r="N62" s="75">
        <f>+I62*0.2</f>
        <v>5246.951219512197</v>
      </c>
      <c r="O62" s="75">
        <v>0</v>
      </c>
      <c r="P62" s="75">
        <v>0</v>
      </c>
      <c r="Q62" s="75">
        <v>0</v>
      </c>
      <c r="R62" s="75">
        <v>0</v>
      </c>
      <c r="S62" s="75">
        <v>0</v>
      </c>
      <c r="T62" s="75">
        <v>0</v>
      </c>
    </row>
    <row r="63" spans="1:20" s="18" customFormat="1" x14ac:dyDescent="0.2">
      <c r="A63" s="38">
        <v>2.5</v>
      </c>
      <c r="B63" s="86" t="s">
        <v>218</v>
      </c>
      <c r="C63" s="87"/>
      <c r="D63" s="87"/>
      <c r="E63" s="87"/>
      <c r="F63" s="88"/>
      <c r="G63" s="89">
        <f>SUM(G64:G66)</f>
        <v>2849883.079268293</v>
      </c>
      <c r="H63" s="89">
        <f t="shared" ref="H63:I63" si="73">SUM(H64:H66)</f>
        <v>2359418.2013262194</v>
      </c>
      <c r="I63" s="89">
        <f t="shared" si="73"/>
        <v>490464.87794207316</v>
      </c>
      <c r="J63" s="89">
        <f t="shared" si="2"/>
        <v>2849883.0792682925</v>
      </c>
      <c r="K63" s="89">
        <f t="shared" ref="K63:T63" si="74">SUM(K64:K66)</f>
        <v>1056403.731792683</v>
      </c>
      <c r="L63" s="89">
        <f t="shared" si="74"/>
        <v>219600.292597561</v>
      </c>
      <c r="M63" s="89">
        <f t="shared" si="74"/>
        <v>804335.97197256109</v>
      </c>
      <c r="N63" s="89">
        <f t="shared" si="74"/>
        <v>167201.61949085369</v>
      </c>
      <c r="O63" s="89">
        <f t="shared" si="74"/>
        <v>498678.49756097561</v>
      </c>
      <c r="P63" s="89">
        <f t="shared" si="74"/>
        <v>103662.96585365852</v>
      </c>
      <c r="Q63" s="89">
        <f t="shared" si="74"/>
        <v>0</v>
      </c>
      <c r="R63" s="89">
        <f t="shared" si="74"/>
        <v>0</v>
      </c>
      <c r="S63" s="89">
        <f t="shared" si="74"/>
        <v>0</v>
      </c>
      <c r="T63" s="89">
        <f t="shared" si="74"/>
        <v>0</v>
      </c>
    </row>
    <row r="64" spans="1:20" s="58" customFormat="1" x14ac:dyDescent="0.2">
      <c r="A64" s="55" t="s">
        <v>118</v>
      </c>
      <c r="B64" s="79" t="s">
        <v>219</v>
      </c>
      <c r="C64" s="73" t="s">
        <v>79</v>
      </c>
      <c r="D64" s="91">
        <v>2762016.5</v>
      </c>
      <c r="E64" s="84">
        <f t="shared" si="55"/>
        <v>842078.20121951227</v>
      </c>
      <c r="F64" s="74">
        <v>1</v>
      </c>
      <c r="G64" s="75">
        <f t="shared" ref="G64:G66" si="75">+F64*E64</f>
        <v>842078.20121951227</v>
      </c>
      <c r="H64" s="75">
        <f t="shared" ref="H64:H66" si="76">+G64*0.8279</f>
        <v>697156.5427896342</v>
      </c>
      <c r="I64" s="75">
        <f t="shared" ref="I64:I66" si="77">+G64-H64</f>
        <v>144921.65842987807</v>
      </c>
      <c r="J64" s="75">
        <f t="shared" si="2"/>
        <v>842078.20121951238</v>
      </c>
      <c r="K64" s="75">
        <f>+H64*0.8</f>
        <v>557725.23423170741</v>
      </c>
      <c r="L64" s="75">
        <f>+I64*0.8</f>
        <v>115937.32674390246</v>
      </c>
      <c r="M64" s="75">
        <f>+H64*0.2</f>
        <v>139431.30855792685</v>
      </c>
      <c r="N64" s="75">
        <f>+I64*0.2</f>
        <v>28984.331685975616</v>
      </c>
      <c r="O64" s="75">
        <v>0</v>
      </c>
      <c r="P64" s="75">
        <v>0</v>
      </c>
      <c r="Q64" s="75">
        <v>0</v>
      </c>
      <c r="R64" s="75">
        <v>0</v>
      </c>
      <c r="S64" s="75">
        <v>0</v>
      </c>
      <c r="T64" s="75">
        <v>0</v>
      </c>
    </row>
    <row r="65" spans="1:20" s="58" customFormat="1" x14ac:dyDescent="0.2">
      <c r="A65" s="55" t="s">
        <v>119</v>
      </c>
      <c r="B65" s="79" t="s">
        <v>117</v>
      </c>
      <c r="C65" s="73" t="s">
        <v>79</v>
      </c>
      <c r="D65" s="91">
        <v>6348000</v>
      </c>
      <c r="E65" s="84">
        <f t="shared" si="55"/>
        <v>1935365.8536585367</v>
      </c>
      <c r="F65" s="74">
        <v>1</v>
      </c>
      <c r="G65" s="75">
        <f t="shared" si="75"/>
        <v>1935365.8536585367</v>
      </c>
      <c r="H65" s="75">
        <f t="shared" si="76"/>
        <v>1602289.3902439026</v>
      </c>
      <c r="I65" s="75">
        <f t="shared" si="77"/>
        <v>333076.46341463411</v>
      </c>
      <c r="J65" s="75">
        <f t="shared" si="2"/>
        <v>1935365.8536585367</v>
      </c>
      <c r="K65" s="75">
        <f>+H65*0.3</f>
        <v>480686.81707317074</v>
      </c>
      <c r="L65" s="75">
        <f>+I65*0.3</f>
        <v>99922.939024390231</v>
      </c>
      <c r="M65" s="75">
        <f>+H65*0.4</f>
        <v>640915.7560975611</v>
      </c>
      <c r="N65" s="75">
        <f>+I65*0.4</f>
        <v>133230.58536585365</v>
      </c>
      <c r="O65" s="75">
        <f>+H65*0.3</f>
        <v>480686.81707317074</v>
      </c>
      <c r="P65" s="75">
        <f>+I65*0.3</f>
        <v>99922.939024390231</v>
      </c>
      <c r="Q65" s="75">
        <v>0</v>
      </c>
      <c r="R65" s="75">
        <v>0</v>
      </c>
      <c r="S65" s="75">
        <v>0</v>
      </c>
      <c r="T65" s="75">
        <v>0</v>
      </c>
    </row>
    <row r="66" spans="1:20" s="58" customFormat="1" x14ac:dyDescent="0.2">
      <c r="A66" s="55" t="s">
        <v>217</v>
      </c>
      <c r="B66" s="105" t="s">
        <v>220</v>
      </c>
      <c r="C66" s="73" t="s">
        <v>79</v>
      </c>
      <c r="D66" s="91">
        <v>237600</v>
      </c>
      <c r="E66" s="84">
        <f t="shared" si="55"/>
        <v>72439.024390243911</v>
      </c>
      <c r="F66" s="74">
        <v>1</v>
      </c>
      <c r="G66" s="75">
        <f t="shared" si="75"/>
        <v>72439.024390243911</v>
      </c>
      <c r="H66" s="75">
        <f t="shared" si="76"/>
        <v>59972.268292682929</v>
      </c>
      <c r="I66" s="75">
        <f t="shared" si="77"/>
        <v>12466.756097560981</v>
      </c>
      <c r="J66" s="75">
        <f t="shared" si="2"/>
        <v>72439.024390243896</v>
      </c>
      <c r="K66" s="75">
        <f>+H66*0.3</f>
        <v>17991.680487804879</v>
      </c>
      <c r="L66" s="75">
        <f>+I66*0.3</f>
        <v>3740.026829268294</v>
      </c>
      <c r="M66" s="75">
        <f>+H66*0.4</f>
        <v>23988.907317073172</v>
      </c>
      <c r="N66" s="75">
        <f>+I66*0.4</f>
        <v>4986.7024390243932</v>
      </c>
      <c r="O66" s="75">
        <f>+H66*0.3</f>
        <v>17991.680487804879</v>
      </c>
      <c r="P66" s="75">
        <f>+I66*0.3</f>
        <v>3740.026829268294</v>
      </c>
      <c r="Q66" s="75">
        <v>0</v>
      </c>
      <c r="R66" s="75">
        <v>0</v>
      </c>
      <c r="S66" s="75">
        <v>0</v>
      </c>
      <c r="T66" s="75">
        <v>0</v>
      </c>
    </row>
    <row r="67" spans="1:20" s="18" customFormat="1" x14ac:dyDescent="0.2">
      <c r="A67" s="38">
        <v>3</v>
      </c>
      <c r="B67" s="120" t="s">
        <v>344</v>
      </c>
      <c r="C67" s="120"/>
      <c r="D67" s="120"/>
      <c r="E67" s="120"/>
      <c r="F67" s="120"/>
      <c r="G67" s="94">
        <f>+G68+G80+G84+G96+G99+G101+G105</f>
        <v>24348667.68292683</v>
      </c>
      <c r="H67" s="94">
        <f>+H68+H80+H84+H96+H99+H101+H105</f>
        <v>20158261.97469512</v>
      </c>
      <c r="I67" s="94">
        <f>+I68+I80+I84+I96+I99+I101+I105</f>
        <v>4190405.7082317076</v>
      </c>
      <c r="J67" s="94">
        <f t="shared" si="2"/>
        <v>24314592.471341461</v>
      </c>
      <c r="K67" s="94">
        <f t="shared" ref="K67:T67" si="78">+K68+K80+K84+K96+K99+K101+K105</f>
        <v>5742498.0172195118</v>
      </c>
      <c r="L67" s="94">
        <f t="shared" si="78"/>
        <v>1064615.1228719512</v>
      </c>
      <c r="M67" s="94">
        <f t="shared" si="78"/>
        <v>7102261.3775560977</v>
      </c>
      <c r="N67" s="94">
        <f t="shared" si="78"/>
        <v>1349706.8405841466</v>
      </c>
      <c r="O67" s="94">
        <f t="shared" si="78"/>
        <v>2725842.7339341464</v>
      </c>
      <c r="P67" s="94">
        <f t="shared" si="78"/>
        <v>601003.35737682937</v>
      </c>
      <c r="Q67" s="94">
        <f t="shared" si="78"/>
        <v>3929793.3887999998</v>
      </c>
      <c r="R67" s="94">
        <f t="shared" si="78"/>
        <v>1005568.4829987806</v>
      </c>
      <c r="S67" s="94">
        <f t="shared" si="78"/>
        <v>657866.64560000005</v>
      </c>
      <c r="T67" s="94">
        <f t="shared" si="78"/>
        <v>135436.50440000001</v>
      </c>
    </row>
    <row r="68" spans="1:20" s="18" customFormat="1" x14ac:dyDescent="0.2">
      <c r="A68" s="38">
        <v>3.1</v>
      </c>
      <c r="B68" s="86" t="s">
        <v>221</v>
      </c>
      <c r="C68" s="87"/>
      <c r="D68" s="87"/>
      <c r="E68" s="87"/>
      <c r="F68" s="88"/>
      <c r="G68" s="89">
        <f>SUM(G69:G79)</f>
        <v>2600320</v>
      </c>
      <c r="H68" s="89">
        <f>SUM(H69:H79)</f>
        <v>2152804.9279999998</v>
      </c>
      <c r="I68" s="89">
        <f>SUM(I69:I79)</f>
        <v>447515.07199999999</v>
      </c>
      <c r="J68" s="89">
        <f t="shared" si="2"/>
        <v>2566244.2000000002</v>
      </c>
      <c r="K68" s="89">
        <f t="shared" ref="K68:T68" si="79">SUM(K69:K79)</f>
        <v>1335402.7</v>
      </c>
      <c r="L68" s="89">
        <f t="shared" si="79"/>
        <v>277597.3</v>
      </c>
      <c r="M68" s="89">
        <f t="shared" si="79"/>
        <v>327848.40000000002</v>
      </c>
      <c r="N68" s="89">
        <f t="shared" si="79"/>
        <v>34075.800000000003</v>
      </c>
      <c r="O68" s="89">
        <f t="shared" si="79"/>
        <v>272763.24560000002</v>
      </c>
      <c r="P68" s="89">
        <f t="shared" si="79"/>
        <v>56700.754400000005</v>
      </c>
      <c r="Q68" s="89">
        <f t="shared" si="79"/>
        <v>162592.9368</v>
      </c>
      <c r="R68" s="89">
        <f t="shared" si="79"/>
        <v>33799.063199999997</v>
      </c>
      <c r="S68" s="89">
        <f t="shared" si="79"/>
        <v>54197.645600000003</v>
      </c>
      <c r="T68" s="89">
        <f t="shared" si="79"/>
        <v>11266.3544</v>
      </c>
    </row>
    <row r="69" spans="1:20" s="58" customFormat="1" x14ac:dyDescent="0.2">
      <c r="A69" s="72" t="s">
        <v>71</v>
      </c>
      <c r="B69" s="79" t="s">
        <v>222</v>
      </c>
      <c r="C69" s="73" t="s">
        <v>79</v>
      </c>
      <c r="D69" s="90">
        <v>1180800</v>
      </c>
      <c r="E69" s="84">
        <f t="shared" ref="E69:E103" si="80">+D69/$C$4</f>
        <v>360000</v>
      </c>
      <c r="F69" s="74">
        <v>1</v>
      </c>
      <c r="G69" s="75">
        <f t="shared" ref="G69:G127" si="81">+F69*E69</f>
        <v>360000</v>
      </c>
      <c r="H69" s="75">
        <f t="shared" ref="H69:H79" si="82">+G69*0.8279</f>
        <v>298044</v>
      </c>
      <c r="I69" s="75">
        <f t="shared" ref="I69:I79" si="83">+G69-H69</f>
        <v>61956</v>
      </c>
      <c r="J69" s="75">
        <f t="shared" si="2"/>
        <v>360000</v>
      </c>
      <c r="K69" s="75">
        <f t="shared" ref="K69:L71" si="84">+H69</f>
        <v>298044</v>
      </c>
      <c r="L69" s="75">
        <f t="shared" si="84"/>
        <v>61956</v>
      </c>
      <c r="M69" s="75">
        <v>0</v>
      </c>
      <c r="N69" s="75">
        <v>0</v>
      </c>
      <c r="O69" s="75">
        <v>0</v>
      </c>
      <c r="P69" s="75">
        <v>0</v>
      </c>
      <c r="Q69" s="75">
        <v>0</v>
      </c>
      <c r="R69" s="75">
        <v>0</v>
      </c>
      <c r="S69" s="75">
        <v>0</v>
      </c>
      <c r="T69" s="75">
        <v>0</v>
      </c>
    </row>
    <row r="70" spans="1:20" s="58" customFormat="1" x14ac:dyDescent="0.2">
      <c r="A70" s="72" t="s">
        <v>72</v>
      </c>
      <c r="B70" s="79" t="s">
        <v>223</v>
      </c>
      <c r="C70" s="73" t="s">
        <v>79</v>
      </c>
      <c r="D70" s="90">
        <v>983999.99999999988</v>
      </c>
      <c r="E70" s="84">
        <f t="shared" ref="E70:E83" si="85">+D70/$C$4</f>
        <v>300000</v>
      </c>
      <c r="F70" s="74">
        <v>1</v>
      </c>
      <c r="G70" s="75">
        <f t="shared" si="81"/>
        <v>300000</v>
      </c>
      <c r="H70" s="75">
        <f t="shared" si="82"/>
        <v>248370</v>
      </c>
      <c r="I70" s="75">
        <f t="shared" si="83"/>
        <v>51630</v>
      </c>
      <c r="J70" s="75">
        <f t="shared" si="2"/>
        <v>300000</v>
      </c>
      <c r="K70" s="75">
        <f t="shared" si="84"/>
        <v>248370</v>
      </c>
      <c r="L70" s="75">
        <f t="shared" si="84"/>
        <v>51630</v>
      </c>
      <c r="M70" s="75">
        <v>0</v>
      </c>
      <c r="N70" s="75">
        <v>0</v>
      </c>
      <c r="O70" s="75">
        <v>0</v>
      </c>
      <c r="P70" s="75">
        <v>0</v>
      </c>
      <c r="Q70" s="75">
        <v>0</v>
      </c>
      <c r="R70" s="75">
        <v>0</v>
      </c>
      <c r="S70" s="75">
        <v>0</v>
      </c>
      <c r="T70" s="75">
        <v>0</v>
      </c>
    </row>
    <row r="71" spans="1:20" s="58" customFormat="1" x14ac:dyDescent="0.2">
      <c r="A71" s="72" t="s">
        <v>73</v>
      </c>
      <c r="B71" s="79" t="s">
        <v>224</v>
      </c>
      <c r="C71" s="73" t="s">
        <v>79</v>
      </c>
      <c r="D71" s="90">
        <v>656000</v>
      </c>
      <c r="E71" s="84">
        <f t="shared" si="85"/>
        <v>200000</v>
      </c>
      <c r="F71" s="74">
        <v>1</v>
      </c>
      <c r="G71" s="75">
        <f t="shared" si="81"/>
        <v>200000</v>
      </c>
      <c r="H71" s="75">
        <f t="shared" si="82"/>
        <v>165580</v>
      </c>
      <c r="I71" s="75">
        <f t="shared" si="83"/>
        <v>34420</v>
      </c>
      <c r="J71" s="75">
        <f t="shared" si="2"/>
        <v>200000</v>
      </c>
      <c r="K71" s="75">
        <f t="shared" si="84"/>
        <v>165580</v>
      </c>
      <c r="L71" s="75">
        <f t="shared" si="84"/>
        <v>34420</v>
      </c>
      <c r="M71" s="75">
        <v>0</v>
      </c>
      <c r="N71" s="75">
        <v>0</v>
      </c>
      <c r="O71" s="75">
        <v>0</v>
      </c>
      <c r="P71" s="75">
        <v>0</v>
      </c>
      <c r="Q71" s="75">
        <v>0</v>
      </c>
      <c r="R71" s="75">
        <v>0</v>
      </c>
      <c r="S71" s="75">
        <v>0</v>
      </c>
      <c r="T71" s="75">
        <v>0</v>
      </c>
    </row>
    <row r="72" spans="1:20" s="58" customFormat="1" x14ac:dyDescent="0.2">
      <c r="A72" s="72" t="s">
        <v>247</v>
      </c>
      <c r="B72" s="79" t="s">
        <v>225</v>
      </c>
      <c r="C72" s="73" t="s">
        <v>79</v>
      </c>
      <c r="D72" s="90">
        <v>491999.99999999994</v>
      </c>
      <c r="E72" s="84">
        <f t="shared" si="85"/>
        <v>150000</v>
      </c>
      <c r="F72" s="74">
        <v>1</v>
      </c>
      <c r="G72" s="75">
        <f t="shared" si="81"/>
        <v>150000</v>
      </c>
      <c r="H72" s="75">
        <f t="shared" si="82"/>
        <v>124185</v>
      </c>
      <c r="I72" s="75">
        <f t="shared" si="83"/>
        <v>25815</v>
      </c>
      <c r="J72" s="75">
        <f t="shared" si="2"/>
        <v>142255.5</v>
      </c>
      <c r="K72" s="75">
        <v>0</v>
      </c>
      <c r="L72" s="75">
        <v>0</v>
      </c>
      <c r="M72" s="75">
        <f>+H72*0.6</f>
        <v>74511</v>
      </c>
      <c r="N72" s="75">
        <f>+I72*0.3</f>
        <v>7744.5</v>
      </c>
      <c r="O72" s="75">
        <f>+H72*0.4</f>
        <v>49674</v>
      </c>
      <c r="P72" s="75">
        <f>+I72*0.4</f>
        <v>10326</v>
      </c>
      <c r="Q72" s="75">
        <v>0</v>
      </c>
      <c r="R72" s="75">
        <v>0</v>
      </c>
      <c r="S72" s="75">
        <v>0</v>
      </c>
      <c r="T72" s="75">
        <v>0</v>
      </c>
    </row>
    <row r="73" spans="1:20" s="58" customFormat="1" x14ac:dyDescent="0.2">
      <c r="A73" s="72" t="s">
        <v>248</v>
      </c>
      <c r="B73" s="79" t="s">
        <v>226</v>
      </c>
      <c r="C73" s="73" t="s">
        <v>79</v>
      </c>
      <c r="D73" s="90">
        <v>1672800</v>
      </c>
      <c r="E73" s="84">
        <f t="shared" si="85"/>
        <v>510000.00000000006</v>
      </c>
      <c r="F73" s="74">
        <v>1</v>
      </c>
      <c r="G73" s="75">
        <f t="shared" si="81"/>
        <v>510000.00000000006</v>
      </c>
      <c r="H73" s="75">
        <f t="shared" si="82"/>
        <v>422229.00000000006</v>
      </c>
      <c r="I73" s="75">
        <f t="shared" si="83"/>
        <v>87771</v>
      </c>
      <c r="J73" s="75">
        <f t="shared" ref="J73:J136" si="86">SUM(K73:T73)</f>
        <v>483668.70000000007</v>
      </c>
      <c r="K73" s="75">
        <v>0</v>
      </c>
      <c r="L73" s="75">
        <v>0</v>
      </c>
      <c r="M73" s="75">
        <f>+H73*0.6</f>
        <v>253337.40000000002</v>
      </c>
      <c r="N73" s="75">
        <f>+I73*0.3</f>
        <v>26331.3</v>
      </c>
      <c r="O73" s="75">
        <f>+H73*0.4</f>
        <v>168891.60000000003</v>
      </c>
      <c r="P73" s="75">
        <f>+I73*0.4</f>
        <v>35108.400000000001</v>
      </c>
      <c r="Q73" s="75">
        <v>0</v>
      </c>
      <c r="R73" s="75">
        <v>0</v>
      </c>
      <c r="S73" s="75">
        <v>0</v>
      </c>
      <c r="T73" s="75">
        <v>0</v>
      </c>
    </row>
    <row r="74" spans="1:20" s="58" customFormat="1" x14ac:dyDescent="0.2">
      <c r="A74" s="72" t="s">
        <v>249</v>
      </c>
      <c r="B74" s="79" t="s">
        <v>227</v>
      </c>
      <c r="C74" s="73" t="s">
        <v>79</v>
      </c>
      <c r="D74" s="90">
        <v>1312000</v>
      </c>
      <c r="E74" s="84">
        <f t="shared" si="85"/>
        <v>400000</v>
      </c>
      <c r="F74" s="74">
        <v>1</v>
      </c>
      <c r="G74" s="75">
        <f t="shared" si="81"/>
        <v>400000</v>
      </c>
      <c r="H74" s="75">
        <f t="shared" si="82"/>
        <v>331160</v>
      </c>
      <c r="I74" s="75">
        <f t="shared" si="83"/>
        <v>68840</v>
      </c>
      <c r="J74" s="75">
        <f t="shared" si="86"/>
        <v>400000</v>
      </c>
      <c r="K74" s="75">
        <f>+H74</f>
        <v>331160</v>
      </c>
      <c r="L74" s="75">
        <f>+I74</f>
        <v>68840</v>
      </c>
      <c r="M74" s="75">
        <v>0</v>
      </c>
      <c r="N74" s="75">
        <v>0</v>
      </c>
      <c r="O74" s="75">
        <v>0</v>
      </c>
      <c r="P74" s="75">
        <v>0</v>
      </c>
      <c r="Q74" s="75">
        <v>0</v>
      </c>
      <c r="R74" s="75">
        <v>0</v>
      </c>
      <c r="S74" s="75">
        <v>0</v>
      </c>
      <c r="T74" s="75">
        <v>0</v>
      </c>
    </row>
    <row r="75" spans="1:20" s="58" customFormat="1" x14ac:dyDescent="0.2">
      <c r="A75" s="72" t="s">
        <v>250</v>
      </c>
      <c r="B75" s="79" t="s">
        <v>228</v>
      </c>
      <c r="C75" s="73" t="s">
        <v>79</v>
      </c>
      <c r="D75" s="90">
        <v>328000</v>
      </c>
      <c r="E75" s="84">
        <f t="shared" si="85"/>
        <v>100000</v>
      </c>
      <c r="F75" s="74">
        <v>1</v>
      </c>
      <c r="G75" s="75">
        <f t="shared" si="81"/>
        <v>100000</v>
      </c>
      <c r="H75" s="75">
        <f t="shared" si="82"/>
        <v>82790</v>
      </c>
      <c r="I75" s="75">
        <f t="shared" si="83"/>
        <v>17210</v>
      </c>
      <c r="J75" s="75">
        <f t="shared" si="86"/>
        <v>100000</v>
      </c>
      <c r="K75" s="75">
        <f>+H75</f>
        <v>82790</v>
      </c>
      <c r="L75" s="75">
        <f>+I75</f>
        <v>17210</v>
      </c>
      <c r="M75" s="75">
        <v>0</v>
      </c>
      <c r="N75" s="75">
        <v>0</v>
      </c>
      <c r="O75" s="75">
        <v>0</v>
      </c>
      <c r="P75" s="75">
        <v>0</v>
      </c>
      <c r="Q75" s="75">
        <v>0</v>
      </c>
      <c r="R75" s="75">
        <v>0</v>
      </c>
      <c r="S75" s="75">
        <v>0</v>
      </c>
      <c r="T75" s="75">
        <v>0</v>
      </c>
    </row>
    <row r="76" spans="1:20" s="58" customFormat="1" x14ac:dyDescent="0.2">
      <c r="A76" s="72" t="s">
        <v>251</v>
      </c>
      <c r="B76" s="79" t="s">
        <v>229</v>
      </c>
      <c r="C76" s="73" t="s">
        <v>79</v>
      </c>
      <c r="D76" s="90">
        <v>147600</v>
      </c>
      <c r="E76" s="84">
        <f t="shared" si="85"/>
        <v>45000</v>
      </c>
      <c r="F76" s="74">
        <v>1</v>
      </c>
      <c r="G76" s="75">
        <f t="shared" si="81"/>
        <v>45000</v>
      </c>
      <c r="H76" s="75">
        <f t="shared" si="82"/>
        <v>37255.5</v>
      </c>
      <c r="I76" s="75">
        <f t="shared" si="83"/>
        <v>7744.5</v>
      </c>
      <c r="J76" s="75">
        <f t="shared" si="86"/>
        <v>45000</v>
      </c>
      <c r="K76" s="75">
        <v>0</v>
      </c>
      <c r="L76" s="75">
        <v>0</v>
      </c>
      <c r="M76" s="75">
        <v>0</v>
      </c>
      <c r="N76" s="75">
        <v>0</v>
      </c>
      <c r="O76" s="75">
        <f t="shared" ref="O76:O77" si="87">+H76*0.2</f>
        <v>7451.1</v>
      </c>
      <c r="P76" s="75">
        <f t="shared" ref="P76:P77" si="88">+I76*0.2</f>
        <v>1548.9</v>
      </c>
      <c r="Q76" s="75">
        <f t="shared" ref="Q76:Q77" si="89">+H76*0.6</f>
        <v>22353.3</v>
      </c>
      <c r="R76" s="75">
        <f t="shared" ref="R76:R77" si="90">+I76*0.6</f>
        <v>4646.7</v>
      </c>
      <c r="S76" s="75">
        <f t="shared" ref="S76:S77" si="91">+H76*0.2</f>
        <v>7451.1</v>
      </c>
      <c r="T76" s="75">
        <f t="shared" ref="T76:T77" si="92">+I76*0.2</f>
        <v>1548.9</v>
      </c>
    </row>
    <row r="77" spans="1:20" s="58" customFormat="1" x14ac:dyDescent="0.2">
      <c r="A77" s="72" t="s">
        <v>252</v>
      </c>
      <c r="B77" s="79" t="s">
        <v>230</v>
      </c>
      <c r="C77" s="73" t="s">
        <v>79</v>
      </c>
      <c r="D77" s="90">
        <v>926009.6</v>
      </c>
      <c r="E77" s="84">
        <f t="shared" si="85"/>
        <v>282320</v>
      </c>
      <c r="F77" s="74">
        <v>1</v>
      </c>
      <c r="G77" s="75">
        <f t="shared" si="81"/>
        <v>282320</v>
      </c>
      <c r="H77" s="75">
        <f t="shared" si="82"/>
        <v>233732.728</v>
      </c>
      <c r="I77" s="75">
        <f t="shared" si="83"/>
        <v>48587.271999999997</v>
      </c>
      <c r="J77" s="75">
        <f t="shared" si="86"/>
        <v>282320</v>
      </c>
      <c r="K77" s="75">
        <v>0</v>
      </c>
      <c r="L77" s="75">
        <v>0</v>
      </c>
      <c r="M77" s="75">
        <v>0</v>
      </c>
      <c r="N77" s="75">
        <v>0</v>
      </c>
      <c r="O77" s="75">
        <f t="shared" si="87"/>
        <v>46746.545600000005</v>
      </c>
      <c r="P77" s="75">
        <f t="shared" si="88"/>
        <v>9717.4544000000005</v>
      </c>
      <c r="Q77" s="75">
        <f t="shared" si="89"/>
        <v>140239.63680000001</v>
      </c>
      <c r="R77" s="75">
        <f t="shared" si="90"/>
        <v>29152.363199999996</v>
      </c>
      <c r="S77" s="75">
        <f t="shared" si="91"/>
        <v>46746.545600000005</v>
      </c>
      <c r="T77" s="75">
        <f t="shared" si="92"/>
        <v>9717.4544000000005</v>
      </c>
    </row>
    <row r="78" spans="1:20" s="58" customFormat="1" x14ac:dyDescent="0.2">
      <c r="A78" s="72" t="s">
        <v>253</v>
      </c>
      <c r="B78" s="79" t="s">
        <v>231</v>
      </c>
      <c r="C78" s="73" t="s">
        <v>79</v>
      </c>
      <c r="D78" s="90">
        <v>446080</v>
      </c>
      <c r="E78" s="84">
        <f t="shared" si="85"/>
        <v>136000</v>
      </c>
      <c r="F78" s="74">
        <v>1</v>
      </c>
      <c r="G78" s="75">
        <f t="shared" si="81"/>
        <v>136000</v>
      </c>
      <c r="H78" s="75">
        <f t="shared" si="82"/>
        <v>112594.4</v>
      </c>
      <c r="I78" s="75">
        <f t="shared" si="83"/>
        <v>23405.600000000006</v>
      </c>
      <c r="J78" s="75">
        <f t="shared" si="86"/>
        <v>136000</v>
      </c>
      <c r="K78" s="75">
        <f>+H78</f>
        <v>112594.4</v>
      </c>
      <c r="L78" s="75">
        <f>+I78</f>
        <v>23405.600000000006</v>
      </c>
      <c r="M78" s="75">
        <v>0</v>
      </c>
      <c r="N78" s="75">
        <v>0</v>
      </c>
      <c r="O78" s="75">
        <v>0</v>
      </c>
      <c r="P78" s="75">
        <v>0</v>
      </c>
      <c r="Q78" s="75">
        <v>0</v>
      </c>
      <c r="R78" s="75">
        <v>0</v>
      </c>
      <c r="S78" s="75">
        <v>0</v>
      </c>
      <c r="T78" s="75">
        <v>0</v>
      </c>
    </row>
    <row r="79" spans="1:20" s="58" customFormat="1" x14ac:dyDescent="0.2">
      <c r="A79" s="72" t="s">
        <v>254</v>
      </c>
      <c r="B79" s="79" t="s">
        <v>165</v>
      </c>
      <c r="C79" s="73" t="s">
        <v>79</v>
      </c>
      <c r="D79" s="90">
        <v>383760</v>
      </c>
      <c r="E79" s="84">
        <f t="shared" si="85"/>
        <v>117000</v>
      </c>
      <c r="F79" s="74">
        <v>1</v>
      </c>
      <c r="G79" s="75">
        <f t="shared" si="81"/>
        <v>117000</v>
      </c>
      <c r="H79" s="75">
        <f t="shared" si="82"/>
        <v>96864.3</v>
      </c>
      <c r="I79" s="75">
        <f t="shared" si="83"/>
        <v>20135.699999999997</v>
      </c>
      <c r="J79" s="75">
        <f t="shared" si="86"/>
        <v>117000</v>
      </c>
      <c r="K79" s="75">
        <f>+H79</f>
        <v>96864.3</v>
      </c>
      <c r="L79" s="75">
        <f>+I79</f>
        <v>20135.699999999997</v>
      </c>
      <c r="M79" s="75">
        <v>0</v>
      </c>
      <c r="N79" s="75">
        <v>0</v>
      </c>
      <c r="O79" s="75">
        <v>0</v>
      </c>
      <c r="P79" s="75">
        <v>0</v>
      </c>
      <c r="Q79" s="75">
        <v>0</v>
      </c>
      <c r="R79" s="75">
        <v>0</v>
      </c>
      <c r="S79" s="75">
        <v>0</v>
      </c>
      <c r="T79" s="75">
        <v>0</v>
      </c>
    </row>
    <row r="80" spans="1:20" s="18" customFormat="1" x14ac:dyDescent="0.2">
      <c r="A80" s="38">
        <v>3.2</v>
      </c>
      <c r="B80" s="86" t="s">
        <v>235</v>
      </c>
      <c r="C80" s="87"/>
      <c r="D80" s="87"/>
      <c r="E80" s="87"/>
      <c r="F80" s="88"/>
      <c r="G80" s="89">
        <f>SUM(G81:G83)</f>
        <v>539000</v>
      </c>
      <c r="H80" s="89">
        <f>SUM(H81:H83)</f>
        <v>446238.1</v>
      </c>
      <c r="I80" s="89">
        <f>SUM(I81:I83)</f>
        <v>92761.900000000023</v>
      </c>
      <c r="J80" s="89">
        <f t="shared" si="86"/>
        <v>539000</v>
      </c>
      <c r="K80" s="89">
        <f t="shared" ref="K80:T80" si="93">SUM(K81:K83)</f>
        <v>0</v>
      </c>
      <c r="L80" s="89">
        <f t="shared" si="93"/>
        <v>0</v>
      </c>
      <c r="M80" s="89">
        <f t="shared" si="93"/>
        <v>0</v>
      </c>
      <c r="N80" s="89">
        <f t="shared" si="93"/>
        <v>0</v>
      </c>
      <c r="O80" s="89">
        <f t="shared" si="93"/>
        <v>133871.43</v>
      </c>
      <c r="P80" s="89">
        <f t="shared" si="93"/>
        <v>27828.570000000003</v>
      </c>
      <c r="Q80" s="89">
        <f t="shared" si="93"/>
        <v>312366.67</v>
      </c>
      <c r="R80" s="89">
        <f t="shared" si="93"/>
        <v>64933.330000000016</v>
      </c>
      <c r="S80" s="89">
        <f t="shared" si="93"/>
        <v>0</v>
      </c>
      <c r="T80" s="89">
        <f t="shared" si="93"/>
        <v>0</v>
      </c>
    </row>
    <row r="81" spans="1:21" s="58" customFormat="1" x14ac:dyDescent="0.2">
      <c r="A81" s="72" t="s">
        <v>255</v>
      </c>
      <c r="B81" s="79" t="s">
        <v>232</v>
      </c>
      <c r="C81" s="73" t="s">
        <v>79</v>
      </c>
      <c r="D81" s="90">
        <v>131200</v>
      </c>
      <c r="E81" s="84">
        <f t="shared" si="85"/>
        <v>40000</v>
      </c>
      <c r="F81" s="74">
        <v>1</v>
      </c>
      <c r="G81" s="75">
        <f t="shared" si="81"/>
        <v>40000</v>
      </c>
      <c r="H81" s="75">
        <f t="shared" ref="H81:H83" si="94">+G81*0.8279</f>
        <v>33116</v>
      </c>
      <c r="I81" s="75">
        <f t="shared" ref="I81:I83" si="95">+G81-H81</f>
        <v>6884</v>
      </c>
      <c r="J81" s="75">
        <f t="shared" si="86"/>
        <v>40000</v>
      </c>
      <c r="K81" s="75">
        <v>0</v>
      </c>
      <c r="L81" s="75">
        <v>0</v>
      </c>
      <c r="M81" s="75">
        <v>0</v>
      </c>
      <c r="N81" s="75">
        <v>0</v>
      </c>
      <c r="O81" s="75">
        <f t="shared" ref="O81:P83" si="96">+H81*0.3</f>
        <v>9934.7999999999993</v>
      </c>
      <c r="P81" s="75">
        <f t="shared" si="96"/>
        <v>2065.1999999999998</v>
      </c>
      <c r="Q81" s="75">
        <f t="shared" ref="Q81:R83" si="97">+H81*0.7</f>
        <v>23181.199999999997</v>
      </c>
      <c r="R81" s="75">
        <f t="shared" si="97"/>
        <v>4818.7999999999993</v>
      </c>
      <c r="S81" s="75">
        <v>0</v>
      </c>
      <c r="T81" s="75">
        <v>0</v>
      </c>
    </row>
    <row r="82" spans="1:21" s="58" customFormat="1" x14ac:dyDescent="0.2">
      <c r="A82" s="72" t="s">
        <v>256</v>
      </c>
      <c r="B82" s="79" t="s">
        <v>233</v>
      </c>
      <c r="C82" s="73" t="s">
        <v>79</v>
      </c>
      <c r="D82" s="90">
        <v>590400</v>
      </c>
      <c r="E82" s="84">
        <f t="shared" si="85"/>
        <v>180000</v>
      </c>
      <c r="F82" s="74">
        <v>1</v>
      </c>
      <c r="G82" s="75">
        <f t="shared" si="81"/>
        <v>180000</v>
      </c>
      <c r="H82" s="75">
        <f t="shared" si="94"/>
        <v>149022</v>
      </c>
      <c r="I82" s="75">
        <f t="shared" si="95"/>
        <v>30978</v>
      </c>
      <c r="J82" s="75">
        <f t="shared" si="86"/>
        <v>180000</v>
      </c>
      <c r="K82" s="75">
        <v>0</v>
      </c>
      <c r="L82" s="75">
        <v>0</v>
      </c>
      <c r="M82" s="75">
        <v>0</v>
      </c>
      <c r="N82" s="75">
        <v>0</v>
      </c>
      <c r="O82" s="75">
        <f t="shared" si="96"/>
        <v>44706.6</v>
      </c>
      <c r="P82" s="75">
        <f t="shared" si="96"/>
        <v>9293.4</v>
      </c>
      <c r="Q82" s="75">
        <f t="shared" si="97"/>
        <v>104315.4</v>
      </c>
      <c r="R82" s="75">
        <f t="shared" si="97"/>
        <v>21684.6</v>
      </c>
      <c r="S82" s="75">
        <v>0</v>
      </c>
      <c r="T82" s="75">
        <v>0</v>
      </c>
    </row>
    <row r="83" spans="1:21" s="58" customFormat="1" ht="11.25" customHeight="1" x14ac:dyDescent="0.2">
      <c r="A83" s="72" t="s">
        <v>257</v>
      </c>
      <c r="B83" s="79" t="s">
        <v>234</v>
      </c>
      <c r="C83" s="73" t="s">
        <v>79</v>
      </c>
      <c r="D83" s="90">
        <v>1046320</v>
      </c>
      <c r="E83" s="84">
        <f t="shared" si="85"/>
        <v>319000</v>
      </c>
      <c r="F83" s="74">
        <v>1</v>
      </c>
      <c r="G83" s="75">
        <f t="shared" si="81"/>
        <v>319000</v>
      </c>
      <c r="H83" s="75">
        <f t="shared" si="94"/>
        <v>264100.09999999998</v>
      </c>
      <c r="I83" s="75">
        <f t="shared" si="95"/>
        <v>54899.900000000023</v>
      </c>
      <c r="J83" s="75">
        <f t="shared" si="86"/>
        <v>318999.99999999994</v>
      </c>
      <c r="K83" s="75">
        <v>0</v>
      </c>
      <c r="L83" s="75">
        <v>0</v>
      </c>
      <c r="M83" s="75">
        <v>0</v>
      </c>
      <c r="N83" s="75">
        <v>0</v>
      </c>
      <c r="O83" s="75">
        <f t="shared" si="96"/>
        <v>79230.029999999984</v>
      </c>
      <c r="P83" s="75">
        <f t="shared" si="96"/>
        <v>16469.970000000005</v>
      </c>
      <c r="Q83" s="75">
        <f t="shared" si="97"/>
        <v>184870.06999999998</v>
      </c>
      <c r="R83" s="75">
        <f t="shared" si="97"/>
        <v>38429.930000000015</v>
      </c>
      <c r="S83" s="75">
        <v>0</v>
      </c>
      <c r="T83" s="75">
        <v>0</v>
      </c>
    </row>
    <row r="84" spans="1:21" s="18" customFormat="1" x14ac:dyDescent="0.2">
      <c r="A84" s="38">
        <v>3.3</v>
      </c>
      <c r="B84" s="86" t="s">
        <v>265</v>
      </c>
      <c r="C84" s="87"/>
      <c r="D84" s="87"/>
      <c r="E84" s="87"/>
      <c r="F84" s="88"/>
      <c r="G84" s="89">
        <f>SUM(G85:G95)</f>
        <v>9757120</v>
      </c>
      <c r="H84" s="89">
        <f>SUM(H85:H95)</f>
        <v>8077919.648</v>
      </c>
      <c r="I84" s="89">
        <f>SUM(I85:I95)</f>
        <v>1679200.3520000002</v>
      </c>
      <c r="J84" s="89">
        <f t="shared" si="86"/>
        <v>9757120.1500000004</v>
      </c>
      <c r="K84" s="89">
        <f t="shared" ref="K84:T84" si="98">SUM(K85:K95)</f>
        <v>1214976.3659999999</v>
      </c>
      <c r="L84" s="89">
        <f t="shared" si="98"/>
        <v>252563.63399999999</v>
      </c>
      <c r="M84" s="89">
        <f t="shared" si="98"/>
        <v>1791989.55</v>
      </c>
      <c r="N84" s="89">
        <f t="shared" si="98"/>
        <v>372510.45</v>
      </c>
      <c r="O84" s="89">
        <f t="shared" si="98"/>
        <v>1194659.7</v>
      </c>
      <c r="P84" s="89">
        <f t="shared" si="98"/>
        <v>248340.30000000002</v>
      </c>
      <c r="Q84" s="89">
        <f t="shared" si="98"/>
        <v>3272624.7820000001</v>
      </c>
      <c r="R84" s="89">
        <f t="shared" si="98"/>
        <v>681616.21799999999</v>
      </c>
      <c r="S84" s="89">
        <f t="shared" si="98"/>
        <v>603669</v>
      </c>
      <c r="T84" s="89">
        <f t="shared" si="98"/>
        <v>124170.15000000001</v>
      </c>
    </row>
    <row r="85" spans="1:21" s="58" customFormat="1" x14ac:dyDescent="0.2">
      <c r="A85" s="72" t="s">
        <v>74</v>
      </c>
      <c r="B85" s="79" t="s">
        <v>236</v>
      </c>
      <c r="C85" s="73" t="s">
        <v>79</v>
      </c>
      <c r="D85" s="90">
        <v>1804000</v>
      </c>
      <c r="E85" s="84">
        <f t="shared" si="80"/>
        <v>550000</v>
      </c>
      <c r="F85" s="74">
        <v>1</v>
      </c>
      <c r="G85" s="75">
        <f t="shared" si="81"/>
        <v>550000</v>
      </c>
      <c r="H85" s="75">
        <f t="shared" ref="H85:H95" si="99">+G85*0.8279</f>
        <v>455345</v>
      </c>
      <c r="I85" s="75">
        <f t="shared" ref="I85:I95" si="100">+G85-H85</f>
        <v>94655</v>
      </c>
      <c r="J85" s="75">
        <f t="shared" si="86"/>
        <v>550000</v>
      </c>
      <c r="K85" s="75">
        <f>+H85</f>
        <v>455345</v>
      </c>
      <c r="L85" s="75">
        <f>+I85</f>
        <v>94655</v>
      </c>
      <c r="M85" s="75">
        <v>0</v>
      </c>
      <c r="N85" s="75">
        <v>0</v>
      </c>
      <c r="O85" s="75">
        <v>0</v>
      </c>
      <c r="P85" s="75">
        <v>0</v>
      </c>
      <c r="Q85" s="75">
        <v>0</v>
      </c>
      <c r="R85" s="75">
        <v>0</v>
      </c>
      <c r="S85" s="75">
        <v>0</v>
      </c>
      <c r="T85" s="75">
        <v>0</v>
      </c>
    </row>
    <row r="86" spans="1:21" s="58" customFormat="1" x14ac:dyDescent="0.2">
      <c r="A86" s="72" t="s">
        <v>120</v>
      </c>
      <c r="B86" s="79" t="s">
        <v>237</v>
      </c>
      <c r="C86" s="73" t="s">
        <v>79</v>
      </c>
      <c r="D86" s="90">
        <v>1082400</v>
      </c>
      <c r="E86" s="84">
        <f t="shared" ref="E86:E93" si="101">+D86/$C$4</f>
        <v>330000</v>
      </c>
      <c r="F86" s="74">
        <v>1</v>
      </c>
      <c r="G86" s="75">
        <f t="shared" si="81"/>
        <v>330000</v>
      </c>
      <c r="H86" s="75">
        <f t="shared" si="99"/>
        <v>273207</v>
      </c>
      <c r="I86" s="75">
        <f t="shared" si="100"/>
        <v>56793</v>
      </c>
      <c r="J86" s="75">
        <f t="shared" si="86"/>
        <v>330000</v>
      </c>
      <c r="K86" s="75">
        <f t="shared" ref="K86:K91" si="102">+H86</f>
        <v>273207</v>
      </c>
      <c r="L86" s="75">
        <f t="shared" ref="L86:L91" si="103">+I86</f>
        <v>56793</v>
      </c>
      <c r="M86" s="75">
        <v>0</v>
      </c>
      <c r="N86" s="75">
        <v>0</v>
      </c>
      <c r="O86" s="75">
        <v>0</v>
      </c>
      <c r="P86" s="75">
        <v>0</v>
      </c>
      <c r="Q86" s="75">
        <v>0</v>
      </c>
      <c r="R86" s="75">
        <v>0</v>
      </c>
      <c r="S86" s="75">
        <v>0</v>
      </c>
      <c r="T86" s="75">
        <v>0</v>
      </c>
    </row>
    <row r="87" spans="1:21" s="58" customFormat="1" x14ac:dyDescent="0.2">
      <c r="A87" s="72" t="s">
        <v>121</v>
      </c>
      <c r="B87" s="79" t="s">
        <v>238</v>
      </c>
      <c r="C87" s="73" t="s">
        <v>79</v>
      </c>
      <c r="D87" s="90">
        <v>721600</v>
      </c>
      <c r="E87" s="84">
        <f t="shared" si="101"/>
        <v>220000</v>
      </c>
      <c r="F87" s="74">
        <v>1</v>
      </c>
      <c r="G87" s="75">
        <f t="shared" si="81"/>
        <v>220000</v>
      </c>
      <c r="H87" s="75">
        <f t="shared" si="99"/>
        <v>182138</v>
      </c>
      <c r="I87" s="75">
        <f t="shared" si="100"/>
        <v>37862</v>
      </c>
      <c r="J87" s="75">
        <f t="shared" si="86"/>
        <v>220000</v>
      </c>
      <c r="K87" s="75">
        <f t="shared" si="102"/>
        <v>182138</v>
      </c>
      <c r="L87" s="75">
        <f t="shared" si="103"/>
        <v>37862</v>
      </c>
      <c r="M87" s="75">
        <v>0</v>
      </c>
      <c r="N87" s="75">
        <v>0</v>
      </c>
      <c r="O87" s="75">
        <v>0</v>
      </c>
      <c r="P87" s="75">
        <v>0</v>
      </c>
      <c r="Q87" s="75">
        <v>0</v>
      </c>
      <c r="R87" s="75">
        <v>0</v>
      </c>
      <c r="S87" s="75">
        <v>0</v>
      </c>
      <c r="T87" s="75">
        <v>0</v>
      </c>
    </row>
    <row r="88" spans="1:21" s="58" customFormat="1" x14ac:dyDescent="0.2">
      <c r="A88" s="72" t="s">
        <v>122</v>
      </c>
      <c r="B88" s="79" t="s">
        <v>239</v>
      </c>
      <c r="C88" s="73" t="s">
        <v>79</v>
      </c>
      <c r="D88" s="90">
        <v>32800</v>
      </c>
      <c r="E88" s="84">
        <f t="shared" si="101"/>
        <v>10000</v>
      </c>
      <c r="F88" s="74">
        <v>1</v>
      </c>
      <c r="G88" s="75">
        <f t="shared" si="81"/>
        <v>10000</v>
      </c>
      <c r="H88" s="75">
        <f t="shared" si="99"/>
        <v>8279</v>
      </c>
      <c r="I88" s="75">
        <f t="shared" si="100"/>
        <v>1721</v>
      </c>
      <c r="J88" s="75">
        <f t="shared" si="86"/>
        <v>10000</v>
      </c>
      <c r="K88" s="75">
        <f t="shared" si="102"/>
        <v>8279</v>
      </c>
      <c r="L88" s="75">
        <f t="shared" si="103"/>
        <v>1721</v>
      </c>
      <c r="M88" s="75">
        <v>0</v>
      </c>
      <c r="N88" s="75">
        <v>0</v>
      </c>
      <c r="O88" s="75">
        <v>0</v>
      </c>
      <c r="P88" s="75">
        <v>0</v>
      </c>
      <c r="Q88" s="75">
        <v>0</v>
      </c>
      <c r="R88" s="75">
        <v>0</v>
      </c>
      <c r="S88" s="75">
        <v>0</v>
      </c>
      <c r="T88" s="75">
        <v>0</v>
      </c>
    </row>
    <row r="89" spans="1:21" s="58" customFormat="1" x14ac:dyDescent="0.2">
      <c r="A89" s="72" t="s">
        <v>258</v>
      </c>
      <c r="B89" s="79" t="s">
        <v>240</v>
      </c>
      <c r="C89" s="73" t="s">
        <v>79</v>
      </c>
      <c r="D89" s="90">
        <v>328000</v>
      </c>
      <c r="E89" s="84">
        <f t="shared" si="101"/>
        <v>100000</v>
      </c>
      <c r="F89" s="74">
        <v>1</v>
      </c>
      <c r="G89" s="75">
        <f t="shared" si="81"/>
        <v>100000</v>
      </c>
      <c r="H89" s="75">
        <f t="shared" si="99"/>
        <v>82790</v>
      </c>
      <c r="I89" s="75">
        <f t="shared" si="100"/>
        <v>17210</v>
      </c>
      <c r="J89" s="75">
        <f t="shared" si="86"/>
        <v>100000</v>
      </c>
      <c r="K89" s="75">
        <f t="shared" si="102"/>
        <v>82790</v>
      </c>
      <c r="L89" s="75">
        <f t="shared" si="103"/>
        <v>17210</v>
      </c>
      <c r="M89" s="75">
        <v>0</v>
      </c>
      <c r="N89" s="75">
        <v>0</v>
      </c>
      <c r="O89" s="75">
        <v>0</v>
      </c>
      <c r="P89" s="75">
        <v>0</v>
      </c>
      <c r="Q89" s="75">
        <v>0</v>
      </c>
      <c r="R89" s="75">
        <v>0</v>
      </c>
      <c r="S89" s="75">
        <v>0</v>
      </c>
      <c r="T89" s="75">
        <v>0</v>
      </c>
    </row>
    <row r="90" spans="1:21" s="58" customFormat="1" x14ac:dyDescent="0.2">
      <c r="A90" s="72" t="s">
        <v>259</v>
      </c>
      <c r="B90" s="79" t="s">
        <v>241</v>
      </c>
      <c r="C90" s="73" t="s">
        <v>79</v>
      </c>
      <c r="D90" s="90">
        <v>167411.19999999998</v>
      </c>
      <c r="E90" s="84">
        <f t="shared" si="101"/>
        <v>51040</v>
      </c>
      <c r="F90" s="74">
        <v>1</v>
      </c>
      <c r="G90" s="75">
        <f t="shared" si="81"/>
        <v>51040</v>
      </c>
      <c r="H90" s="75">
        <f t="shared" si="99"/>
        <v>42256.015999999996</v>
      </c>
      <c r="I90" s="75">
        <f t="shared" si="100"/>
        <v>8783.984000000004</v>
      </c>
      <c r="J90" s="75">
        <f t="shared" si="86"/>
        <v>51040</v>
      </c>
      <c r="K90" s="75">
        <f t="shared" si="102"/>
        <v>42256.015999999996</v>
      </c>
      <c r="L90" s="75">
        <f t="shared" si="103"/>
        <v>8783.984000000004</v>
      </c>
      <c r="M90" s="75">
        <v>0</v>
      </c>
      <c r="N90" s="75">
        <v>0</v>
      </c>
      <c r="O90" s="75">
        <v>0</v>
      </c>
      <c r="P90" s="75">
        <v>0</v>
      </c>
      <c r="Q90" s="75">
        <v>0</v>
      </c>
      <c r="R90" s="75">
        <v>0</v>
      </c>
      <c r="S90" s="75">
        <v>0</v>
      </c>
      <c r="T90" s="75">
        <v>0</v>
      </c>
    </row>
    <row r="91" spans="1:21" s="58" customFormat="1" x14ac:dyDescent="0.2">
      <c r="A91" s="72" t="s">
        <v>260</v>
      </c>
      <c r="B91" s="79" t="s">
        <v>242</v>
      </c>
      <c r="C91" s="73" t="s">
        <v>79</v>
      </c>
      <c r="D91" s="90">
        <v>595320</v>
      </c>
      <c r="E91" s="84">
        <f t="shared" si="101"/>
        <v>181500</v>
      </c>
      <c r="F91" s="74">
        <v>1</v>
      </c>
      <c r="G91" s="75">
        <f t="shared" si="81"/>
        <v>181500</v>
      </c>
      <c r="H91" s="75">
        <f t="shared" si="99"/>
        <v>150263.85</v>
      </c>
      <c r="I91" s="75">
        <f t="shared" si="100"/>
        <v>31236.149999999994</v>
      </c>
      <c r="J91" s="75">
        <f t="shared" si="86"/>
        <v>181500</v>
      </c>
      <c r="K91" s="75">
        <f t="shared" si="102"/>
        <v>150263.85</v>
      </c>
      <c r="L91" s="75">
        <f t="shared" si="103"/>
        <v>31236.149999999994</v>
      </c>
      <c r="M91" s="75">
        <v>0</v>
      </c>
      <c r="N91" s="75">
        <v>0</v>
      </c>
      <c r="O91" s="75">
        <v>0</v>
      </c>
      <c r="P91" s="75">
        <v>0</v>
      </c>
      <c r="Q91" s="75">
        <v>0</v>
      </c>
      <c r="R91" s="75">
        <v>0</v>
      </c>
      <c r="S91" s="75">
        <v>0</v>
      </c>
      <c r="T91" s="75">
        <v>0</v>
      </c>
    </row>
    <row r="92" spans="1:21" s="58" customFormat="1" x14ac:dyDescent="0.2">
      <c r="A92" s="72" t="s">
        <v>261</v>
      </c>
      <c r="B92" s="79" t="s">
        <v>243</v>
      </c>
      <c r="C92" s="73" t="s">
        <v>79</v>
      </c>
      <c r="D92" s="90">
        <v>23665200</v>
      </c>
      <c r="E92" s="84">
        <f t="shared" si="101"/>
        <v>7215000</v>
      </c>
      <c r="F92" s="74">
        <v>1</v>
      </c>
      <c r="G92" s="75">
        <f t="shared" si="81"/>
        <v>7215000</v>
      </c>
      <c r="H92" s="75">
        <f t="shared" si="99"/>
        <v>5973298.5</v>
      </c>
      <c r="I92" s="75">
        <f t="shared" si="100"/>
        <v>1241701.5</v>
      </c>
      <c r="J92" s="75">
        <f t="shared" si="86"/>
        <v>7215000.1500000004</v>
      </c>
      <c r="K92" s="75">
        <v>0</v>
      </c>
      <c r="L92" s="75">
        <v>0</v>
      </c>
      <c r="M92" s="75">
        <f>+H92*0.3</f>
        <v>1791989.55</v>
      </c>
      <c r="N92" s="75">
        <f>+I92*0.3</f>
        <v>372510.45</v>
      </c>
      <c r="O92" s="75">
        <f>+H92*0.2</f>
        <v>1194659.7</v>
      </c>
      <c r="P92" s="75">
        <f>+I92*0.2</f>
        <v>248340.30000000002</v>
      </c>
      <c r="Q92" s="75">
        <v>2382980</v>
      </c>
      <c r="R92" s="75">
        <v>496681</v>
      </c>
      <c r="S92" s="75">
        <v>603669</v>
      </c>
      <c r="T92" s="75">
        <f>+I92*0.1</f>
        <v>124170.15000000001</v>
      </c>
      <c r="U92" s="96"/>
    </row>
    <row r="93" spans="1:21" s="58" customFormat="1" x14ac:dyDescent="0.2">
      <c r="A93" s="72" t="s">
        <v>262</v>
      </c>
      <c r="B93" s="79" t="s">
        <v>244</v>
      </c>
      <c r="C93" s="73" t="s">
        <v>79</v>
      </c>
      <c r="D93" s="90">
        <v>82000</v>
      </c>
      <c r="E93" s="84">
        <f t="shared" si="101"/>
        <v>25000</v>
      </c>
      <c r="F93" s="74">
        <v>1</v>
      </c>
      <c r="G93" s="75">
        <f t="shared" si="81"/>
        <v>25000</v>
      </c>
      <c r="H93" s="75">
        <f t="shared" si="99"/>
        <v>20697.5</v>
      </c>
      <c r="I93" s="75">
        <f t="shared" si="100"/>
        <v>4302.5</v>
      </c>
      <c r="J93" s="75">
        <f t="shared" si="86"/>
        <v>25000</v>
      </c>
      <c r="K93" s="75">
        <f t="shared" ref="K93" si="104">+H93</f>
        <v>20697.5</v>
      </c>
      <c r="L93" s="75">
        <f t="shared" ref="L93" si="105">+I93</f>
        <v>4302.5</v>
      </c>
      <c r="M93" s="75">
        <v>0</v>
      </c>
      <c r="N93" s="75">
        <v>0</v>
      </c>
      <c r="O93" s="75">
        <v>0</v>
      </c>
      <c r="P93" s="75">
        <v>0</v>
      </c>
      <c r="Q93" s="75">
        <v>0</v>
      </c>
      <c r="R93" s="75">
        <v>0</v>
      </c>
      <c r="S93" s="75">
        <v>0</v>
      </c>
      <c r="T93" s="75">
        <v>0</v>
      </c>
      <c r="U93" s="96"/>
    </row>
    <row r="94" spans="1:21" s="58" customFormat="1" x14ac:dyDescent="0.2">
      <c r="A94" s="72" t="s">
        <v>263</v>
      </c>
      <c r="B94" s="79" t="s">
        <v>245</v>
      </c>
      <c r="C94" s="73" t="s">
        <v>79</v>
      </c>
      <c r="D94" s="90">
        <v>3280000</v>
      </c>
      <c r="E94" s="84">
        <f t="shared" si="80"/>
        <v>1000000.0000000001</v>
      </c>
      <c r="F94" s="74">
        <v>1</v>
      </c>
      <c r="G94" s="75">
        <f t="shared" si="81"/>
        <v>1000000.0000000001</v>
      </c>
      <c r="H94" s="75">
        <f t="shared" si="99"/>
        <v>827900.00000000012</v>
      </c>
      <c r="I94" s="75">
        <f t="shared" si="100"/>
        <v>172100</v>
      </c>
      <c r="J94" s="75">
        <f t="shared" si="86"/>
        <v>1000000.0000000001</v>
      </c>
      <c r="K94" s="75">
        <v>0</v>
      </c>
      <c r="L94" s="75">
        <v>0</v>
      </c>
      <c r="M94" s="75">
        <v>0</v>
      </c>
      <c r="N94" s="75">
        <v>0</v>
      </c>
      <c r="O94" s="75">
        <v>0</v>
      </c>
      <c r="P94" s="75">
        <v>0</v>
      </c>
      <c r="Q94" s="75">
        <f>+H94</f>
        <v>827900.00000000012</v>
      </c>
      <c r="R94" s="75">
        <f>+I94</f>
        <v>172100</v>
      </c>
      <c r="S94" s="75">
        <v>0</v>
      </c>
      <c r="T94" s="75">
        <v>0</v>
      </c>
    </row>
    <row r="95" spans="1:21" s="58" customFormat="1" x14ac:dyDescent="0.2">
      <c r="A95" s="72" t="s">
        <v>264</v>
      </c>
      <c r="B95" s="79" t="s">
        <v>246</v>
      </c>
      <c r="C95" s="73" t="s">
        <v>79</v>
      </c>
      <c r="D95" s="90">
        <v>244622.4</v>
      </c>
      <c r="E95" s="84">
        <f t="shared" si="80"/>
        <v>74580</v>
      </c>
      <c r="F95" s="74">
        <v>1</v>
      </c>
      <c r="G95" s="75">
        <f t="shared" si="81"/>
        <v>74580</v>
      </c>
      <c r="H95" s="75">
        <f t="shared" si="99"/>
        <v>61744.781999999999</v>
      </c>
      <c r="I95" s="75">
        <f t="shared" si="100"/>
        <v>12835.218000000001</v>
      </c>
      <c r="J95" s="75">
        <f t="shared" si="86"/>
        <v>74580</v>
      </c>
      <c r="K95" s="75">
        <v>0</v>
      </c>
      <c r="L95" s="75">
        <v>0</v>
      </c>
      <c r="M95" s="75">
        <v>0</v>
      </c>
      <c r="N95" s="75">
        <v>0</v>
      </c>
      <c r="O95" s="75">
        <v>0</v>
      </c>
      <c r="P95" s="75">
        <v>0</v>
      </c>
      <c r="Q95" s="75">
        <f>+H95</f>
        <v>61744.781999999999</v>
      </c>
      <c r="R95" s="75">
        <f>+I95</f>
        <v>12835.218000000001</v>
      </c>
      <c r="S95" s="75">
        <v>0</v>
      </c>
      <c r="T95" s="75">
        <v>0</v>
      </c>
    </row>
    <row r="96" spans="1:21" s="18" customFormat="1" x14ac:dyDescent="0.2">
      <c r="A96" s="38">
        <v>3.4</v>
      </c>
      <c r="B96" s="86" t="s">
        <v>266</v>
      </c>
      <c r="C96" s="87"/>
      <c r="D96" s="87"/>
      <c r="E96" s="87"/>
      <c r="F96" s="88"/>
      <c r="G96" s="89">
        <f>+G97+G98</f>
        <v>890853.6585365854</v>
      </c>
      <c r="H96" s="89">
        <f>+H97+H98</f>
        <v>737537.74390243902</v>
      </c>
      <c r="I96" s="89">
        <f>+I97+I98</f>
        <v>153315.91463414641</v>
      </c>
      <c r="J96" s="89">
        <f t="shared" si="86"/>
        <v>890853.6585365854</v>
      </c>
      <c r="K96" s="89">
        <f t="shared" ref="K96:T96" si="106">+K97+K98</f>
        <v>737537.74390243902</v>
      </c>
      <c r="L96" s="89">
        <f t="shared" si="106"/>
        <v>153315.91463414641</v>
      </c>
      <c r="M96" s="89">
        <f t="shared" si="106"/>
        <v>0</v>
      </c>
      <c r="N96" s="89">
        <f t="shared" si="106"/>
        <v>0</v>
      </c>
      <c r="O96" s="89">
        <f t="shared" si="106"/>
        <v>0</v>
      </c>
      <c r="P96" s="89">
        <f t="shared" si="106"/>
        <v>0</v>
      </c>
      <c r="Q96" s="89">
        <f t="shared" si="106"/>
        <v>0</v>
      </c>
      <c r="R96" s="89">
        <f t="shared" si="106"/>
        <v>0</v>
      </c>
      <c r="S96" s="89">
        <f t="shared" si="106"/>
        <v>0</v>
      </c>
      <c r="T96" s="89">
        <f t="shared" si="106"/>
        <v>0</v>
      </c>
    </row>
    <row r="97" spans="1:21" s="58" customFormat="1" x14ac:dyDescent="0.2">
      <c r="A97" s="72" t="s">
        <v>89</v>
      </c>
      <c r="B97" s="79" t="s">
        <v>123</v>
      </c>
      <c r="C97" s="73" t="s">
        <v>79</v>
      </c>
      <c r="D97" s="90">
        <v>2540000</v>
      </c>
      <c r="E97" s="84">
        <f t="shared" ref="E97:E102" si="107">+D97/$C$4</f>
        <v>774390.24390243902</v>
      </c>
      <c r="F97" s="74">
        <v>1</v>
      </c>
      <c r="G97" s="75">
        <f t="shared" ref="G97:G102" si="108">+F97*E97</f>
        <v>774390.24390243902</v>
      </c>
      <c r="H97" s="75">
        <f t="shared" ref="H97:H98" si="109">+G97*0.8279</f>
        <v>641117.68292682921</v>
      </c>
      <c r="I97" s="75">
        <f t="shared" ref="I97:I98" si="110">+G97-H97</f>
        <v>133272.56097560981</v>
      </c>
      <c r="J97" s="75">
        <f t="shared" si="86"/>
        <v>774390.24390243902</v>
      </c>
      <c r="K97" s="75">
        <f>+H97</f>
        <v>641117.68292682921</v>
      </c>
      <c r="L97" s="75">
        <f>+I97</f>
        <v>133272.56097560981</v>
      </c>
      <c r="M97" s="75">
        <v>0</v>
      </c>
      <c r="N97" s="75">
        <v>0</v>
      </c>
      <c r="O97" s="75">
        <v>0</v>
      </c>
      <c r="P97" s="75">
        <v>0</v>
      </c>
      <c r="Q97" s="75">
        <v>0</v>
      </c>
      <c r="R97" s="75">
        <v>0</v>
      </c>
      <c r="S97" s="75">
        <v>0</v>
      </c>
      <c r="T97" s="75">
        <v>0</v>
      </c>
    </row>
    <row r="98" spans="1:21" s="58" customFormat="1" x14ac:dyDescent="0.2">
      <c r="A98" s="72" t="s">
        <v>90</v>
      </c>
      <c r="B98" s="79" t="s">
        <v>124</v>
      </c>
      <c r="C98" s="73" t="s">
        <v>79</v>
      </c>
      <c r="D98" s="90">
        <v>382000</v>
      </c>
      <c r="E98" s="84">
        <f t="shared" si="107"/>
        <v>116463.41463414635</v>
      </c>
      <c r="F98" s="74">
        <v>1</v>
      </c>
      <c r="G98" s="75">
        <f t="shared" si="108"/>
        <v>116463.41463414635</v>
      </c>
      <c r="H98" s="75">
        <f t="shared" si="109"/>
        <v>96420.060975609755</v>
      </c>
      <c r="I98" s="75">
        <f t="shared" si="110"/>
        <v>20043.353658536595</v>
      </c>
      <c r="J98" s="75">
        <f t="shared" si="86"/>
        <v>116463.41463414635</v>
      </c>
      <c r="K98" s="75">
        <f>+H98</f>
        <v>96420.060975609755</v>
      </c>
      <c r="L98" s="75">
        <f>+I98</f>
        <v>20043.353658536595</v>
      </c>
      <c r="M98" s="75">
        <v>0</v>
      </c>
      <c r="N98" s="75">
        <v>0</v>
      </c>
      <c r="O98" s="75">
        <v>0</v>
      </c>
      <c r="P98" s="75">
        <v>0</v>
      </c>
      <c r="Q98" s="75">
        <v>0</v>
      </c>
      <c r="R98" s="75">
        <v>0</v>
      </c>
      <c r="S98" s="75">
        <v>0</v>
      </c>
      <c r="T98" s="75">
        <v>0</v>
      </c>
    </row>
    <row r="99" spans="1:21" s="18" customFormat="1" x14ac:dyDescent="0.2">
      <c r="A99" s="38">
        <v>3.5</v>
      </c>
      <c r="B99" s="86" t="s">
        <v>267</v>
      </c>
      <c r="C99" s="87"/>
      <c r="D99" s="87"/>
      <c r="E99" s="87"/>
      <c r="F99" s="88"/>
      <c r="G99" s="89">
        <f>+G100</f>
        <v>5234628.0487804879</v>
      </c>
      <c r="H99" s="89">
        <f>+H100</f>
        <v>4333748.5615853658</v>
      </c>
      <c r="I99" s="89">
        <f>+I100</f>
        <v>900879.48719512206</v>
      </c>
      <c r="J99" s="89">
        <f t="shared" si="86"/>
        <v>5234628.487195123</v>
      </c>
      <c r="K99" s="89">
        <f t="shared" ref="K99:T99" si="111">+K100</f>
        <v>1704524</v>
      </c>
      <c r="L99" s="89">
        <f t="shared" si="111"/>
        <v>225219.87179878051</v>
      </c>
      <c r="M99" s="89">
        <f t="shared" si="111"/>
        <v>1528908</v>
      </c>
      <c r="N99" s="89">
        <f t="shared" si="111"/>
        <v>225219.87179878051</v>
      </c>
      <c r="O99" s="89">
        <f t="shared" si="111"/>
        <v>918108</v>
      </c>
      <c r="P99" s="89">
        <f t="shared" si="111"/>
        <v>225219.87179878051</v>
      </c>
      <c r="Q99" s="89">
        <f t="shared" si="111"/>
        <v>182209</v>
      </c>
      <c r="R99" s="89">
        <f t="shared" si="111"/>
        <v>225219.87179878051</v>
      </c>
      <c r="S99" s="89">
        <f t="shared" si="111"/>
        <v>0</v>
      </c>
      <c r="T99" s="89">
        <f t="shared" si="111"/>
        <v>0</v>
      </c>
    </row>
    <row r="100" spans="1:21" s="58" customFormat="1" x14ac:dyDescent="0.2">
      <c r="A100" s="72" t="s">
        <v>129</v>
      </c>
      <c r="B100" s="79" t="s">
        <v>125</v>
      </c>
      <c r="C100" s="73" t="s">
        <v>79</v>
      </c>
      <c r="D100" s="90">
        <v>17169580</v>
      </c>
      <c r="E100" s="84">
        <f t="shared" si="107"/>
        <v>5234628.0487804879</v>
      </c>
      <c r="F100" s="74">
        <v>1</v>
      </c>
      <c r="G100" s="75">
        <f t="shared" si="108"/>
        <v>5234628.0487804879</v>
      </c>
      <c r="H100" s="75">
        <f t="shared" ref="H100" si="112">+G100*0.8279</f>
        <v>4333748.5615853658</v>
      </c>
      <c r="I100" s="75">
        <f t="shared" ref="I100" si="113">+G100-H100</f>
        <v>900879.48719512206</v>
      </c>
      <c r="J100" s="75">
        <f t="shared" si="86"/>
        <v>5234628.487195123</v>
      </c>
      <c r="K100" s="75">
        <v>1704524</v>
      </c>
      <c r="L100" s="75">
        <f>+I100/4</f>
        <v>225219.87179878051</v>
      </c>
      <c r="M100" s="75">
        <v>1528908</v>
      </c>
      <c r="N100" s="75">
        <f>+L100</f>
        <v>225219.87179878051</v>
      </c>
      <c r="O100" s="75">
        <v>918108</v>
      </c>
      <c r="P100" s="75">
        <f>+N100</f>
        <v>225219.87179878051</v>
      </c>
      <c r="Q100" s="75">
        <v>182209</v>
      </c>
      <c r="R100" s="75">
        <f>+P100</f>
        <v>225219.87179878051</v>
      </c>
      <c r="S100" s="75">
        <v>0</v>
      </c>
      <c r="T100" s="75">
        <v>0</v>
      </c>
    </row>
    <row r="101" spans="1:21" s="18" customFormat="1" x14ac:dyDescent="0.2">
      <c r="A101" s="38">
        <v>3.6</v>
      </c>
      <c r="B101" s="86" t="s">
        <v>268</v>
      </c>
      <c r="C101" s="87"/>
      <c r="D101" s="87"/>
      <c r="E101" s="87"/>
      <c r="F101" s="88"/>
      <c r="G101" s="89">
        <f>+G102+G103+G104</f>
        <v>1321565.9756097563</v>
      </c>
      <c r="H101" s="89">
        <f>+H102+H103+H104</f>
        <v>1094124.4712073172</v>
      </c>
      <c r="I101" s="89">
        <f>+I102+I103+I104</f>
        <v>227441.50440243908</v>
      </c>
      <c r="J101" s="89">
        <f t="shared" si="86"/>
        <v>1321565.9756097565</v>
      </c>
      <c r="K101" s="89">
        <f t="shared" ref="K101:T101" si="114">+K102+K103+K104</f>
        <v>750057.20731707325</v>
      </c>
      <c r="L101" s="89">
        <f t="shared" si="114"/>
        <v>155918.40243902442</v>
      </c>
      <c r="M101" s="89">
        <f t="shared" si="114"/>
        <v>137626.90555609757</v>
      </c>
      <c r="N101" s="89">
        <f t="shared" si="114"/>
        <v>28609.240785365866</v>
      </c>
      <c r="O101" s="89">
        <f t="shared" si="114"/>
        <v>206440.35833414635</v>
      </c>
      <c r="P101" s="89">
        <f t="shared" si="114"/>
        <v>42913.861178048799</v>
      </c>
      <c r="Q101" s="89">
        <f t="shared" si="114"/>
        <v>0</v>
      </c>
      <c r="R101" s="89">
        <f t="shared" si="114"/>
        <v>0</v>
      </c>
      <c r="S101" s="89">
        <f t="shared" si="114"/>
        <v>0</v>
      </c>
      <c r="T101" s="89">
        <f t="shared" si="114"/>
        <v>0</v>
      </c>
    </row>
    <row r="102" spans="1:21" s="58" customFormat="1" ht="10.5" customHeight="1" x14ac:dyDescent="0.2">
      <c r="A102" s="72" t="s">
        <v>269</v>
      </c>
      <c r="B102" s="79" t="s">
        <v>126</v>
      </c>
      <c r="C102" s="73" t="s">
        <v>79</v>
      </c>
      <c r="D102" s="90">
        <v>2971600</v>
      </c>
      <c r="E102" s="84">
        <f t="shared" si="107"/>
        <v>905975.60975609766</v>
      </c>
      <c r="F102" s="74">
        <v>1</v>
      </c>
      <c r="G102" s="75">
        <f t="shared" si="108"/>
        <v>905975.60975609766</v>
      </c>
      <c r="H102" s="75">
        <f t="shared" ref="H102:H104" si="115">+G102*0.8279</f>
        <v>750057.20731707325</v>
      </c>
      <c r="I102" s="75">
        <f t="shared" ref="I102:I104" si="116">+G102-H102</f>
        <v>155918.40243902442</v>
      </c>
      <c r="J102" s="75">
        <f t="shared" si="86"/>
        <v>905975.60975609766</v>
      </c>
      <c r="K102" s="75">
        <f>+H102</f>
        <v>750057.20731707325</v>
      </c>
      <c r="L102" s="75">
        <f>+I102</f>
        <v>155918.40243902442</v>
      </c>
      <c r="M102" s="75">
        <v>0</v>
      </c>
      <c r="N102" s="75">
        <v>0</v>
      </c>
      <c r="O102" s="75">
        <v>0</v>
      </c>
      <c r="P102" s="75">
        <v>0</v>
      </c>
      <c r="Q102" s="75">
        <v>0</v>
      </c>
      <c r="R102" s="75">
        <v>0</v>
      </c>
      <c r="S102" s="75">
        <v>0</v>
      </c>
      <c r="T102" s="75">
        <v>0</v>
      </c>
      <c r="U102" s="58">
        <f>1083437+621086</f>
        <v>1704523</v>
      </c>
    </row>
    <row r="103" spans="1:21" s="58" customFormat="1" x14ac:dyDescent="0.2">
      <c r="A103" s="72" t="s">
        <v>270</v>
      </c>
      <c r="B103" s="79" t="s">
        <v>127</v>
      </c>
      <c r="C103" s="73" t="s">
        <v>79</v>
      </c>
      <c r="D103" s="90">
        <v>953136.4</v>
      </c>
      <c r="E103" s="84">
        <f t="shared" si="80"/>
        <v>290590.36585365859</v>
      </c>
      <c r="F103" s="74">
        <v>1</v>
      </c>
      <c r="G103" s="75">
        <f t="shared" si="81"/>
        <v>290590.36585365859</v>
      </c>
      <c r="H103" s="75">
        <f t="shared" si="115"/>
        <v>240579.76389024392</v>
      </c>
      <c r="I103" s="75">
        <f t="shared" si="116"/>
        <v>50010.601963414665</v>
      </c>
      <c r="J103" s="75">
        <f t="shared" si="86"/>
        <v>290590.36585365859</v>
      </c>
      <c r="K103" s="75">
        <v>0</v>
      </c>
      <c r="L103" s="75">
        <v>0</v>
      </c>
      <c r="M103" s="75">
        <f>+H103*0.4</f>
        <v>96231.905556097568</v>
      </c>
      <c r="N103" s="75">
        <f>+I103*0.4</f>
        <v>20004.240785365866</v>
      </c>
      <c r="O103" s="75">
        <f>+H103*0.6</f>
        <v>144347.85833414635</v>
      </c>
      <c r="P103" s="75">
        <f>+I103*0.6</f>
        <v>30006.361178048799</v>
      </c>
      <c r="Q103" s="75">
        <v>0</v>
      </c>
      <c r="R103" s="75">
        <v>0</v>
      </c>
      <c r="S103" s="75">
        <v>0</v>
      </c>
      <c r="T103" s="75">
        <v>0</v>
      </c>
      <c r="U103" s="58">
        <f>+U102-175616</f>
        <v>1528907</v>
      </c>
    </row>
    <row r="104" spans="1:21" s="58" customFormat="1" x14ac:dyDescent="0.2">
      <c r="A104" s="72" t="s">
        <v>271</v>
      </c>
      <c r="B104" s="79" t="s">
        <v>128</v>
      </c>
      <c r="C104" s="73" t="s">
        <v>79</v>
      </c>
      <c r="D104" s="90">
        <v>410000</v>
      </c>
      <c r="E104" s="84">
        <f t="shared" ref="E104:E106" si="117">+D104/$C$4</f>
        <v>125000.00000000001</v>
      </c>
      <c r="F104" s="74">
        <v>1</v>
      </c>
      <c r="G104" s="75">
        <f t="shared" si="81"/>
        <v>125000.00000000001</v>
      </c>
      <c r="H104" s="75">
        <f t="shared" si="115"/>
        <v>103487.50000000001</v>
      </c>
      <c r="I104" s="75">
        <f t="shared" si="116"/>
        <v>21512.5</v>
      </c>
      <c r="J104" s="75">
        <f t="shared" si="86"/>
        <v>125000.00000000001</v>
      </c>
      <c r="K104" s="75">
        <v>0</v>
      </c>
      <c r="L104" s="75">
        <v>0</v>
      </c>
      <c r="M104" s="75">
        <f>+H104*0.4</f>
        <v>41395.000000000007</v>
      </c>
      <c r="N104" s="75">
        <f>+I104*0.4</f>
        <v>8605</v>
      </c>
      <c r="O104" s="75">
        <f>+H104*0.6</f>
        <v>62092.500000000007</v>
      </c>
      <c r="P104" s="75">
        <f>+I104*0.6</f>
        <v>12907.5</v>
      </c>
      <c r="Q104" s="75">
        <v>0</v>
      </c>
      <c r="R104" s="75">
        <v>0</v>
      </c>
      <c r="S104" s="75">
        <v>0</v>
      </c>
      <c r="T104" s="75">
        <v>0</v>
      </c>
    </row>
    <row r="105" spans="1:21" s="18" customFormat="1" x14ac:dyDescent="0.2">
      <c r="A105" s="38">
        <v>3.7</v>
      </c>
      <c r="B105" s="86" t="s">
        <v>279</v>
      </c>
      <c r="C105" s="87"/>
      <c r="D105" s="87"/>
      <c r="E105" s="87"/>
      <c r="F105" s="88"/>
      <c r="G105" s="89">
        <f>SUM(G106:G127)</f>
        <v>4005180</v>
      </c>
      <c r="H105" s="89">
        <f>SUM(H106:H127)</f>
        <v>3315888.5219999999</v>
      </c>
      <c r="I105" s="89">
        <f>SUM(I106:I127)</f>
        <v>689291.47800000012</v>
      </c>
      <c r="J105" s="89">
        <f t="shared" si="86"/>
        <v>4005180</v>
      </c>
      <c r="K105" s="89">
        <f t="shared" ref="K105:T105" si="118">SUM(K106:K127)</f>
        <v>0</v>
      </c>
      <c r="L105" s="89">
        <f t="shared" si="118"/>
        <v>0</v>
      </c>
      <c r="M105" s="89">
        <f t="shared" si="118"/>
        <v>3315888.5219999999</v>
      </c>
      <c r="N105" s="89">
        <f t="shared" si="118"/>
        <v>689291.47800000012</v>
      </c>
      <c r="O105" s="89">
        <f t="shared" si="118"/>
        <v>0</v>
      </c>
      <c r="P105" s="89">
        <f t="shared" si="118"/>
        <v>0</v>
      </c>
      <c r="Q105" s="89">
        <f t="shared" si="118"/>
        <v>0</v>
      </c>
      <c r="R105" s="89">
        <f t="shared" si="118"/>
        <v>0</v>
      </c>
      <c r="S105" s="89">
        <f t="shared" si="118"/>
        <v>0</v>
      </c>
      <c r="T105" s="89">
        <f t="shared" si="118"/>
        <v>0</v>
      </c>
    </row>
    <row r="106" spans="1:21" s="58" customFormat="1" ht="20.399999999999999" x14ac:dyDescent="0.2">
      <c r="A106" s="72" t="s">
        <v>272</v>
      </c>
      <c r="B106" s="79" t="s">
        <v>295</v>
      </c>
      <c r="C106" s="73" t="s">
        <v>79</v>
      </c>
      <c r="D106" s="90">
        <v>491999.99999999994</v>
      </c>
      <c r="E106" s="84">
        <f t="shared" si="117"/>
        <v>150000</v>
      </c>
      <c r="F106" s="74">
        <v>1</v>
      </c>
      <c r="G106" s="114">
        <f t="shared" si="81"/>
        <v>150000</v>
      </c>
      <c r="H106" s="75">
        <f t="shared" ref="H106:H127" si="119">+G106*0.8279</f>
        <v>124185</v>
      </c>
      <c r="I106" s="75">
        <f t="shared" ref="I106:I127" si="120">+G106-H106</f>
        <v>25815</v>
      </c>
      <c r="J106" s="75">
        <f t="shared" si="86"/>
        <v>150000</v>
      </c>
      <c r="K106" s="75">
        <v>0</v>
      </c>
      <c r="L106" s="75">
        <v>0</v>
      </c>
      <c r="M106" s="75">
        <f>+H106</f>
        <v>124185</v>
      </c>
      <c r="N106" s="75">
        <f>+I106</f>
        <v>25815</v>
      </c>
      <c r="O106" s="75">
        <v>0</v>
      </c>
      <c r="P106" s="75">
        <v>0</v>
      </c>
      <c r="Q106" s="75">
        <v>0</v>
      </c>
      <c r="R106" s="75">
        <v>0</v>
      </c>
      <c r="S106" s="75">
        <v>0</v>
      </c>
      <c r="T106" s="75">
        <v>0</v>
      </c>
    </row>
    <row r="107" spans="1:21" s="58" customFormat="1" x14ac:dyDescent="0.2">
      <c r="A107" s="72" t="s">
        <v>273</v>
      </c>
      <c r="B107" s="79" t="s">
        <v>296</v>
      </c>
      <c r="C107" s="73" t="s">
        <v>79</v>
      </c>
      <c r="D107" s="90">
        <v>945296</v>
      </c>
      <c r="E107" s="84">
        <f t="shared" ref="E107:E127" si="121">+D107/$C$4</f>
        <v>288200</v>
      </c>
      <c r="F107" s="74">
        <v>1</v>
      </c>
      <c r="G107" s="114">
        <f t="shared" si="81"/>
        <v>288200</v>
      </c>
      <c r="H107" s="75">
        <f t="shared" si="119"/>
        <v>238600.78</v>
      </c>
      <c r="I107" s="75">
        <f t="shared" si="120"/>
        <v>49599.22</v>
      </c>
      <c r="J107" s="75">
        <f t="shared" si="86"/>
        <v>288200</v>
      </c>
      <c r="K107" s="75">
        <v>0</v>
      </c>
      <c r="L107" s="75">
        <v>0</v>
      </c>
      <c r="M107" s="75">
        <f t="shared" ref="M107:M127" si="122">+H107</f>
        <v>238600.78</v>
      </c>
      <c r="N107" s="75">
        <f t="shared" ref="N107:N127" si="123">+I107</f>
        <v>49599.22</v>
      </c>
      <c r="O107" s="75">
        <v>0</v>
      </c>
      <c r="P107" s="75">
        <v>0</v>
      </c>
      <c r="Q107" s="75">
        <v>0</v>
      </c>
      <c r="R107" s="75">
        <v>0</v>
      </c>
      <c r="S107" s="75">
        <v>0</v>
      </c>
      <c r="T107" s="75">
        <v>0</v>
      </c>
    </row>
    <row r="108" spans="1:21" s="58" customFormat="1" x14ac:dyDescent="0.2">
      <c r="A108" s="72" t="s">
        <v>274</v>
      </c>
      <c r="B108" s="79" t="s">
        <v>297</v>
      </c>
      <c r="C108" s="73" t="s">
        <v>79</v>
      </c>
      <c r="D108" s="90">
        <v>885600</v>
      </c>
      <c r="E108" s="84">
        <f t="shared" si="121"/>
        <v>270000</v>
      </c>
      <c r="F108" s="74">
        <v>1</v>
      </c>
      <c r="G108" s="114">
        <f t="shared" si="81"/>
        <v>270000</v>
      </c>
      <c r="H108" s="75">
        <f t="shared" si="119"/>
        <v>223533</v>
      </c>
      <c r="I108" s="75">
        <f t="shared" si="120"/>
        <v>46467</v>
      </c>
      <c r="J108" s="75">
        <f t="shared" si="86"/>
        <v>270000</v>
      </c>
      <c r="K108" s="75">
        <v>0</v>
      </c>
      <c r="L108" s="75">
        <v>0</v>
      </c>
      <c r="M108" s="75">
        <f t="shared" si="122"/>
        <v>223533</v>
      </c>
      <c r="N108" s="75">
        <f t="shared" si="123"/>
        <v>46467</v>
      </c>
      <c r="O108" s="75">
        <v>0</v>
      </c>
      <c r="P108" s="75">
        <v>0</v>
      </c>
      <c r="Q108" s="75">
        <v>0</v>
      </c>
      <c r="R108" s="75">
        <v>0</v>
      </c>
      <c r="S108" s="75">
        <v>0</v>
      </c>
      <c r="T108" s="75">
        <v>0</v>
      </c>
    </row>
    <row r="109" spans="1:21" s="58" customFormat="1" x14ac:dyDescent="0.2">
      <c r="A109" s="72" t="s">
        <v>275</v>
      </c>
      <c r="B109" s="79" t="s">
        <v>298</v>
      </c>
      <c r="C109" s="73" t="s">
        <v>79</v>
      </c>
      <c r="D109" s="90">
        <v>590400</v>
      </c>
      <c r="E109" s="84">
        <f t="shared" si="121"/>
        <v>180000</v>
      </c>
      <c r="F109" s="74">
        <v>1</v>
      </c>
      <c r="G109" s="114">
        <f t="shared" si="81"/>
        <v>180000</v>
      </c>
      <c r="H109" s="75">
        <f t="shared" si="119"/>
        <v>149022</v>
      </c>
      <c r="I109" s="75">
        <f t="shared" si="120"/>
        <v>30978</v>
      </c>
      <c r="J109" s="75">
        <f t="shared" si="86"/>
        <v>180000</v>
      </c>
      <c r="K109" s="75">
        <v>0</v>
      </c>
      <c r="L109" s="75">
        <v>0</v>
      </c>
      <c r="M109" s="75">
        <f t="shared" si="122"/>
        <v>149022</v>
      </c>
      <c r="N109" s="75">
        <f t="shared" si="123"/>
        <v>30978</v>
      </c>
      <c r="O109" s="75">
        <v>0</v>
      </c>
      <c r="P109" s="75">
        <v>0</v>
      </c>
      <c r="Q109" s="75">
        <v>0</v>
      </c>
      <c r="R109" s="75">
        <v>0</v>
      </c>
      <c r="S109" s="75">
        <v>0</v>
      </c>
      <c r="T109" s="75">
        <v>0</v>
      </c>
    </row>
    <row r="110" spans="1:21" s="58" customFormat="1" x14ac:dyDescent="0.2">
      <c r="A110" s="72" t="s">
        <v>276</v>
      </c>
      <c r="B110" s="79" t="s">
        <v>299</v>
      </c>
      <c r="C110" s="73" t="s">
        <v>79</v>
      </c>
      <c r="D110" s="90">
        <v>590400</v>
      </c>
      <c r="E110" s="84">
        <f t="shared" si="121"/>
        <v>180000</v>
      </c>
      <c r="F110" s="74">
        <v>1</v>
      </c>
      <c r="G110" s="114">
        <f t="shared" si="81"/>
        <v>180000</v>
      </c>
      <c r="H110" s="75">
        <f t="shared" si="119"/>
        <v>149022</v>
      </c>
      <c r="I110" s="75">
        <f t="shared" si="120"/>
        <v>30978</v>
      </c>
      <c r="J110" s="75">
        <f t="shared" si="86"/>
        <v>180000</v>
      </c>
      <c r="K110" s="75">
        <v>0</v>
      </c>
      <c r="L110" s="75">
        <v>0</v>
      </c>
      <c r="M110" s="75">
        <f t="shared" si="122"/>
        <v>149022</v>
      </c>
      <c r="N110" s="75">
        <f t="shared" si="123"/>
        <v>30978</v>
      </c>
      <c r="O110" s="75">
        <v>0</v>
      </c>
      <c r="P110" s="75">
        <v>0</v>
      </c>
      <c r="Q110" s="75">
        <v>0</v>
      </c>
      <c r="R110" s="75">
        <v>0</v>
      </c>
      <c r="S110" s="75">
        <v>0</v>
      </c>
      <c r="T110" s="75">
        <v>0</v>
      </c>
    </row>
    <row r="111" spans="1:21" s="58" customFormat="1" x14ac:dyDescent="0.2">
      <c r="A111" s="72" t="s">
        <v>277</v>
      </c>
      <c r="B111" s="79" t="s">
        <v>300</v>
      </c>
      <c r="C111" s="73" t="s">
        <v>79</v>
      </c>
      <c r="D111" s="90">
        <v>393600</v>
      </c>
      <c r="E111" s="84">
        <f t="shared" si="121"/>
        <v>120000</v>
      </c>
      <c r="F111" s="74">
        <v>1</v>
      </c>
      <c r="G111" s="114">
        <f t="shared" si="81"/>
        <v>120000</v>
      </c>
      <c r="H111" s="75">
        <f t="shared" si="119"/>
        <v>99348</v>
      </c>
      <c r="I111" s="75">
        <f t="shared" si="120"/>
        <v>20652</v>
      </c>
      <c r="J111" s="75">
        <f t="shared" si="86"/>
        <v>120000</v>
      </c>
      <c r="K111" s="75">
        <v>0</v>
      </c>
      <c r="L111" s="75">
        <v>0</v>
      </c>
      <c r="M111" s="75">
        <f t="shared" si="122"/>
        <v>99348</v>
      </c>
      <c r="N111" s="75">
        <f t="shared" si="123"/>
        <v>20652</v>
      </c>
      <c r="O111" s="75">
        <v>0</v>
      </c>
      <c r="P111" s="75">
        <v>0</v>
      </c>
      <c r="Q111" s="75">
        <v>0</v>
      </c>
      <c r="R111" s="75">
        <v>0</v>
      </c>
      <c r="S111" s="75">
        <v>0</v>
      </c>
      <c r="T111" s="75">
        <v>0</v>
      </c>
    </row>
    <row r="112" spans="1:21" s="58" customFormat="1" ht="20.399999999999999" x14ac:dyDescent="0.2">
      <c r="A112" s="72" t="s">
        <v>278</v>
      </c>
      <c r="B112" s="79" t="s">
        <v>301</v>
      </c>
      <c r="C112" s="73" t="s">
        <v>79</v>
      </c>
      <c r="D112" s="90">
        <v>1220160</v>
      </c>
      <c r="E112" s="84">
        <f t="shared" si="121"/>
        <v>372000</v>
      </c>
      <c r="F112" s="74">
        <v>1</v>
      </c>
      <c r="G112" s="114">
        <f t="shared" si="81"/>
        <v>372000</v>
      </c>
      <c r="H112" s="75">
        <f t="shared" si="119"/>
        <v>307978.8</v>
      </c>
      <c r="I112" s="75">
        <f t="shared" si="120"/>
        <v>64021.200000000012</v>
      </c>
      <c r="J112" s="75">
        <f t="shared" si="86"/>
        <v>372000</v>
      </c>
      <c r="K112" s="75">
        <v>0</v>
      </c>
      <c r="L112" s="75">
        <v>0</v>
      </c>
      <c r="M112" s="75">
        <f t="shared" si="122"/>
        <v>307978.8</v>
      </c>
      <c r="N112" s="75">
        <f t="shared" si="123"/>
        <v>64021.200000000012</v>
      </c>
      <c r="O112" s="75">
        <v>0</v>
      </c>
      <c r="P112" s="75">
        <v>0</v>
      </c>
      <c r="Q112" s="75">
        <v>0</v>
      </c>
      <c r="R112" s="75">
        <v>0</v>
      </c>
      <c r="S112" s="75">
        <v>0</v>
      </c>
      <c r="T112" s="75">
        <v>0</v>
      </c>
    </row>
    <row r="113" spans="1:20" s="58" customFormat="1" x14ac:dyDescent="0.2">
      <c r="A113" s="72" t="s">
        <v>280</v>
      </c>
      <c r="B113" s="79" t="s">
        <v>302</v>
      </c>
      <c r="C113" s="73" t="s">
        <v>79</v>
      </c>
      <c r="D113" s="90">
        <v>164000</v>
      </c>
      <c r="E113" s="84">
        <f t="shared" si="121"/>
        <v>50000</v>
      </c>
      <c r="F113" s="74">
        <v>1</v>
      </c>
      <c r="G113" s="114">
        <f t="shared" si="81"/>
        <v>50000</v>
      </c>
      <c r="H113" s="75">
        <f t="shared" si="119"/>
        <v>41395</v>
      </c>
      <c r="I113" s="75">
        <f t="shared" si="120"/>
        <v>8605</v>
      </c>
      <c r="J113" s="75">
        <f t="shared" si="86"/>
        <v>50000</v>
      </c>
      <c r="K113" s="75">
        <v>0</v>
      </c>
      <c r="L113" s="75">
        <v>0</v>
      </c>
      <c r="M113" s="75">
        <f t="shared" si="122"/>
        <v>41395</v>
      </c>
      <c r="N113" s="75">
        <f t="shared" si="123"/>
        <v>8605</v>
      </c>
      <c r="O113" s="75">
        <v>0</v>
      </c>
      <c r="P113" s="75">
        <v>0</v>
      </c>
      <c r="Q113" s="75">
        <v>0</v>
      </c>
      <c r="R113" s="75">
        <v>0</v>
      </c>
      <c r="S113" s="75">
        <v>0</v>
      </c>
      <c r="T113" s="75">
        <v>0</v>
      </c>
    </row>
    <row r="114" spans="1:20" s="58" customFormat="1" x14ac:dyDescent="0.2">
      <c r="A114" s="72" t="s">
        <v>281</v>
      </c>
      <c r="B114" s="79" t="s">
        <v>303</v>
      </c>
      <c r="C114" s="73" t="s">
        <v>79</v>
      </c>
      <c r="D114" s="90">
        <v>82000</v>
      </c>
      <c r="E114" s="84">
        <f t="shared" si="121"/>
        <v>25000</v>
      </c>
      <c r="F114" s="74">
        <v>1</v>
      </c>
      <c r="G114" s="114">
        <f t="shared" si="81"/>
        <v>25000</v>
      </c>
      <c r="H114" s="75">
        <f t="shared" si="119"/>
        <v>20697.5</v>
      </c>
      <c r="I114" s="75">
        <f t="shared" si="120"/>
        <v>4302.5</v>
      </c>
      <c r="J114" s="75">
        <f t="shared" si="86"/>
        <v>25000</v>
      </c>
      <c r="K114" s="75">
        <v>0</v>
      </c>
      <c r="L114" s="75">
        <v>0</v>
      </c>
      <c r="M114" s="75">
        <f t="shared" si="122"/>
        <v>20697.5</v>
      </c>
      <c r="N114" s="75">
        <f t="shared" si="123"/>
        <v>4302.5</v>
      </c>
      <c r="O114" s="75">
        <v>0</v>
      </c>
      <c r="P114" s="75">
        <v>0</v>
      </c>
      <c r="Q114" s="75">
        <v>0</v>
      </c>
      <c r="R114" s="75">
        <v>0</v>
      </c>
      <c r="S114" s="75">
        <v>0</v>
      </c>
      <c r="T114" s="75">
        <v>0</v>
      </c>
    </row>
    <row r="115" spans="1:20" s="58" customFormat="1" x14ac:dyDescent="0.2">
      <c r="A115" s="72" t="s">
        <v>282</v>
      </c>
      <c r="B115" s="79" t="s">
        <v>178</v>
      </c>
      <c r="C115" s="73" t="s">
        <v>79</v>
      </c>
      <c r="D115" s="90">
        <v>49200</v>
      </c>
      <c r="E115" s="84">
        <f t="shared" si="121"/>
        <v>15000</v>
      </c>
      <c r="F115" s="74">
        <v>1</v>
      </c>
      <c r="G115" s="114">
        <f t="shared" si="81"/>
        <v>15000</v>
      </c>
      <c r="H115" s="75">
        <f t="shared" si="119"/>
        <v>12418.5</v>
      </c>
      <c r="I115" s="75">
        <f t="shared" si="120"/>
        <v>2581.5</v>
      </c>
      <c r="J115" s="75">
        <f t="shared" si="86"/>
        <v>15000</v>
      </c>
      <c r="K115" s="75">
        <v>0</v>
      </c>
      <c r="L115" s="75">
        <v>0</v>
      </c>
      <c r="M115" s="75">
        <f t="shared" si="122"/>
        <v>12418.5</v>
      </c>
      <c r="N115" s="75">
        <f t="shared" si="123"/>
        <v>2581.5</v>
      </c>
      <c r="O115" s="75">
        <v>0</v>
      </c>
      <c r="P115" s="75">
        <v>0</v>
      </c>
      <c r="Q115" s="75">
        <v>0</v>
      </c>
      <c r="R115" s="75">
        <v>0</v>
      </c>
      <c r="S115" s="75">
        <v>0</v>
      </c>
      <c r="T115" s="75">
        <v>0</v>
      </c>
    </row>
    <row r="116" spans="1:20" s="58" customFormat="1" x14ac:dyDescent="0.2">
      <c r="A116" s="72" t="s">
        <v>283</v>
      </c>
      <c r="B116" s="79" t="s">
        <v>304</v>
      </c>
      <c r="C116" s="73" t="s">
        <v>79</v>
      </c>
      <c r="D116" s="90">
        <v>104960</v>
      </c>
      <c r="E116" s="84">
        <f t="shared" si="121"/>
        <v>32000.000000000004</v>
      </c>
      <c r="F116" s="74">
        <v>1</v>
      </c>
      <c r="G116" s="114">
        <f t="shared" si="81"/>
        <v>32000.000000000004</v>
      </c>
      <c r="H116" s="75">
        <f t="shared" si="119"/>
        <v>26492.800000000003</v>
      </c>
      <c r="I116" s="75">
        <f t="shared" si="120"/>
        <v>5507.2000000000007</v>
      </c>
      <c r="J116" s="75">
        <f t="shared" si="86"/>
        <v>32000.000000000004</v>
      </c>
      <c r="K116" s="75">
        <v>0</v>
      </c>
      <c r="L116" s="75">
        <v>0</v>
      </c>
      <c r="M116" s="75">
        <f t="shared" si="122"/>
        <v>26492.800000000003</v>
      </c>
      <c r="N116" s="75">
        <f t="shared" si="123"/>
        <v>5507.2000000000007</v>
      </c>
      <c r="O116" s="75">
        <v>0</v>
      </c>
      <c r="P116" s="75">
        <v>0</v>
      </c>
      <c r="Q116" s="75">
        <v>0</v>
      </c>
      <c r="R116" s="75">
        <v>0</v>
      </c>
      <c r="S116" s="75">
        <v>0</v>
      </c>
      <c r="T116" s="75">
        <v>0</v>
      </c>
    </row>
    <row r="117" spans="1:20" s="58" customFormat="1" ht="20.399999999999999" x14ac:dyDescent="0.2">
      <c r="A117" s="72" t="s">
        <v>284</v>
      </c>
      <c r="B117" s="79" t="s">
        <v>305</v>
      </c>
      <c r="C117" s="73" t="s">
        <v>79</v>
      </c>
      <c r="D117" s="90">
        <v>1476000</v>
      </c>
      <c r="E117" s="84">
        <f t="shared" si="121"/>
        <v>450000</v>
      </c>
      <c r="F117" s="74">
        <v>1</v>
      </c>
      <c r="G117" s="114">
        <f t="shared" si="81"/>
        <v>450000</v>
      </c>
      <c r="H117" s="75">
        <f t="shared" si="119"/>
        <v>372555</v>
      </c>
      <c r="I117" s="75">
        <f t="shared" si="120"/>
        <v>77445</v>
      </c>
      <c r="J117" s="75">
        <f t="shared" si="86"/>
        <v>450000</v>
      </c>
      <c r="K117" s="75">
        <v>0</v>
      </c>
      <c r="L117" s="75">
        <v>0</v>
      </c>
      <c r="M117" s="75">
        <f t="shared" si="122"/>
        <v>372555</v>
      </c>
      <c r="N117" s="75">
        <f t="shared" si="123"/>
        <v>77445</v>
      </c>
      <c r="O117" s="75">
        <v>0</v>
      </c>
      <c r="P117" s="75">
        <v>0</v>
      </c>
      <c r="Q117" s="75">
        <v>0</v>
      </c>
      <c r="R117" s="75">
        <v>0</v>
      </c>
      <c r="S117" s="75">
        <v>0</v>
      </c>
      <c r="T117" s="75">
        <v>0</v>
      </c>
    </row>
    <row r="118" spans="1:20" s="58" customFormat="1" ht="20.399999999999999" x14ac:dyDescent="0.2">
      <c r="A118" s="72" t="s">
        <v>285</v>
      </c>
      <c r="B118" s="79" t="s">
        <v>306</v>
      </c>
      <c r="C118" s="73" t="s">
        <v>79</v>
      </c>
      <c r="D118" s="90">
        <v>328000</v>
      </c>
      <c r="E118" s="84">
        <f t="shared" si="121"/>
        <v>100000</v>
      </c>
      <c r="F118" s="74">
        <v>1</v>
      </c>
      <c r="G118" s="114">
        <f t="shared" si="81"/>
        <v>100000</v>
      </c>
      <c r="H118" s="75">
        <f t="shared" si="119"/>
        <v>82790</v>
      </c>
      <c r="I118" s="75">
        <f t="shared" si="120"/>
        <v>17210</v>
      </c>
      <c r="J118" s="75">
        <f t="shared" si="86"/>
        <v>100000</v>
      </c>
      <c r="K118" s="75">
        <v>0</v>
      </c>
      <c r="L118" s="75">
        <v>0</v>
      </c>
      <c r="M118" s="75">
        <f t="shared" si="122"/>
        <v>82790</v>
      </c>
      <c r="N118" s="75">
        <f t="shared" si="123"/>
        <v>17210</v>
      </c>
      <c r="O118" s="75">
        <v>0</v>
      </c>
      <c r="P118" s="75">
        <v>0</v>
      </c>
      <c r="Q118" s="75">
        <v>0</v>
      </c>
      <c r="R118" s="75">
        <v>0</v>
      </c>
      <c r="S118" s="75">
        <v>0</v>
      </c>
      <c r="T118" s="75">
        <v>0</v>
      </c>
    </row>
    <row r="119" spans="1:20" s="58" customFormat="1" x14ac:dyDescent="0.2">
      <c r="A119" s="72" t="s">
        <v>286</v>
      </c>
      <c r="B119" s="79" t="s">
        <v>307</v>
      </c>
      <c r="C119" s="73" t="s">
        <v>79</v>
      </c>
      <c r="D119" s="90">
        <v>872480</v>
      </c>
      <c r="E119" s="84">
        <f t="shared" si="121"/>
        <v>266000</v>
      </c>
      <c r="F119" s="74">
        <v>1</v>
      </c>
      <c r="G119" s="114">
        <f t="shared" si="81"/>
        <v>266000</v>
      </c>
      <c r="H119" s="75">
        <f t="shared" si="119"/>
        <v>220221.4</v>
      </c>
      <c r="I119" s="75">
        <f t="shared" si="120"/>
        <v>45778.600000000006</v>
      </c>
      <c r="J119" s="75">
        <f t="shared" si="86"/>
        <v>266000</v>
      </c>
      <c r="K119" s="75">
        <v>0</v>
      </c>
      <c r="L119" s="75">
        <v>0</v>
      </c>
      <c r="M119" s="75">
        <f t="shared" si="122"/>
        <v>220221.4</v>
      </c>
      <c r="N119" s="75">
        <f t="shared" si="123"/>
        <v>45778.600000000006</v>
      </c>
      <c r="O119" s="75">
        <v>0</v>
      </c>
      <c r="P119" s="75">
        <v>0</v>
      </c>
      <c r="Q119" s="75">
        <v>0</v>
      </c>
      <c r="R119" s="75">
        <v>0</v>
      </c>
      <c r="S119" s="75">
        <v>0</v>
      </c>
      <c r="T119" s="75">
        <v>0</v>
      </c>
    </row>
    <row r="120" spans="1:20" s="58" customFormat="1" x14ac:dyDescent="0.2">
      <c r="A120" s="72" t="s">
        <v>287</v>
      </c>
      <c r="B120" s="79" t="s">
        <v>308</v>
      </c>
      <c r="C120" s="73" t="s">
        <v>79</v>
      </c>
      <c r="D120" s="90">
        <v>393600</v>
      </c>
      <c r="E120" s="84">
        <f t="shared" si="121"/>
        <v>120000</v>
      </c>
      <c r="F120" s="74">
        <v>1</v>
      </c>
      <c r="G120" s="114">
        <f t="shared" si="81"/>
        <v>120000</v>
      </c>
      <c r="H120" s="75">
        <f t="shared" si="119"/>
        <v>99348</v>
      </c>
      <c r="I120" s="75">
        <f t="shared" si="120"/>
        <v>20652</v>
      </c>
      <c r="J120" s="75">
        <f t="shared" si="86"/>
        <v>120000</v>
      </c>
      <c r="K120" s="75">
        <v>0</v>
      </c>
      <c r="L120" s="75">
        <v>0</v>
      </c>
      <c r="M120" s="75">
        <f t="shared" si="122"/>
        <v>99348</v>
      </c>
      <c r="N120" s="75">
        <f t="shared" si="123"/>
        <v>20652</v>
      </c>
      <c r="O120" s="75">
        <v>0</v>
      </c>
      <c r="P120" s="75">
        <v>0</v>
      </c>
      <c r="Q120" s="75">
        <v>0</v>
      </c>
      <c r="R120" s="75">
        <v>0</v>
      </c>
      <c r="S120" s="75">
        <v>0</v>
      </c>
      <c r="T120" s="75">
        <v>0</v>
      </c>
    </row>
    <row r="121" spans="1:20" s="58" customFormat="1" x14ac:dyDescent="0.2">
      <c r="A121" s="72" t="s">
        <v>288</v>
      </c>
      <c r="B121" s="79" t="s">
        <v>309</v>
      </c>
      <c r="C121" s="73" t="s">
        <v>79</v>
      </c>
      <c r="D121" s="90">
        <v>364670.39999999997</v>
      </c>
      <c r="E121" s="84">
        <f t="shared" si="121"/>
        <v>111180</v>
      </c>
      <c r="F121" s="74">
        <v>1</v>
      </c>
      <c r="G121" s="114">
        <f t="shared" si="81"/>
        <v>111180</v>
      </c>
      <c r="H121" s="75">
        <f t="shared" si="119"/>
        <v>92045.921999999991</v>
      </c>
      <c r="I121" s="75">
        <f t="shared" si="120"/>
        <v>19134.078000000009</v>
      </c>
      <c r="J121" s="75">
        <f t="shared" si="86"/>
        <v>111180</v>
      </c>
      <c r="K121" s="75">
        <v>0</v>
      </c>
      <c r="L121" s="75">
        <v>0</v>
      </c>
      <c r="M121" s="75">
        <f t="shared" si="122"/>
        <v>92045.921999999991</v>
      </c>
      <c r="N121" s="75">
        <f t="shared" si="123"/>
        <v>19134.078000000009</v>
      </c>
      <c r="O121" s="75">
        <v>0</v>
      </c>
      <c r="P121" s="75">
        <v>0</v>
      </c>
      <c r="Q121" s="75">
        <v>0</v>
      </c>
      <c r="R121" s="75">
        <v>0</v>
      </c>
      <c r="S121" s="75">
        <v>0</v>
      </c>
      <c r="T121" s="75">
        <v>0</v>
      </c>
    </row>
    <row r="122" spans="1:20" s="58" customFormat="1" x14ac:dyDescent="0.2">
      <c r="A122" s="72" t="s">
        <v>289</v>
      </c>
      <c r="B122" s="79" t="s">
        <v>310</v>
      </c>
      <c r="C122" s="73" t="s">
        <v>79</v>
      </c>
      <c r="D122" s="90">
        <v>98400</v>
      </c>
      <c r="E122" s="84">
        <f t="shared" si="121"/>
        <v>30000</v>
      </c>
      <c r="F122" s="74">
        <v>1</v>
      </c>
      <c r="G122" s="114">
        <f t="shared" si="81"/>
        <v>30000</v>
      </c>
      <c r="H122" s="75">
        <f t="shared" si="119"/>
        <v>24837</v>
      </c>
      <c r="I122" s="75">
        <f t="shared" si="120"/>
        <v>5163</v>
      </c>
      <c r="J122" s="75">
        <f t="shared" si="86"/>
        <v>30000</v>
      </c>
      <c r="K122" s="75">
        <v>0</v>
      </c>
      <c r="L122" s="75">
        <v>0</v>
      </c>
      <c r="M122" s="75">
        <f t="shared" si="122"/>
        <v>24837</v>
      </c>
      <c r="N122" s="75">
        <f t="shared" si="123"/>
        <v>5163</v>
      </c>
      <c r="O122" s="75">
        <v>0</v>
      </c>
      <c r="P122" s="75">
        <v>0</v>
      </c>
      <c r="Q122" s="75">
        <v>0</v>
      </c>
      <c r="R122" s="75">
        <v>0</v>
      </c>
      <c r="S122" s="75">
        <v>0</v>
      </c>
      <c r="T122" s="75">
        <v>0</v>
      </c>
    </row>
    <row r="123" spans="1:20" s="58" customFormat="1" x14ac:dyDescent="0.2">
      <c r="A123" s="72" t="s">
        <v>290</v>
      </c>
      <c r="B123" s="79" t="s">
        <v>311</v>
      </c>
      <c r="C123" s="73" t="s">
        <v>79</v>
      </c>
      <c r="D123" s="90">
        <v>196800</v>
      </c>
      <c r="E123" s="84">
        <f t="shared" si="121"/>
        <v>60000</v>
      </c>
      <c r="F123" s="74">
        <v>1</v>
      </c>
      <c r="G123" s="114">
        <f t="shared" si="81"/>
        <v>60000</v>
      </c>
      <c r="H123" s="75">
        <f t="shared" si="119"/>
        <v>49674</v>
      </c>
      <c r="I123" s="75">
        <f t="shared" si="120"/>
        <v>10326</v>
      </c>
      <c r="J123" s="75">
        <f t="shared" si="86"/>
        <v>60000</v>
      </c>
      <c r="K123" s="75">
        <v>0</v>
      </c>
      <c r="L123" s="75">
        <v>0</v>
      </c>
      <c r="M123" s="75">
        <f t="shared" si="122"/>
        <v>49674</v>
      </c>
      <c r="N123" s="75">
        <f t="shared" si="123"/>
        <v>10326</v>
      </c>
      <c r="O123" s="75">
        <v>0</v>
      </c>
      <c r="P123" s="75">
        <v>0</v>
      </c>
      <c r="Q123" s="75">
        <v>0</v>
      </c>
      <c r="R123" s="75">
        <v>0</v>
      </c>
      <c r="S123" s="75">
        <v>0</v>
      </c>
      <c r="T123" s="75">
        <v>0</v>
      </c>
    </row>
    <row r="124" spans="1:20" s="58" customFormat="1" ht="20.399999999999999" x14ac:dyDescent="0.2">
      <c r="A124" s="72" t="s">
        <v>291</v>
      </c>
      <c r="B124" s="79" t="s">
        <v>312</v>
      </c>
      <c r="C124" s="73" t="s">
        <v>79</v>
      </c>
      <c r="D124" s="90">
        <v>656000</v>
      </c>
      <c r="E124" s="84">
        <f t="shared" si="121"/>
        <v>200000</v>
      </c>
      <c r="F124" s="74">
        <v>1</v>
      </c>
      <c r="G124" s="114">
        <f t="shared" si="81"/>
        <v>200000</v>
      </c>
      <c r="H124" s="75">
        <f t="shared" si="119"/>
        <v>165580</v>
      </c>
      <c r="I124" s="75">
        <f t="shared" si="120"/>
        <v>34420</v>
      </c>
      <c r="J124" s="75">
        <f t="shared" si="86"/>
        <v>200000</v>
      </c>
      <c r="K124" s="75">
        <v>0</v>
      </c>
      <c r="L124" s="75">
        <v>0</v>
      </c>
      <c r="M124" s="75">
        <f t="shared" si="122"/>
        <v>165580</v>
      </c>
      <c r="N124" s="75">
        <f t="shared" si="123"/>
        <v>34420</v>
      </c>
      <c r="O124" s="75">
        <v>0</v>
      </c>
      <c r="P124" s="75">
        <v>0</v>
      </c>
      <c r="Q124" s="75">
        <v>0</v>
      </c>
      <c r="R124" s="75">
        <v>0</v>
      </c>
      <c r="S124" s="75">
        <v>0</v>
      </c>
      <c r="T124" s="75">
        <v>0</v>
      </c>
    </row>
    <row r="125" spans="1:20" s="58" customFormat="1" x14ac:dyDescent="0.2">
      <c r="A125" s="72" t="s">
        <v>292</v>
      </c>
      <c r="B125" s="79" t="s">
        <v>313</v>
      </c>
      <c r="C125" s="73" t="s">
        <v>79</v>
      </c>
      <c r="D125" s="90">
        <v>1019424</v>
      </c>
      <c r="E125" s="84">
        <f t="shared" si="121"/>
        <v>310800</v>
      </c>
      <c r="F125" s="74">
        <v>1</v>
      </c>
      <c r="G125" s="114">
        <f t="shared" si="81"/>
        <v>310800</v>
      </c>
      <c r="H125" s="75">
        <f t="shared" si="119"/>
        <v>257311.31999999998</v>
      </c>
      <c r="I125" s="75">
        <f t="shared" si="120"/>
        <v>53488.680000000022</v>
      </c>
      <c r="J125" s="75">
        <f t="shared" si="86"/>
        <v>310800</v>
      </c>
      <c r="K125" s="75">
        <v>0</v>
      </c>
      <c r="L125" s="75">
        <v>0</v>
      </c>
      <c r="M125" s="75">
        <f t="shared" si="122"/>
        <v>257311.31999999998</v>
      </c>
      <c r="N125" s="75">
        <f t="shared" si="123"/>
        <v>53488.680000000022</v>
      </c>
      <c r="O125" s="75">
        <v>0</v>
      </c>
      <c r="P125" s="75">
        <v>0</v>
      </c>
      <c r="Q125" s="75">
        <v>0</v>
      </c>
      <c r="R125" s="75">
        <v>0</v>
      </c>
      <c r="S125" s="75">
        <v>0</v>
      </c>
      <c r="T125" s="75">
        <v>0</v>
      </c>
    </row>
    <row r="126" spans="1:20" s="58" customFormat="1" x14ac:dyDescent="0.2">
      <c r="A126" s="72" t="s">
        <v>293</v>
      </c>
      <c r="B126" s="79" t="s">
        <v>314</v>
      </c>
      <c r="C126" s="73" t="s">
        <v>79</v>
      </c>
      <c r="D126" s="90">
        <v>738000</v>
      </c>
      <c r="E126" s="84">
        <f t="shared" si="121"/>
        <v>225000</v>
      </c>
      <c r="F126" s="74">
        <v>1</v>
      </c>
      <c r="G126" s="114">
        <f t="shared" si="81"/>
        <v>225000</v>
      </c>
      <c r="H126" s="75">
        <f t="shared" si="119"/>
        <v>186277.5</v>
      </c>
      <c r="I126" s="75">
        <f t="shared" si="120"/>
        <v>38722.5</v>
      </c>
      <c r="J126" s="75">
        <f t="shared" si="86"/>
        <v>225000</v>
      </c>
      <c r="K126" s="75">
        <v>0</v>
      </c>
      <c r="L126" s="75">
        <v>0</v>
      </c>
      <c r="M126" s="75">
        <f t="shared" si="122"/>
        <v>186277.5</v>
      </c>
      <c r="N126" s="75">
        <f t="shared" si="123"/>
        <v>38722.5</v>
      </c>
      <c r="O126" s="75">
        <v>0</v>
      </c>
      <c r="P126" s="75">
        <v>0</v>
      </c>
      <c r="Q126" s="75">
        <v>0</v>
      </c>
      <c r="R126" s="75">
        <v>0</v>
      </c>
      <c r="S126" s="75">
        <v>0</v>
      </c>
      <c r="T126" s="75">
        <v>0</v>
      </c>
    </row>
    <row r="127" spans="1:20" s="58" customFormat="1" x14ac:dyDescent="0.2">
      <c r="A127" s="72" t="s">
        <v>294</v>
      </c>
      <c r="B127" s="79" t="s">
        <v>315</v>
      </c>
      <c r="C127" s="73" t="s">
        <v>79</v>
      </c>
      <c r="D127" s="90">
        <v>1476000</v>
      </c>
      <c r="E127" s="84">
        <f t="shared" si="121"/>
        <v>450000</v>
      </c>
      <c r="F127" s="74">
        <v>1</v>
      </c>
      <c r="G127" s="114">
        <f t="shared" si="81"/>
        <v>450000</v>
      </c>
      <c r="H127" s="75">
        <f t="shared" si="119"/>
        <v>372555</v>
      </c>
      <c r="I127" s="75">
        <f t="shared" si="120"/>
        <v>77445</v>
      </c>
      <c r="J127" s="75">
        <f t="shared" si="86"/>
        <v>450000</v>
      </c>
      <c r="K127" s="75">
        <v>0</v>
      </c>
      <c r="L127" s="75">
        <v>0</v>
      </c>
      <c r="M127" s="75">
        <f t="shared" si="122"/>
        <v>372555</v>
      </c>
      <c r="N127" s="75">
        <f t="shared" si="123"/>
        <v>77445</v>
      </c>
      <c r="O127" s="75">
        <v>0</v>
      </c>
      <c r="P127" s="75">
        <v>0</v>
      </c>
      <c r="Q127" s="75">
        <v>0</v>
      </c>
      <c r="R127" s="75">
        <v>0</v>
      </c>
      <c r="S127" s="75">
        <v>0</v>
      </c>
      <c r="T127" s="75">
        <v>0</v>
      </c>
    </row>
    <row r="128" spans="1:20" s="18" customFormat="1" x14ac:dyDescent="0.2">
      <c r="A128" s="38">
        <v>4</v>
      </c>
      <c r="B128" s="117" t="s">
        <v>339</v>
      </c>
      <c r="C128" s="118"/>
      <c r="D128" s="118"/>
      <c r="E128" s="118"/>
      <c r="F128" s="119"/>
      <c r="G128" s="94">
        <f>+G129+G132+G137+G141</f>
        <v>8672645.6292682923</v>
      </c>
      <c r="H128" s="94">
        <f>+H129+H132+H137+H141</f>
        <v>7180083.3164712191</v>
      </c>
      <c r="I128" s="94">
        <f>+I129+I132+I137+I141</f>
        <v>1492562.3127970735</v>
      </c>
      <c r="J128" s="94">
        <f t="shared" si="86"/>
        <v>8672645.6292682923</v>
      </c>
      <c r="K128" s="94">
        <f t="shared" ref="K128:T128" si="124">+K129+K132+K137+K141</f>
        <v>0</v>
      </c>
      <c r="L128" s="94">
        <f t="shared" si="124"/>
        <v>0</v>
      </c>
      <c r="M128" s="94">
        <f t="shared" si="124"/>
        <v>1228486.997352439</v>
      </c>
      <c r="N128" s="94">
        <f t="shared" si="124"/>
        <v>255372.16118414636</v>
      </c>
      <c r="O128" s="94">
        <f t="shared" si="124"/>
        <v>3974976.8135422925</v>
      </c>
      <c r="P128" s="94">
        <f t="shared" si="124"/>
        <v>826299.68548209779</v>
      </c>
      <c r="Q128" s="94">
        <f t="shared" si="124"/>
        <v>1976619.5055764879</v>
      </c>
      <c r="R128" s="94">
        <f t="shared" si="124"/>
        <v>410890.4661308293</v>
      </c>
      <c r="S128" s="94">
        <f t="shared" si="124"/>
        <v>0</v>
      </c>
      <c r="T128" s="94">
        <f t="shared" si="124"/>
        <v>0</v>
      </c>
    </row>
    <row r="129" spans="1:20" s="18" customFormat="1" x14ac:dyDescent="0.2">
      <c r="A129" s="38">
        <v>4.0999999999999996</v>
      </c>
      <c r="B129" s="86" t="s">
        <v>316</v>
      </c>
      <c r="C129" s="87"/>
      <c r="D129" s="87"/>
      <c r="E129" s="87"/>
      <c r="F129" s="88"/>
      <c r="G129" s="89">
        <f>SUM(G130:G131)</f>
        <v>1318164.5317073171</v>
      </c>
      <c r="H129" s="89">
        <f>SUM(H130:H131)</f>
        <v>1091308.4158004876</v>
      </c>
      <c r="I129" s="89">
        <f>SUM(I130:I131)</f>
        <v>226856.11590682936</v>
      </c>
      <c r="J129" s="89">
        <f t="shared" si="86"/>
        <v>1318164.5317073173</v>
      </c>
      <c r="K129" s="89">
        <f t="shared" ref="K129:T129" si="125">SUM(K130:K131)</f>
        <v>0</v>
      </c>
      <c r="L129" s="89">
        <f t="shared" si="125"/>
        <v>0</v>
      </c>
      <c r="M129" s="89">
        <f t="shared" si="125"/>
        <v>397195.78769999999</v>
      </c>
      <c r="N129" s="89">
        <f t="shared" si="125"/>
        <v>82567.212300000014</v>
      </c>
      <c r="O129" s="89">
        <f t="shared" si="125"/>
        <v>485878.8396703414</v>
      </c>
      <c r="P129" s="89">
        <f t="shared" si="125"/>
        <v>101002.23252478054</v>
      </c>
      <c r="Q129" s="89">
        <f t="shared" si="125"/>
        <v>208233.78843014632</v>
      </c>
      <c r="R129" s="89">
        <f t="shared" si="125"/>
        <v>43286.671082048801</v>
      </c>
      <c r="S129" s="89">
        <f t="shared" si="125"/>
        <v>0</v>
      </c>
      <c r="T129" s="89">
        <f t="shared" si="125"/>
        <v>0</v>
      </c>
    </row>
    <row r="130" spans="1:20" s="58" customFormat="1" ht="20.399999999999999" x14ac:dyDescent="0.2">
      <c r="A130" s="72" t="s">
        <v>91</v>
      </c>
      <c r="B130" s="105" t="s">
        <v>131</v>
      </c>
      <c r="C130" s="73" t="s">
        <v>79</v>
      </c>
      <c r="D130" s="90">
        <v>1573620</v>
      </c>
      <c r="E130" s="84">
        <v>479763</v>
      </c>
      <c r="F130" s="74">
        <v>1</v>
      </c>
      <c r="G130" s="75">
        <f t="shared" ref="G130:G131" si="126">+F130*E130</f>
        <v>479763</v>
      </c>
      <c r="H130" s="75">
        <f t="shared" ref="H130:H131" si="127">+G130*0.8279</f>
        <v>397195.78769999999</v>
      </c>
      <c r="I130" s="75">
        <f t="shared" ref="I130:I131" si="128">+G130-H130</f>
        <v>82567.212300000014</v>
      </c>
      <c r="J130" s="75">
        <f t="shared" si="86"/>
        <v>479763</v>
      </c>
      <c r="K130" s="75">
        <v>0</v>
      </c>
      <c r="L130" s="75">
        <v>0</v>
      </c>
      <c r="M130" s="75">
        <f>+H130</f>
        <v>397195.78769999999</v>
      </c>
      <c r="N130" s="75">
        <f>+I130</f>
        <v>82567.212300000014</v>
      </c>
      <c r="O130" s="75">
        <v>0</v>
      </c>
      <c r="P130" s="75">
        <v>0</v>
      </c>
      <c r="Q130" s="75">
        <v>0</v>
      </c>
      <c r="R130" s="75">
        <v>0</v>
      </c>
      <c r="S130" s="75">
        <v>0</v>
      </c>
      <c r="T130" s="75">
        <v>0</v>
      </c>
    </row>
    <row r="131" spans="1:20" s="58" customFormat="1" ht="20.399999999999999" x14ac:dyDescent="0.2">
      <c r="A131" s="72" t="s">
        <v>130</v>
      </c>
      <c r="B131" s="105" t="s">
        <v>132</v>
      </c>
      <c r="C131" s="73" t="s">
        <v>79</v>
      </c>
      <c r="D131" s="90">
        <v>2749957.0239999997</v>
      </c>
      <c r="E131" s="84">
        <f t="shared" ref="E131:E143" si="129">+D131/$C$4</f>
        <v>838401.5317073171</v>
      </c>
      <c r="F131" s="74">
        <v>1</v>
      </c>
      <c r="G131" s="75">
        <f t="shared" si="126"/>
        <v>838401.5317073171</v>
      </c>
      <c r="H131" s="75">
        <f t="shared" si="127"/>
        <v>694112.62810048775</v>
      </c>
      <c r="I131" s="75">
        <f t="shared" si="128"/>
        <v>144288.90360682935</v>
      </c>
      <c r="J131" s="75">
        <f t="shared" si="86"/>
        <v>838401.53170731699</v>
      </c>
      <c r="K131" s="75">
        <v>0</v>
      </c>
      <c r="L131" s="75">
        <v>0</v>
      </c>
      <c r="M131" s="75">
        <v>0</v>
      </c>
      <c r="N131" s="75">
        <v>0</v>
      </c>
      <c r="O131" s="75">
        <f>+H131*0.7</f>
        <v>485878.8396703414</v>
      </c>
      <c r="P131" s="75">
        <f>+I131*0.7</f>
        <v>101002.23252478054</v>
      </c>
      <c r="Q131" s="75">
        <f>+H131*0.3</f>
        <v>208233.78843014632</v>
      </c>
      <c r="R131" s="75">
        <f>+I131*0.3</f>
        <v>43286.671082048801</v>
      </c>
      <c r="S131" s="75">
        <v>0</v>
      </c>
      <c r="T131" s="75">
        <v>0</v>
      </c>
    </row>
    <row r="132" spans="1:20" s="18" customFormat="1" x14ac:dyDescent="0.2">
      <c r="A132" s="38">
        <v>4.2</v>
      </c>
      <c r="B132" s="86" t="s">
        <v>317</v>
      </c>
      <c r="C132" s="87"/>
      <c r="D132" s="87"/>
      <c r="E132" s="87"/>
      <c r="F132" s="88"/>
      <c r="G132" s="89">
        <f>SUM(G133:G136)</f>
        <v>451957.92682926834</v>
      </c>
      <c r="H132" s="89">
        <f>SUM(H133:H136)</f>
        <v>374175.96762195119</v>
      </c>
      <c r="I132" s="89">
        <f>SUM(I133:I136)</f>
        <v>77781.959207317108</v>
      </c>
      <c r="J132" s="89">
        <f t="shared" si="86"/>
        <v>451957.92682926828</v>
      </c>
      <c r="K132" s="89">
        <f t="shared" ref="K132:T132" si="130">SUM(K133:K136)</f>
        <v>0</v>
      </c>
      <c r="L132" s="89">
        <f t="shared" si="130"/>
        <v>0</v>
      </c>
      <c r="M132" s="89">
        <f t="shared" si="130"/>
        <v>374175.96762195119</v>
      </c>
      <c r="N132" s="89">
        <f t="shared" si="130"/>
        <v>77781.959207317108</v>
      </c>
      <c r="O132" s="89">
        <f t="shared" si="130"/>
        <v>0</v>
      </c>
      <c r="P132" s="89">
        <f t="shared" si="130"/>
        <v>0</v>
      </c>
      <c r="Q132" s="89">
        <f t="shared" si="130"/>
        <v>0</v>
      </c>
      <c r="R132" s="89">
        <f t="shared" si="130"/>
        <v>0</v>
      </c>
      <c r="S132" s="89">
        <f t="shared" si="130"/>
        <v>0</v>
      </c>
      <c r="T132" s="89">
        <f t="shared" si="130"/>
        <v>0</v>
      </c>
    </row>
    <row r="133" spans="1:20" s="58" customFormat="1" x14ac:dyDescent="0.2">
      <c r="A133" s="72" t="s">
        <v>92</v>
      </c>
      <c r="B133" s="79" t="s">
        <v>133</v>
      </c>
      <c r="C133" s="73" t="s">
        <v>79</v>
      </c>
      <c r="D133" s="90">
        <v>243240</v>
      </c>
      <c r="E133" s="84">
        <f>+D133/$C$4</f>
        <v>74158.536585365859</v>
      </c>
      <c r="F133" s="74">
        <v>1</v>
      </c>
      <c r="G133" s="75">
        <f t="shared" ref="G133:G136" si="131">+F133*E133</f>
        <v>74158.536585365859</v>
      </c>
      <c r="H133" s="75">
        <f t="shared" ref="H133:H136" si="132">+G133*0.8279</f>
        <v>61395.852439024391</v>
      </c>
      <c r="I133" s="75">
        <f t="shared" ref="I133:I136" si="133">+G133-H133</f>
        <v>12762.684146341468</v>
      </c>
      <c r="J133" s="75">
        <f t="shared" si="86"/>
        <v>74158.536585365859</v>
      </c>
      <c r="K133" s="75">
        <v>0</v>
      </c>
      <c r="L133" s="75">
        <v>0</v>
      </c>
      <c r="M133" s="75">
        <f t="shared" ref="M133:N136" si="134">+H133</f>
        <v>61395.852439024391</v>
      </c>
      <c r="N133" s="75">
        <f t="shared" si="134"/>
        <v>12762.684146341468</v>
      </c>
      <c r="O133" s="75">
        <v>0</v>
      </c>
      <c r="P133" s="75">
        <v>0</v>
      </c>
      <c r="Q133" s="75">
        <v>0</v>
      </c>
      <c r="R133" s="75">
        <v>0</v>
      </c>
      <c r="S133" s="75">
        <v>0</v>
      </c>
      <c r="T133" s="75">
        <v>0</v>
      </c>
    </row>
    <row r="134" spans="1:20" s="58" customFormat="1" x14ac:dyDescent="0.2">
      <c r="A134" s="72" t="s">
        <v>93</v>
      </c>
      <c r="B134" s="79" t="s">
        <v>134</v>
      </c>
      <c r="C134" s="73" t="s">
        <v>79</v>
      </c>
      <c r="D134" s="90">
        <v>785783</v>
      </c>
      <c r="E134" s="84">
        <f>+D134/$C$4</f>
        <v>239567.98780487807</v>
      </c>
      <c r="F134" s="74">
        <v>1</v>
      </c>
      <c r="G134" s="75">
        <f t="shared" si="131"/>
        <v>239567.98780487807</v>
      </c>
      <c r="H134" s="75">
        <f t="shared" si="132"/>
        <v>198338.33710365853</v>
      </c>
      <c r="I134" s="75">
        <f t="shared" si="133"/>
        <v>41229.650701219536</v>
      </c>
      <c r="J134" s="75">
        <f t="shared" si="86"/>
        <v>239567.98780487807</v>
      </c>
      <c r="K134" s="75">
        <v>0</v>
      </c>
      <c r="L134" s="75">
        <v>0</v>
      </c>
      <c r="M134" s="75">
        <f t="shared" si="134"/>
        <v>198338.33710365853</v>
      </c>
      <c r="N134" s="75">
        <f t="shared" si="134"/>
        <v>41229.650701219536</v>
      </c>
      <c r="O134" s="75">
        <v>0</v>
      </c>
      <c r="P134" s="75">
        <v>0</v>
      </c>
      <c r="Q134" s="75">
        <v>0</v>
      </c>
      <c r="R134" s="75">
        <v>0</v>
      </c>
      <c r="S134" s="75">
        <v>0</v>
      </c>
      <c r="T134" s="75">
        <v>0</v>
      </c>
    </row>
    <row r="135" spans="1:20" s="58" customFormat="1" ht="12.75" customHeight="1" x14ac:dyDescent="0.2">
      <c r="A135" s="72" t="s">
        <v>140</v>
      </c>
      <c r="B135" s="79" t="s">
        <v>135</v>
      </c>
      <c r="C135" s="73" t="s">
        <v>79</v>
      </c>
      <c r="D135" s="91">
        <v>255914</v>
      </c>
      <c r="E135" s="84">
        <f>+D135/$C$4</f>
        <v>78022.560975609755</v>
      </c>
      <c r="F135" s="74">
        <v>1</v>
      </c>
      <c r="G135" s="75">
        <f t="shared" si="131"/>
        <v>78022.560975609755</v>
      </c>
      <c r="H135" s="75">
        <f t="shared" si="132"/>
        <v>64594.878231707313</v>
      </c>
      <c r="I135" s="75">
        <f t="shared" si="133"/>
        <v>13427.682743902442</v>
      </c>
      <c r="J135" s="75">
        <f t="shared" si="86"/>
        <v>78022.560975609755</v>
      </c>
      <c r="K135" s="75">
        <v>0</v>
      </c>
      <c r="L135" s="75">
        <v>0</v>
      </c>
      <c r="M135" s="75">
        <f t="shared" si="134"/>
        <v>64594.878231707313</v>
      </c>
      <c r="N135" s="75">
        <f t="shared" si="134"/>
        <v>13427.682743902442</v>
      </c>
      <c r="O135" s="75">
        <v>0</v>
      </c>
      <c r="P135" s="75">
        <v>0</v>
      </c>
      <c r="Q135" s="75">
        <v>0</v>
      </c>
      <c r="R135" s="75">
        <v>0</v>
      </c>
      <c r="S135" s="75">
        <v>0</v>
      </c>
      <c r="T135" s="75">
        <v>0</v>
      </c>
    </row>
    <row r="136" spans="1:20" s="58" customFormat="1" ht="20.399999999999999" x14ac:dyDescent="0.2">
      <c r="A136" s="72" t="s">
        <v>144</v>
      </c>
      <c r="B136" s="79" t="s">
        <v>136</v>
      </c>
      <c r="C136" s="73" t="s">
        <v>79</v>
      </c>
      <c r="D136" s="91">
        <v>197485</v>
      </c>
      <c r="E136" s="84">
        <f>+D136/$C$4</f>
        <v>60208.841463414639</v>
      </c>
      <c r="F136" s="74">
        <v>1</v>
      </c>
      <c r="G136" s="75">
        <f t="shared" si="131"/>
        <v>60208.841463414639</v>
      </c>
      <c r="H136" s="75">
        <f t="shared" si="132"/>
        <v>49846.899847560977</v>
      </c>
      <c r="I136" s="75">
        <f t="shared" si="133"/>
        <v>10361.941615853662</v>
      </c>
      <c r="J136" s="75">
        <f t="shared" si="86"/>
        <v>60208.841463414639</v>
      </c>
      <c r="K136" s="75">
        <v>0</v>
      </c>
      <c r="L136" s="75">
        <v>0</v>
      </c>
      <c r="M136" s="75">
        <f t="shared" si="134"/>
        <v>49846.899847560977</v>
      </c>
      <c r="N136" s="75">
        <f t="shared" si="134"/>
        <v>10361.941615853662</v>
      </c>
      <c r="O136" s="75">
        <v>0</v>
      </c>
      <c r="P136" s="75">
        <v>0</v>
      </c>
      <c r="Q136" s="75">
        <v>0</v>
      </c>
      <c r="R136" s="75">
        <v>0</v>
      </c>
      <c r="S136" s="75">
        <v>0</v>
      </c>
      <c r="T136" s="75">
        <v>0</v>
      </c>
    </row>
    <row r="137" spans="1:20" s="18" customFormat="1" x14ac:dyDescent="0.2">
      <c r="A137" s="38">
        <v>4.3</v>
      </c>
      <c r="B137" s="86" t="s">
        <v>319</v>
      </c>
      <c r="C137" s="87"/>
      <c r="D137" s="87"/>
      <c r="E137" s="87"/>
      <c r="F137" s="88"/>
      <c r="G137" s="89">
        <f>SUM(G138:G140)</f>
        <v>3095121.9512195126</v>
      </c>
      <c r="H137" s="89">
        <f>SUM(H138:H140)</f>
        <v>2562451.4634146341</v>
      </c>
      <c r="I137" s="89">
        <f>SUM(I138:I140)</f>
        <v>532670.48780487815</v>
      </c>
      <c r="J137" s="89">
        <f t="shared" ref="J137:J152" si="135">SUM(K137:T137)</f>
        <v>3095121.9512195121</v>
      </c>
      <c r="K137" s="89">
        <f t="shared" ref="K137:T137" si="136">SUM(K138:K140)</f>
        <v>0</v>
      </c>
      <c r="L137" s="89">
        <f t="shared" si="136"/>
        <v>0</v>
      </c>
      <c r="M137" s="89">
        <f t="shared" si="136"/>
        <v>0</v>
      </c>
      <c r="N137" s="89">
        <f t="shared" si="136"/>
        <v>0</v>
      </c>
      <c r="O137" s="89">
        <f t="shared" si="136"/>
        <v>1793716.0243902439</v>
      </c>
      <c r="P137" s="89">
        <f t="shared" si="136"/>
        <v>372869.34146341466</v>
      </c>
      <c r="Q137" s="89">
        <f t="shared" si="136"/>
        <v>768735.4390243903</v>
      </c>
      <c r="R137" s="89">
        <f t="shared" si="136"/>
        <v>159801.14634146343</v>
      </c>
      <c r="S137" s="89">
        <f t="shared" si="136"/>
        <v>0</v>
      </c>
      <c r="T137" s="89">
        <f t="shared" si="136"/>
        <v>0</v>
      </c>
    </row>
    <row r="138" spans="1:20" s="58" customFormat="1" x14ac:dyDescent="0.2">
      <c r="A138" s="72" t="s">
        <v>94</v>
      </c>
      <c r="B138" s="79" t="s">
        <v>137</v>
      </c>
      <c r="C138" s="73" t="s">
        <v>79</v>
      </c>
      <c r="D138" s="91">
        <v>3622000</v>
      </c>
      <c r="E138" s="84">
        <f t="shared" si="129"/>
        <v>1104268.2926829269</v>
      </c>
      <c r="F138" s="74">
        <v>1</v>
      </c>
      <c r="G138" s="75">
        <f t="shared" ref="G138:G140" si="137">+F138*E138</f>
        <v>1104268.2926829269</v>
      </c>
      <c r="H138" s="75">
        <f t="shared" ref="H138:H140" si="138">+G138*0.8279</f>
        <v>914223.71951219509</v>
      </c>
      <c r="I138" s="75">
        <f t="shared" ref="I138:I140" si="139">+G138-H138</f>
        <v>190044.57317073178</v>
      </c>
      <c r="J138" s="75">
        <f t="shared" si="135"/>
        <v>1104268.2926829269</v>
      </c>
      <c r="K138" s="75">
        <v>0</v>
      </c>
      <c r="L138" s="75">
        <v>0</v>
      </c>
      <c r="M138" s="75">
        <v>0</v>
      </c>
      <c r="N138" s="75">
        <v>0</v>
      </c>
      <c r="O138" s="75">
        <f t="shared" ref="O138:P140" si="140">+H138*0.7</f>
        <v>639956.60365853657</v>
      </c>
      <c r="P138" s="75">
        <f t="shared" si="140"/>
        <v>133031.20121951224</v>
      </c>
      <c r="Q138" s="75">
        <f t="shared" ref="Q138:R140" si="141">+H138*0.3</f>
        <v>274267.11585365853</v>
      </c>
      <c r="R138" s="75">
        <f t="shared" si="141"/>
        <v>57013.371951219531</v>
      </c>
      <c r="S138" s="75">
        <v>0</v>
      </c>
      <c r="T138" s="75">
        <v>0</v>
      </c>
    </row>
    <row r="139" spans="1:20" s="58" customFormat="1" x14ac:dyDescent="0.2">
      <c r="A139" s="72" t="s">
        <v>95</v>
      </c>
      <c r="B139" s="79" t="s">
        <v>138</v>
      </c>
      <c r="C139" s="73" t="s">
        <v>79</v>
      </c>
      <c r="D139" s="91">
        <v>4230000</v>
      </c>
      <c r="E139" s="84">
        <f t="shared" si="129"/>
        <v>1289634.1463414636</v>
      </c>
      <c r="F139" s="74">
        <v>1</v>
      </c>
      <c r="G139" s="75">
        <f t="shared" si="137"/>
        <v>1289634.1463414636</v>
      </c>
      <c r="H139" s="75">
        <f t="shared" si="138"/>
        <v>1067688.1097560977</v>
      </c>
      <c r="I139" s="75">
        <f t="shared" si="139"/>
        <v>221946.03658536589</v>
      </c>
      <c r="J139" s="75">
        <f t="shared" si="135"/>
        <v>1289634.1463414636</v>
      </c>
      <c r="K139" s="75">
        <v>0</v>
      </c>
      <c r="L139" s="75">
        <v>0</v>
      </c>
      <c r="M139" s="75">
        <v>0</v>
      </c>
      <c r="N139" s="75">
        <v>0</v>
      </c>
      <c r="O139" s="75">
        <f t="shared" si="140"/>
        <v>747381.67682926834</v>
      </c>
      <c r="P139" s="75">
        <f t="shared" si="140"/>
        <v>155362.2256097561</v>
      </c>
      <c r="Q139" s="75">
        <f t="shared" si="141"/>
        <v>320306.43292682926</v>
      </c>
      <c r="R139" s="75">
        <f t="shared" si="141"/>
        <v>66583.810975609769</v>
      </c>
      <c r="S139" s="75">
        <v>0</v>
      </c>
      <c r="T139" s="75">
        <v>0</v>
      </c>
    </row>
    <row r="140" spans="1:20" s="58" customFormat="1" x14ac:dyDescent="0.2">
      <c r="A140" s="72" t="s">
        <v>320</v>
      </c>
      <c r="B140" s="79" t="s">
        <v>139</v>
      </c>
      <c r="C140" s="73" t="s">
        <v>79</v>
      </c>
      <c r="D140" s="90">
        <v>2300000</v>
      </c>
      <c r="E140" s="84">
        <f t="shared" si="129"/>
        <v>701219.51219512196</v>
      </c>
      <c r="F140" s="74">
        <v>1</v>
      </c>
      <c r="G140" s="75">
        <f t="shared" si="137"/>
        <v>701219.51219512196</v>
      </c>
      <c r="H140" s="75">
        <f t="shared" si="138"/>
        <v>580539.63414634147</v>
      </c>
      <c r="I140" s="75">
        <f t="shared" si="139"/>
        <v>120679.87804878049</v>
      </c>
      <c r="J140" s="75">
        <f t="shared" si="135"/>
        <v>701219.51219512185</v>
      </c>
      <c r="K140" s="75">
        <v>0</v>
      </c>
      <c r="L140" s="75">
        <v>0</v>
      </c>
      <c r="M140" s="75">
        <v>0</v>
      </c>
      <c r="N140" s="75">
        <v>0</v>
      </c>
      <c r="O140" s="75">
        <f t="shared" si="140"/>
        <v>406377.74390243902</v>
      </c>
      <c r="P140" s="75">
        <f t="shared" si="140"/>
        <v>84475.914634146335</v>
      </c>
      <c r="Q140" s="75">
        <f t="shared" si="141"/>
        <v>174161.89024390242</v>
      </c>
      <c r="R140" s="75">
        <f t="shared" si="141"/>
        <v>36203.963414634149</v>
      </c>
      <c r="S140" s="75">
        <v>0</v>
      </c>
      <c r="T140" s="75">
        <v>0</v>
      </c>
    </row>
    <row r="141" spans="1:20" s="18" customFormat="1" x14ac:dyDescent="0.2">
      <c r="A141" s="38">
        <v>4.4000000000000004</v>
      </c>
      <c r="B141" s="86" t="s">
        <v>318</v>
      </c>
      <c r="C141" s="87"/>
      <c r="D141" s="87"/>
      <c r="E141" s="87"/>
      <c r="F141" s="88"/>
      <c r="G141" s="89">
        <f>SUM(G142:G152)</f>
        <v>3807401.2195121953</v>
      </c>
      <c r="H141" s="89">
        <f>SUM(H142:H152)</f>
        <v>3152147.4696341464</v>
      </c>
      <c r="I141" s="89">
        <f>SUM(I142:I152)</f>
        <v>655253.7498780489</v>
      </c>
      <c r="J141" s="89">
        <f t="shared" si="135"/>
        <v>3807401.2195121953</v>
      </c>
      <c r="K141" s="89">
        <f t="shared" ref="K141:T141" si="142">SUM(K142:K152)</f>
        <v>0</v>
      </c>
      <c r="L141" s="89">
        <f t="shared" si="142"/>
        <v>0</v>
      </c>
      <c r="M141" s="89">
        <f t="shared" si="142"/>
        <v>457115.24203048786</v>
      </c>
      <c r="N141" s="89">
        <f t="shared" si="142"/>
        <v>95022.989676829253</v>
      </c>
      <c r="O141" s="89">
        <f t="shared" si="142"/>
        <v>1695381.9494817073</v>
      </c>
      <c r="P141" s="89">
        <f t="shared" si="142"/>
        <v>352428.11149390251</v>
      </c>
      <c r="Q141" s="89">
        <f t="shared" si="142"/>
        <v>999650.27812195127</v>
      </c>
      <c r="R141" s="89">
        <f t="shared" si="142"/>
        <v>207802.6487073171</v>
      </c>
      <c r="S141" s="89">
        <f t="shared" si="142"/>
        <v>0</v>
      </c>
      <c r="T141" s="89">
        <f t="shared" si="142"/>
        <v>0</v>
      </c>
    </row>
    <row r="142" spans="1:20" s="58" customFormat="1" x14ac:dyDescent="0.2">
      <c r="A142" s="72" t="s">
        <v>328</v>
      </c>
      <c r="B142" s="79" t="s">
        <v>321</v>
      </c>
      <c r="C142" s="57" t="s">
        <v>79</v>
      </c>
      <c r="D142" s="90">
        <v>643033.99999999988</v>
      </c>
      <c r="E142" s="84">
        <f t="shared" si="129"/>
        <v>196046.95121951218</v>
      </c>
      <c r="F142" s="74">
        <v>1</v>
      </c>
      <c r="G142" s="75">
        <f t="shared" ref="G142:G152" si="143">+F142*E142</f>
        <v>196046.95121951218</v>
      </c>
      <c r="H142" s="75">
        <f t="shared" ref="H142:H152" si="144">+G142*0.8279</f>
        <v>162307.27091463414</v>
      </c>
      <c r="I142" s="75">
        <f t="shared" ref="I142:I152" si="145">+G142-H142</f>
        <v>33739.680304878042</v>
      </c>
      <c r="J142" s="75">
        <f t="shared" si="135"/>
        <v>196046.95121951221</v>
      </c>
      <c r="K142" s="75">
        <v>0</v>
      </c>
      <c r="L142" s="75">
        <v>0</v>
      </c>
      <c r="M142" s="75">
        <f t="shared" ref="M142:N145" si="146">+H142*0.7</f>
        <v>113615.0896402439</v>
      </c>
      <c r="N142" s="75">
        <f t="shared" si="146"/>
        <v>23617.776213414629</v>
      </c>
      <c r="O142" s="75">
        <f t="shared" ref="O142:P145" si="147">+H142*0.3</f>
        <v>48692.181274390241</v>
      </c>
      <c r="P142" s="75">
        <f t="shared" si="147"/>
        <v>10121.904091463412</v>
      </c>
      <c r="Q142" s="75">
        <v>0</v>
      </c>
      <c r="R142" s="75">
        <v>0</v>
      </c>
      <c r="S142" s="75">
        <v>0</v>
      </c>
      <c r="T142" s="75">
        <v>0</v>
      </c>
    </row>
    <row r="143" spans="1:20" s="58" customFormat="1" ht="20.399999999999999" x14ac:dyDescent="0.2">
      <c r="A143" s="72" t="s">
        <v>329</v>
      </c>
      <c r="B143" s="79" t="s">
        <v>141</v>
      </c>
      <c r="C143" s="57" t="s">
        <v>79</v>
      </c>
      <c r="D143" s="90">
        <v>650000</v>
      </c>
      <c r="E143" s="84">
        <f t="shared" si="129"/>
        <v>198170.73170731709</v>
      </c>
      <c r="F143" s="74">
        <v>1</v>
      </c>
      <c r="G143" s="75">
        <f t="shared" si="143"/>
        <v>198170.73170731709</v>
      </c>
      <c r="H143" s="75">
        <f t="shared" si="144"/>
        <v>164065.54878048782</v>
      </c>
      <c r="I143" s="75">
        <f t="shared" si="145"/>
        <v>34105.182926829264</v>
      </c>
      <c r="J143" s="75">
        <f t="shared" si="135"/>
        <v>198170.73170731709</v>
      </c>
      <c r="K143" s="75">
        <v>0</v>
      </c>
      <c r="L143" s="75">
        <v>0</v>
      </c>
      <c r="M143" s="75">
        <f t="shared" si="146"/>
        <v>114845.88414634147</v>
      </c>
      <c r="N143" s="75">
        <f t="shared" si="146"/>
        <v>23873.628048780483</v>
      </c>
      <c r="O143" s="75">
        <f t="shared" si="147"/>
        <v>49219.664634146342</v>
      </c>
      <c r="P143" s="75">
        <f t="shared" si="147"/>
        <v>10231.554878048779</v>
      </c>
      <c r="Q143" s="75">
        <v>0</v>
      </c>
      <c r="R143" s="75">
        <v>0</v>
      </c>
      <c r="S143" s="75">
        <v>0</v>
      </c>
      <c r="T143" s="75">
        <v>0</v>
      </c>
    </row>
    <row r="144" spans="1:20" s="58" customFormat="1" ht="12.75" customHeight="1" x14ac:dyDescent="0.2">
      <c r="A144" s="72" t="s">
        <v>330</v>
      </c>
      <c r="B144" s="79" t="s">
        <v>142</v>
      </c>
      <c r="C144" s="57" t="s">
        <v>79</v>
      </c>
      <c r="D144" s="90">
        <v>554400</v>
      </c>
      <c r="E144" s="84">
        <f t="shared" ref="E144:E152" si="148">+D144/$C$4</f>
        <v>169024.39024390245</v>
      </c>
      <c r="F144" s="74">
        <v>1</v>
      </c>
      <c r="G144" s="75">
        <f t="shared" si="143"/>
        <v>169024.39024390245</v>
      </c>
      <c r="H144" s="75">
        <f t="shared" si="144"/>
        <v>139935.29268292684</v>
      </c>
      <c r="I144" s="75">
        <f t="shared" si="145"/>
        <v>29089.097560975613</v>
      </c>
      <c r="J144" s="75">
        <f t="shared" si="135"/>
        <v>169024.39024390245</v>
      </c>
      <c r="K144" s="75">
        <v>0</v>
      </c>
      <c r="L144" s="75">
        <v>0</v>
      </c>
      <c r="M144" s="75">
        <f t="shared" si="146"/>
        <v>97954.704878048782</v>
      </c>
      <c r="N144" s="75">
        <f t="shared" si="146"/>
        <v>20362.368292682928</v>
      </c>
      <c r="O144" s="75">
        <f t="shared" si="147"/>
        <v>41980.587804878051</v>
      </c>
      <c r="P144" s="75">
        <f t="shared" si="147"/>
        <v>8726.7292682926836</v>
      </c>
      <c r="Q144" s="75">
        <v>0</v>
      </c>
      <c r="R144" s="75">
        <v>0</v>
      </c>
      <c r="S144" s="75">
        <v>0</v>
      </c>
      <c r="T144" s="75">
        <v>0</v>
      </c>
    </row>
    <row r="145" spans="1:20" x14ac:dyDescent="0.2">
      <c r="A145" s="72" t="s">
        <v>331</v>
      </c>
      <c r="B145" s="79" t="s">
        <v>143</v>
      </c>
      <c r="C145" s="57" t="s">
        <v>79</v>
      </c>
      <c r="D145" s="90">
        <v>739728</v>
      </c>
      <c r="E145" s="84">
        <f t="shared" si="148"/>
        <v>225526.8292682927</v>
      </c>
      <c r="F145" s="74">
        <v>1</v>
      </c>
      <c r="G145" s="75">
        <f t="shared" si="143"/>
        <v>225526.8292682927</v>
      </c>
      <c r="H145" s="75">
        <f t="shared" si="144"/>
        <v>186713.66195121952</v>
      </c>
      <c r="I145" s="75">
        <f t="shared" si="145"/>
        <v>38813.167317073181</v>
      </c>
      <c r="J145" s="75">
        <f t="shared" si="135"/>
        <v>225526.8292682927</v>
      </c>
      <c r="K145" s="75">
        <v>0</v>
      </c>
      <c r="L145" s="75">
        <v>0</v>
      </c>
      <c r="M145" s="75">
        <f t="shared" si="146"/>
        <v>130699.56336585365</v>
      </c>
      <c r="N145" s="75">
        <f t="shared" si="146"/>
        <v>27169.217121951224</v>
      </c>
      <c r="O145" s="75">
        <f t="shared" si="147"/>
        <v>56014.098585365857</v>
      </c>
      <c r="P145" s="75">
        <f t="shared" si="147"/>
        <v>11643.950195121954</v>
      </c>
      <c r="Q145" s="75">
        <v>0</v>
      </c>
      <c r="R145" s="75">
        <v>0</v>
      </c>
      <c r="S145" s="75">
        <v>0</v>
      </c>
      <c r="T145" s="75">
        <v>0</v>
      </c>
    </row>
    <row r="146" spans="1:20" ht="20.399999999999999" x14ac:dyDescent="0.2">
      <c r="A146" s="72" t="s">
        <v>332</v>
      </c>
      <c r="B146" s="79" t="s">
        <v>322</v>
      </c>
      <c r="C146" s="57" t="s">
        <v>79</v>
      </c>
      <c r="D146" s="90">
        <v>2514155</v>
      </c>
      <c r="E146" s="84">
        <f t="shared" si="148"/>
        <v>766510.67073170736</v>
      </c>
      <c r="F146" s="74">
        <v>1</v>
      </c>
      <c r="G146" s="75">
        <f t="shared" si="143"/>
        <v>766510.67073170736</v>
      </c>
      <c r="H146" s="75">
        <f t="shared" si="144"/>
        <v>634594.18429878051</v>
      </c>
      <c r="I146" s="75">
        <f t="shared" si="145"/>
        <v>131916.48643292685</v>
      </c>
      <c r="J146" s="75">
        <f t="shared" si="135"/>
        <v>766510.67073170736</v>
      </c>
      <c r="K146" s="75">
        <v>0</v>
      </c>
      <c r="L146" s="75">
        <v>0</v>
      </c>
      <c r="M146" s="75">
        <v>0</v>
      </c>
      <c r="N146" s="75">
        <v>0</v>
      </c>
      <c r="O146" s="75">
        <f>+H146*0.6</f>
        <v>380756.51057926827</v>
      </c>
      <c r="P146" s="75">
        <f>+I146*0.6</f>
        <v>79149.891859756099</v>
      </c>
      <c r="Q146" s="75">
        <f>+H146*0.4</f>
        <v>253837.67371951221</v>
      </c>
      <c r="R146" s="75">
        <f>+I146*0.4</f>
        <v>52766.59457317074</v>
      </c>
      <c r="S146" s="75">
        <v>0</v>
      </c>
      <c r="T146" s="75">
        <v>0</v>
      </c>
    </row>
    <row r="147" spans="1:20" ht="20.399999999999999" x14ac:dyDescent="0.2">
      <c r="A147" s="72" t="s">
        <v>333</v>
      </c>
      <c r="B147" s="79" t="s">
        <v>323</v>
      </c>
      <c r="C147" s="57" t="s">
        <v>79</v>
      </c>
      <c r="D147" s="90">
        <v>876879</v>
      </c>
      <c r="E147" s="84">
        <f t="shared" si="148"/>
        <v>267341.1585365854</v>
      </c>
      <c r="F147" s="74">
        <v>1</v>
      </c>
      <c r="G147" s="75">
        <f t="shared" si="143"/>
        <v>267341.1585365854</v>
      </c>
      <c r="H147" s="75">
        <f t="shared" si="144"/>
        <v>221331.74515243905</v>
      </c>
      <c r="I147" s="75">
        <f t="shared" si="145"/>
        <v>46009.413384146348</v>
      </c>
      <c r="J147" s="75">
        <f t="shared" si="135"/>
        <v>267341.1585365854</v>
      </c>
      <c r="K147" s="75">
        <v>0</v>
      </c>
      <c r="L147" s="75">
        <v>0</v>
      </c>
      <c r="M147" s="75">
        <v>0</v>
      </c>
      <c r="N147" s="75">
        <v>0</v>
      </c>
      <c r="O147" s="75">
        <f t="shared" ref="O147:O152" si="149">+H147*0.6</f>
        <v>132799.04709146344</v>
      </c>
      <c r="P147" s="75">
        <f t="shared" ref="P147:P148" si="150">+I147*0.6</f>
        <v>27605.64803048781</v>
      </c>
      <c r="Q147" s="75">
        <f t="shared" ref="Q147:Q148" si="151">+H147*0.4</f>
        <v>88532.698060975628</v>
      </c>
      <c r="R147" s="75">
        <f t="shared" ref="R147:R148" si="152">+I147*0.4</f>
        <v>18403.765353658539</v>
      </c>
      <c r="S147" s="75">
        <v>0</v>
      </c>
      <c r="T147" s="75">
        <v>0</v>
      </c>
    </row>
    <row r="148" spans="1:20" x14ac:dyDescent="0.2">
      <c r="A148" s="72" t="s">
        <v>334</v>
      </c>
      <c r="B148" s="79" t="s">
        <v>145</v>
      </c>
      <c r="C148" s="57" t="s">
        <v>79</v>
      </c>
      <c r="D148" s="90">
        <v>1675580</v>
      </c>
      <c r="E148" s="84">
        <f t="shared" si="148"/>
        <v>510847.56097560981</v>
      </c>
      <c r="F148" s="74">
        <v>1</v>
      </c>
      <c r="G148" s="75">
        <f t="shared" si="143"/>
        <v>510847.56097560981</v>
      </c>
      <c r="H148" s="75">
        <f t="shared" si="144"/>
        <v>422930.69573170732</v>
      </c>
      <c r="I148" s="75">
        <f t="shared" si="145"/>
        <v>87916.865243902488</v>
      </c>
      <c r="J148" s="75">
        <f t="shared" si="135"/>
        <v>510847.56097560981</v>
      </c>
      <c r="K148" s="75">
        <v>0</v>
      </c>
      <c r="L148" s="75">
        <v>0</v>
      </c>
      <c r="M148" s="75">
        <v>0</v>
      </c>
      <c r="N148" s="75">
        <v>0</v>
      </c>
      <c r="O148" s="75">
        <f t="shared" si="149"/>
        <v>253758.41743902437</v>
      </c>
      <c r="P148" s="75">
        <f t="shared" si="150"/>
        <v>52750.119146341494</v>
      </c>
      <c r="Q148" s="75">
        <f t="shared" si="151"/>
        <v>169172.27829268295</v>
      </c>
      <c r="R148" s="75">
        <f t="shared" si="152"/>
        <v>35166.746097560994</v>
      </c>
      <c r="S148" s="75">
        <v>0</v>
      </c>
      <c r="T148" s="75">
        <v>0</v>
      </c>
    </row>
    <row r="149" spans="1:20" x14ac:dyDescent="0.2">
      <c r="A149" s="72" t="s">
        <v>335</v>
      </c>
      <c r="B149" s="79" t="s">
        <v>324</v>
      </c>
      <c r="C149" s="57" t="s">
        <v>79</v>
      </c>
      <c r="D149" s="90">
        <v>192000</v>
      </c>
      <c r="E149" s="84">
        <f t="shared" si="148"/>
        <v>58536.585365853665</v>
      </c>
      <c r="F149" s="74">
        <v>1</v>
      </c>
      <c r="G149" s="75">
        <f t="shared" si="143"/>
        <v>58536.585365853665</v>
      </c>
      <c r="H149" s="75">
        <f t="shared" si="144"/>
        <v>48462.439024390245</v>
      </c>
      <c r="I149" s="75">
        <f t="shared" si="145"/>
        <v>10074.14634146342</v>
      </c>
      <c r="J149" s="75">
        <f t="shared" si="135"/>
        <v>58536.585365853665</v>
      </c>
      <c r="K149" s="75">
        <v>0</v>
      </c>
      <c r="L149" s="75">
        <v>0</v>
      </c>
      <c r="M149" s="75">
        <v>0</v>
      </c>
      <c r="N149" s="75">
        <v>0</v>
      </c>
      <c r="O149" s="75">
        <f t="shared" si="149"/>
        <v>29077.463414634145</v>
      </c>
      <c r="P149" s="75">
        <f t="shared" ref="P149" si="153">+I149*0.6</f>
        <v>6044.487804878052</v>
      </c>
      <c r="Q149" s="75">
        <f t="shared" ref="Q149" si="154">+H149*0.4</f>
        <v>19384.9756097561</v>
      </c>
      <c r="R149" s="75">
        <f t="shared" ref="R149" si="155">+I149*0.4</f>
        <v>4029.658536585368</v>
      </c>
      <c r="S149" s="75">
        <v>0</v>
      </c>
      <c r="T149" s="75">
        <v>0</v>
      </c>
    </row>
    <row r="150" spans="1:20" x14ac:dyDescent="0.2">
      <c r="A150" s="72" t="s">
        <v>336</v>
      </c>
      <c r="B150" s="79" t="s">
        <v>325</v>
      </c>
      <c r="C150" s="57" t="s">
        <v>79</v>
      </c>
      <c r="D150" s="90">
        <v>96000</v>
      </c>
      <c r="E150" s="84">
        <f t="shared" si="148"/>
        <v>29268.292682926833</v>
      </c>
      <c r="F150" s="74">
        <v>1</v>
      </c>
      <c r="G150" s="75">
        <f t="shared" si="143"/>
        <v>29268.292682926833</v>
      </c>
      <c r="H150" s="75">
        <f t="shared" si="144"/>
        <v>24231.219512195123</v>
      </c>
      <c r="I150" s="75">
        <f t="shared" si="145"/>
        <v>5037.07317073171</v>
      </c>
      <c r="J150" s="75">
        <f t="shared" si="135"/>
        <v>29268.292682926833</v>
      </c>
      <c r="K150" s="75">
        <v>0</v>
      </c>
      <c r="L150" s="75">
        <v>0</v>
      </c>
      <c r="M150" s="75">
        <v>0</v>
      </c>
      <c r="N150" s="75">
        <v>0</v>
      </c>
      <c r="O150" s="75">
        <f t="shared" si="149"/>
        <v>14538.731707317073</v>
      </c>
      <c r="P150" s="75">
        <f t="shared" ref="P150:P152" si="156">+I150*0.6</f>
        <v>3022.243902439026</v>
      </c>
      <c r="Q150" s="75">
        <f t="shared" ref="Q150:Q152" si="157">+H150*0.4</f>
        <v>9692.4878048780502</v>
      </c>
      <c r="R150" s="75">
        <f t="shared" ref="R150:R152" si="158">+I150*0.4</f>
        <v>2014.829268292684</v>
      </c>
      <c r="S150" s="75">
        <v>0</v>
      </c>
      <c r="T150" s="75">
        <v>0</v>
      </c>
    </row>
    <row r="151" spans="1:20" x14ac:dyDescent="0.2">
      <c r="A151" s="72" t="s">
        <v>337</v>
      </c>
      <c r="B151" s="79" t="s">
        <v>326</v>
      </c>
      <c r="C151" s="57" t="s">
        <v>79</v>
      </c>
      <c r="D151" s="90">
        <v>4078500</v>
      </c>
      <c r="E151" s="84">
        <f t="shared" si="148"/>
        <v>1243445.1219512196</v>
      </c>
      <c r="F151" s="74">
        <v>1</v>
      </c>
      <c r="G151" s="75">
        <f t="shared" si="143"/>
        <v>1243445.1219512196</v>
      </c>
      <c r="H151" s="75">
        <f t="shared" si="144"/>
        <v>1029448.2164634147</v>
      </c>
      <c r="I151" s="75">
        <f t="shared" si="145"/>
        <v>213996.90548780491</v>
      </c>
      <c r="J151" s="75">
        <f t="shared" si="135"/>
        <v>1243445.1219512196</v>
      </c>
      <c r="K151" s="75">
        <v>0</v>
      </c>
      <c r="L151" s="75">
        <v>0</v>
      </c>
      <c r="M151" s="75">
        <v>0</v>
      </c>
      <c r="N151" s="75">
        <v>0</v>
      </c>
      <c r="O151" s="75">
        <f t="shared" si="149"/>
        <v>617668.92987804883</v>
      </c>
      <c r="P151" s="75">
        <f t="shared" si="156"/>
        <v>128398.14329268294</v>
      </c>
      <c r="Q151" s="75">
        <f t="shared" si="157"/>
        <v>411779.28658536589</v>
      </c>
      <c r="R151" s="75">
        <f t="shared" si="158"/>
        <v>85598.762195121963</v>
      </c>
      <c r="S151" s="75">
        <v>0</v>
      </c>
      <c r="T151" s="75">
        <v>0</v>
      </c>
    </row>
    <row r="152" spans="1:20" x14ac:dyDescent="0.2">
      <c r="A152" s="72" t="s">
        <v>338</v>
      </c>
      <c r="B152" s="79" t="s">
        <v>327</v>
      </c>
      <c r="C152" s="57" t="s">
        <v>79</v>
      </c>
      <c r="D152" s="90">
        <v>468000</v>
      </c>
      <c r="E152" s="84">
        <f t="shared" si="148"/>
        <v>142682.92682926831</v>
      </c>
      <c r="F152" s="74">
        <v>1</v>
      </c>
      <c r="G152" s="75">
        <f t="shared" si="143"/>
        <v>142682.92682926831</v>
      </c>
      <c r="H152" s="75">
        <f t="shared" si="144"/>
        <v>118127.19512195123</v>
      </c>
      <c r="I152" s="75">
        <f t="shared" si="145"/>
        <v>24555.731707317085</v>
      </c>
      <c r="J152" s="75">
        <f t="shared" si="135"/>
        <v>142682.92682926831</v>
      </c>
      <c r="K152" s="75">
        <v>0</v>
      </c>
      <c r="L152" s="75">
        <v>0</v>
      </c>
      <c r="M152" s="75">
        <v>0</v>
      </c>
      <c r="N152" s="75">
        <v>0</v>
      </c>
      <c r="O152" s="75">
        <f t="shared" si="149"/>
        <v>70876.317073170736</v>
      </c>
      <c r="P152" s="75">
        <f t="shared" si="156"/>
        <v>14733.439024390251</v>
      </c>
      <c r="Q152" s="75">
        <f t="shared" si="157"/>
        <v>47250.878048780491</v>
      </c>
      <c r="R152" s="75">
        <f t="shared" si="158"/>
        <v>9822.2926829268345</v>
      </c>
      <c r="S152" s="75">
        <v>0</v>
      </c>
      <c r="T152" s="75">
        <v>0</v>
      </c>
    </row>
  </sheetData>
  <mergeCells count="17">
    <mergeCell ref="B128:F128"/>
    <mergeCell ref="B67:F67"/>
    <mergeCell ref="B47:F47"/>
    <mergeCell ref="B8:F8"/>
    <mergeCell ref="B2:I2"/>
    <mergeCell ref="B6:B7"/>
    <mergeCell ref="C6:C7"/>
    <mergeCell ref="E6:E7"/>
    <mergeCell ref="F6:F7"/>
    <mergeCell ref="H6:I6"/>
    <mergeCell ref="G6:G7"/>
    <mergeCell ref="D6:D7"/>
    <mergeCell ref="K6:L6"/>
    <mergeCell ref="M6:N6"/>
    <mergeCell ref="O6:P6"/>
    <mergeCell ref="Q6:R6"/>
    <mergeCell ref="S6:T6"/>
  </mergeCells>
  <pageMargins left="0.70866141732283472" right="0.70866141732283472" top="0.74803149606299213" bottom="0.74803149606299213" header="0.31496062992125984" footer="0.31496062992125984"/>
  <pageSetup paperSize="9" fitToHeight="2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1:R33"/>
  <sheetViews>
    <sheetView topLeftCell="B3" zoomScale="91" zoomScaleNormal="91" workbookViewId="0">
      <selection activeCell="L26" sqref="L26:M26"/>
    </sheetView>
  </sheetViews>
  <sheetFormatPr defaultColWidth="11.44140625" defaultRowHeight="10.199999999999999" x14ac:dyDescent="0.2"/>
  <cols>
    <col min="1" max="1" width="33.88671875" style="16" customWidth="1"/>
    <col min="2" max="2" width="10" style="16" customWidth="1"/>
    <col min="3" max="3" width="16.109375" style="16" customWidth="1"/>
    <col min="4" max="4" width="11.6640625" style="16" customWidth="1"/>
    <col min="5" max="17" width="11.5546875" style="16" bestFit="1" customWidth="1"/>
    <col min="18" max="16384" width="11.44140625" style="16"/>
  </cols>
  <sheetData>
    <row r="1" spans="1:18" s="50" customFormat="1" ht="13.8" x14ac:dyDescent="0.3">
      <c r="B1" s="6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8" s="50" customFormat="1" ht="13.8" x14ac:dyDescent="0.3">
      <c r="A2" s="122" t="s">
        <v>52</v>
      </c>
      <c r="B2" s="122"/>
      <c r="C2" s="122"/>
      <c r="D2" s="122"/>
      <c r="E2" s="122"/>
      <c r="F2" s="122"/>
      <c r="G2" s="122"/>
    </row>
    <row r="3" spans="1:18" s="50" customFormat="1" ht="13.8" x14ac:dyDescent="0.3">
      <c r="B3" s="6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8" s="50" customFormat="1" ht="13.8" x14ac:dyDescent="0.3">
      <c r="A4" s="6" t="s">
        <v>29</v>
      </c>
      <c r="B4" s="9">
        <v>3.28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8" s="50" customFormat="1" ht="13.8" x14ac:dyDescent="0.3">
      <c r="B5" s="6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8" ht="15" customHeight="1" x14ac:dyDescent="0.2">
      <c r="A6" s="116" t="s">
        <v>20</v>
      </c>
      <c r="B6" s="116" t="s">
        <v>0</v>
      </c>
      <c r="C6" s="116" t="s">
        <v>35</v>
      </c>
      <c r="D6" s="116" t="s">
        <v>2</v>
      </c>
      <c r="E6" s="124" t="s">
        <v>3</v>
      </c>
      <c r="F6" s="116" t="s">
        <v>60</v>
      </c>
      <c r="G6" s="116"/>
      <c r="H6" s="116" t="s">
        <v>10</v>
      </c>
      <c r="I6" s="116"/>
      <c r="J6" s="116" t="s">
        <v>11</v>
      </c>
      <c r="K6" s="116"/>
      <c r="L6" s="116" t="s">
        <v>12</v>
      </c>
      <c r="M6" s="116"/>
      <c r="N6" s="116" t="s">
        <v>13</v>
      </c>
      <c r="O6" s="116"/>
      <c r="P6" s="116" t="s">
        <v>14</v>
      </c>
      <c r="Q6" s="116"/>
    </row>
    <row r="7" spans="1:18" x14ac:dyDescent="0.2">
      <c r="A7" s="116"/>
      <c r="B7" s="116"/>
      <c r="C7" s="116"/>
      <c r="D7" s="116"/>
      <c r="E7" s="125"/>
      <c r="F7" s="107" t="s">
        <v>5</v>
      </c>
      <c r="G7" s="107" t="s">
        <v>70</v>
      </c>
      <c r="H7" s="107" t="s">
        <v>5</v>
      </c>
      <c r="I7" s="107" t="s">
        <v>70</v>
      </c>
      <c r="J7" s="107" t="s">
        <v>5</v>
      </c>
      <c r="K7" s="107" t="s">
        <v>70</v>
      </c>
      <c r="L7" s="107" t="s">
        <v>5</v>
      </c>
      <c r="M7" s="107" t="s">
        <v>70</v>
      </c>
      <c r="N7" s="107" t="s">
        <v>5</v>
      </c>
      <c r="O7" s="107" t="s">
        <v>70</v>
      </c>
      <c r="P7" s="107" t="s">
        <v>5</v>
      </c>
      <c r="Q7" s="107" t="s">
        <v>70</v>
      </c>
    </row>
    <row r="8" spans="1:18" s="18" customFormat="1" x14ac:dyDescent="0.2">
      <c r="A8" s="120" t="s">
        <v>8</v>
      </c>
      <c r="B8" s="120"/>
      <c r="C8" s="120"/>
      <c r="D8" s="120"/>
      <c r="E8" s="17">
        <f t="shared" ref="E8:G8" si="0">+E9</f>
        <v>3456000</v>
      </c>
      <c r="F8" s="17">
        <f t="shared" si="0"/>
        <v>3025816</v>
      </c>
      <c r="G8" s="17">
        <f t="shared" si="0"/>
        <v>430184</v>
      </c>
      <c r="H8" s="17">
        <f t="shared" ref="H8:Q8" si="1">+H9</f>
        <v>605163.19999999995</v>
      </c>
      <c r="I8" s="17">
        <f t="shared" si="1"/>
        <v>86036.800000000003</v>
      </c>
      <c r="J8" s="17">
        <f t="shared" si="1"/>
        <v>605163.19999999995</v>
      </c>
      <c r="K8" s="17">
        <f t="shared" si="1"/>
        <v>86036.800000000003</v>
      </c>
      <c r="L8" s="17">
        <f t="shared" si="1"/>
        <v>605163.19999999995</v>
      </c>
      <c r="M8" s="17">
        <f t="shared" si="1"/>
        <v>86036.800000000003</v>
      </c>
      <c r="N8" s="17">
        <f t="shared" si="1"/>
        <v>605163.19999999995</v>
      </c>
      <c r="O8" s="17">
        <f t="shared" si="1"/>
        <v>86036.800000000003</v>
      </c>
      <c r="P8" s="17">
        <f t="shared" si="1"/>
        <v>605163.19999999995</v>
      </c>
      <c r="Q8" s="17">
        <f t="shared" si="1"/>
        <v>86036.800000000003</v>
      </c>
    </row>
    <row r="9" spans="1:18" s="20" customFormat="1" x14ac:dyDescent="0.2">
      <c r="A9" s="128" t="s">
        <v>19</v>
      </c>
      <c r="B9" s="128"/>
      <c r="C9" s="128"/>
      <c r="D9" s="128"/>
      <c r="E9" s="19">
        <f>+F9+G9</f>
        <v>3456000</v>
      </c>
      <c r="F9" s="22">
        <f>+'[2]Costos RRHH'!I25</f>
        <v>3025816</v>
      </c>
      <c r="G9" s="22">
        <f>+'[2]Costos RRHH'!J25</f>
        <v>430184</v>
      </c>
      <c r="H9" s="22">
        <f>+'Costos RRHH'!K25</f>
        <v>605163.19999999995</v>
      </c>
      <c r="I9" s="22">
        <f>+'Costos RRHH'!L25</f>
        <v>86036.800000000003</v>
      </c>
      <c r="J9" s="22">
        <f>+'Costos RRHH'!M25</f>
        <v>605163.19999999995</v>
      </c>
      <c r="K9" s="22">
        <f>+'Costos RRHH'!N25</f>
        <v>86036.800000000003</v>
      </c>
      <c r="L9" s="22">
        <f>+'Costos RRHH'!O25</f>
        <v>605163.19999999995</v>
      </c>
      <c r="M9" s="22">
        <f>+'Costos RRHH'!P25</f>
        <v>86036.800000000003</v>
      </c>
      <c r="N9" s="22">
        <f>+'Costos RRHH'!Q25</f>
        <v>605163.19999999995</v>
      </c>
      <c r="O9" s="22">
        <f>+'Costos RRHH'!R25</f>
        <v>86036.800000000003</v>
      </c>
      <c r="P9" s="22">
        <f>+'Costos RRHH'!S25</f>
        <v>605163.19999999995</v>
      </c>
      <c r="Q9" s="22">
        <f>+'Costos RRHH'!T25</f>
        <v>86036.800000000003</v>
      </c>
      <c r="R9" s="26">
        <f>SUM(H9:Q9)</f>
        <v>3456000</v>
      </c>
    </row>
    <row r="10" spans="1:18" s="18" customFormat="1" x14ac:dyDescent="0.2">
      <c r="A10" s="120" t="s">
        <v>32</v>
      </c>
      <c r="B10" s="120"/>
      <c r="C10" s="120"/>
      <c r="D10" s="120"/>
      <c r="E10" s="17">
        <f>SUM(E11:E12)</f>
        <v>20800</v>
      </c>
      <c r="F10" s="17">
        <f>SUM(F11:F12)</f>
        <v>11661</v>
      </c>
      <c r="G10" s="17">
        <f>SUM(G11:G12)</f>
        <v>9139</v>
      </c>
      <c r="H10" s="17">
        <f t="shared" ref="H10:Q10" si="2">SUM(H11:H12)</f>
        <v>11661</v>
      </c>
      <c r="I10" s="17">
        <f t="shared" si="2"/>
        <v>9139</v>
      </c>
      <c r="J10" s="17">
        <f t="shared" si="2"/>
        <v>0</v>
      </c>
      <c r="K10" s="17">
        <f t="shared" si="2"/>
        <v>0</v>
      </c>
      <c r="L10" s="17">
        <f t="shared" si="2"/>
        <v>0</v>
      </c>
      <c r="M10" s="17">
        <f t="shared" si="2"/>
        <v>0</v>
      </c>
      <c r="N10" s="17">
        <f t="shared" si="2"/>
        <v>0</v>
      </c>
      <c r="O10" s="17">
        <f t="shared" si="2"/>
        <v>0</v>
      </c>
      <c r="P10" s="17">
        <f t="shared" si="2"/>
        <v>0</v>
      </c>
      <c r="Q10" s="17">
        <f t="shared" si="2"/>
        <v>0</v>
      </c>
    </row>
    <row r="11" spans="1:18" s="24" customFormat="1" x14ac:dyDescent="0.2">
      <c r="A11" s="29" t="s">
        <v>33</v>
      </c>
      <c r="B11" s="21" t="s">
        <v>22</v>
      </c>
      <c r="C11" s="23">
        <v>1000</v>
      </c>
      <c r="D11" s="23">
        <v>16</v>
      </c>
      <c r="E11" s="53">
        <f t="shared" ref="E11:E12" si="3">+D11*C11</f>
        <v>16000</v>
      </c>
      <c r="F11" s="22">
        <v>11661</v>
      </c>
      <c r="G11" s="22">
        <f>+E11-F11</f>
        <v>4339</v>
      </c>
      <c r="H11" s="22">
        <f>+F11</f>
        <v>11661</v>
      </c>
      <c r="I11" s="22">
        <f>+G11</f>
        <v>4339</v>
      </c>
      <c r="J11" s="22">
        <v>0</v>
      </c>
      <c r="K11" s="22">
        <v>0</v>
      </c>
      <c r="L11" s="22">
        <v>0</v>
      </c>
      <c r="M11" s="22">
        <f>+K11</f>
        <v>0</v>
      </c>
      <c r="N11" s="22">
        <v>0</v>
      </c>
      <c r="O11" s="22">
        <f>+M11</f>
        <v>0</v>
      </c>
      <c r="P11" s="22">
        <v>0</v>
      </c>
      <c r="Q11" s="22">
        <f>+O11</f>
        <v>0</v>
      </c>
      <c r="R11" s="26">
        <f>SUM(H11:Q11)</f>
        <v>16000</v>
      </c>
    </row>
    <row r="12" spans="1:18" s="24" customFormat="1" x14ac:dyDescent="0.2">
      <c r="A12" s="29" t="s">
        <v>34</v>
      </c>
      <c r="B12" s="21" t="s">
        <v>6</v>
      </c>
      <c r="C12" s="23">
        <v>300</v>
      </c>
      <c r="D12" s="23">
        <v>16</v>
      </c>
      <c r="E12" s="53">
        <f t="shared" si="3"/>
        <v>4800</v>
      </c>
      <c r="F12" s="22">
        <v>0</v>
      </c>
      <c r="G12" s="22">
        <f>+E12</f>
        <v>4800</v>
      </c>
      <c r="H12" s="22">
        <v>0</v>
      </c>
      <c r="I12" s="22">
        <f>+G12</f>
        <v>4800</v>
      </c>
      <c r="J12" s="22">
        <v>0</v>
      </c>
      <c r="K12" s="22">
        <v>0</v>
      </c>
      <c r="L12" s="22">
        <v>0</v>
      </c>
      <c r="M12" s="22">
        <f>+K12</f>
        <v>0</v>
      </c>
      <c r="N12" s="22">
        <v>0</v>
      </c>
      <c r="O12" s="22">
        <f>+M12</f>
        <v>0</v>
      </c>
      <c r="P12" s="22">
        <v>0</v>
      </c>
      <c r="Q12" s="22">
        <f>+O12</f>
        <v>0</v>
      </c>
      <c r="R12" s="26">
        <f>SUM(H12:Q12)</f>
        <v>4800</v>
      </c>
    </row>
    <row r="13" spans="1:18" s="18" customFormat="1" x14ac:dyDescent="0.2">
      <c r="A13" s="120" t="s">
        <v>36</v>
      </c>
      <c r="B13" s="120"/>
      <c r="C13" s="120"/>
      <c r="D13" s="120"/>
      <c r="E13" s="17">
        <f>SUM(E14:E23)</f>
        <v>664800</v>
      </c>
      <c r="F13" s="17">
        <f>SUM(F14:F23)</f>
        <v>0</v>
      </c>
      <c r="G13" s="17">
        <f>SUM(G14:G23)</f>
        <v>664800</v>
      </c>
      <c r="H13" s="17">
        <f t="shared" ref="H13:Q13" si="4">SUM(H14:H23)</f>
        <v>0</v>
      </c>
      <c r="I13" s="17">
        <f t="shared" si="4"/>
        <v>132960</v>
      </c>
      <c r="J13" s="17">
        <f t="shared" si="4"/>
        <v>0</v>
      </c>
      <c r="K13" s="17">
        <f t="shared" si="4"/>
        <v>132960</v>
      </c>
      <c r="L13" s="17">
        <f t="shared" si="4"/>
        <v>0</v>
      </c>
      <c r="M13" s="17">
        <f t="shared" si="4"/>
        <v>132960</v>
      </c>
      <c r="N13" s="17">
        <f t="shared" si="4"/>
        <v>0</v>
      </c>
      <c r="O13" s="17">
        <f t="shared" si="4"/>
        <v>132960</v>
      </c>
      <c r="P13" s="17">
        <f t="shared" si="4"/>
        <v>0</v>
      </c>
      <c r="Q13" s="17">
        <f t="shared" si="4"/>
        <v>132960</v>
      </c>
    </row>
    <row r="14" spans="1:18" x14ac:dyDescent="0.2">
      <c r="A14" s="59" t="s">
        <v>37</v>
      </c>
      <c r="B14" s="21" t="s">
        <v>6</v>
      </c>
      <c r="C14" s="25">
        <v>5000</v>
      </c>
      <c r="D14" s="22">
        <v>60</v>
      </c>
      <c r="E14" s="53">
        <f t="shared" ref="E14:E23" si="5">+D14*C14</f>
        <v>300000</v>
      </c>
      <c r="F14" s="22">
        <v>0</v>
      </c>
      <c r="G14" s="22">
        <f t="shared" ref="G14:G23" si="6">+E14</f>
        <v>300000</v>
      </c>
      <c r="H14" s="22">
        <v>0</v>
      </c>
      <c r="I14" s="22">
        <f>+G14/5</f>
        <v>60000</v>
      </c>
      <c r="J14" s="22">
        <v>0</v>
      </c>
      <c r="K14" s="22">
        <f t="shared" ref="K14:K19" si="7">+I14</f>
        <v>60000</v>
      </c>
      <c r="L14" s="22">
        <v>0</v>
      </c>
      <c r="M14" s="22">
        <f t="shared" ref="M14:M19" si="8">+K14</f>
        <v>60000</v>
      </c>
      <c r="N14" s="22">
        <v>0</v>
      </c>
      <c r="O14" s="22">
        <f t="shared" ref="O14:O19" si="9">+M14</f>
        <v>60000</v>
      </c>
      <c r="P14" s="22">
        <v>0</v>
      </c>
      <c r="Q14" s="22">
        <f t="shared" ref="Q14:Q19" si="10">+O14</f>
        <v>60000</v>
      </c>
      <c r="R14" s="26">
        <f>SUM(H14:Q14)</f>
        <v>300000</v>
      </c>
    </row>
    <row r="15" spans="1:18" s="24" customFormat="1" x14ac:dyDescent="0.2">
      <c r="A15" s="29" t="s">
        <v>38</v>
      </c>
      <c r="B15" s="21" t="s">
        <v>6</v>
      </c>
      <c r="C15" s="23">
        <v>500</v>
      </c>
      <c r="D15" s="23">
        <v>60</v>
      </c>
      <c r="E15" s="53">
        <f t="shared" si="5"/>
        <v>30000</v>
      </c>
      <c r="F15" s="22">
        <v>0</v>
      </c>
      <c r="G15" s="22">
        <f t="shared" si="6"/>
        <v>30000</v>
      </c>
      <c r="H15" s="22">
        <v>0</v>
      </c>
      <c r="I15" s="22">
        <f t="shared" ref="I15:I23" si="11">+G15/5</f>
        <v>6000</v>
      </c>
      <c r="J15" s="22">
        <v>0</v>
      </c>
      <c r="K15" s="22">
        <f t="shared" si="7"/>
        <v>6000</v>
      </c>
      <c r="L15" s="22">
        <v>0</v>
      </c>
      <c r="M15" s="22">
        <f t="shared" si="8"/>
        <v>6000</v>
      </c>
      <c r="N15" s="22">
        <v>0</v>
      </c>
      <c r="O15" s="22">
        <f t="shared" si="9"/>
        <v>6000</v>
      </c>
      <c r="P15" s="22">
        <v>0</v>
      </c>
      <c r="Q15" s="22">
        <f t="shared" si="10"/>
        <v>6000</v>
      </c>
      <c r="R15" s="26">
        <f t="shared" ref="R15:R24" si="12">SUM(H15:Q15)</f>
        <v>30000</v>
      </c>
    </row>
    <row r="16" spans="1:18" s="24" customFormat="1" x14ac:dyDescent="0.2">
      <c r="A16" s="29" t="s">
        <v>39</v>
      </c>
      <c r="B16" s="21" t="s">
        <v>6</v>
      </c>
      <c r="C16" s="23">
        <v>3600</v>
      </c>
      <c r="D16" s="23">
        <v>5</v>
      </c>
      <c r="E16" s="53">
        <f t="shared" si="5"/>
        <v>18000</v>
      </c>
      <c r="F16" s="22">
        <v>0</v>
      </c>
      <c r="G16" s="22">
        <f t="shared" si="6"/>
        <v>18000</v>
      </c>
      <c r="H16" s="22">
        <v>0</v>
      </c>
      <c r="I16" s="22">
        <f t="shared" si="11"/>
        <v>3600</v>
      </c>
      <c r="J16" s="22">
        <v>0</v>
      </c>
      <c r="K16" s="22">
        <f t="shared" si="7"/>
        <v>3600</v>
      </c>
      <c r="L16" s="22">
        <v>0</v>
      </c>
      <c r="M16" s="22">
        <f t="shared" si="8"/>
        <v>3600</v>
      </c>
      <c r="N16" s="22">
        <v>0</v>
      </c>
      <c r="O16" s="22">
        <f t="shared" si="9"/>
        <v>3600</v>
      </c>
      <c r="P16" s="22">
        <v>0</v>
      </c>
      <c r="Q16" s="22">
        <f t="shared" si="10"/>
        <v>3600</v>
      </c>
      <c r="R16" s="26">
        <f t="shared" si="12"/>
        <v>18000</v>
      </c>
    </row>
    <row r="17" spans="1:18" s="24" customFormat="1" x14ac:dyDescent="0.2">
      <c r="A17" s="29" t="s">
        <v>69</v>
      </c>
      <c r="B17" s="21" t="s">
        <v>6</v>
      </c>
      <c r="C17" s="23">
        <v>6000</v>
      </c>
      <c r="D17" s="23">
        <v>12</v>
      </c>
      <c r="E17" s="53">
        <f t="shared" si="5"/>
        <v>72000</v>
      </c>
      <c r="F17" s="22">
        <v>0</v>
      </c>
      <c r="G17" s="22">
        <f t="shared" si="6"/>
        <v>72000</v>
      </c>
      <c r="H17" s="22">
        <v>0</v>
      </c>
      <c r="I17" s="22">
        <f t="shared" si="11"/>
        <v>14400</v>
      </c>
      <c r="J17" s="22">
        <v>0</v>
      </c>
      <c r="K17" s="22">
        <f t="shared" si="7"/>
        <v>14400</v>
      </c>
      <c r="L17" s="22">
        <v>0</v>
      </c>
      <c r="M17" s="22">
        <f t="shared" si="8"/>
        <v>14400</v>
      </c>
      <c r="N17" s="22">
        <v>0</v>
      </c>
      <c r="O17" s="22">
        <f t="shared" si="9"/>
        <v>14400</v>
      </c>
      <c r="P17" s="22">
        <v>0</v>
      </c>
      <c r="Q17" s="22">
        <f t="shared" si="10"/>
        <v>14400</v>
      </c>
      <c r="R17" s="26">
        <f t="shared" si="12"/>
        <v>72000</v>
      </c>
    </row>
    <row r="18" spans="1:18" s="24" customFormat="1" x14ac:dyDescent="0.2">
      <c r="A18" s="29" t="s">
        <v>40</v>
      </c>
      <c r="B18" s="21" t="s">
        <v>6</v>
      </c>
      <c r="C18" s="23">
        <v>3600</v>
      </c>
      <c r="D18" s="23">
        <v>5</v>
      </c>
      <c r="E18" s="53">
        <f t="shared" si="5"/>
        <v>18000</v>
      </c>
      <c r="F18" s="22">
        <v>0</v>
      </c>
      <c r="G18" s="22">
        <f t="shared" si="6"/>
        <v>18000</v>
      </c>
      <c r="H18" s="22">
        <v>0</v>
      </c>
      <c r="I18" s="22">
        <f t="shared" si="11"/>
        <v>3600</v>
      </c>
      <c r="J18" s="22">
        <v>0</v>
      </c>
      <c r="K18" s="22">
        <f t="shared" si="7"/>
        <v>3600</v>
      </c>
      <c r="L18" s="22">
        <v>0</v>
      </c>
      <c r="M18" s="22">
        <f t="shared" si="8"/>
        <v>3600</v>
      </c>
      <c r="N18" s="22">
        <v>0</v>
      </c>
      <c r="O18" s="22">
        <f t="shared" si="9"/>
        <v>3600</v>
      </c>
      <c r="P18" s="22">
        <v>0</v>
      </c>
      <c r="Q18" s="22">
        <f t="shared" si="10"/>
        <v>3600</v>
      </c>
      <c r="R18" s="26">
        <f t="shared" si="12"/>
        <v>18000</v>
      </c>
    </row>
    <row r="19" spans="1:18" s="24" customFormat="1" ht="20.399999999999999" x14ac:dyDescent="0.2">
      <c r="A19" s="54" t="s">
        <v>41</v>
      </c>
      <c r="B19" s="21" t="s">
        <v>6</v>
      </c>
      <c r="C19" s="23">
        <v>12000</v>
      </c>
      <c r="D19" s="23">
        <v>5</v>
      </c>
      <c r="E19" s="53">
        <f t="shared" si="5"/>
        <v>60000</v>
      </c>
      <c r="F19" s="22">
        <v>0</v>
      </c>
      <c r="G19" s="22">
        <f t="shared" si="6"/>
        <v>60000</v>
      </c>
      <c r="H19" s="22">
        <v>0</v>
      </c>
      <c r="I19" s="22">
        <f t="shared" si="11"/>
        <v>12000</v>
      </c>
      <c r="J19" s="22">
        <v>0</v>
      </c>
      <c r="K19" s="22">
        <f t="shared" si="7"/>
        <v>12000</v>
      </c>
      <c r="L19" s="22">
        <v>0</v>
      </c>
      <c r="M19" s="22">
        <f t="shared" si="8"/>
        <v>12000</v>
      </c>
      <c r="N19" s="22">
        <v>0</v>
      </c>
      <c r="O19" s="22">
        <f t="shared" si="9"/>
        <v>12000</v>
      </c>
      <c r="P19" s="22">
        <v>0</v>
      </c>
      <c r="Q19" s="22">
        <f t="shared" si="10"/>
        <v>12000</v>
      </c>
      <c r="R19" s="26">
        <f t="shared" si="12"/>
        <v>60000</v>
      </c>
    </row>
    <row r="20" spans="1:18" s="24" customFormat="1" x14ac:dyDescent="0.2">
      <c r="A20" s="54" t="s">
        <v>101</v>
      </c>
      <c r="B20" s="21" t="s">
        <v>102</v>
      </c>
      <c r="C20" s="92">
        <v>1000</v>
      </c>
      <c r="D20" s="92">
        <v>100</v>
      </c>
      <c r="E20" s="53">
        <f t="shared" si="5"/>
        <v>100000</v>
      </c>
      <c r="F20" s="22">
        <v>0</v>
      </c>
      <c r="G20" s="22">
        <f t="shared" si="6"/>
        <v>100000</v>
      </c>
      <c r="H20" s="22">
        <v>0</v>
      </c>
      <c r="I20" s="22">
        <f t="shared" si="11"/>
        <v>20000</v>
      </c>
      <c r="J20" s="22">
        <v>0</v>
      </c>
      <c r="K20" s="22">
        <f>+I20</f>
        <v>20000</v>
      </c>
      <c r="L20" s="22">
        <v>0</v>
      </c>
      <c r="M20" s="22">
        <f>+K20</f>
        <v>20000</v>
      </c>
      <c r="N20" s="22">
        <v>0</v>
      </c>
      <c r="O20" s="22">
        <f>+M20</f>
        <v>20000</v>
      </c>
      <c r="P20" s="22">
        <v>0</v>
      </c>
      <c r="Q20" s="22">
        <f>+O20</f>
        <v>20000</v>
      </c>
      <c r="R20" s="26">
        <f t="shared" si="12"/>
        <v>100000</v>
      </c>
    </row>
    <row r="21" spans="1:18" s="24" customFormat="1" x14ac:dyDescent="0.2">
      <c r="A21" s="54" t="s">
        <v>44</v>
      </c>
      <c r="B21" s="21" t="s">
        <v>22</v>
      </c>
      <c r="C21" s="23">
        <v>3600</v>
      </c>
      <c r="D21" s="23">
        <v>12</v>
      </c>
      <c r="E21" s="53">
        <f t="shared" si="5"/>
        <v>43200</v>
      </c>
      <c r="F21" s="22">
        <v>0</v>
      </c>
      <c r="G21" s="22">
        <f t="shared" si="6"/>
        <v>43200</v>
      </c>
      <c r="H21" s="22">
        <v>0</v>
      </c>
      <c r="I21" s="22">
        <f t="shared" si="11"/>
        <v>8640</v>
      </c>
      <c r="J21" s="22">
        <v>0</v>
      </c>
      <c r="K21" s="22">
        <f t="shared" ref="K21:K23" si="13">+I21</f>
        <v>8640</v>
      </c>
      <c r="L21" s="22">
        <v>0</v>
      </c>
      <c r="M21" s="22">
        <f t="shared" ref="M21:M23" si="14">+K21</f>
        <v>8640</v>
      </c>
      <c r="N21" s="22">
        <v>0</v>
      </c>
      <c r="O21" s="22">
        <f t="shared" ref="O21:O23" si="15">+M21</f>
        <v>8640</v>
      </c>
      <c r="P21" s="22">
        <v>0</v>
      </c>
      <c r="Q21" s="22">
        <f t="shared" ref="Q21:Q23" si="16">+O21</f>
        <v>8640</v>
      </c>
      <c r="R21" s="26">
        <f t="shared" si="12"/>
        <v>43200</v>
      </c>
    </row>
    <row r="22" spans="1:18" s="24" customFormat="1" x14ac:dyDescent="0.2">
      <c r="A22" s="29" t="s">
        <v>42</v>
      </c>
      <c r="B22" s="21" t="s">
        <v>22</v>
      </c>
      <c r="C22" s="23">
        <v>100</v>
      </c>
      <c r="D22" s="23">
        <v>36</v>
      </c>
      <c r="E22" s="53">
        <f t="shared" si="5"/>
        <v>3600</v>
      </c>
      <c r="F22" s="22">
        <v>0</v>
      </c>
      <c r="G22" s="22">
        <f t="shared" si="6"/>
        <v>3600</v>
      </c>
      <c r="H22" s="22">
        <v>0</v>
      </c>
      <c r="I22" s="22">
        <f t="shared" si="11"/>
        <v>720</v>
      </c>
      <c r="J22" s="22">
        <v>0</v>
      </c>
      <c r="K22" s="22">
        <f t="shared" si="13"/>
        <v>720</v>
      </c>
      <c r="L22" s="22">
        <v>0</v>
      </c>
      <c r="M22" s="22">
        <f t="shared" si="14"/>
        <v>720</v>
      </c>
      <c r="N22" s="22">
        <v>0</v>
      </c>
      <c r="O22" s="22">
        <f t="shared" si="15"/>
        <v>720</v>
      </c>
      <c r="P22" s="22">
        <v>0</v>
      </c>
      <c r="Q22" s="22">
        <f t="shared" si="16"/>
        <v>720</v>
      </c>
      <c r="R22" s="26">
        <f t="shared" si="12"/>
        <v>3600</v>
      </c>
    </row>
    <row r="23" spans="1:18" s="24" customFormat="1" x14ac:dyDescent="0.2">
      <c r="A23" s="29" t="s">
        <v>43</v>
      </c>
      <c r="B23" s="21" t="s">
        <v>22</v>
      </c>
      <c r="C23" s="23">
        <v>5000</v>
      </c>
      <c r="D23" s="23">
        <v>4</v>
      </c>
      <c r="E23" s="53">
        <f t="shared" si="5"/>
        <v>20000</v>
      </c>
      <c r="F23" s="22">
        <v>0</v>
      </c>
      <c r="G23" s="22">
        <f t="shared" si="6"/>
        <v>20000</v>
      </c>
      <c r="H23" s="22">
        <v>0</v>
      </c>
      <c r="I23" s="22">
        <f t="shared" si="11"/>
        <v>4000</v>
      </c>
      <c r="J23" s="22">
        <v>0</v>
      </c>
      <c r="K23" s="22">
        <f t="shared" si="13"/>
        <v>4000</v>
      </c>
      <c r="L23" s="22">
        <v>0</v>
      </c>
      <c r="M23" s="22">
        <f t="shared" si="14"/>
        <v>4000</v>
      </c>
      <c r="N23" s="22">
        <v>0</v>
      </c>
      <c r="O23" s="22">
        <f t="shared" si="15"/>
        <v>4000</v>
      </c>
      <c r="P23" s="22">
        <v>0</v>
      </c>
      <c r="Q23" s="22">
        <f t="shared" si="16"/>
        <v>4000</v>
      </c>
      <c r="R23" s="26">
        <f t="shared" si="12"/>
        <v>20000</v>
      </c>
    </row>
    <row r="24" spans="1:18" s="18" customFormat="1" x14ac:dyDescent="0.2">
      <c r="A24" s="123" t="s">
        <v>99</v>
      </c>
      <c r="B24" s="123"/>
      <c r="C24" s="123"/>
      <c r="D24" s="123"/>
      <c r="E24" s="60">
        <f>+E13+E10+E8</f>
        <v>4141600</v>
      </c>
      <c r="F24" s="60">
        <f>+F13+F10+F8</f>
        <v>3037477</v>
      </c>
      <c r="G24" s="60">
        <f>+G13+G10+G8</f>
        <v>1104123</v>
      </c>
      <c r="H24" s="60">
        <f t="shared" ref="H24:Q24" si="17">+H13+H10+H8</f>
        <v>616824.19999999995</v>
      </c>
      <c r="I24" s="60">
        <f t="shared" si="17"/>
        <v>228135.8</v>
      </c>
      <c r="J24" s="60">
        <f t="shared" si="17"/>
        <v>605163.19999999995</v>
      </c>
      <c r="K24" s="60">
        <f t="shared" si="17"/>
        <v>218996.8</v>
      </c>
      <c r="L24" s="60">
        <f t="shared" si="17"/>
        <v>605163.19999999995</v>
      </c>
      <c r="M24" s="60">
        <f t="shared" si="17"/>
        <v>218996.8</v>
      </c>
      <c r="N24" s="60">
        <f t="shared" si="17"/>
        <v>605163.19999999995</v>
      </c>
      <c r="O24" s="60">
        <f t="shared" si="17"/>
        <v>218996.8</v>
      </c>
      <c r="P24" s="60">
        <f t="shared" si="17"/>
        <v>605163.19999999995</v>
      </c>
      <c r="Q24" s="60">
        <f t="shared" si="17"/>
        <v>218996.8</v>
      </c>
      <c r="R24" s="26">
        <f t="shared" si="12"/>
        <v>4141600</v>
      </c>
    </row>
    <row r="25" spans="1:18" ht="9" customHeight="1" x14ac:dyDescent="0.2">
      <c r="A25" s="126"/>
      <c r="B25" s="127"/>
      <c r="C25" s="127"/>
      <c r="D25" s="127"/>
      <c r="E25" s="127"/>
      <c r="F25" s="127"/>
      <c r="G25" s="69"/>
      <c r="I25" s="69"/>
      <c r="K25" s="69"/>
      <c r="M25" s="69"/>
      <c r="O25" s="69"/>
      <c r="Q25" s="69"/>
    </row>
    <row r="26" spans="1:18" ht="11.25" customHeight="1" x14ac:dyDescent="0.2">
      <c r="A26" s="116" t="s">
        <v>48</v>
      </c>
      <c r="B26" s="116" t="s">
        <v>0</v>
      </c>
      <c r="C26" s="116" t="s">
        <v>1</v>
      </c>
      <c r="D26" s="116" t="s">
        <v>2</v>
      </c>
      <c r="E26" s="124" t="s">
        <v>3</v>
      </c>
      <c r="F26" s="116" t="s">
        <v>53</v>
      </c>
      <c r="G26" s="116"/>
      <c r="H26" s="116" t="s">
        <v>10</v>
      </c>
      <c r="I26" s="116"/>
      <c r="J26" s="116" t="s">
        <v>11</v>
      </c>
      <c r="K26" s="116"/>
      <c r="L26" s="116" t="s">
        <v>12</v>
      </c>
      <c r="M26" s="116"/>
      <c r="N26" s="116" t="s">
        <v>13</v>
      </c>
      <c r="O26" s="116"/>
      <c r="P26" s="116" t="s">
        <v>14</v>
      </c>
      <c r="Q26" s="116"/>
    </row>
    <row r="27" spans="1:18" x14ac:dyDescent="0.2">
      <c r="A27" s="116"/>
      <c r="B27" s="116"/>
      <c r="C27" s="116"/>
      <c r="D27" s="116"/>
      <c r="E27" s="125"/>
      <c r="F27" s="107" t="s">
        <v>5</v>
      </c>
      <c r="G27" s="107" t="s">
        <v>70</v>
      </c>
      <c r="H27" s="107" t="s">
        <v>5</v>
      </c>
      <c r="I27" s="107" t="s">
        <v>70</v>
      </c>
      <c r="J27" s="107" t="s">
        <v>5</v>
      </c>
      <c r="K27" s="107" t="s">
        <v>70</v>
      </c>
      <c r="L27" s="107" t="s">
        <v>5</v>
      </c>
      <c r="M27" s="107" t="s">
        <v>70</v>
      </c>
      <c r="N27" s="107" t="s">
        <v>5</v>
      </c>
      <c r="O27" s="107" t="s">
        <v>70</v>
      </c>
      <c r="P27" s="107" t="s">
        <v>5</v>
      </c>
      <c r="Q27" s="107" t="s">
        <v>70</v>
      </c>
    </row>
    <row r="28" spans="1:18" s="24" customFormat="1" x14ac:dyDescent="0.2">
      <c r="A28" s="40" t="s">
        <v>45</v>
      </c>
      <c r="B28" s="27" t="s">
        <v>46</v>
      </c>
      <c r="C28" s="61">
        <v>30000</v>
      </c>
      <c r="D28" s="61">
        <v>5</v>
      </c>
      <c r="E28" s="23">
        <f>+D28*C28</f>
        <v>150000</v>
      </c>
      <c r="F28" s="22">
        <f>+E28*0.8</f>
        <v>120000</v>
      </c>
      <c r="G28" s="22">
        <f>+E28*0.2</f>
        <v>30000</v>
      </c>
      <c r="H28" s="22">
        <f>+F28/5</f>
        <v>24000</v>
      </c>
      <c r="I28" s="22">
        <f>+G28/5</f>
        <v>6000</v>
      </c>
      <c r="J28" s="22">
        <f>+H28</f>
        <v>24000</v>
      </c>
      <c r="K28" s="22">
        <f>+I28</f>
        <v>6000</v>
      </c>
      <c r="L28" s="22">
        <f t="shared" ref="L28:Q28" si="18">+J28</f>
        <v>24000</v>
      </c>
      <c r="M28" s="22">
        <f t="shared" si="18"/>
        <v>6000</v>
      </c>
      <c r="N28" s="22">
        <f t="shared" si="18"/>
        <v>24000</v>
      </c>
      <c r="O28" s="22">
        <f t="shared" si="18"/>
        <v>6000</v>
      </c>
      <c r="P28" s="22">
        <f t="shared" si="18"/>
        <v>24000</v>
      </c>
      <c r="Q28" s="22">
        <f t="shared" si="18"/>
        <v>6000</v>
      </c>
    </row>
    <row r="29" spans="1:18" x14ac:dyDescent="0.2">
      <c r="A29" s="41" t="s">
        <v>63</v>
      </c>
      <c r="B29" s="27" t="s">
        <v>6</v>
      </c>
      <c r="C29" s="28">
        <v>300000</v>
      </c>
      <c r="D29" s="28">
        <v>1</v>
      </c>
      <c r="E29" s="23">
        <f t="shared" ref="E29:E30" si="19">+D29*C29</f>
        <v>300000</v>
      </c>
      <c r="F29" s="22">
        <f>+E29*0.75</f>
        <v>225000</v>
      </c>
      <c r="G29" s="22">
        <f>+E29*0.25</f>
        <v>75000</v>
      </c>
      <c r="H29" s="22">
        <v>0</v>
      </c>
      <c r="I29" s="22">
        <v>0</v>
      </c>
      <c r="J29" s="22">
        <v>0</v>
      </c>
      <c r="K29" s="22">
        <v>0</v>
      </c>
      <c r="L29" s="22">
        <f>+F29</f>
        <v>225000</v>
      </c>
      <c r="M29" s="22">
        <f>+G29</f>
        <v>75000</v>
      </c>
      <c r="N29" s="22">
        <v>0</v>
      </c>
      <c r="O29" s="22">
        <v>0</v>
      </c>
      <c r="P29" s="22">
        <v>0</v>
      </c>
      <c r="Q29" s="22">
        <v>0</v>
      </c>
    </row>
    <row r="30" spans="1:18" ht="11.25" customHeight="1" x14ac:dyDescent="0.2">
      <c r="A30" s="41" t="s">
        <v>64</v>
      </c>
      <c r="B30" s="27" t="s">
        <v>6</v>
      </c>
      <c r="C30" s="28">
        <v>300000</v>
      </c>
      <c r="D30" s="28">
        <v>1</v>
      </c>
      <c r="E30" s="23">
        <f t="shared" si="19"/>
        <v>300000</v>
      </c>
      <c r="F30" s="22">
        <f>+E30*0.75</f>
        <v>225000</v>
      </c>
      <c r="G30" s="22">
        <f>+E30*0.25</f>
        <v>75000</v>
      </c>
      <c r="H30" s="22">
        <v>0</v>
      </c>
      <c r="I30" s="22">
        <v>0</v>
      </c>
      <c r="J30" s="22">
        <v>0</v>
      </c>
      <c r="K30" s="22">
        <v>0</v>
      </c>
      <c r="L30" s="22">
        <f>+K30*0.75</f>
        <v>0</v>
      </c>
      <c r="M30" s="22">
        <f>+K30*0.25</f>
        <v>0</v>
      </c>
      <c r="N30" s="22">
        <f>+M30*0.75</f>
        <v>0</v>
      </c>
      <c r="O30" s="22">
        <f>+M30*0.25</f>
        <v>0</v>
      </c>
      <c r="P30" s="22">
        <f>+F30</f>
        <v>225000</v>
      </c>
      <c r="Q30" s="22">
        <f>+G30</f>
        <v>75000</v>
      </c>
    </row>
    <row r="31" spans="1:18" s="18" customFormat="1" x14ac:dyDescent="0.2">
      <c r="A31" s="123" t="s">
        <v>23</v>
      </c>
      <c r="B31" s="123"/>
      <c r="C31" s="123"/>
      <c r="D31" s="123"/>
      <c r="E31" s="60">
        <f>SUM(E28:E30)</f>
        <v>750000</v>
      </c>
      <c r="F31" s="60">
        <f>SUM(F28:F30)</f>
        <v>570000</v>
      </c>
      <c r="G31" s="60">
        <f>SUM(G28:G30)</f>
        <v>180000</v>
      </c>
      <c r="H31" s="60">
        <f t="shared" ref="H31:Q31" si="20">SUM(H28:H30)</f>
        <v>24000</v>
      </c>
      <c r="I31" s="60">
        <f t="shared" si="20"/>
        <v>6000</v>
      </c>
      <c r="J31" s="60">
        <f t="shared" si="20"/>
        <v>24000</v>
      </c>
      <c r="K31" s="60">
        <f t="shared" si="20"/>
        <v>6000</v>
      </c>
      <c r="L31" s="60">
        <f t="shared" si="20"/>
        <v>249000</v>
      </c>
      <c r="M31" s="60">
        <f t="shared" si="20"/>
        <v>81000</v>
      </c>
      <c r="N31" s="60">
        <f t="shared" si="20"/>
        <v>24000</v>
      </c>
      <c r="O31" s="60">
        <f t="shared" si="20"/>
        <v>6000</v>
      </c>
      <c r="P31" s="60">
        <f t="shared" si="20"/>
        <v>249000</v>
      </c>
      <c r="Q31" s="60">
        <f t="shared" si="20"/>
        <v>81000</v>
      </c>
    </row>
    <row r="33" spans="3:17" x14ac:dyDescent="0.2">
      <c r="C33" s="26"/>
      <c r="E33" s="64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</row>
  </sheetData>
  <mergeCells count="30">
    <mergeCell ref="E26:E27"/>
    <mergeCell ref="A2:G2"/>
    <mergeCell ref="F6:G6"/>
    <mergeCell ref="F26:G26"/>
    <mergeCell ref="A24:D24"/>
    <mergeCell ref="A13:D13"/>
    <mergeCell ref="A25:F25"/>
    <mergeCell ref="A9:D9"/>
    <mergeCell ref="A10:D10"/>
    <mergeCell ref="A8:D8"/>
    <mergeCell ref="A6:A7"/>
    <mergeCell ref="B6:B7"/>
    <mergeCell ref="C6:C7"/>
    <mergeCell ref="D6:D7"/>
    <mergeCell ref="E6:E7"/>
    <mergeCell ref="A31:D31"/>
    <mergeCell ref="A26:A27"/>
    <mergeCell ref="B26:B27"/>
    <mergeCell ref="C26:C27"/>
    <mergeCell ref="D26:D27"/>
    <mergeCell ref="H6:I6"/>
    <mergeCell ref="J6:K6"/>
    <mergeCell ref="L6:M6"/>
    <mergeCell ref="N6:O6"/>
    <mergeCell ref="P6:Q6"/>
    <mergeCell ref="H26:I26"/>
    <mergeCell ref="J26:K26"/>
    <mergeCell ref="L26:M26"/>
    <mergeCell ref="N26:O26"/>
    <mergeCell ref="P26:Q26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pageSetUpPr fitToPage="1"/>
  </sheetPr>
  <dimension ref="A1:V25"/>
  <sheetViews>
    <sheetView zoomScale="93" zoomScaleNormal="93" workbookViewId="0">
      <selection activeCell="K9" sqref="K9"/>
    </sheetView>
  </sheetViews>
  <sheetFormatPr defaultColWidth="11.44140625" defaultRowHeight="13.8" x14ac:dyDescent="0.3"/>
  <cols>
    <col min="1" max="1" width="6.88671875" style="65" customWidth="1"/>
    <col min="2" max="2" width="45.44140625" style="6" customWidth="1"/>
    <col min="3" max="3" width="9" style="1" customWidth="1"/>
    <col min="4" max="4" width="10" style="1" hidden="1" customWidth="1"/>
    <col min="5" max="5" width="8.6640625" style="1" customWidth="1"/>
    <col min="6" max="6" width="6.6640625" style="1" customWidth="1"/>
    <col min="7" max="7" width="8.109375" style="1" customWidth="1"/>
    <col min="8" max="8" width="10" style="36" customWidth="1"/>
    <col min="9" max="10" width="10" style="1" bestFit="1" customWidth="1"/>
    <col min="11" max="11" width="8.5546875" style="1" bestFit="1" customWidth="1"/>
    <col min="12" max="12" width="8.33203125" style="50" bestFit="1" customWidth="1"/>
    <col min="13" max="13" width="8.5546875" style="1" bestFit="1" customWidth="1"/>
    <col min="14" max="14" width="8.33203125" style="50" bestFit="1" customWidth="1"/>
    <col min="15" max="15" width="8.5546875" style="1" bestFit="1" customWidth="1"/>
    <col min="16" max="16" width="8.33203125" style="50" bestFit="1" customWidth="1"/>
    <col min="17" max="17" width="8.5546875" style="1" bestFit="1" customWidth="1"/>
    <col min="18" max="18" width="10.88671875" style="1" customWidth="1"/>
    <col min="19" max="19" width="7.5546875" style="50" bestFit="1" customWidth="1"/>
    <col min="20" max="20" width="8.5546875" style="50" bestFit="1" customWidth="1"/>
    <col min="21" max="21" width="11" style="36" customWidth="1"/>
    <col min="22" max="22" width="11" style="1" customWidth="1"/>
    <col min="23" max="16384" width="11.44140625" style="1"/>
  </cols>
  <sheetData>
    <row r="1" spans="1:22" x14ac:dyDescent="0.3">
      <c r="C1" s="8"/>
      <c r="D1" s="8"/>
      <c r="E1" s="8"/>
      <c r="F1" s="8"/>
      <c r="G1" s="8"/>
      <c r="H1" s="34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34"/>
    </row>
    <row r="2" spans="1:22" x14ac:dyDescent="0.3">
      <c r="A2" s="63"/>
      <c r="B2" s="129" t="s">
        <v>75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</row>
    <row r="3" spans="1:22" x14ac:dyDescent="0.3">
      <c r="C3" s="8"/>
      <c r="D3" s="8"/>
      <c r="E3" s="8"/>
      <c r="F3" s="8"/>
      <c r="G3" s="8"/>
      <c r="H3" s="34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4"/>
    </row>
    <row r="4" spans="1:22" x14ac:dyDescent="0.3">
      <c r="B4" s="6" t="s">
        <v>29</v>
      </c>
      <c r="C4" s="9">
        <v>3.28</v>
      </c>
      <c r="D4" s="8"/>
      <c r="E4" s="8"/>
      <c r="F4" s="8"/>
      <c r="G4" s="8"/>
      <c r="H4" s="34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34"/>
    </row>
    <row r="5" spans="1:22" x14ac:dyDescent="0.3">
      <c r="C5" s="8"/>
      <c r="D5" s="8"/>
      <c r="E5" s="8"/>
      <c r="F5" s="8"/>
      <c r="G5" s="8"/>
      <c r="H5" s="34"/>
      <c r="I5" s="8"/>
      <c r="J5" s="8"/>
      <c r="K5" s="130" t="s">
        <v>31</v>
      </c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</row>
    <row r="6" spans="1:22" ht="12.75" customHeight="1" x14ac:dyDescent="0.3">
      <c r="C6" s="8"/>
      <c r="D6" s="130" t="s">
        <v>16</v>
      </c>
      <c r="E6" s="130"/>
      <c r="F6" s="130" t="s">
        <v>15</v>
      </c>
      <c r="G6" s="130"/>
      <c r="H6" s="133" t="s">
        <v>47</v>
      </c>
      <c r="I6" s="131" t="s">
        <v>60</v>
      </c>
      <c r="J6" s="132"/>
      <c r="K6" s="131" t="s">
        <v>10</v>
      </c>
      <c r="L6" s="132"/>
      <c r="M6" s="131" t="s">
        <v>11</v>
      </c>
      <c r="N6" s="132"/>
      <c r="O6" s="131" t="s">
        <v>12</v>
      </c>
      <c r="P6" s="132"/>
      <c r="Q6" s="131" t="s">
        <v>13</v>
      </c>
      <c r="R6" s="132"/>
      <c r="S6" s="131" t="s">
        <v>14</v>
      </c>
      <c r="T6" s="132"/>
      <c r="U6" s="131" t="s">
        <v>4</v>
      </c>
      <c r="V6" s="132"/>
    </row>
    <row r="7" spans="1:22" x14ac:dyDescent="0.3">
      <c r="C7" s="10" t="s">
        <v>18</v>
      </c>
      <c r="D7" s="10" t="s">
        <v>30</v>
      </c>
      <c r="E7" s="10" t="s">
        <v>7</v>
      </c>
      <c r="F7" s="10" t="s">
        <v>9</v>
      </c>
      <c r="G7" s="10" t="s">
        <v>17</v>
      </c>
      <c r="H7" s="134"/>
      <c r="I7" s="10" t="s">
        <v>5</v>
      </c>
      <c r="J7" s="10" t="s">
        <v>98</v>
      </c>
      <c r="K7" s="10" t="s">
        <v>5</v>
      </c>
      <c r="L7" s="10" t="s">
        <v>98</v>
      </c>
      <c r="M7" s="10" t="s">
        <v>5</v>
      </c>
      <c r="N7" s="10" t="s">
        <v>98</v>
      </c>
      <c r="O7" s="10" t="s">
        <v>5</v>
      </c>
      <c r="P7" s="10" t="s">
        <v>98</v>
      </c>
      <c r="Q7" s="10" t="s">
        <v>5</v>
      </c>
      <c r="R7" s="10" t="s">
        <v>98</v>
      </c>
      <c r="S7" s="10" t="s">
        <v>5</v>
      </c>
      <c r="T7" s="10" t="s">
        <v>98</v>
      </c>
      <c r="U7" s="10" t="s">
        <v>5</v>
      </c>
      <c r="V7" s="10" t="s">
        <v>98</v>
      </c>
    </row>
    <row r="8" spans="1:22" x14ac:dyDescent="0.3">
      <c r="B8" s="11" t="s">
        <v>24</v>
      </c>
      <c r="C8" s="12"/>
      <c r="D8" s="12"/>
      <c r="E8" s="12"/>
      <c r="F8" s="10"/>
      <c r="G8" s="10"/>
      <c r="H8" s="32">
        <f t="shared" ref="H8:J8" si="0">SUM(H9:H12)</f>
        <v>1020000</v>
      </c>
      <c r="I8" s="32">
        <f t="shared" si="0"/>
        <v>890296</v>
      </c>
      <c r="J8" s="32">
        <f t="shared" si="0"/>
        <v>129704</v>
      </c>
      <c r="K8" s="32">
        <f t="shared" ref="K8:V8" si="1">SUM(K9:K12)</f>
        <v>178059.2</v>
      </c>
      <c r="L8" s="32">
        <f t="shared" si="1"/>
        <v>25940.799999999999</v>
      </c>
      <c r="M8" s="32">
        <f t="shared" si="1"/>
        <v>178059.2</v>
      </c>
      <c r="N8" s="32">
        <f t="shared" si="1"/>
        <v>25940.799999999999</v>
      </c>
      <c r="O8" s="32">
        <f t="shared" si="1"/>
        <v>178059.2</v>
      </c>
      <c r="P8" s="32">
        <f t="shared" si="1"/>
        <v>25940.799999999999</v>
      </c>
      <c r="Q8" s="32">
        <f t="shared" si="1"/>
        <v>178059.2</v>
      </c>
      <c r="R8" s="32">
        <f t="shared" si="1"/>
        <v>25940.799999999999</v>
      </c>
      <c r="S8" s="32">
        <f t="shared" si="1"/>
        <v>178059.2</v>
      </c>
      <c r="T8" s="32">
        <f t="shared" si="1"/>
        <v>25940.799999999999</v>
      </c>
      <c r="U8" s="32">
        <f t="shared" si="1"/>
        <v>890296</v>
      </c>
      <c r="V8" s="32">
        <f t="shared" si="1"/>
        <v>129704</v>
      </c>
    </row>
    <row r="9" spans="1:22" x14ac:dyDescent="0.3">
      <c r="A9" s="66">
        <v>1</v>
      </c>
      <c r="B9" s="62" t="s">
        <v>65</v>
      </c>
      <c r="C9" s="2">
        <v>1</v>
      </c>
      <c r="D9" s="7"/>
      <c r="E9" s="7">
        <v>7000</v>
      </c>
      <c r="F9" s="3">
        <v>12</v>
      </c>
      <c r="G9" s="4">
        <v>5</v>
      </c>
      <c r="H9" s="35">
        <f>+G9*F9*E9</f>
        <v>420000</v>
      </c>
      <c r="I9" s="68">
        <f>+H9*0.9</f>
        <v>378000</v>
      </c>
      <c r="J9" s="68">
        <f>+H9-I9</f>
        <v>42000</v>
      </c>
      <c r="K9" s="35">
        <f t="shared" ref="K9:L10" si="2">+I9/5</f>
        <v>75600</v>
      </c>
      <c r="L9" s="35">
        <f t="shared" si="2"/>
        <v>8400</v>
      </c>
      <c r="M9" s="35">
        <f t="shared" ref="M9:T10" si="3">+K9</f>
        <v>75600</v>
      </c>
      <c r="N9" s="35">
        <f t="shared" si="3"/>
        <v>8400</v>
      </c>
      <c r="O9" s="35">
        <f t="shared" si="3"/>
        <v>75600</v>
      </c>
      <c r="P9" s="35">
        <f t="shared" si="3"/>
        <v>8400</v>
      </c>
      <c r="Q9" s="35">
        <f t="shared" si="3"/>
        <v>75600</v>
      </c>
      <c r="R9" s="35">
        <f t="shared" si="3"/>
        <v>8400</v>
      </c>
      <c r="S9" s="35">
        <f t="shared" si="3"/>
        <v>75600</v>
      </c>
      <c r="T9" s="35">
        <f t="shared" si="3"/>
        <v>8400</v>
      </c>
      <c r="U9" s="35">
        <f t="shared" ref="U9:V12" si="4">+K9+M9+O9+Q9+S9</f>
        <v>378000</v>
      </c>
      <c r="V9" s="35">
        <f t="shared" si="4"/>
        <v>42000</v>
      </c>
    </row>
    <row r="10" spans="1:22" x14ac:dyDescent="0.3">
      <c r="A10" s="66">
        <f>+A9+1</f>
        <v>2</v>
      </c>
      <c r="B10" s="13" t="s">
        <v>61</v>
      </c>
      <c r="C10" s="2">
        <v>1</v>
      </c>
      <c r="D10" s="7"/>
      <c r="E10" s="7">
        <v>1000</v>
      </c>
      <c r="F10" s="3">
        <v>12</v>
      </c>
      <c r="G10" s="4">
        <v>5</v>
      </c>
      <c r="H10" s="31">
        <f t="shared" ref="H10:H12" si="5">+G10*F10*E10</f>
        <v>60000</v>
      </c>
      <c r="I10" s="7">
        <f>+H10*0.84</f>
        <v>50400</v>
      </c>
      <c r="J10" s="7">
        <f t="shared" ref="J10:J24" si="6">+H10-I10</f>
        <v>9600</v>
      </c>
      <c r="K10" s="31">
        <f t="shared" si="2"/>
        <v>10080</v>
      </c>
      <c r="L10" s="31">
        <f t="shared" si="2"/>
        <v>1920</v>
      </c>
      <c r="M10" s="31">
        <f t="shared" si="3"/>
        <v>10080</v>
      </c>
      <c r="N10" s="31">
        <f t="shared" si="3"/>
        <v>1920</v>
      </c>
      <c r="O10" s="31">
        <f t="shared" si="3"/>
        <v>10080</v>
      </c>
      <c r="P10" s="31">
        <f t="shared" si="3"/>
        <v>1920</v>
      </c>
      <c r="Q10" s="31">
        <f t="shared" si="3"/>
        <v>10080</v>
      </c>
      <c r="R10" s="31">
        <f t="shared" si="3"/>
        <v>1920</v>
      </c>
      <c r="S10" s="31">
        <f t="shared" si="3"/>
        <v>10080</v>
      </c>
      <c r="T10" s="31">
        <f t="shared" si="3"/>
        <v>1920</v>
      </c>
      <c r="U10" s="31">
        <f t="shared" si="4"/>
        <v>50400</v>
      </c>
      <c r="V10" s="31">
        <f t="shared" si="4"/>
        <v>9600</v>
      </c>
    </row>
    <row r="11" spans="1:22" x14ac:dyDescent="0.3">
      <c r="A11" s="66">
        <f t="shared" ref="A11:A17" si="7">+A10+1</f>
        <v>3</v>
      </c>
      <c r="B11" s="62" t="s">
        <v>97</v>
      </c>
      <c r="C11" s="2">
        <v>1</v>
      </c>
      <c r="D11" s="7"/>
      <c r="E11" s="7">
        <v>5000</v>
      </c>
      <c r="F11" s="3">
        <v>12</v>
      </c>
      <c r="G11" s="5">
        <v>5</v>
      </c>
      <c r="H11" s="35">
        <f t="shared" si="5"/>
        <v>300000</v>
      </c>
      <c r="I11" s="68">
        <f>+H11*0.9</f>
        <v>270000</v>
      </c>
      <c r="J11" s="7">
        <f t="shared" si="6"/>
        <v>30000</v>
      </c>
      <c r="K11" s="31">
        <f t="shared" ref="K11:K12" si="8">+I11/5</f>
        <v>54000</v>
      </c>
      <c r="L11" s="31">
        <f t="shared" ref="L11:L12" si="9">+J11/5</f>
        <v>6000</v>
      </c>
      <c r="M11" s="31">
        <f t="shared" ref="M11:M12" si="10">+K11</f>
        <v>54000</v>
      </c>
      <c r="N11" s="31">
        <f t="shared" ref="N11:N12" si="11">+L11</f>
        <v>6000</v>
      </c>
      <c r="O11" s="31">
        <f t="shared" ref="O11:O12" si="12">+M11</f>
        <v>54000</v>
      </c>
      <c r="P11" s="31">
        <f t="shared" ref="P11:P12" si="13">+N11</f>
        <v>6000</v>
      </c>
      <c r="Q11" s="31">
        <f t="shared" ref="Q11:Q12" si="14">+O11</f>
        <v>54000</v>
      </c>
      <c r="R11" s="31">
        <f t="shared" ref="R11:R12" si="15">+P11</f>
        <v>6000</v>
      </c>
      <c r="S11" s="31">
        <f t="shared" ref="S11:S12" si="16">+Q11</f>
        <v>54000</v>
      </c>
      <c r="T11" s="31">
        <f t="shared" ref="T11:T12" si="17">+R11</f>
        <v>6000</v>
      </c>
      <c r="U11" s="31">
        <f t="shared" si="4"/>
        <v>270000</v>
      </c>
      <c r="V11" s="31">
        <f t="shared" si="4"/>
        <v>30000</v>
      </c>
    </row>
    <row r="12" spans="1:22" x14ac:dyDescent="0.3">
      <c r="A12" s="66">
        <f t="shared" si="7"/>
        <v>4</v>
      </c>
      <c r="B12" s="13" t="s">
        <v>25</v>
      </c>
      <c r="C12" s="2">
        <v>1</v>
      </c>
      <c r="D12" s="7"/>
      <c r="E12" s="7">
        <v>4000</v>
      </c>
      <c r="F12" s="3">
        <v>12</v>
      </c>
      <c r="G12" s="30">
        <v>5</v>
      </c>
      <c r="H12" s="31">
        <f t="shared" si="5"/>
        <v>240000</v>
      </c>
      <c r="I12" s="7">
        <v>191896</v>
      </c>
      <c r="J12" s="7">
        <f t="shared" si="6"/>
        <v>48104</v>
      </c>
      <c r="K12" s="31">
        <f t="shared" si="8"/>
        <v>38379.199999999997</v>
      </c>
      <c r="L12" s="31">
        <f t="shared" si="9"/>
        <v>9620.7999999999993</v>
      </c>
      <c r="M12" s="31">
        <f t="shared" si="10"/>
        <v>38379.199999999997</v>
      </c>
      <c r="N12" s="31">
        <f t="shared" si="11"/>
        <v>9620.7999999999993</v>
      </c>
      <c r="O12" s="31">
        <f t="shared" si="12"/>
        <v>38379.199999999997</v>
      </c>
      <c r="P12" s="31">
        <f t="shared" si="13"/>
        <v>9620.7999999999993</v>
      </c>
      <c r="Q12" s="31">
        <f t="shared" si="14"/>
        <v>38379.199999999997</v>
      </c>
      <c r="R12" s="31">
        <f t="shared" si="15"/>
        <v>9620.7999999999993</v>
      </c>
      <c r="S12" s="31">
        <f t="shared" si="16"/>
        <v>38379.199999999997</v>
      </c>
      <c r="T12" s="31">
        <f t="shared" si="17"/>
        <v>9620.7999999999993</v>
      </c>
      <c r="U12" s="31">
        <f t="shared" si="4"/>
        <v>191896</v>
      </c>
      <c r="V12" s="31">
        <f t="shared" si="4"/>
        <v>48104</v>
      </c>
    </row>
    <row r="13" spans="1:22" x14ac:dyDescent="0.3">
      <c r="B13" s="11" t="s">
        <v>26</v>
      </c>
      <c r="C13" s="12"/>
      <c r="D13" s="12"/>
      <c r="E13" s="12"/>
      <c r="F13" s="10"/>
      <c r="G13" s="10"/>
      <c r="H13" s="32">
        <f>SUM(H14:H21)</f>
        <v>1596000</v>
      </c>
      <c r="I13" s="32">
        <f t="shared" ref="I13:T13" si="18">SUM(I14:I21)</f>
        <v>1391040</v>
      </c>
      <c r="J13" s="32">
        <f t="shared" si="18"/>
        <v>204960</v>
      </c>
      <c r="K13" s="32">
        <f t="shared" si="18"/>
        <v>278208</v>
      </c>
      <c r="L13" s="32">
        <f t="shared" si="18"/>
        <v>40992</v>
      </c>
      <c r="M13" s="32">
        <f t="shared" si="18"/>
        <v>278208</v>
      </c>
      <c r="N13" s="32">
        <f t="shared" si="18"/>
        <v>40992</v>
      </c>
      <c r="O13" s="32">
        <f t="shared" si="18"/>
        <v>278208</v>
      </c>
      <c r="P13" s="32">
        <f t="shared" si="18"/>
        <v>40992</v>
      </c>
      <c r="Q13" s="32">
        <f t="shared" si="18"/>
        <v>278208</v>
      </c>
      <c r="R13" s="32">
        <f t="shared" si="18"/>
        <v>40992</v>
      </c>
      <c r="S13" s="32">
        <f t="shared" si="18"/>
        <v>278208</v>
      </c>
      <c r="T13" s="32">
        <f t="shared" si="18"/>
        <v>40992</v>
      </c>
      <c r="U13" s="32">
        <f t="shared" ref="U13:V13" si="19">SUM(U14:U20)</f>
        <v>1300320</v>
      </c>
      <c r="V13" s="32">
        <f t="shared" si="19"/>
        <v>187680</v>
      </c>
    </row>
    <row r="14" spans="1:22" x14ac:dyDescent="0.3">
      <c r="A14" s="66">
        <f>+A12+1</f>
        <v>5</v>
      </c>
      <c r="B14" s="62" t="s">
        <v>54</v>
      </c>
      <c r="C14" s="2">
        <v>1</v>
      </c>
      <c r="D14" s="7"/>
      <c r="E14" s="7">
        <v>5000</v>
      </c>
      <c r="F14" s="3">
        <v>12</v>
      </c>
      <c r="G14" s="5">
        <v>5</v>
      </c>
      <c r="H14" s="35">
        <f>+G14*F14*E14</f>
        <v>300000</v>
      </c>
      <c r="I14" s="68">
        <f>+H14*0.9</f>
        <v>270000</v>
      </c>
      <c r="J14" s="68">
        <f t="shared" si="6"/>
        <v>30000</v>
      </c>
      <c r="K14" s="35">
        <f t="shared" ref="K14:K21" si="20">+I14/5</f>
        <v>54000</v>
      </c>
      <c r="L14" s="35">
        <f t="shared" ref="L14:L21" si="21">+J14/5</f>
        <v>6000</v>
      </c>
      <c r="M14" s="35">
        <f t="shared" ref="M14:M21" si="22">+K14</f>
        <v>54000</v>
      </c>
      <c r="N14" s="35">
        <f t="shared" ref="N14:N21" si="23">+L14</f>
        <v>6000</v>
      </c>
      <c r="O14" s="35">
        <f t="shared" ref="O14:O21" si="24">+M14</f>
        <v>54000</v>
      </c>
      <c r="P14" s="35">
        <f t="shared" ref="P14:P21" si="25">+N14</f>
        <v>6000</v>
      </c>
      <c r="Q14" s="35">
        <f t="shared" ref="Q14:Q21" si="26">+O14</f>
        <v>54000</v>
      </c>
      <c r="R14" s="35">
        <f t="shared" ref="R14:R21" si="27">+P14</f>
        <v>6000</v>
      </c>
      <c r="S14" s="35">
        <f t="shared" ref="S14:S21" si="28">+Q14</f>
        <v>54000</v>
      </c>
      <c r="T14" s="35">
        <f t="shared" ref="T14:T21" si="29">+R14</f>
        <v>6000</v>
      </c>
      <c r="U14" s="35">
        <f t="shared" ref="U14:V17" si="30">+K14+M14+O14+Q14+S14</f>
        <v>270000</v>
      </c>
      <c r="V14" s="35">
        <f t="shared" si="30"/>
        <v>30000</v>
      </c>
    </row>
    <row r="15" spans="1:22" x14ac:dyDescent="0.3">
      <c r="A15" s="66">
        <f t="shared" si="7"/>
        <v>6</v>
      </c>
      <c r="B15" s="13" t="s">
        <v>27</v>
      </c>
      <c r="C15" s="2">
        <v>1</v>
      </c>
      <c r="D15" s="7"/>
      <c r="E15" s="7">
        <v>4000</v>
      </c>
      <c r="F15" s="3">
        <v>12</v>
      </c>
      <c r="G15" s="5">
        <v>4.5</v>
      </c>
      <c r="H15" s="31">
        <f t="shared" ref="H15:H17" si="31">+G15*F15*E15</f>
        <v>216000</v>
      </c>
      <c r="I15" s="7">
        <f>+H15*0.84</f>
        <v>181440</v>
      </c>
      <c r="J15" s="7">
        <f t="shared" si="6"/>
        <v>34560</v>
      </c>
      <c r="K15" s="31">
        <f t="shared" si="20"/>
        <v>36288</v>
      </c>
      <c r="L15" s="31">
        <f t="shared" si="21"/>
        <v>6912</v>
      </c>
      <c r="M15" s="31">
        <f t="shared" si="22"/>
        <v>36288</v>
      </c>
      <c r="N15" s="31">
        <f t="shared" si="23"/>
        <v>6912</v>
      </c>
      <c r="O15" s="31">
        <f t="shared" si="24"/>
        <v>36288</v>
      </c>
      <c r="P15" s="31">
        <f t="shared" si="25"/>
        <v>6912</v>
      </c>
      <c r="Q15" s="31">
        <f t="shared" si="26"/>
        <v>36288</v>
      </c>
      <c r="R15" s="31">
        <f t="shared" si="27"/>
        <v>6912</v>
      </c>
      <c r="S15" s="31">
        <f t="shared" si="28"/>
        <v>36288</v>
      </c>
      <c r="T15" s="31">
        <f t="shared" si="29"/>
        <v>6912</v>
      </c>
      <c r="U15" s="31">
        <f t="shared" si="30"/>
        <v>181440</v>
      </c>
      <c r="V15" s="31">
        <f t="shared" si="30"/>
        <v>34560</v>
      </c>
    </row>
    <row r="16" spans="1:22" x14ac:dyDescent="0.3">
      <c r="A16" s="66">
        <f t="shared" si="7"/>
        <v>7</v>
      </c>
      <c r="B16" s="62" t="s">
        <v>55</v>
      </c>
      <c r="C16" s="2">
        <v>1</v>
      </c>
      <c r="D16" s="7"/>
      <c r="E16" s="7">
        <v>4500</v>
      </c>
      <c r="F16" s="3">
        <v>12</v>
      </c>
      <c r="G16" s="30">
        <v>5</v>
      </c>
      <c r="H16" s="35">
        <f t="shared" si="31"/>
        <v>270000</v>
      </c>
      <c r="I16" s="68">
        <f>+H16*0.9</f>
        <v>243000</v>
      </c>
      <c r="J16" s="68">
        <f t="shared" si="6"/>
        <v>27000</v>
      </c>
      <c r="K16" s="35">
        <f t="shared" si="20"/>
        <v>48600</v>
      </c>
      <c r="L16" s="35">
        <f t="shared" si="21"/>
        <v>5400</v>
      </c>
      <c r="M16" s="35">
        <f t="shared" si="22"/>
        <v>48600</v>
      </c>
      <c r="N16" s="35">
        <f t="shared" si="23"/>
        <v>5400</v>
      </c>
      <c r="O16" s="35">
        <f t="shared" si="24"/>
        <v>48600</v>
      </c>
      <c r="P16" s="35">
        <f t="shared" si="25"/>
        <v>5400</v>
      </c>
      <c r="Q16" s="35">
        <f t="shared" si="26"/>
        <v>48600</v>
      </c>
      <c r="R16" s="35">
        <f t="shared" si="27"/>
        <v>5400</v>
      </c>
      <c r="S16" s="35">
        <f t="shared" si="28"/>
        <v>48600</v>
      </c>
      <c r="T16" s="35">
        <f t="shared" si="29"/>
        <v>5400</v>
      </c>
      <c r="U16" s="35">
        <f t="shared" si="30"/>
        <v>243000</v>
      </c>
      <c r="V16" s="35">
        <f t="shared" si="30"/>
        <v>27000</v>
      </c>
    </row>
    <row r="17" spans="1:22" x14ac:dyDescent="0.3">
      <c r="A17" s="66">
        <f t="shared" si="7"/>
        <v>8</v>
      </c>
      <c r="B17" s="62" t="s">
        <v>56</v>
      </c>
      <c r="C17" s="2">
        <v>1</v>
      </c>
      <c r="D17" s="7"/>
      <c r="E17" s="7">
        <v>4500</v>
      </c>
      <c r="F17" s="3">
        <v>12</v>
      </c>
      <c r="G17" s="30">
        <v>5</v>
      </c>
      <c r="H17" s="35">
        <f t="shared" si="31"/>
        <v>270000</v>
      </c>
      <c r="I17" s="68">
        <f>+H17*0.9</f>
        <v>243000</v>
      </c>
      <c r="J17" s="68">
        <f t="shared" si="6"/>
        <v>27000</v>
      </c>
      <c r="K17" s="35">
        <f t="shared" si="20"/>
        <v>48600</v>
      </c>
      <c r="L17" s="35">
        <f t="shared" si="21"/>
        <v>5400</v>
      </c>
      <c r="M17" s="35">
        <f t="shared" si="22"/>
        <v>48600</v>
      </c>
      <c r="N17" s="35">
        <f t="shared" si="23"/>
        <v>5400</v>
      </c>
      <c r="O17" s="35">
        <f t="shared" si="24"/>
        <v>48600</v>
      </c>
      <c r="P17" s="35">
        <f t="shared" si="25"/>
        <v>5400</v>
      </c>
      <c r="Q17" s="35">
        <f t="shared" si="26"/>
        <v>48600</v>
      </c>
      <c r="R17" s="35">
        <f t="shared" si="27"/>
        <v>5400</v>
      </c>
      <c r="S17" s="35">
        <f t="shared" si="28"/>
        <v>48600</v>
      </c>
      <c r="T17" s="35">
        <f t="shared" si="29"/>
        <v>5400</v>
      </c>
      <c r="U17" s="35">
        <f t="shared" si="30"/>
        <v>243000</v>
      </c>
      <c r="V17" s="35">
        <f t="shared" si="30"/>
        <v>27000</v>
      </c>
    </row>
    <row r="18" spans="1:22" x14ac:dyDescent="0.3">
      <c r="A18" s="66">
        <f>+A17+1</f>
        <v>9</v>
      </c>
      <c r="B18" s="13" t="s">
        <v>66</v>
      </c>
      <c r="C18" s="2">
        <v>1</v>
      </c>
      <c r="D18" s="7"/>
      <c r="E18" s="7">
        <v>2000</v>
      </c>
      <c r="F18" s="3">
        <v>12</v>
      </c>
      <c r="G18" s="30">
        <v>4.5</v>
      </c>
      <c r="H18" s="7">
        <f>+G18*F18*E18</f>
        <v>108000</v>
      </c>
      <c r="I18" s="7">
        <f t="shared" ref="I18:I21" si="32">+H18*0.84</f>
        <v>90720</v>
      </c>
      <c r="J18" s="7">
        <f t="shared" si="6"/>
        <v>17280</v>
      </c>
      <c r="K18" s="31">
        <f t="shared" si="20"/>
        <v>18144</v>
      </c>
      <c r="L18" s="31">
        <f t="shared" si="21"/>
        <v>3456</v>
      </c>
      <c r="M18" s="31">
        <f t="shared" si="22"/>
        <v>18144</v>
      </c>
      <c r="N18" s="31">
        <f t="shared" si="23"/>
        <v>3456</v>
      </c>
      <c r="O18" s="31">
        <f t="shared" si="24"/>
        <v>18144</v>
      </c>
      <c r="P18" s="31">
        <f t="shared" si="25"/>
        <v>3456</v>
      </c>
      <c r="Q18" s="31">
        <f t="shared" si="26"/>
        <v>18144</v>
      </c>
      <c r="R18" s="31">
        <f t="shared" si="27"/>
        <v>3456</v>
      </c>
      <c r="S18" s="31">
        <f t="shared" si="28"/>
        <v>18144</v>
      </c>
      <c r="T18" s="31">
        <f t="shared" si="29"/>
        <v>3456</v>
      </c>
      <c r="U18" s="31">
        <f t="shared" ref="U18:U20" si="33">+K18+M18+O18+Q18+S18</f>
        <v>90720</v>
      </c>
      <c r="V18" s="31">
        <f t="shared" ref="V18:V20" si="34">+L18+N18+P18+R18+T18</f>
        <v>17280</v>
      </c>
    </row>
    <row r="19" spans="1:22" x14ac:dyDescent="0.3">
      <c r="A19" s="66">
        <f>1+A18</f>
        <v>10</v>
      </c>
      <c r="B19" s="13" t="s">
        <v>59</v>
      </c>
      <c r="C19" s="2">
        <v>1</v>
      </c>
      <c r="D19" s="7"/>
      <c r="E19" s="7">
        <v>4000</v>
      </c>
      <c r="F19" s="3">
        <v>12</v>
      </c>
      <c r="G19" s="30">
        <v>4.5</v>
      </c>
      <c r="H19" s="7">
        <f>+G19*F19*E19</f>
        <v>216000</v>
      </c>
      <c r="I19" s="7">
        <f t="shared" si="32"/>
        <v>181440</v>
      </c>
      <c r="J19" s="7">
        <f t="shared" si="6"/>
        <v>34560</v>
      </c>
      <c r="K19" s="31">
        <f t="shared" si="20"/>
        <v>36288</v>
      </c>
      <c r="L19" s="31">
        <f t="shared" si="21"/>
        <v>6912</v>
      </c>
      <c r="M19" s="31">
        <f t="shared" si="22"/>
        <v>36288</v>
      </c>
      <c r="N19" s="31">
        <f t="shared" si="23"/>
        <v>6912</v>
      </c>
      <c r="O19" s="31">
        <f t="shared" si="24"/>
        <v>36288</v>
      </c>
      <c r="P19" s="31">
        <f t="shared" si="25"/>
        <v>6912</v>
      </c>
      <c r="Q19" s="31">
        <f t="shared" si="26"/>
        <v>36288</v>
      </c>
      <c r="R19" s="31">
        <f t="shared" si="27"/>
        <v>6912</v>
      </c>
      <c r="S19" s="31">
        <f t="shared" si="28"/>
        <v>36288</v>
      </c>
      <c r="T19" s="31">
        <f t="shared" si="29"/>
        <v>6912</v>
      </c>
      <c r="U19" s="31">
        <f t="shared" si="33"/>
        <v>181440</v>
      </c>
      <c r="V19" s="31">
        <f t="shared" si="34"/>
        <v>34560</v>
      </c>
    </row>
    <row r="20" spans="1:22" x14ac:dyDescent="0.3">
      <c r="A20" s="66">
        <f t="shared" ref="A20:A21" si="35">A19+1</f>
        <v>11</v>
      </c>
      <c r="B20" s="13" t="s">
        <v>57</v>
      </c>
      <c r="C20" s="2">
        <v>1</v>
      </c>
      <c r="D20" s="7"/>
      <c r="E20" s="7">
        <v>2000</v>
      </c>
      <c r="F20" s="3">
        <v>12</v>
      </c>
      <c r="G20" s="30">
        <v>4.5</v>
      </c>
      <c r="H20" s="7">
        <f t="shared" ref="H20" si="36">+G20*F20*E20</f>
        <v>108000</v>
      </c>
      <c r="I20" s="7">
        <f t="shared" si="32"/>
        <v>90720</v>
      </c>
      <c r="J20" s="7">
        <f t="shared" si="6"/>
        <v>17280</v>
      </c>
      <c r="K20" s="31">
        <f t="shared" si="20"/>
        <v>18144</v>
      </c>
      <c r="L20" s="31">
        <f t="shared" si="21"/>
        <v>3456</v>
      </c>
      <c r="M20" s="31">
        <f t="shared" si="22"/>
        <v>18144</v>
      </c>
      <c r="N20" s="31">
        <f t="shared" si="23"/>
        <v>3456</v>
      </c>
      <c r="O20" s="31">
        <f t="shared" si="24"/>
        <v>18144</v>
      </c>
      <c r="P20" s="31">
        <f t="shared" si="25"/>
        <v>3456</v>
      </c>
      <c r="Q20" s="31">
        <f t="shared" si="26"/>
        <v>18144</v>
      </c>
      <c r="R20" s="31">
        <f t="shared" si="27"/>
        <v>3456</v>
      </c>
      <c r="S20" s="31">
        <f t="shared" si="28"/>
        <v>18144</v>
      </c>
      <c r="T20" s="31">
        <f t="shared" si="29"/>
        <v>3456</v>
      </c>
      <c r="U20" s="31">
        <f t="shared" si="33"/>
        <v>90720</v>
      </c>
      <c r="V20" s="31">
        <f t="shared" si="34"/>
        <v>17280</v>
      </c>
    </row>
    <row r="21" spans="1:22" s="50" customFormat="1" x14ac:dyDescent="0.3">
      <c r="A21" s="66">
        <f t="shared" si="35"/>
        <v>12</v>
      </c>
      <c r="B21" s="13" t="s">
        <v>100</v>
      </c>
      <c r="C21" s="2">
        <v>1</v>
      </c>
      <c r="D21" s="7"/>
      <c r="E21" s="7">
        <v>2000</v>
      </c>
      <c r="F21" s="3">
        <v>12</v>
      </c>
      <c r="G21" s="30">
        <v>4.5</v>
      </c>
      <c r="H21" s="7">
        <f t="shared" ref="H21" si="37">+G21*F21*E21</f>
        <v>108000</v>
      </c>
      <c r="I21" s="7">
        <f t="shared" si="32"/>
        <v>90720</v>
      </c>
      <c r="J21" s="7">
        <f t="shared" si="6"/>
        <v>17280</v>
      </c>
      <c r="K21" s="31">
        <f t="shared" si="20"/>
        <v>18144</v>
      </c>
      <c r="L21" s="31">
        <f t="shared" si="21"/>
        <v>3456</v>
      </c>
      <c r="M21" s="31">
        <f t="shared" si="22"/>
        <v>18144</v>
      </c>
      <c r="N21" s="31">
        <f t="shared" si="23"/>
        <v>3456</v>
      </c>
      <c r="O21" s="31">
        <f t="shared" si="24"/>
        <v>18144</v>
      </c>
      <c r="P21" s="31">
        <f t="shared" si="25"/>
        <v>3456</v>
      </c>
      <c r="Q21" s="31">
        <f t="shared" si="26"/>
        <v>18144</v>
      </c>
      <c r="R21" s="31">
        <f t="shared" si="27"/>
        <v>3456</v>
      </c>
      <c r="S21" s="31">
        <f t="shared" si="28"/>
        <v>18144</v>
      </c>
      <c r="T21" s="31">
        <f t="shared" si="29"/>
        <v>3456</v>
      </c>
      <c r="U21" s="31">
        <f t="shared" ref="U21" si="38">+K21+M21+O21+Q21+S21</f>
        <v>90720</v>
      </c>
      <c r="V21" s="31">
        <f t="shared" ref="V21" si="39">+L21+N21+P21+R21+T21</f>
        <v>17280</v>
      </c>
    </row>
    <row r="22" spans="1:22" s="36" customFormat="1" x14ac:dyDescent="0.3">
      <c r="A22" s="80"/>
      <c r="B22" s="81" t="s">
        <v>28</v>
      </c>
      <c r="C22" s="12"/>
      <c r="D22" s="12"/>
      <c r="E22" s="12"/>
      <c r="F22" s="10"/>
      <c r="G22" s="10"/>
      <c r="H22" s="32">
        <f t="shared" ref="H22:V22" si="40">SUM(H23:H24)</f>
        <v>840000</v>
      </c>
      <c r="I22" s="32">
        <f t="shared" si="40"/>
        <v>744480</v>
      </c>
      <c r="J22" s="32">
        <f t="shared" si="40"/>
        <v>95520</v>
      </c>
      <c r="K22" s="32">
        <f t="shared" si="40"/>
        <v>148896</v>
      </c>
      <c r="L22" s="32">
        <f t="shared" si="40"/>
        <v>19104</v>
      </c>
      <c r="M22" s="32">
        <f t="shared" si="40"/>
        <v>148896</v>
      </c>
      <c r="N22" s="32">
        <f t="shared" si="40"/>
        <v>19104</v>
      </c>
      <c r="O22" s="32">
        <f t="shared" si="40"/>
        <v>148896</v>
      </c>
      <c r="P22" s="32">
        <f t="shared" si="40"/>
        <v>19104</v>
      </c>
      <c r="Q22" s="32">
        <f t="shared" si="40"/>
        <v>148896</v>
      </c>
      <c r="R22" s="32">
        <f t="shared" si="40"/>
        <v>19104</v>
      </c>
      <c r="S22" s="32">
        <f t="shared" si="40"/>
        <v>148896</v>
      </c>
      <c r="T22" s="32">
        <f t="shared" si="40"/>
        <v>19104</v>
      </c>
      <c r="U22" s="32">
        <f t="shared" si="40"/>
        <v>744480</v>
      </c>
      <c r="V22" s="32">
        <f t="shared" si="40"/>
        <v>95520</v>
      </c>
    </row>
    <row r="23" spans="1:22" x14ac:dyDescent="0.3">
      <c r="A23" s="66">
        <f>+A20+1</f>
        <v>12</v>
      </c>
      <c r="B23" s="62" t="s">
        <v>96</v>
      </c>
      <c r="C23" s="5">
        <v>3</v>
      </c>
      <c r="D23" s="31"/>
      <c r="E23" s="7">
        <v>4000</v>
      </c>
      <c r="F23" s="3">
        <v>12</v>
      </c>
      <c r="G23" s="5">
        <v>4.5</v>
      </c>
      <c r="H23" s="35">
        <f>+G23*F23*E23*C23</f>
        <v>648000</v>
      </c>
      <c r="I23" s="68">
        <f>+H23*0.9</f>
        <v>583200</v>
      </c>
      <c r="J23" s="68">
        <f t="shared" si="6"/>
        <v>64800</v>
      </c>
      <c r="K23" s="35">
        <f t="shared" ref="K23:K24" si="41">+I23/5</f>
        <v>116640</v>
      </c>
      <c r="L23" s="35">
        <f t="shared" ref="L23:L24" si="42">+J23/5</f>
        <v>12960</v>
      </c>
      <c r="M23" s="35">
        <f t="shared" ref="M23:M24" si="43">+K23</f>
        <v>116640</v>
      </c>
      <c r="N23" s="35">
        <f t="shared" ref="N23:N24" si="44">+L23</f>
        <v>12960</v>
      </c>
      <c r="O23" s="35">
        <f t="shared" ref="O23:O24" si="45">+M23</f>
        <v>116640</v>
      </c>
      <c r="P23" s="35">
        <f t="shared" ref="P23:P24" si="46">+N23</f>
        <v>12960</v>
      </c>
      <c r="Q23" s="35">
        <f t="shared" ref="Q23:Q24" si="47">+O23</f>
        <v>116640</v>
      </c>
      <c r="R23" s="35">
        <f t="shared" ref="R23:R24" si="48">+P23</f>
        <v>12960</v>
      </c>
      <c r="S23" s="35">
        <f t="shared" ref="S23:S24" si="49">+Q23</f>
        <v>116640</v>
      </c>
      <c r="T23" s="35">
        <f t="shared" ref="T23:T24" si="50">+R23</f>
        <v>12960</v>
      </c>
      <c r="U23" s="35">
        <f>+K23+M23+O23+Q23+S23</f>
        <v>583200</v>
      </c>
      <c r="V23" s="35">
        <f>+L23+N23+P23+R23+T23</f>
        <v>64800</v>
      </c>
    </row>
    <row r="24" spans="1:22" x14ac:dyDescent="0.3">
      <c r="A24" s="66">
        <f>+A23+1</f>
        <v>13</v>
      </c>
      <c r="B24" s="13" t="s">
        <v>58</v>
      </c>
      <c r="C24" s="5">
        <v>2</v>
      </c>
      <c r="D24" s="31"/>
      <c r="E24" s="7">
        <v>2000</v>
      </c>
      <c r="F24" s="3">
        <v>12</v>
      </c>
      <c r="G24" s="30">
        <v>4</v>
      </c>
      <c r="H24" s="31">
        <f>+G24*F24*E24*C24</f>
        <v>192000</v>
      </c>
      <c r="I24" s="7">
        <f>+H24*0.84</f>
        <v>161280</v>
      </c>
      <c r="J24" s="7">
        <f t="shared" si="6"/>
        <v>30720</v>
      </c>
      <c r="K24" s="31">
        <f t="shared" si="41"/>
        <v>32256</v>
      </c>
      <c r="L24" s="31">
        <f t="shared" si="42"/>
        <v>6144</v>
      </c>
      <c r="M24" s="31">
        <f t="shared" si="43"/>
        <v>32256</v>
      </c>
      <c r="N24" s="31">
        <f t="shared" si="44"/>
        <v>6144</v>
      </c>
      <c r="O24" s="31">
        <f t="shared" si="45"/>
        <v>32256</v>
      </c>
      <c r="P24" s="31">
        <f t="shared" si="46"/>
        <v>6144</v>
      </c>
      <c r="Q24" s="31">
        <f t="shared" si="47"/>
        <v>32256</v>
      </c>
      <c r="R24" s="31">
        <f t="shared" si="48"/>
        <v>6144</v>
      </c>
      <c r="S24" s="31">
        <f t="shared" si="49"/>
        <v>32256</v>
      </c>
      <c r="T24" s="31">
        <f t="shared" si="50"/>
        <v>6144</v>
      </c>
      <c r="U24" s="31">
        <f t="shared" ref="U24" si="51">+K24+M24+O24+Q24+S24</f>
        <v>161280</v>
      </c>
      <c r="V24" s="31">
        <f t="shared" ref="V24" si="52">+L24+N24+P24+R24+T24</f>
        <v>30720</v>
      </c>
    </row>
    <row r="25" spans="1:22" x14ac:dyDescent="0.3">
      <c r="A25" s="67"/>
      <c r="B25" s="14" t="s">
        <v>21</v>
      </c>
      <c r="C25" s="15">
        <f>SUM(C9:C24)</f>
        <v>17</v>
      </c>
      <c r="D25" s="15"/>
      <c r="E25" s="15"/>
      <c r="F25" s="15"/>
      <c r="G25" s="15">
        <v>0</v>
      </c>
      <c r="H25" s="33">
        <f t="shared" ref="H25:V25" si="53">+H22+H13+H8</f>
        <v>3456000</v>
      </c>
      <c r="I25" s="33">
        <f t="shared" si="53"/>
        <v>3025816</v>
      </c>
      <c r="J25" s="33">
        <f t="shared" si="53"/>
        <v>430184</v>
      </c>
      <c r="K25" s="33">
        <f t="shared" si="53"/>
        <v>605163.19999999995</v>
      </c>
      <c r="L25" s="33">
        <f t="shared" si="53"/>
        <v>86036.800000000003</v>
      </c>
      <c r="M25" s="33">
        <f t="shared" si="53"/>
        <v>605163.19999999995</v>
      </c>
      <c r="N25" s="33">
        <f t="shared" si="53"/>
        <v>86036.800000000003</v>
      </c>
      <c r="O25" s="33">
        <f t="shared" si="53"/>
        <v>605163.19999999995</v>
      </c>
      <c r="P25" s="33">
        <f t="shared" si="53"/>
        <v>86036.800000000003</v>
      </c>
      <c r="Q25" s="33">
        <f t="shared" si="53"/>
        <v>605163.19999999995</v>
      </c>
      <c r="R25" s="33">
        <f t="shared" si="53"/>
        <v>86036.800000000003</v>
      </c>
      <c r="S25" s="33">
        <f t="shared" si="53"/>
        <v>605163.19999999995</v>
      </c>
      <c r="T25" s="33">
        <f t="shared" si="53"/>
        <v>86036.800000000003</v>
      </c>
      <c r="U25" s="33">
        <f t="shared" si="53"/>
        <v>2935096</v>
      </c>
      <c r="V25" s="33">
        <f t="shared" si="53"/>
        <v>412904</v>
      </c>
    </row>
  </sheetData>
  <mergeCells count="12">
    <mergeCell ref="B2:U2"/>
    <mergeCell ref="F6:G6"/>
    <mergeCell ref="D6:E6"/>
    <mergeCell ref="I6:J6"/>
    <mergeCell ref="H6:H7"/>
    <mergeCell ref="K5:V5"/>
    <mergeCell ref="K6:L6"/>
    <mergeCell ref="M6:N6"/>
    <mergeCell ref="O6:P6"/>
    <mergeCell ref="Q6:R6"/>
    <mergeCell ref="S6:T6"/>
    <mergeCell ref="U6:V6"/>
  </mergeCells>
  <pageMargins left="0.70866141732283472" right="0.70866141732283472" top="0.74803149606299213" bottom="0.74803149606299213" header="0.31496062992125984" footer="0.31496062992125984"/>
  <pageSetup paperSize="9" fitToWidth="3" fitToHeight="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Resumen</vt:lpstr>
      <vt:lpstr>Componentes</vt:lpstr>
      <vt:lpstr>Administración_ME_Auditoria</vt:lpstr>
      <vt:lpstr>Costos RRHH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lastModifiedBy>Lafuente, Mariano</cp:lastModifiedBy>
  <cp:lastPrinted>2017-08-18T23:52:36Z</cp:lastPrinted>
  <dcterms:created xsi:type="dcterms:W3CDTF">2013-10-30T13:45:04Z</dcterms:created>
  <dcterms:modified xsi:type="dcterms:W3CDTF">2017-10-30T22:15:31Z</dcterms:modified>
</cp:coreProperties>
</file>