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cruz\OneDrive - Inter-American Development Bank Group\FMM\BR-L1498 - Piauí\Aquisições\PA 3\"/>
    </mc:Choice>
  </mc:AlternateContent>
  <xr:revisionPtr revIDLastSave="3" documentId="8_{1308CD39-9EBF-4226-ABB4-274B15905150}" xr6:coauthVersionLast="44" xr6:coauthVersionMax="45" xr10:uidLastSave="{BEE8ECB6-5FAC-4688-8470-831989C7C94B}"/>
  <bookViews>
    <workbookView xWindow="-98" yWindow="-98" windowWidth="19396" windowHeight="10395" xr2:uid="{00000000-000D-0000-FFFF-FFFF00000000}"/>
  </bookViews>
  <sheets>
    <sheet name="PA comenta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1" l="1"/>
  <c r="H120" i="1"/>
  <c r="H119" i="1"/>
  <c r="H118" i="1"/>
  <c r="H117" i="1"/>
  <c r="H116" i="1"/>
  <c r="H115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8" i="1"/>
  <c r="H77" i="1"/>
  <c r="H76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47" i="1"/>
  <c r="H45" i="1"/>
  <c r="H44" i="1"/>
  <c r="H43" i="1"/>
  <c r="H40" i="1"/>
  <c r="H39" i="1"/>
  <c r="H38" i="1"/>
  <c r="H37" i="1"/>
  <c r="H36" i="1"/>
  <c r="H35" i="1"/>
  <c r="H34" i="1"/>
  <c r="H33" i="1"/>
  <c r="H32" i="1"/>
  <c r="H31" i="1"/>
  <c r="H30" i="1"/>
  <c r="H29" i="1"/>
  <c r="H27" i="1"/>
  <c r="H21" i="1"/>
  <c r="H20" i="1"/>
  <c r="H19" i="1"/>
  <c r="H18" i="1"/>
  <c r="H17" i="1"/>
  <c r="H16" i="1"/>
  <c r="H15" i="1"/>
  <c r="H99" i="1" l="1"/>
  <c r="H71" i="1"/>
  <c r="H51" i="1"/>
  <c r="H121" i="1" l="1"/>
  <c r="G110" i="1" l="1"/>
  <c r="H22" i="1"/>
  <c r="H123" i="1" l="1"/>
</calcChain>
</file>

<file path=xl/sharedStrings.xml><?xml version="1.0" encoding="utf-8"?>
<sst xmlns="http://schemas.openxmlformats.org/spreadsheetml/2006/main" count="831" uniqueCount="331">
  <si>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</si>
  <si>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</si>
  <si>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</si>
  <si>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</si>
  <si>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</si>
  <si>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t>INFORMAÇÃO PARA PREENCHIMENTO INICIAL DO PLANO DE AQUISIÇÕES (EM CURSO E/OU ÚLTIMO APRESENTADO)</t>
  </si>
  <si>
    <t>OBRAS</t>
  </si>
  <si>
    <t>Montante Estimado *</t>
  </si>
  <si>
    <t>Componente/Categoria 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</si>
  <si>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</si>
  <si>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</si>
  <si>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</si>
  <si>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</si>
  <si>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</si>
  <si>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Objeto*</t>
  </si>
  <si>
    <t>Subproduto</t>
  </si>
  <si>
    <t>Método 
(Selecionar uma das Opções):*</t>
  </si>
  <si>
    <t>Quantidade de Lotes:</t>
  </si>
  <si>
    <t>Número de Processo:</t>
  </si>
  <si>
    <t>Montante Estimado em US$:</t>
  </si>
  <si>
    <t>Montante Estimado % BID:</t>
  </si>
  <si>
    <t>Montante Estimado % Contrapartida:</t>
  </si>
  <si>
    <t>Método de Revisão (Selecionar uma das opções):*</t>
  </si>
  <si>
    <t>Publicação do Anúncio/Convite</t>
  </si>
  <si>
    <t>Assinatura do Contrato</t>
  </si>
  <si>
    <t>1.1</t>
  </si>
  <si>
    <t>Sefaz PI</t>
  </si>
  <si>
    <t>Readequação física do prédio da sede para adequação aos Processos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</si>
  <si>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</si>
  <si>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</si>
  <si>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</si>
  <si>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</si>
  <si>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</si>
  <si>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</si>
  <si>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</si>
  <si>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</si>
  <si>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</si>
  <si>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</si>
  <si>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P1.3B</t>
  </si>
  <si>
    <t>1.4</t>
  </si>
  <si>
    <t>P2.4A</t>
  </si>
  <si>
    <t>II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</si>
  <si>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</si>
  <si>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</si>
  <si>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</si>
  <si>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</si>
  <si>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</si>
  <si>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</si>
  <si>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</si>
  <si>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</si>
  <si>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P2.3A, P2.3B</t>
  </si>
  <si>
    <t>Sistema Nacional (SN)</t>
  </si>
  <si>
    <t>Pregão</t>
  </si>
  <si>
    <t>Contratação Direta (CD)</t>
  </si>
  <si>
    <t xml:space="preserve">Publicações especializadas </t>
  </si>
  <si>
    <t>2.2</t>
  </si>
  <si>
    <t>Ar condicionado Split</t>
  </si>
  <si>
    <t>I, II</t>
  </si>
  <si>
    <t>Sistema Nacional</t>
  </si>
  <si>
    <t>2.3</t>
  </si>
  <si>
    <t>Mobiliário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</si>
  <si>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</si>
  <si>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</si>
  <si>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</si>
  <si>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</si>
  <si>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</si>
  <si>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</si>
  <si>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P1.3B, P1.4A, P2.3B, P3.1A, P3.3A</t>
  </si>
  <si>
    <t>2.6</t>
  </si>
  <si>
    <t>Equipamentos Multimídia</t>
  </si>
  <si>
    <t>I,III</t>
  </si>
  <si>
    <t>2.7</t>
  </si>
  <si>
    <t>Equipamentos - Fiscalização nos PF</t>
  </si>
  <si>
    <t>P2.2C</t>
  </si>
  <si>
    <t>0066.000.00524/2019-3</t>
  </si>
  <si>
    <t>Contrato em Execução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</si>
  <si>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</si>
  <si>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</si>
  <si>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</si>
  <si>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</si>
  <si>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</si>
  <si>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</si>
  <si>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</si>
  <si>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>2.11</t>
  </si>
  <si>
    <t xml:space="preserve">Licenças </t>
  </si>
  <si>
    <t xml:space="preserve"> P1.3B</t>
  </si>
  <si>
    <t>0066.000.01353/2019-6
0066.000.00662/2019-1</t>
  </si>
  <si>
    <t>Processo em curso</t>
  </si>
  <si>
    <t>2.12</t>
  </si>
  <si>
    <t>Softwares de prateleira</t>
  </si>
  <si>
    <t>0066.000.01699/2019-6</t>
  </si>
  <si>
    <t>2.13</t>
  </si>
  <si>
    <t>Servidores (Hardware)</t>
  </si>
  <si>
    <t>2.14</t>
  </si>
  <si>
    <t>Veículos</t>
  </si>
  <si>
    <t>2.15</t>
  </si>
  <si>
    <t>BIG DATA</t>
  </si>
  <si>
    <t>2.16</t>
  </si>
  <si>
    <t>Material Gráfico de Divulgação</t>
  </si>
  <si>
    <t>GP, P1.2B</t>
  </si>
  <si>
    <t>I, GP</t>
  </si>
  <si>
    <t>2.17</t>
  </si>
  <si>
    <t>Postos fiscais móveis trânsito</t>
  </si>
  <si>
    <t>2.18</t>
  </si>
  <si>
    <t>2.19</t>
  </si>
  <si>
    <t>Ferramenta de Inteligência artificial para atendimento ao cidadão</t>
  </si>
  <si>
    <t>P2.4B</t>
  </si>
  <si>
    <t>0066.000.01697/2018-9</t>
  </si>
  <si>
    <t xml:space="preserve">2.20 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</si>
  <si>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</si>
  <si>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</si>
  <si>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</si>
  <si>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</si>
  <si>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</si>
  <si>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>III</t>
  </si>
  <si>
    <t>Ex-Ante</t>
  </si>
  <si>
    <t>3.2</t>
  </si>
  <si>
    <t>Sistema de Auditoria</t>
  </si>
  <si>
    <t>P2.2B</t>
  </si>
  <si>
    <t>3.3</t>
  </si>
  <si>
    <t>P2.3C</t>
  </si>
  <si>
    <t>3.4</t>
  </si>
  <si>
    <t>Desenvolvimento  da solução de software Sistema de Gestão da Transparencia (SIGET)</t>
  </si>
  <si>
    <t>P1.4B</t>
  </si>
  <si>
    <t>3.5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</si>
  <si>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</si>
  <si>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</si>
  <si>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</si>
  <si>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</si>
  <si>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</si>
  <si>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</si>
  <si>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</si>
  <si>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</si>
  <si>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</si>
  <si>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</si>
  <si>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</si>
  <si>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>Licitação Pública Internacional (LPI)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</si>
  <si>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</si>
  <si>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</si>
  <si>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</si>
  <si>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</si>
  <si>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</si>
  <si>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</si>
  <si>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</si>
  <si>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</si>
  <si>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3.13</t>
  </si>
  <si>
    <t>Ferramenta de busca/consulta inteligente</t>
  </si>
  <si>
    <t xml:space="preserve">P2.1A </t>
  </si>
  <si>
    <t>3.14</t>
  </si>
  <si>
    <t>Ferramenta de manutenção e atualização da legislação</t>
  </si>
  <si>
    <t>CONSULTORIAS FIRMAS</t>
  </si>
  <si>
    <t>Número do Processo:</t>
  </si>
  <si>
    <t>Publicação  Manifestação de Interesse</t>
  </si>
  <si>
    <t>4.1</t>
  </si>
  <si>
    <t>PDTI - Plano Diretor de TI</t>
  </si>
  <si>
    <t>P1.3A</t>
  </si>
  <si>
    <t>Seleção Baseada na Qualificação do Consultor (SQC)</t>
  </si>
  <si>
    <t>4.2</t>
  </si>
  <si>
    <t xml:space="preserve">Consultorias - Gestão para Resultados / Pessoas 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</si>
  <si>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</si>
  <si>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</si>
  <si>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</si>
  <si>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</si>
  <si>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</si>
  <si>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</si>
  <si>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</si>
  <si>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P3.5B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</si>
  <si>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</si>
  <si>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</si>
  <si>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</si>
  <si>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</si>
  <si>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</si>
  <si>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</si>
  <si>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</si>
  <si>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</si>
  <si>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</si>
  <si>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</si>
  <si>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</si>
  <si>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</si>
  <si>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</si>
  <si>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</si>
  <si>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</si>
  <si>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</si>
  <si>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</si>
  <si>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</si>
  <si>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</si>
  <si>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</si>
  <si>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</si>
  <si>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</si>
  <si>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</si>
  <si>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</si>
  <si>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</si>
  <si>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</si>
  <si>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</si>
  <si>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</si>
  <si>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</si>
  <si>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</si>
  <si>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</si>
  <si>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>P1.1A, P1.3B</t>
  </si>
  <si>
    <t>4.17</t>
  </si>
  <si>
    <t>Auditoria Independente</t>
  </si>
  <si>
    <t>GP</t>
  </si>
  <si>
    <t>4.18</t>
  </si>
  <si>
    <t>Elaboração do Código de Ética e respectiva Cartilha</t>
  </si>
  <si>
    <t>P1.2D</t>
  </si>
  <si>
    <t>0066.000.01955/2019-1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</si>
  <si>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</si>
  <si>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</si>
  <si>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</si>
  <si>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</si>
  <si>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</si>
  <si>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</si>
  <si>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</si>
  <si>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P1.1B</t>
  </si>
  <si>
    <t xml:space="preserve">Comparação de Qualificações (3 CV's) </t>
  </si>
  <si>
    <t>5.2</t>
  </si>
  <si>
    <t>Mudança Layout site SEFAZ</t>
  </si>
  <si>
    <t>P1.1D</t>
  </si>
  <si>
    <t>5.3</t>
  </si>
  <si>
    <t>Consultoria - Termo de Referência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</si>
  <si>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</si>
  <si>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</si>
  <si>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</si>
  <si>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</si>
  <si>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</si>
  <si>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</si>
  <si>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</si>
  <si>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GP, P1.1F, P2.1A, P2.1B, P2.1C, P2.3A, P2.3B, P2.5A, P2.5C, P2.5D, P3.1A, P3.2A, P3.2B, P3.3A, P3.4A, P3.5A, P3.6A</t>
  </si>
  <si>
    <t>GP,I,II,III</t>
  </si>
  <si>
    <t>Ata</t>
  </si>
  <si>
    <t>6.2</t>
  </si>
  <si>
    <t>CURSOS DE PEQUENA DURAÇÃO IN COMPANY</t>
  </si>
  <si>
    <t>GP, I,II</t>
  </si>
  <si>
    <t>6.3</t>
  </si>
  <si>
    <t>Execução do plano de capacitação de funcionários</t>
  </si>
  <si>
    <t>P1.2B, P1.3C, P2.2B, P2.2C, P2.3A,  P2.4A, P3.2A, P3.2B, P3.5A, P3.6A</t>
  </si>
  <si>
    <t>I,II, III</t>
  </si>
  <si>
    <t>6.4</t>
  </si>
  <si>
    <t>P2.3B</t>
  </si>
  <si>
    <t>6.5</t>
  </si>
  <si>
    <t>Seminários de divulgacão dos resultados do PROFISCO II e das melhores práticas e Reunião da COGEF</t>
  </si>
  <si>
    <t>TOTAL</t>
  </si>
  <si>
    <t>Alterações feitas nas aquisições já constantes no PA</t>
  </si>
  <si>
    <t>Aquisições agora incluídas no PA</t>
  </si>
  <si>
    <t>Revisão/Supervisão</t>
  </si>
  <si>
    <t>ReLicitação</t>
  </si>
  <si>
    <t>Processo Cancelado</t>
  </si>
  <si>
    <t>Declaração de Licitação Deserta</t>
  </si>
  <si>
    <t>Rechazo de Ofertas</t>
  </si>
  <si>
    <t>Contrato Terminado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</si>
  <si>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</si>
  <si>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</si>
  <si>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</si>
  <si>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</si>
  <si>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</si>
  <si>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Nacional 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</si>
  <si>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</si>
  <si>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</si>
  <si>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</si>
  <si>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</si>
  <si>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</si>
  <si>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</si>
  <si>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Atualizado em:</t>
  </si>
  <si>
    <t>Atualização Nº:</t>
  </si>
  <si>
    <t xml:space="preserve">Atualizado por: </t>
  </si>
  <si>
    <t>Legendas:</t>
  </si>
  <si>
    <t>Cancelamento das aquisições constantes no PA</t>
  </si>
  <si>
    <t>P1.1F, P1.2B, P2.4A</t>
  </si>
  <si>
    <t xml:space="preserve">P1.1F, P1.2A, P1.2B, P1.3B, P1.4A,  P2.1A, P2.1B,  P2.2C, P2.2D, P2.4A, P2.5A, P2.5B, P3.2A, P3.5A </t>
  </si>
  <si>
    <t>P1.1D, P1.2B, P3.1A</t>
  </si>
  <si>
    <t xml:space="preserve"> P1.3B, P1.4A                       </t>
  </si>
  <si>
    <t>P1.1D, P1.4A</t>
  </si>
  <si>
    <t>P1.3B, P1.4A</t>
  </si>
  <si>
    <t>Alteração de modalidade de investimento</t>
  </si>
  <si>
    <t xml:space="preserve">P3.1C, P3.2B, P3.2C, P3.1D, P3.2D, P3.4C, P3.5B, P3.5C, P3.5D, P3.6C </t>
  </si>
  <si>
    <t>P3.1A, P3.1B, P3.1C</t>
  </si>
  <si>
    <t>Impresvistos</t>
  </si>
  <si>
    <t>Nº de Processo</t>
  </si>
  <si>
    <t>Aquisições já adjudicadas, concluídas ou canceladas no PA anterior</t>
  </si>
  <si>
    <t>0013.002.00034/2019-0</t>
  </si>
  <si>
    <t>0066.000.01761/2019-2</t>
  </si>
  <si>
    <t>Portal de consulta do Contencioso Fiscal</t>
  </si>
  <si>
    <t>03 (três)</t>
  </si>
  <si>
    <t>GP, P1.1B, P1.2B, P1.3C, P1.4A, P1.4C, P2.1A, P2.1B, P2.1C, P2.2D, P2.3B, P2.5A, P2.5C</t>
  </si>
  <si>
    <t>4.19</t>
  </si>
  <si>
    <t xml:space="preserve"> P1.1A, P1.1G</t>
  </si>
  <si>
    <t>4.20</t>
  </si>
  <si>
    <t>Consultoria Gestão de Projetos</t>
  </si>
  <si>
    <t>Consultoria para implantar Gestão por Competencia e por Resultado</t>
  </si>
  <si>
    <t>Cristovam Colombo, Ricardo Cardoso Pires</t>
  </si>
  <si>
    <t>4.21</t>
  </si>
  <si>
    <t xml:space="preserve">Desenvolvimento do Sistema de Inteligência Fiscal </t>
  </si>
  <si>
    <t>P1.3D</t>
  </si>
  <si>
    <t>4.22</t>
  </si>
  <si>
    <t>Padronização de procedimentos, melhoria de processos e gestão do atendimento</t>
  </si>
  <si>
    <t>GP, P1.1B, P1.1C, P1.1E, P1.1F, P1.2A, P1.2B, P1.2C, P1.2D, P2.3A</t>
  </si>
  <si>
    <t>6.6</t>
  </si>
  <si>
    <t>Compras de Vagas e inscrições em Seminários, Congressos.</t>
  </si>
  <si>
    <t>Cursos de Pós-Graduação (compra de vagas)</t>
  </si>
  <si>
    <t>Compras de Passagens, visitas técnicas e grupos técnicos CONFAZ</t>
  </si>
  <si>
    <t>5.6</t>
  </si>
  <si>
    <t>Análise de projetos e acompanhamento de obras</t>
  </si>
  <si>
    <t xml:space="preserve">Projeto Executivo da reforma do prédio sede, ESAFAZ e construção do anexo </t>
  </si>
  <si>
    <t>Adequação física das unidades de atendimento - Oeiras</t>
  </si>
  <si>
    <t>Adequação física das unidades de atendimento - São Raimundo Nonato</t>
  </si>
  <si>
    <t>Adequação física das unidades de atendimento - Floriano</t>
  </si>
  <si>
    <t>3.15</t>
  </si>
  <si>
    <t>Serviço de Aconselhamento</t>
  </si>
  <si>
    <t>P3.1B</t>
  </si>
  <si>
    <t>Adequação física das unidades de atendimento - Terceira Regional</t>
  </si>
  <si>
    <t>Desenvolvimento do Sistema de Administração Tributária - ambiente web</t>
  </si>
  <si>
    <t>P13C</t>
  </si>
  <si>
    <t>00009.000908/2019-51</t>
  </si>
  <si>
    <t xml:space="preserve">Livros </t>
  </si>
  <si>
    <t>2.20</t>
  </si>
  <si>
    <t>Storage</t>
  </si>
  <si>
    <t>00009.006273/2019-04</t>
  </si>
  <si>
    <t>2.21</t>
  </si>
  <si>
    <t>Veículos Leves transito</t>
  </si>
  <si>
    <t>P2.2C, P2.4A</t>
  </si>
  <si>
    <t>4.23</t>
  </si>
  <si>
    <t>Cursos de pequena duração in company de até US$ 20 mil. O plano de capacitação foi revisado previamente pelo banco - CBR-2753 /2019</t>
  </si>
  <si>
    <t>O plano de capacitação foi revisado previamente pelo banco - CBR-2753 /2019</t>
  </si>
  <si>
    <t>Para atender demandas de cursos específicos das áreas tributária e financeira. Foram incorporados ao plano de capacitação conforme atualização aprovada mediante CBR-2753 /2019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</si>
  <si>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R$ 4,00</t>
    </r>
  </si>
  <si>
    <t>Serviço Técnico em TI para integração do Redesim Piauí Digital ao cadastro da Sefaz</t>
  </si>
  <si>
    <t>Contratação da empresa Gartner para prestar consultoira na áera de TI, durante a execução do Profisco.</t>
  </si>
  <si>
    <t>ab/20</t>
  </si>
  <si>
    <r>
      <t xml:space="preserve">Método 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:*</t>
    </r>
  </si>
  <si>
    <t>Empresa Logus - previsto no Anexo III do Projeto</t>
  </si>
  <si>
    <t>Empresa VOX Tecnologia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</si>
</sst>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&quot;R$&quot;\ * #,##0.00_-;\-&quot;R$&quot;\ * #,##0.00_-;_-&quot;R$&quot;\ * &quot;-&quot;??_-;_-@_-"/>
    <numFmt numFmtId="166" formatCode="_-[$USS]\ * #,##0.00_-;\-[$USS]\ * #,##0.00_-;_-[$USS]\ * &quot;-&quot;??_-;_-@_-"/>
    <numFmt numFmtId="167" formatCode="_-[$USD]\ * #,##0.00_-;\-[$USD]\ * #,##0.00_-;_-[$USD]\ * &quot;-&quot;??_-;_-@_-"/>
    <numFmt numFmtId="168" formatCode="#,##0.000"/>
    <numFmt numFmtId="169" formatCode="&quot;R$&quot;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9"/>
      <name val="Calibri"/>
      <family val="2"/>
      <scheme val="minor"/>
    </font>
    <font>
      <sz val="12"/>
      <color theme="9"/>
      <name val="Calibri"/>
      <family val="2"/>
      <scheme val="minor"/>
    </font>
    <font>
      <b/>
      <sz val="12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b/>
      <i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5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263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14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3" fillId="2" borderId="1" xfId="4" applyFont="1" applyFill="1" applyBorder="1" applyAlignment="1">
      <alignment vertical="center"/>
    </xf>
    <xf numFmtId="0" fontId="13" fillId="2" borderId="2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14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5" fillId="0" borderId="0" xfId="3" applyFont="1"/>
    <xf numFmtId="168" fontId="9" fillId="3" borderId="13" xfId="3" applyNumberFormat="1" applyFont="1" applyFill="1" applyBorder="1" applyAlignment="1">
      <alignment horizontal="center" vertical="center"/>
    </xf>
    <xf numFmtId="0" fontId="15" fillId="0" borderId="0" xfId="3" applyFont="1" applyAlignment="1">
      <alignment wrapText="1"/>
    </xf>
    <xf numFmtId="0" fontId="15" fillId="3" borderId="0" xfId="3" applyFont="1" applyFill="1" applyAlignment="1">
      <alignment wrapText="1"/>
    </xf>
    <xf numFmtId="2" fontId="9" fillId="0" borderId="13" xfId="3" applyNumberFormat="1" applyFont="1" applyBorder="1" applyAlignment="1">
      <alignment horizontal="center" vertical="center"/>
    </xf>
    <xf numFmtId="0" fontId="12" fillId="0" borderId="0" xfId="3" applyFont="1"/>
    <xf numFmtId="0" fontId="12" fillId="3" borderId="0" xfId="3" applyFont="1" applyFill="1"/>
    <xf numFmtId="0" fontId="9" fillId="3" borderId="13" xfId="3" applyFont="1" applyFill="1" applyBorder="1" applyAlignment="1">
      <alignment horizontal="center" vertical="center"/>
    </xf>
    <xf numFmtId="0" fontId="15" fillId="3" borderId="0" xfId="3" applyFont="1" applyFill="1"/>
    <xf numFmtId="2" fontId="9" fillId="3" borderId="13" xfId="3" applyNumberFormat="1" applyFont="1" applyFill="1" applyBorder="1" applyAlignment="1">
      <alignment horizontal="center" vertical="center" wrapText="1"/>
    </xf>
    <xf numFmtId="2" fontId="9" fillId="0" borderId="13" xfId="3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2" fontId="12" fillId="0" borderId="14" xfId="3" applyNumberFormat="1" applyFont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3" fillId="0" borderId="0" xfId="3" applyFont="1"/>
    <xf numFmtId="166" fontId="12" fillId="3" borderId="14" xfId="4" applyNumberFormat="1" applyFont="1" applyFill="1" applyBorder="1" applyAlignment="1">
      <alignment vertical="center" wrapText="1"/>
    </xf>
    <xf numFmtId="166" fontId="12" fillId="3" borderId="0" xfId="4" applyNumberFormat="1" applyFont="1" applyFill="1" applyAlignment="1">
      <alignment vertical="center" wrapText="1"/>
    </xf>
    <xf numFmtId="0" fontId="12" fillId="0" borderId="0" xfId="3" applyFont="1" applyAlignment="1">
      <alignment vertical="center" wrapText="1"/>
    </xf>
    <xf numFmtId="0" fontId="12" fillId="0" borderId="13" xfId="3" applyFont="1" applyBorder="1" applyAlignment="1">
      <alignment horizontal="center" vertical="center"/>
    </xf>
    <xf numFmtId="166" fontId="12" fillId="3" borderId="13" xfId="4" applyNumberFormat="1" applyFont="1" applyFill="1" applyBorder="1" applyAlignment="1">
      <alignment vertical="center" wrapText="1"/>
    </xf>
    <xf numFmtId="0" fontId="12" fillId="0" borderId="14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6" fontId="12" fillId="0" borderId="0" xfId="4" applyNumberFormat="1" applyFont="1" applyAlignment="1">
      <alignment vertical="center"/>
    </xf>
    <xf numFmtId="4" fontId="18" fillId="0" borderId="0" xfId="4" applyNumberFormat="1" applyFont="1" applyAlignment="1">
      <alignment horizontal="center" vertical="center"/>
    </xf>
    <xf numFmtId="10" fontId="18" fillId="0" borderId="0" xfId="4" applyNumberFormat="1" applyFont="1" applyAlignment="1">
      <alignment vertical="center"/>
    </xf>
    <xf numFmtId="10" fontId="16" fillId="0" borderId="0" xfId="4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4" fontId="16" fillId="0" borderId="0" xfId="4" applyNumberFormat="1" applyFont="1" applyAlignment="1">
      <alignment horizontal="center" vertical="center"/>
    </xf>
    <xf numFmtId="10" fontId="16" fillId="0" borderId="0" xfId="4" applyNumberFormat="1" applyFont="1" applyAlignment="1">
      <alignment horizontal="center" vertical="center"/>
    </xf>
    <xf numFmtId="0" fontId="5" fillId="4" borderId="0" xfId="3" applyFont="1" applyFill="1"/>
    <xf numFmtId="166" fontId="5" fillId="4" borderId="0" xfId="3" applyNumberFormat="1" applyFont="1" applyFill="1"/>
    <xf numFmtId="4" fontId="5" fillId="0" borderId="0" xfId="3" applyNumberFormat="1" applyFont="1"/>
    <xf numFmtId="10" fontId="1" fillId="0" borderId="0" xfId="3" applyNumberFormat="1" applyAlignment="1">
      <alignment horizontal="center" vertical="center"/>
    </xf>
    <xf numFmtId="10" fontId="1" fillId="0" borderId="0" xfId="3" applyNumberFormat="1"/>
    <xf numFmtId="0" fontId="1" fillId="0" borderId="0" xfId="3" applyAlignment="1">
      <alignment horizontal="center"/>
    </xf>
    <xf numFmtId="0" fontId="2" fillId="0" borderId="0" xfId="3" applyFont="1" applyAlignment="1">
      <alignment horizontal="center"/>
    </xf>
    <xf numFmtId="4" fontId="1" fillId="0" borderId="0" xfId="3" applyNumberFormat="1"/>
    <xf numFmtId="166" fontId="1" fillId="0" borderId="0" xfId="3" applyNumberForma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/>
    </xf>
    <xf numFmtId="0" fontId="19" fillId="0" borderId="0" xfId="3" applyFont="1"/>
    <xf numFmtId="0" fontId="21" fillId="0" borderId="13" xfId="8" applyFont="1" applyBorder="1" applyAlignment="1">
      <alignment vertical="center"/>
    </xf>
    <xf numFmtId="0" fontId="22" fillId="0" borderId="0" xfId="3" applyFont="1"/>
    <xf numFmtId="9" fontId="1" fillId="0" borderId="0" xfId="2"/>
    <xf numFmtId="0" fontId="21" fillId="0" borderId="13" xfId="3" applyFont="1" applyBorder="1"/>
    <xf numFmtId="0" fontId="22" fillId="0" borderId="0" xfId="3" applyFont="1" applyAlignment="1">
      <alignment vertical="center"/>
    </xf>
    <xf numFmtId="0" fontId="21" fillId="0" borderId="0" xfId="8" applyFont="1" applyAlignment="1">
      <alignment vertical="center"/>
    </xf>
    <xf numFmtId="0" fontId="9" fillId="0" borderId="13" xfId="3" applyFont="1" applyFill="1" applyBorder="1" applyAlignment="1">
      <alignment horizontal="center" vertical="center" wrapText="1"/>
    </xf>
    <xf numFmtId="0" fontId="11" fillId="8" borderId="13" xfId="0" applyFont="1" applyFill="1" applyBorder="1"/>
    <xf numFmtId="0" fontId="11" fillId="7" borderId="13" xfId="0" applyFont="1" applyFill="1" applyBorder="1" applyAlignment="1">
      <alignment horizontal="left"/>
    </xf>
    <xf numFmtId="0" fontId="1" fillId="4" borderId="13" xfId="3" applyFill="1" applyBorder="1" applyAlignment="1">
      <alignment vertical="center"/>
    </xf>
    <xf numFmtId="2" fontId="9" fillId="0" borderId="13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5" fillId="0" borderId="0" xfId="3" applyFont="1" applyBorder="1"/>
    <xf numFmtId="0" fontId="14" fillId="0" borderId="18" xfId="4" applyFont="1" applyBorder="1" applyAlignment="1">
      <alignment horizontal="center" vertical="center" wrapText="1"/>
    </xf>
    <xf numFmtId="0" fontId="15" fillId="0" borderId="0" xfId="3" applyFont="1" applyAlignment="1">
      <alignment vertical="center"/>
    </xf>
    <xf numFmtId="0" fontId="15" fillId="0" borderId="0" xfId="3" applyFont="1" applyAlignment="1">
      <alignment vertical="center" wrapText="1"/>
    </xf>
    <xf numFmtId="0" fontId="1" fillId="0" borderId="0" xfId="3" applyFont="1" applyAlignment="1">
      <alignment vertical="center"/>
    </xf>
    <xf numFmtId="0" fontId="23" fillId="0" borderId="0" xfId="3" applyFont="1" applyAlignment="1">
      <alignment horizontal="center" vertical="center"/>
    </xf>
    <xf numFmtId="0" fontId="9" fillId="0" borderId="13" xfId="3" applyFont="1" applyFill="1" applyBorder="1" applyAlignment="1">
      <alignment horizontal="center" vertical="center" wrapText="1"/>
    </xf>
    <xf numFmtId="0" fontId="15" fillId="0" borderId="0" xfId="3" applyFont="1" applyFill="1" applyAlignment="1">
      <alignment vertical="center" wrapText="1"/>
    </xf>
    <xf numFmtId="0" fontId="12" fillId="0" borderId="0" xfId="3" applyFont="1" applyFill="1"/>
    <xf numFmtId="0" fontId="12" fillId="7" borderId="13" xfId="3" applyFont="1" applyFill="1" applyBorder="1" applyAlignment="1">
      <alignment horizontal="center" vertical="center"/>
    </xf>
    <xf numFmtId="0" fontId="1" fillId="9" borderId="13" xfId="3" applyFill="1" applyBorder="1" applyAlignment="1">
      <alignment vertical="center"/>
    </xf>
    <xf numFmtId="0" fontId="15" fillId="0" borderId="0" xfId="3" applyFont="1" applyFill="1" applyAlignment="1">
      <alignment wrapText="1"/>
    </xf>
    <xf numFmtId="0" fontId="12" fillId="10" borderId="13" xfId="3" applyFont="1" applyFill="1" applyBorder="1" applyAlignment="1">
      <alignment horizontal="center" vertical="center"/>
    </xf>
    <xf numFmtId="166" fontId="17" fillId="3" borderId="0" xfId="4" applyNumberFormat="1" applyFont="1" applyFill="1" applyBorder="1" applyAlignment="1">
      <alignment vertical="center" wrapText="1"/>
    </xf>
    <xf numFmtId="0" fontId="0" fillId="0" borderId="0" xfId="3" applyFont="1" applyBorder="1" applyAlignment="1">
      <alignment vertical="center" wrapText="1"/>
    </xf>
    <xf numFmtId="0" fontId="24" fillId="0" borderId="0" xfId="3" applyFont="1" applyAlignment="1">
      <alignment vertical="center"/>
    </xf>
    <xf numFmtId="0" fontId="25" fillId="0" borderId="13" xfId="3" applyFont="1" applyBorder="1" applyAlignment="1">
      <alignment horizontal="center" vertical="center" wrapText="1"/>
    </xf>
    <xf numFmtId="0" fontId="26" fillId="0" borderId="0" xfId="3" applyFont="1" applyAlignment="1">
      <alignment vertical="center" wrapText="1"/>
    </xf>
    <xf numFmtId="0" fontId="9" fillId="11" borderId="13" xfId="3" applyFont="1" applyFill="1" applyBorder="1" applyAlignment="1">
      <alignment horizontal="center" vertical="center" wrapText="1"/>
    </xf>
    <xf numFmtId="0" fontId="9" fillId="12" borderId="13" xfId="3" applyFont="1" applyFill="1" applyBorder="1" applyAlignment="1">
      <alignment horizontal="center" vertical="center" wrapText="1"/>
    </xf>
    <xf numFmtId="0" fontId="9" fillId="8" borderId="13" xfId="3" applyFont="1" applyFill="1" applyBorder="1" applyAlignment="1">
      <alignment horizontal="center" vertical="center" wrapText="1"/>
    </xf>
    <xf numFmtId="168" fontId="9" fillId="8" borderId="13" xfId="3" applyNumberFormat="1" applyFont="1" applyFill="1" applyBorder="1" applyAlignment="1">
      <alignment horizontal="center" vertical="center" wrapText="1"/>
    </xf>
    <xf numFmtId="0" fontId="12" fillId="11" borderId="13" xfId="3" applyFont="1" applyFill="1" applyBorder="1" applyAlignment="1">
      <alignment horizontal="center" vertical="center" wrapText="1"/>
    </xf>
    <xf numFmtId="0" fontId="15" fillId="11" borderId="13" xfId="3" applyFont="1" applyFill="1" applyBorder="1" applyAlignment="1">
      <alignment vertical="center" wrapText="1"/>
    </xf>
    <xf numFmtId="166" fontId="1" fillId="0" borderId="0" xfId="3" applyNumberFormat="1" applyFont="1" applyAlignment="1">
      <alignment vertical="center"/>
    </xf>
    <xf numFmtId="0" fontId="12" fillId="3" borderId="13" xfId="4" applyFont="1" applyFill="1" applyBorder="1" applyAlignment="1">
      <alignment horizontal="left" vertical="center" wrapText="1"/>
    </xf>
    <xf numFmtId="0" fontId="15" fillId="3" borderId="0" xfId="3" applyFont="1" applyFill="1" applyAlignment="1">
      <alignment vertical="center" wrapText="1"/>
    </xf>
    <xf numFmtId="10" fontId="12" fillId="3" borderId="13" xfId="4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17" fontId="12" fillId="3" borderId="13" xfId="4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167" fontId="12" fillId="3" borderId="13" xfId="5" applyNumberFormat="1" applyFont="1" applyFill="1" applyBorder="1" applyAlignment="1">
      <alignment vertical="top" wrapText="1"/>
    </xf>
    <xf numFmtId="0" fontId="12" fillId="3" borderId="13" xfId="4" applyFont="1" applyFill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center" vertical="center" wrapText="1"/>
    </xf>
    <xf numFmtId="3" fontId="12" fillId="3" borderId="14" xfId="0" applyNumberFormat="1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center" vertical="center" wrapText="1"/>
    </xf>
    <xf numFmtId="167" fontId="12" fillId="3" borderId="14" xfId="5" applyNumberFormat="1" applyFont="1" applyFill="1" applyBorder="1" applyAlignment="1">
      <alignment vertical="top" wrapText="1"/>
    </xf>
    <xf numFmtId="10" fontId="12" fillId="3" borderId="14" xfId="4" applyNumberFormat="1" applyFont="1" applyFill="1" applyBorder="1" applyAlignment="1">
      <alignment horizontal="center" vertical="center" wrapText="1"/>
    </xf>
    <xf numFmtId="17" fontId="12" fillId="3" borderId="14" xfId="4" applyNumberFormat="1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vertical="center" wrapText="1"/>
    </xf>
    <xf numFmtId="3" fontId="12" fillId="3" borderId="0" xfId="0" applyNumberFormat="1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left" vertical="center" wrapText="1"/>
    </xf>
    <xf numFmtId="0" fontId="12" fillId="3" borderId="0" xfId="4" applyFont="1" applyFill="1" applyAlignment="1">
      <alignment horizontal="left" vertical="center" wrapText="1"/>
    </xf>
    <xf numFmtId="0" fontId="12" fillId="3" borderId="0" xfId="4" applyFont="1" applyFill="1" applyAlignment="1">
      <alignment horizontal="center" vertical="center" wrapText="1"/>
    </xf>
    <xf numFmtId="167" fontId="12" fillId="3" borderId="0" xfId="5" applyNumberFormat="1" applyFont="1" applyFill="1" applyAlignment="1">
      <alignment vertical="top" wrapText="1"/>
    </xf>
    <xf numFmtId="10" fontId="12" fillId="3" borderId="0" xfId="4" applyNumberFormat="1" applyFont="1" applyFill="1" applyAlignment="1">
      <alignment horizontal="center" vertical="center" wrapText="1"/>
    </xf>
    <xf numFmtId="17" fontId="12" fillId="3" borderId="0" xfId="4" applyNumberFormat="1" applyFont="1" applyFill="1" applyAlignment="1">
      <alignment horizontal="center" vertical="center" wrapText="1"/>
    </xf>
    <xf numFmtId="0" fontId="12" fillId="3" borderId="0" xfId="4" applyFont="1" applyFill="1" applyAlignment="1">
      <alignment vertical="center" wrapText="1"/>
    </xf>
    <xf numFmtId="3" fontId="12" fillId="3" borderId="13" xfId="3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horizontal="center" vertical="center"/>
    </xf>
    <xf numFmtId="3" fontId="12" fillId="3" borderId="14" xfId="3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horizontal="center" vertical="center"/>
    </xf>
    <xf numFmtId="166" fontId="12" fillId="3" borderId="14" xfId="4" applyNumberFormat="1" applyFont="1" applyFill="1" applyBorder="1" applyAlignment="1">
      <alignment vertical="center"/>
    </xf>
    <xf numFmtId="10" fontId="12" fillId="3" borderId="14" xfId="4" applyNumberFormat="1" applyFont="1" applyFill="1" applyBorder="1" applyAlignment="1">
      <alignment horizontal="center" vertical="center"/>
    </xf>
    <xf numFmtId="17" fontId="12" fillId="3" borderId="14" xfId="4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vertical="center"/>
    </xf>
    <xf numFmtId="3" fontId="12" fillId="3" borderId="0" xfId="3" applyNumberFormat="1" applyFont="1" applyFill="1" applyAlignment="1">
      <alignment horizontal="center" vertical="center"/>
    </xf>
    <xf numFmtId="0" fontId="12" fillId="3" borderId="0" xfId="4" applyFont="1" applyFill="1" applyAlignment="1">
      <alignment horizontal="center" vertical="center"/>
    </xf>
    <xf numFmtId="0" fontId="12" fillId="3" borderId="0" xfId="4" applyFont="1" applyFill="1" applyAlignment="1">
      <alignment vertical="center"/>
    </xf>
    <xf numFmtId="10" fontId="12" fillId="3" borderId="0" xfId="4" applyNumberFormat="1" applyFont="1" applyFill="1" applyAlignment="1">
      <alignment horizontal="center" vertical="center"/>
    </xf>
    <xf numFmtId="17" fontId="12" fillId="3" borderId="0" xfId="4" applyNumberFormat="1" applyFont="1" applyFill="1" applyAlignment="1">
      <alignment horizontal="center" vertical="center"/>
    </xf>
    <xf numFmtId="0" fontId="27" fillId="3" borderId="13" xfId="3" applyFont="1" applyFill="1" applyBorder="1" applyAlignment="1">
      <alignment horizontal="justify" vertical="center" wrapText="1"/>
    </xf>
    <xf numFmtId="0" fontId="12" fillId="3" borderId="13" xfId="3" applyFont="1" applyFill="1" applyBorder="1"/>
    <xf numFmtId="0" fontId="12" fillId="3" borderId="13" xfId="3" applyFont="1" applyFill="1" applyBorder="1" applyAlignment="1">
      <alignment horizontal="left" vertical="center" wrapText="1"/>
    </xf>
    <xf numFmtId="0" fontId="12" fillId="3" borderId="13" xfId="3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166" fontId="12" fillId="3" borderId="14" xfId="4" applyNumberFormat="1" applyFont="1" applyFill="1" applyBorder="1" applyAlignment="1">
      <alignment horizontal="center" vertical="center"/>
    </xf>
    <xf numFmtId="3" fontId="12" fillId="3" borderId="0" xfId="0" applyNumberFormat="1" applyFont="1" applyFill="1" applyAlignment="1">
      <alignment horizontal="center" vertical="center"/>
    </xf>
    <xf numFmtId="0" fontId="12" fillId="3" borderId="14" xfId="8" applyFont="1" applyFill="1" applyBorder="1" applyAlignment="1">
      <alignment vertical="center" wrapText="1"/>
    </xf>
    <xf numFmtId="0" fontId="12" fillId="3" borderId="0" xfId="8" applyFont="1" applyFill="1" applyAlignment="1">
      <alignment vertical="center" wrapText="1"/>
    </xf>
    <xf numFmtId="10" fontId="12" fillId="3" borderId="13" xfId="4" applyNumberFormat="1" applyFont="1" applyFill="1" applyBorder="1" applyAlignment="1">
      <alignment horizontal="center" vertical="center"/>
    </xf>
    <xf numFmtId="0" fontId="12" fillId="3" borderId="13" xfId="8" applyFont="1" applyFill="1" applyBorder="1" applyAlignment="1">
      <alignment vertical="center" wrapText="1"/>
    </xf>
    <xf numFmtId="9" fontId="12" fillId="3" borderId="13" xfId="7" applyFont="1" applyFill="1" applyBorder="1" applyAlignment="1">
      <alignment horizontal="center" vertical="center"/>
    </xf>
    <xf numFmtId="17" fontId="12" fillId="3" borderId="13" xfId="4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left" vertical="center"/>
    </xf>
    <xf numFmtId="0" fontId="12" fillId="3" borderId="14" xfId="3" applyFont="1" applyFill="1" applyBorder="1"/>
    <xf numFmtId="9" fontId="12" fillId="3" borderId="14" xfId="7" applyFont="1" applyFill="1" applyBorder="1" applyAlignment="1">
      <alignment horizontal="center" vertical="center"/>
    </xf>
    <xf numFmtId="10" fontId="12" fillId="3" borderId="14" xfId="4" applyNumberFormat="1" applyFont="1" applyFill="1" applyBorder="1" applyAlignment="1">
      <alignment vertical="center"/>
    </xf>
    <xf numFmtId="9" fontId="12" fillId="3" borderId="0" xfId="7" applyFont="1" applyFill="1" applyAlignment="1">
      <alignment horizontal="center" vertical="center"/>
    </xf>
    <xf numFmtId="10" fontId="12" fillId="3" borderId="0" xfId="4" applyNumberFormat="1" applyFont="1" applyFill="1" applyAlignment="1">
      <alignment vertical="center"/>
    </xf>
    <xf numFmtId="9" fontId="12" fillId="3" borderId="13" xfId="7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 wrapText="1"/>
    </xf>
    <xf numFmtId="0" fontId="12" fillId="3" borderId="13" xfId="4" applyFont="1" applyFill="1" applyBorder="1" applyAlignment="1">
      <alignment horizontal="left" vertical="center"/>
    </xf>
    <xf numFmtId="0" fontId="10" fillId="3" borderId="4" xfId="4" applyFont="1" applyFill="1" applyBorder="1" applyAlignment="1">
      <alignment vertical="center" wrapText="1"/>
    </xf>
    <xf numFmtId="0" fontId="10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0" fillId="3" borderId="11" xfId="4" applyFont="1" applyFill="1" applyBorder="1" applyAlignment="1">
      <alignment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10" fillId="3" borderId="10" xfId="4" applyFont="1" applyFill="1" applyBorder="1" applyAlignment="1">
      <alignment vertical="center" wrapText="1"/>
    </xf>
    <xf numFmtId="0" fontId="16" fillId="3" borderId="10" xfId="4" applyFont="1" applyFill="1" applyBorder="1" applyAlignment="1">
      <alignment vertical="center" wrapText="1"/>
    </xf>
    <xf numFmtId="4" fontId="16" fillId="3" borderId="5" xfId="4" applyNumberFormat="1" applyFont="1" applyFill="1" applyBorder="1" applyAlignment="1">
      <alignment horizontal="center" vertical="center" wrapText="1"/>
    </xf>
    <xf numFmtId="10" fontId="16" fillId="3" borderId="5" xfId="4" applyNumberFormat="1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2" fillId="3" borderId="13" xfId="3" applyFont="1" applyFill="1" applyBorder="1" applyAlignment="1">
      <alignment wrapText="1"/>
    </xf>
    <xf numFmtId="3" fontId="12" fillId="3" borderId="13" xfId="1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/>
    </xf>
    <xf numFmtId="0" fontId="15" fillId="3" borderId="13" xfId="3" applyFont="1" applyFill="1" applyBorder="1"/>
    <xf numFmtId="0" fontId="15" fillId="3" borderId="13" xfId="3" applyFont="1" applyFill="1" applyBorder="1" applyAlignment="1">
      <alignment wrapText="1"/>
    </xf>
    <xf numFmtId="0" fontId="27" fillId="3" borderId="13" xfId="3" applyFont="1" applyFill="1" applyBorder="1" applyAlignment="1">
      <alignment horizontal="left" vertical="center"/>
    </xf>
    <xf numFmtId="3" fontId="12" fillId="3" borderId="13" xfId="6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vertical="center" wrapText="1"/>
    </xf>
    <xf numFmtId="0" fontId="12" fillId="3" borderId="13" xfId="3" applyFont="1" applyFill="1" applyBorder="1" applyAlignment="1">
      <alignment horizontal="center" wrapText="1"/>
    </xf>
    <xf numFmtId="0" fontId="12" fillId="3" borderId="13" xfId="3" applyFont="1" applyFill="1" applyBorder="1" applyAlignment="1">
      <alignment horizontal="center" vertical="center" wrapText="1"/>
    </xf>
    <xf numFmtId="3" fontId="12" fillId="3" borderId="14" xfId="3" applyNumberFormat="1" applyFont="1" applyFill="1" applyBorder="1" applyAlignment="1">
      <alignment horizontal="left" vertical="center" wrapText="1"/>
    </xf>
    <xf numFmtId="3" fontId="12" fillId="3" borderId="0" xfId="3" applyNumberFormat="1" applyFont="1" applyFill="1" applyAlignment="1">
      <alignment horizontal="left" vertical="center" wrapText="1"/>
    </xf>
    <xf numFmtId="0" fontId="15" fillId="3" borderId="13" xfId="4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/>
    </xf>
    <xf numFmtId="169" fontId="12" fillId="3" borderId="13" xfId="0" applyNumberFormat="1" applyFont="1" applyFill="1" applyBorder="1" applyAlignment="1" applyProtection="1">
      <alignment horizontal="left" vertical="center" wrapText="1"/>
      <protection locked="0"/>
    </xf>
    <xf numFmtId="3" fontId="12" fillId="3" borderId="13" xfId="1" applyNumberFormat="1" applyFont="1" applyFill="1" applyBorder="1" applyAlignment="1">
      <alignment horizontal="center" vertical="center"/>
    </xf>
    <xf numFmtId="0" fontId="27" fillId="3" borderId="13" xfId="3" applyFont="1" applyFill="1" applyBorder="1" applyAlignment="1">
      <alignment horizontal="left" vertical="center" wrapText="1"/>
    </xf>
    <xf numFmtId="0" fontId="27" fillId="3" borderId="13" xfId="3" applyFont="1" applyFill="1" applyBorder="1" applyAlignment="1">
      <alignment vertical="center" wrapText="1"/>
    </xf>
    <xf numFmtId="0" fontId="12" fillId="3" borderId="13" xfId="0" applyFont="1" applyFill="1" applyBorder="1" applyAlignment="1">
      <alignment vertical="center" wrapText="1"/>
    </xf>
    <xf numFmtId="0" fontId="30" fillId="3" borderId="13" xfId="4" applyFont="1" applyFill="1" applyBorder="1" applyAlignment="1">
      <alignment horizontal="center" vertical="center" wrapText="1"/>
    </xf>
    <xf numFmtId="3" fontId="12" fillId="3" borderId="14" xfId="0" applyNumberFormat="1" applyFont="1" applyFill="1" applyBorder="1" applyAlignment="1">
      <alignment horizontal="left" vertical="center"/>
    </xf>
    <xf numFmtId="3" fontId="12" fillId="3" borderId="0" xfId="0" applyNumberFormat="1" applyFont="1" applyFill="1" applyAlignment="1">
      <alignment horizontal="left" vertical="center"/>
    </xf>
    <xf numFmtId="0" fontId="15" fillId="3" borderId="0" xfId="3" applyFont="1" applyFill="1" applyAlignment="1">
      <alignment horizontal="left" wrapText="1"/>
    </xf>
    <xf numFmtId="0" fontId="24" fillId="3" borderId="0" xfId="3" applyFont="1" applyFill="1" applyAlignment="1">
      <alignment vertical="center" wrapText="1"/>
    </xf>
    <xf numFmtId="0" fontId="12" fillId="3" borderId="5" xfId="4" applyFont="1" applyFill="1" applyBorder="1" applyAlignment="1">
      <alignment horizontal="center" vertical="center" wrapText="1"/>
    </xf>
    <xf numFmtId="0" fontId="12" fillId="3" borderId="10" xfId="4" applyFont="1" applyFill="1" applyBorder="1" applyAlignment="1">
      <alignment horizontal="center" vertical="center" wrapText="1"/>
    </xf>
    <xf numFmtId="0" fontId="20" fillId="6" borderId="5" xfId="3" applyFont="1" applyFill="1" applyBorder="1" applyAlignment="1">
      <alignment vertical="center"/>
    </xf>
    <xf numFmtId="0" fontId="20" fillId="6" borderId="16" xfId="3" applyFont="1" applyFill="1" applyBorder="1" applyAlignment="1">
      <alignment vertical="center"/>
    </xf>
    <xf numFmtId="0" fontId="20" fillId="6" borderId="10" xfId="3" applyFont="1" applyFill="1" applyBorder="1" applyAlignment="1">
      <alignment vertical="center"/>
    </xf>
    <xf numFmtId="0" fontId="20" fillId="6" borderId="13" xfId="3" applyFont="1" applyFill="1" applyBorder="1" applyAlignment="1">
      <alignment vertical="center"/>
    </xf>
    <xf numFmtId="0" fontId="21" fillId="0" borderId="13" xfId="8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16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16" fillId="3" borderId="13" xfId="4" applyFont="1" applyFill="1" applyBorder="1" applyAlignment="1">
      <alignment horizontal="center" vertical="center"/>
    </xf>
    <xf numFmtId="0" fontId="16" fillId="3" borderId="5" xfId="4" applyFont="1" applyFill="1" applyBorder="1" applyAlignment="1">
      <alignment horizontal="center" vertical="center"/>
    </xf>
    <xf numFmtId="0" fontId="16" fillId="3" borderId="6" xfId="4" applyFont="1" applyFill="1" applyBorder="1" applyAlignment="1">
      <alignment horizontal="center" vertical="center" wrapText="1"/>
    </xf>
    <xf numFmtId="0" fontId="16" fillId="3" borderId="7" xfId="4" applyFont="1" applyFill="1" applyBorder="1" applyAlignment="1">
      <alignment horizontal="center" vertical="center" wrapText="1"/>
    </xf>
    <xf numFmtId="0" fontId="16" fillId="3" borderId="8" xfId="4" applyFont="1" applyFill="1" applyBorder="1" applyAlignment="1">
      <alignment horizontal="center" vertical="center" wrapText="1"/>
    </xf>
    <xf numFmtId="0" fontId="16" fillId="3" borderId="13" xfId="4" applyFont="1" applyFill="1" applyBorder="1" applyAlignment="1">
      <alignment horizontal="center"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6" fillId="3" borderId="9" xfId="4" applyFont="1" applyFill="1" applyBorder="1" applyAlignment="1">
      <alignment horizontal="center" vertical="center" wrapText="1"/>
    </xf>
    <xf numFmtId="0" fontId="16" fillId="3" borderId="15" xfId="4" applyFont="1" applyFill="1" applyBorder="1" applyAlignment="1">
      <alignment vertical="center"/>
    </xf>
    <xf numFmtId="0" fontId="16" fillId="3" borderId="4" xfId="4" applyFont="1" applyFill="1" applyBorder="1" applyAlignment="1">
      <alignment vertical="center"/>
    </xf>
    <xf numFmtId="0" fontId="16" fillId="3" borderId="10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horizontal="left" vertical="center"/>
    </xf>
    <xf numFmtId="0" fontId="12" fillId="3" borderId="2" xfId="4" applyFont="1" applyFill="1" applyBorder="1" applyAlignment="1">
      <alignment horizontal="left" vertical="center"/>
    </xf>
    <xf numFmtId="0" fontId="16" fillId="3" borderId="17" xfId="4" applyFont="1" applyFill="1" applyBorder="1" applyAlignment="1">
      <alignment vertical="center"/>
    </xf>
    <xf numFmtId="10" fontId="16" fillId="3" borderId="5" xfId="4" applyNumberFormat="1" applyFont="1" applyFill="1" applyBorder="1" applyAlignment="1">
      <alignment horizontal="center" vertical="center" wrapText="1"/>
    </xf>
    <xf numFmtId="10" fontId="16" fillId="3" borderId="16" xfId="4" applyNumberFormat="1" applyFont="1" applyFill="1" applyBorder="1" applyAlignment="1">
      <alignment horizontal="center" vertical="center" wrapText="1"/>
    </xf>
    <xf numFmtId="17" fontId="12" fillId="3" borderId="13" xfId="4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left" vertical="center" wrapText="1"/>
    </xf>
    <xf numFmtId="0" fontId="16" fillId="3" borderId="15" xfId="4" applyFont="1" applyFill="1" applyBorder="1" applyAlignment="1">
      <alignment horizontal="center" vertical="center"/>
    </xf>
    <xf numFmtId="0" fontId="16" fillId="3" borderId="4" xfId="4" applyFont="1" applyFill="1" applyBorder="1" applyAlignment="1">
      <alignment horizontal="center" vertical="center"/>
    </xf>
    <xf numFmtId="0" fontId="16" fillId="3" borderId="6" xfId="4" applyFont="1" applyFill="1" applyBorder="1" applyAlignment="1">
      <alignment horizontal="center" vertical="center"/>
    </xf>
    <xf numFmtId="0" fontId="16" fillId="3" borderId="9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horizontal="center" vertical="center"/>
    </xf>
    <xf numFmtId="17" fontId="12" fillId="3" borderId="13" xfId="4" applyNumberFormat="1" applyFont="1" applyFill="1" applyBorder="1" applyAlignment="1">
      <alignment horizontal="center" vertical="center"/>
    </xf>
    <xf numFmtId="168" fontId="9" fillId="0" borderId="13" xfId="3" applyNumberFormat="1" applyFont="1" applyBorder="1" applyAlignment="1">
      <alignment horizontal="center" vertical="center"/>
    </xf>
    <xf numFmtId="0" fontId="15" fillId="3" borderId="13" xfId="3" applyFont="1" applyFill="1" applyBorder="1" applyAlignment="1">
      <alignment horizontal="center"/>
    </xf>
    <xf numFmtId="10" fontId="12" fillId="3" borderId="13" xfId="4" applyNumberFormat="1" applyFont="1" applyFill="1" applyBorder="1" applyAlignment="1">
      <alignment horizontal="center" vertical="center"/>
    </xf>
    <xf numFmtId="0" fontId="12" fillId="3" borderId="5" xfId="4" applyFont="1" applyFill="1" applyBorder="1" applyAlignment="1">
      <alignment horizontal="center" vertical="center"/>
    </xf>
    <xf numFmtId="0" fontId="12" fillId="3" borderId="10" xfId="4" applyFont="1" applyFill="1" applyBorder="1" applyAlignment="1">
      <alignment horizontal="center" vertical="center"/>
    </xf>
    <xf numFmtId="166" fontId="12" fillId="3" borderId="5" xfId="4" applyNumberFormat="1" applyFont="1" applyFill="1" applyBorder="1" applyAlignment="1">
      <alignment horizontal="center" vertical="center" wrapText="1"/>
    </xf>
    <xf numFmtId="166" fontId="12" fillId="3" borderId="10" xfId="4" applyNumberFormat="1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166" fontId="12" fillId="3" borderId="13" xfId="4" applyNumberFormat="1" applyFont="1" applyFill="1" applyBorder="1" applyAlignment="1">
      <alignment horizontal="center" vertical="center" wrapText="1"/>
    </xf>
    <xf numFmtId="10" fontId="12" fillId="3" borderId="13" xfId="4" applyNumberFormat="1" applyFont="1" applyFill="1" applyBorder="1" applyAlignment="1">
      <alignment horizontal="center" vertical="center" wrapText="1"/>
    </xf>
    <xf numFmtId="167" fontId="12" fillId="3" borderId="5" xfId="5" applyNumberFormat="1" applyFont="1" applyFill="1" applyBorder="1" applyAlignment="1">
      <alignment horizontal="center" vertical="top" wrapText="1"/>
    </xf>
    <xf numFmtId="167" fontId="12" fillId="3" borderId="10" xfId="5" applyNumberFormat="1" applyFont="1" applyFill="1" applyBorder="1" applyAlignment="1">
      <alignment horizontal="center" vertical="top" wrapText="1"/>
    </xf>
    <xf numFmtId="0" fontId="12" fillId="3" borderId="5" xfId="3" applyFont="1" applyFill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6" fillId="3" borderId="12" xfId="4" applyFont="1" applyFill="1" applyBorder="1" applyAlignment="1">
      <alignment horizontal="center" vertical="center" wrapText="1"/>
    </xf>
    <xf numFmtId="0" fontId="16" fillId="3" borderId="15" xfId="4" applyFont="1" applyFill="1" applyBorder="1" applyAlignment="1">
      <alignment horizontal="center" vertical="center" wrapText="1"/>
    </xf>
    <xf numFmtId="0" fontId="16" fillId="3" borderId="4" xfId="4" applyFont="1" applyFill="1" applyBorder="1" applyAlignment="1">
      <alignment horizontal="center" vertical="center" wrapText="1"/>
    </xf>
    <xf numFmtId="0" fontId="9" fillId="0" borderId="13" xfId="4" applyFont="1" applyBorder="1" applyAlignment="1">
      <alignment horizontal="center" vertical="center" wrapText="1"/>
    </xf>
  </cellXfs>
  <cellStyles count="9">
    <cellStyle name="Comma" xfId="1" builtinId="3"/>
    <cellStyle name="Comma 2" xfId="6" xr:uid="{00000000-0005-0000-0000-000000000000}"/>
    <cellStyle name="Moeda 2" xfId="5" xr:uid="{00000000-0005-0000-0000-000001000000}"/>
    <cellStyle name="Normal" xfId="0" builtinId="0"/>
    <cellStyle name="Normal 2" xfId="4" xr:uid="{00000000-0005-0000-0000-000003000000}"/>
    <cellStyle name="Normal 3" xfId="3" xr:uid="{00000000-0005-0000-0000-000004000000}"/>
    <cellStyle name="Normal 3 2" xfId="8" xr:uid="{00000000-0005-0000-0000-000005000000}"/>
    <cellStyle name="Percent" xfId="2" builtinId="5"/>
    <cellStyle name="Percent 3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68"/>
  <sheetViews>
    <sheetView tabSelected="1" topLeftCell="A7" zoomScale="70" zoomScaleNormal="70" workbookViewId="0">
      <pane xSplit="4" ySplit="4" topLeftCell="I53" activePane="bottomRight" state="frozen"/>
      <selection activeCell="A7" sqref="A7"/>
      <selection pane="topRight" activeCell="E7" sqref="E7"/>
      <selection pane="bottomLeft" activeCell="A11" sqref="A11"/>
      <selection pane="bottomRight" activeCell="O60" sqref="O60"/>
    </sheetView>
  </sheetViews>
  <sheetFormatPr defaultColWidth="8.86328125" defaultRowHeight="14.25" x14ac:dyDescent="0.45"/>
  <cols>
    <col min="1" max="1" width="7.3984375" style="1" customWidth="1"/>
    <col min="2" max="2" width="16.1328125" style="21" customWidth="1"/>
    <col min="3" max="3" width="38.73046875" style="1" customWidth="1"/>
    <col min="4" max="4" width="21.86328125" style="1" customWidth="1"/>
    <col min="5" max="5" width="18.86328125" style="1" customWidth="1"/>
    <col min="6" max="6" width="20.73046875" style="1" customWidth="1"/>
    <col min="7" max="7" width="27" style="1" customWidth="1"/>
    <col min="8" max="8" width="31.86328125" style="1" customWidth="1"/>
    <col min="9" max="9" width="16.59765625" style="62" customWidth="1"/>
    <col min="10" max="10" width="12.86328125" style="58" customWidth="1"/>
    <col min="11" max="11" width="11.265625" style="59" customWidth="1"/>
    <col min="12" max="12" width="11.265625" style="60" customWidth="1"/>
    <col min="13" max="13" width="15.3984375" style="60" customWidth="1"/>
    <col min="14" max="14" width="15.265625" style="61" customWidth="1"/>
    <col min="15" max="15" width="21.3984375" style="61" customWidth="1"/>
    <col min="16" max="16" width="2.1328125" style="1" customWidth="1"/>
    <col min="17" max="17" width="21.73046875" style="1" customWidth="1"/>
    <col min="18" max="18" width="62.86328125" style="86" customWidth="1"/>
    <col min="19" max="16384" width="8.86328125" style="1"/>
  </cols>
  <sheetData>
    <row r="1" spans="1:18" x14ac:dyDescent="0.45">
      <c r="B1" s="2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8" ht="18" x14ac:dyDescent="0.45">
      <c r="B2" s="3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8" ht="18" x14ac:dyDescent="0.55000000000000004">
      <c r="B3" s="4" t="s">
        <v>1</v>
      </c>
      <c r="C3" s="5" t="s">
        <v>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8" ht="15.75" x14ac:dyDescent="0.45">
      <c r="B4" s="4" t="s">
        <v>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8" ht="15.75" x14ac:dyDescent="0.45">
      <c r="B5" s="4" t="s">
        <v>4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18" ht="15.75" x14ac:dyDescent="0.45">
      <c r="B6" s="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18" ht="15.75" x14ac:dyDescent="0.5">
      <c r="B7" s="4" t="s">
        <v>262</v>
      </c>
      <c r="C7" s="7">
        <v>43871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18" ht="15.75" x14ac:dyDescent="0.5">
      <c r="B8" s="4" t="s">
        <v>263</v>
      </c>
      <c r="C8" s="8" t="s">
        <v>282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 s="106"/>
    </row>
    <row r="9" spans="1:18" ht="15.75" x14ac:dyDescent="0.5">
      <c r="B9" s="4" t="s">
        <v>264</v>
      </c>
      <c r="C9" s="9" t="s">
        <v>289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8" ht="15.75" x14ac:dyDescent="0.45">
      <c r="B10" s="10"/>
      <c r="C10" s="11" t="s">
        <v>324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8" ht="15.75" x14ac:dyDescent="0.45">
      <c r="B11" s="36" t="s">
        <v>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8" ht="15.75" x14ac:dyDescent="0.45">
      <c r="A12" s="1">
        <v>1</v>
      </c>
      <c r="B12" s="12" t="s">
        <v>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/>
      <c r="N12" s="14"/>
      <c r="O12" s="13"/>
      <c r="P12" s="13"/>
      <c r="Q12" s="13"/>
    </row>
    <row r="13" spans="1:18" ht="15" customHeight="1" x14ac:dyDescent="0.45">
      <c r="A13" s="15"/>
      <c r="B13" s="169"/>
      <c r="C13" s="170"/>
      <c r="D13" s="170"/>
      <c r="E13" s="170"/>
      <c r="F13" s="170"/>
      <c r="G13" s="171"/>
      <c r="H13" s="218" t="s">
        <v>7</v>
      </c>
      <c r="I13" s="219"/>
      <c r="J13" s="220"/>
      <c r="K13" s="222" t="s">
        <v>8</v>
      </c>
      <c r="L13" s="172"/>
      <c r="M13" s="218" t="s">
        <v>9</v>
      </c>
      <c r="N13" s="220"/>
      <c r="O13" s="223" t="s">
        <v>10</v>
      </c>
      <c r="P13" s="222" t="s">
        <v>11</v>
      </c>
      <c r="Q13" s="222" t="s">
        <v>12</v>
      </c>
    </row>
    <row r="14" spans="1:18" ht="65.650000000000006" x14ac:dyDescent="0.45">
      <c r="A14" s="83"/>
      <c r="B14" s="173" t="s">
        <v>13</v>
      </c>
      <c r="C14" s="174" t="s">
        <v>14</v>
      </c>
      <c r="D14" s="175" t="s">
        <v>15</v>
      </c>
      <c r="E14" s="175" t="s">
        <v>16</v>
      </c>
      <c r="F14" s="176" t="s">
        <v>17</v>
      </c>
      <c r="G14" s="176" t="s">
        <v>18</v>
      </c>
      <c r="H14" s="177" t="s">
        <v>19</v>
      </c>
      <c r="I14" s="178" t="s">
        <v>20</v>
      </c>
      <c r="J14" s="178" t="s">
        <v>21</v>
      </c>
      <c r="K14" s="226"/>
      <c r="L14" s="179" t="s">
        <v>22</v>
      </c>
      <c r="M14" s="172" t="s">
        <v>23</v>
      </c>
      <c r="N14" s="172" t="s">
        <v>24</v>
      </c>
      <c r="O14" s="259"/>
      <c r="P14" s="226"/>
      <c r="Q14" s="226"/>
      <c r="R14" s="87"/>
    </row>
    <row r="15" spans="1:18" s="17" customFormat="1" ht="31.5" x14ac:dyDescent="0.5">
      <c r="A15" s="16" t="s">
        <v>25</v>
      </c>
      <c r="B15" s="110" t="s">
        <v>26</v>
      </c>
      <c r="C15" s="113" t="s">
        <v>27</v>
      </c>
      <c r="D15" s="110" t="s">
        <v>28</v>
      </c>
      <c r="E15" s="107" t="s">
        <v>29</v>
      </c>
      <c r="F15" s="110">
        <v>1</v>
      </c>
      <c r="G15" s="115"/>
      <c r="H15" s="42">
        <f>1284333.33*3.6/4</f>
        <v>1155899.9970000002</v>
      </c>
      <c r="I15" s="109">
        <v>1</v>
      </c>
      <c r="J15" s="109">
        <v>0</v>
      </c>
      <c r="K15" s="110" t="s">
        <v>30</v>
      </c>
      <c r="L15" s="110" t="s">
        <v>31</v>
      </c>
      <c r="M15" s="111">
        <v>44013</v>
      </c>
      <c r="N15" s="111">
        <v>44105</v>
      </c>
      <c r="O15" s="180"/>
      <c r="P15" s="110"/>
      <c r="Q15" s="110" t="s">
        <v>32</v>
      </c>
      <c r="R15" s="93"/>
    </row>
    <row r="16" spans="1:18" s="17" customFormat="1" ht="31.5" x14ac:dyDescent="0.5">
      <c r="A16" s="16" t="s">
        <v>33</v>
      </c>
      <c r="B16" s="110" t="s">
        <v>26</v>
      </c>
      <c r="C16" s="113" t="s">
        <v>34</v>
      </c>
      <c r="D16" s="181" t="s">
        <v>35</v>
      </c>
      <c r="E16" s="107" t="s">
        <v>29</v>
      </c>
      <c r="F16" s="110">
        <v>1</v>
      </c>
      <c r="G16" s="115"/>
      <c r="H16" s="42">
        <f>116666.67*3.6/4</f>
        <v>105000.003</v>
      </c>
      <c r="I16" s="109">
        <v>1</v>
      </c>
      <c r="J16" s="109">
        <v>0</v>
      </c>
      <c r="K16" s="110" t="s">
        <v>30</v>
      </c>
      <c r="L16" s="110" t="s">
        <v>31</v>
      </c>
      <c r="M16" s="111">
        <v>44013</v>
      </c>
      <c r="N16" s="111">
        <v>44105</v>
      </c>
      <c r="O16" s="180"/>
      <c r="P16" s="110"/>
      <c r="Q16" s="110" t="s">
        <v>32</v>
      </c>
      <c r="R16" s="93"/>
    </row>
    <row r="17" spans="1:40" s="17" customFormat="1" ht="31.5" x14ac:dyDescent="0.5">
      <c r="A17" s="16" t="s">
        <v>36</v>
      </c>
      <c r="B17" s="110" t="s">
        <v>26</v>
      </c>
      <c r="C17" s="113" t="s">
        <v>37</v>
      </c>
      <c r="D17" s="112" t="s">
        <v>38</v>
      </c>
      <c r="E17" s="107" t="s">
        <v>29</v>
      </c>
      <c r="F17" s="110">
        <v>1</v>
      </c>
      <c r="G17" s="115"/>
      <c r="H17" s="42">
        <f>1051000*3.6/4</f>
        <v>945900</v>
      </c>
      <c r="I17" s="109">
        <v>0.1</v>
      </c>
      <c r="J17" s="109">
        <v>0.9</v>
      </c>
      <c r="K17" s="110" t="s">
        <v>30</v>
      </c>
      <c r="L17" s="110" t="s">
        <v>31</v>
      </c>
      <c r="M17" s="111">
        <v>44197</v>
      </c>
      <c r="N17" s="111">
        <v>44348</v>
      </c>
      <c r="O17" s="180"/>
      <c r="P17" s="110"/>
      <c r="Q17" s="110" t="s">
        <v>32</v>
      </c>
      <c r="R17" s="85"/>
    </row>
    <row r="18" spans="1:40" s="17" customFormat="1" ht="31.5" x14ac:dyDescent="0.5">
      <c r="A18" s="81" t="s">
        <v>39</v>
      </c>
      <c r="B18" s="112" t="s">
        <v>26</v>
      </c>
      <c r="C18" s="113" t="s">
        <v>305</v>
      </c>
      <c r="D18" s="112" t="s">
        <v>40</v>
      </c>
      <c r="E18" s="107" t="s">
        <v>29</v>
      </c>
      <c r="F18" s="110">
        <v>1</v>
      </c>
      <c r="G18" s="114"/>
      <c r="H18" s="42">
        <f>30242.05*3.6/4</f>
        <v>27217.845000000001</v>
      </c>
      <c r="I18" s="109">
        <v>1</v>
      </c>
      <c r="J18" s="109">
        <v>0</v>
      </c>
      <c r="K18" s="110" t="s">
        <v>41</v>
      </c>
      <c r="L18" s="110" t="s">
        <v>31</v>
      </c>
      <c r="M18" s="111">
        <v>43831</v>
      </c>
      <c r="N18" s="111">
        <v>43891</v>
      </c>
      <c r="O18" s="180"/>
      <c r="P18" s="110"/>
      <c r="Q18" s="110" t="s">
        <v>87</v>
      </c>
      <c r="R18" s="93"/>
    </row>
    <row r="19" spans="1:40" s="17" customFormat="1" ht="31.5" x14ac:dyDescent="0.5">
      <c r="A19" s="104">
        <v>1.5</v>
      </c>
      <c r="B19" s="112" t="s">
        <v>26</v>
      </c>
      <c r="C19" s="113" t="s">
        <v>303</v>
      </c>
      <c r="D19" s="112" t="s">
        <v>40</v>
      </c>
      <c r="E19" s="107" t="s">
        <v>29</v>
      </c>
      <c r="F19" s="110">
        <v>1</v>
      </c>
      <c r="G19" s="115"/>
      <c r="H19" s="42">
        <f>51674.37*3.6/4</f>
        <v>46506.933000000005</v>
      </c>
      <c r="I19" s="109">
        <v>1</v>
      </c>
      <c r="J19" s="109">
        <v>0</v>
      </c>
      <c r="K19" s="110" t="s">
        <v>41</v>
      </c>
      <c r="L19" s="110" t="s">
        <v>31</v>
      </c>
      <c r="M19" s="111">
        <v>43891</v>
      </c>
      <c r="N19" s="111">
        <v>43922</v>
      </c>
      <c r="O19" s="180"/>
      <c r="P19" s="110"/>
      <c r="Q19" s="110" t="s">
        <v>32</v>
      </c>
      <c r="R19" s="85"/>
    </row>
    <row r="20" spans="1:40" s="17" customFormat="1" ht="31.5" x14ac:dyDescent="0.5">
      <c r="A20" s="104">
        <v>1.6</v>
      </c>
      <c r="B20" s="112" t="s">
        <v>26</v>
      </c>
      <c r="C20" s="113" t="s">
        <v>304</v>
      </c>
      <c r="D20" s="112" t="s">
        <v>40</v>
      </c>
      <c r="E20" s="107" t="s">
        <v>29</v>
      </c>
      <c r="F20" s="110">
        <v>1</v>
      </c>
      <c r="G20" s="114"/>
      <c r="H20" s="42">
        <f>52390.64*3.6/4</f>
        <v>47151.576000000001</v>
      </c>
      <c r="I20" s="109">
        <v>1</v>
      </c>
      <c r="J20" s="109">
        <v>0</v>
      </c>
      <c r="K20" s="110" t="s">
        <v>41</v>
      </c>
      <c r="L20" s="110" t="s">
        <v>31</v>
      </c>
      <c r="M20" s="111">
        <v>43891</v>
      </c>
      <c r="N20" s="111">
        <v>43922</v>
      </c>
      <c r="O20" s="180"/>
      <c r="P20" s="110"/>
      <c r="Q20" s="110" t="s">
        <v>32</v>
      </c>
      <c r="R20" s="85"/>
    </row>
    <row r="21" spans="1:40" s="17" customFormat="1" ht="31.5" x14ac:dyDescent="0.5">
      <c r="A21" s="104">
        <v>1.7</v>
      </c>
      <c r="B21" s="112" t="s">
        <v>26</v>
      </c>
      <c r="C21" s="113" t="s">
        <v>309</v>
      </c>
      <c r="D21" s="112" t="s">
        <v>40</v>
      </c>
      <c r="E21" s="107" t="s">
        <v>29</v>
      </c>
      <c r="F21" s="110">
        <v>1</v>
      </c>
      <c r="G21" s="114"/>
      <c r="H21" s="42">
        <f>40556.6*3.6/4</f>
        <v>36500.94</v>
      </c>
      <c r="I21" s="109">
        <v>0</v>
      </c>
      <c r="J21" s="109">
        <v>1</v>
      </c>
      <c r="K21" s="110" t="s">
        <v>41</v>
      </c>
      <c r="L21" s="110" t="s">
        <v>31</v>
      </c>
      <c r="M21" s="111">
        <v>42887</v>
      </c>
      <c r="N21" s="111">
        <v>42948</v>
      </c>
      <c r="O21" s="180"/>
      <c r="P21" s="110"/>
      <c r="Q21" s="110" t="s">
        <v>249</v>
      </c>
      <c r="R21" s="93"/>
    </row>
    <row r="22" spans="1:40" s="17" customFormat="1" ht="15.75" x14ac:dyDescent="0.5">
      <c r="A22" s="18"/>
      <c r="B22" s="116"/>
      <c r="C22" s="117"/>
      <c r="D22" s="116"/>
      <c r="E22" s="116"/>
      <c r="F22" s="118"/>
      <c r="G22" s="119"/>
      <c r="H22" s="120">
        <f>SUM(H15:H21)</f>
        <v>2364177.2940000002</v>
      </c>
      <c r="I22" s="38"/>
      <c r="J22" s="121"/>
      <c r="K22" s="121"/>
      <c r="L22" s="119"/>
      <c r="M22" s="119"/>
      <c r="N22" s="122"/>
      <c r="O22" s="122"/>
      <c r="P22" s="119"/>
      <c r="Q22" s="123"/>
      <c r="R22" s="85"/>
    </row>
    <row r="23" spans="1:40" s="17" customFormat="1" ht="15.75" x14ac:dyDescent="0.5">
      <c r="A23" s="19"/>
      <c r="B23" s="124"/>
      <c r="C23" s="125"/>
      <c r="D23" s="124"/>
      <c r="E23" s="124"/>
      <c r="F23" s="126"/>
      <c r="G23" s="127"/>
      <c r="H23" s="128"/>
      <c r="I23" s="39"/>
      <c r="J23" s="129"/>
      <c r="K23" s="129"/>
      <c r="L23" s="127"/>
      <c r="M23" s="127"/>
      <c r="N23" s="130"/>
      <c r="O23" s="130"/>
      <c r="P23" s="127"/>
      <c r="Q23" s="131"/>
      <c r="R23" s="85"/>
    </row>
    <row r="24" spans="1:40" s="17" customFormat="1" ht="15.75" x14ac:dyDescent="0.5">
      <c r="A24" s="20">
        <v>2</v>
      </c>
      <c r="B24" s="229" t="s">
        <v>42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85"/>
    </row>
    <row r="25" spans="1:40" s="17" customFormat="1" ht="15.75" x14ac:dyDescent="0.5">
      <c r="A25" s="21"/>
      <c r="B25" s="260" t="s">
        <v>43</v>
      </c>
      <c r="C25" s="221" t="s">
        <v>44</v>
      </c>
      <c r="D25" s="222" t="s">
        <v>15</v>
      </c>
      <c r="E25" s="221" t="s">
        <v>328</v>
      </c>
      <c r="F25" s="221" t="s">
        <v>17</v>
      </c>
      <c r="G25" s="221" t="s">
        <v>18</v>
      </c>
      <c r="H25" s="221" t="s">
        <v>45</v>
      </c>
      <c r="I25" s="221"/>
      <c r="J25" s="221"/>
      <c r="K25" s="221" t="s">
        <v>46</v>
      </c>
      <c r="L25" s="221" t="s">
        <v>47</v>
      </c>
      <c r="M25" s="221" t="s">
        <v>48</v>
      </c>
      <c r="N25" s="221"/>
      <c r="O25" s="218" t="s">
        <v>10</v>
      </c>
      <c r="P25" s="221" t="s">
        <v>11</v>
      </c>
      <c r="Q25" s="221" t="s">
        <v>12</v>
      </c>
      <c r="R25" s="85"/>
    </row>
    <row r="26" spans="1:40" s="17" customFormat="1" ht="39.4" x14ac:dyDescent="0.5">
      <c r="A26" s="21"/>
      <c r="B26" s="261"/>
      <c r="C26" s="222"/>
      <c r="D26" s="227"/>
      <c r="E26" s="222"/>
      <c r="F26" s="222"/>
      <c r="G26" s="222"/>
      <c r="H26" s="177" t="s">
        <v>19</v>
      </c>
      <c r="I26" s="178" t="s">
        <v>20</v>
      </c>
      <c r="J26" s="178" t="s">
        <v>21</v>
      </c>
      <c r="K26" s="222"/>
      <c r="L26" s="222"/>
      <c r="M26" s="172" t="s">
        <v>23</v>
      </c>
      <c r="N26" s="172" t="s">
        <v>24</v>
      </c>
      <c r="O26" s="223"/>
      <c r="P26" s="222"/>
      <c r="Q26" s="222"/>
      <c r="R26" s="87"/>
    </row>
    <row r="27" spans="1:40" s="22" customFormat="1" ht="31.5" customHeight="1" x14ac:dyDescent="0.5">
      <c r="A27" s="243" t="s">
        <v>49</v>
      </c>
      <c r="B27" s="235" t="s">
        <v>26</v>
      </c>
      <c r="C27" s="246" t="s">
        <v>313</v>
      </c>
      <c r="D27" s="241" t="s">
        <v>50</v>
      </c>
      <c r="E27" s="205" t="s">
        <v>29</v>
      </c>
      <c r="F27" s="244"/>
      <c r="G27" s="241"/>
      <c r="H27" s="248">
        <f>6698.96*3.6/4</f>
        <v>6029.0640000000003</v>
      </c>
      <c r="I27" s="245">
        <v>1</v>
      </c>
      <c r="J27" s="245">
        <v>0</v>
      </c>
      <c r="K27" s="241" t="s">
        <v>41</v>
      </c>
      <c r="L27" s="235" t="s">
        <v>31</v>
      </c>
      <c r="M27" s="242">
        <v>43891</v>
      </c>
      <c r="N27" s="242">
        <v>43983</v>
      </c>
      <c r="O27" s="205" t="s">
        <v>54</v>
      </c>
      <c r="P27" s="241"/>
      <c r="Q27" s="241" t="s">
        <v>32</v>
      </c>
      <c r="R27" s="85"/>
    </row>
    <row r="28" spans="1:40" s="22" customFormat="1" ht="15.75" x14ac:dyDescent="0.5">
      <c r="A28" s="243"/>
      <c r="B28" s="235"/>
      <c r="C28" s="247"/>
      <c r="D28" s="241"/>
      <c r="E28" s="206"/>
      <c r="F28" s="244"/>
      <c r="G28" s="241"/>
      <c r="H28" s="249"/>
      <c r="I28" s="245"/>
      <c r="J28" s="245"/>
      <c r="K28" s="241"/>
      <c r="L28" s="235"/>
      <c r="M28" s="242"/>
      <c r="N28" s="242"/>
      <c r="O28" s="206"/>
      <c r="P28" s="241"/>
      <c r="Q28" s="241"/>
      <c r="R28" s="84"/>
    </row>
    <row r="29" spans="1:40" s="22" customFormat="1" ht="31.5" x14ac:dyDescent="0.5">
      <c r="A29" s="23" t="s">
        <v>55</v>
      </c>
      <c r="B29" s="110" t="s">
        <v>26</v>
      </c>
      <c r="C29" s="182" t="s">
        <v>56</v>
      </c>
      <c r="D29" s="132" t="s">
        <v>267</v>
      </c>
      <c r="E29" s="115" t="s">
        <v>51</v>
      </c>
      <c r="F29" s="183"/>
      <c r="G29" s="134"/>
      <c r="H29" s="42">
        <f>128333.33*3.6/4</f>
        <v>115499.997</v>
      </c>
      <c r="I29" s="156">
        <v>1</v>
      </c>
      <c r="J29" s="156">
        <v>0</v>
      </c>
      <c r="K29" s="135" t="s">
        <v>57</v>
      </c>
      <c r="L29" s="110" t="s">
        <v>58</v>
      </c>
      <c r="M29" s="159">
        <v>43891</v>
      </c>
      <c r="N29" s="159">
        <v>43983</v>
      </c>
      <c r="O29" s="133" t="s">
        <v>52</v>
      </c>
      <c r="P29" s="133"/>
      <c r="Q29" s="133" t="s">
        <v>32</v>
      </c>
      <c r="R29" s="85"/>
    </row>
    <row r="30" spans="1:40" s="25" customFormat="1" ht="78.75" x14ac:dyDescent="0.5">
      <c r="A30" s="103" t="s">
        <v>59</v>
      </c>
      <c r="B30" s="110" t="s">
        <v>26</v>
      </c>
      <c r="C30" s="167" t="s">
        <v>60</v>
      </c>
      <c r="D30" s="132" t="s">
        <v>268</v>
      </c>
      <c r="E30" s="115" t="s">
        <v>51</v>
      </c>
      <c r="F30" s="184"/>
      <c r="G30" s="115"/>
      <c r="H30" s="42">
        <f>397500*3.6/4</f>
        <v>357750</v>
      </c>
      <c r="I30" s="109">
        <v>1</v>
      </c>
      <c r="J30" s="109">
        <v>0</v>
      </c>
      <c r="K30" s="132" t="s">
        <v>61</v>
      </c>
      <c r="L30" s="110" t="s">
        <v>58</v>
      </c>
      <c r="M30" s="111">
        <v>43891</v>
      </c>
      <c r="N30" s="111">
        <v>43983</v>
      </c>
      <c r="O30" s="110" t="s">
        <v>62</v>
      </c>
      <c r="P30" s="110"/>
      <c r="Q30" s="110" t="s">
        <v>32</v>
      </c>
      <c r="R30" s="85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7" customFormat="1" ht="31.5" x14ac:dyDescent="0.5">
      <c r="A31" s="26" t="s">
        <v>63</v>
      </c>
      <c r="B31" s="110" t="s">
        <v>26</v>
      </c>
      <c r="C31" s="167" t="s">
        <v>64</v>
      </c>
      <c r="D31" s="133" t="s">
        <v>38</v>
      </c>
      <c r="E31" s="115" t="s">
        <v>51</v>
      </c>
      <c r="F31" s="148"/>
      <c r="G31" s="134"/>
      <c r="H31" s="42">
        <f>34227.99*3.6/4</f>
        <v>30805.190999999999</v>
      </c>
      <c r="I31" s="156">
        <v>1</v>
      </c>
      <c r="J31" s="156">
        <v>0</v>
      </c>
      <c r="K31" s="133" t="s">
        <v>30</v>
      </c>
      <c r="L31" s="110" t="s">
        <v>58</v>
      </c>
      <c r="M31" s="159">
        <v>43891</v>
      </c>
      <c r="N31" s="159">
        <v>43983</v>
      </c>
      <c r="O31" s="133" t="s">
        <v>52</v>
      </c>
      <c r="P31" s="133"/>
      <c r="Q31" s="133" t="s">
        <v>32</v>
      </c>
      <c r="R31" s="85"/>
    </row>
    <row r="32" spans="1:40" s="28" customFormat="1" ht="31.5" x14ac:dyDescent="0.5">
      <c r="A32" s="78" t="s">
        <v>65</v>
      </c>
      <c r="B32" s="110" t="s">
        <v>26</v>
      </c>
      <c r="C32" s="167" t="s">
        <v>66</v>
      </c>
      <c r="D32" s="110" t="s">
        <v>67</v>
      </c>
      <c r="E32" s="115" t="s">
        <v>51</v>
      </c>
      <c r="F32" s="148"/>
      <c r="G32" s="134"/>
      <c r="H32" s="42">
        <f>2207583.34*3.6/4</f>
        <v>1986825.0059999998</v>
      </c>
      <c r="I32" s="156">
        <v>1</v>
      </c>
      <c r="J32" s="156">
        <v>0</v>
      </c>
      <c r="K32" s="133" t="s">
        <v>61</v>
      </c>
      <c r="L32" s="110" t="s">
        <v>58</v>
      </c>
      <c r="M32" s="111">
        <v>43922</v>
      </c>
      <c r="N32" s="111">
        <v>43952</v>
      </c>
      <c r="O32" s="133" t="s">
        <v>62</v>
      </c>
      <c r="P32" s="133"/>
      <c r="Q32" s="133" t="s">
        <v>32</v>
      </c>
      <c r="R32" s="85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</row>
    <row r="33" spans="1:40" s="30" customFormat="1" ht="31.5" x14ac:dyDescent="0.5">
      <c r="A33" s="29" t="s">
        <v>68</v>
      </c>
      <c r="B33" s="110" t="s">
        <v>26</v>
      </c>
      <c r="C33" s="182" t="s">
        <v>69</v>
      </c>
      <c r="D33" s="132" t="s">
        <v>269</v>
      </c>
      <c r="E33" s="115" t="s">
        <v>51</v>
      </c>
      <c r="F33" s="183"/>
      <c r="G33" s="134"/>
      <c r="H33" s="42">
        <f>161333.33*3.6/4</f>
        <v>145199.997</v>
      </c>
      <c r="I33" s="156">
        <v>1</v>
      </c>
      <c r="J33" s="156">
        <v>0</v>
      </c>
      <c r="K33" s="135" t="s">
        <v>70</v>
      </c>
      <c r="L33" s="110" t="s">
        <v>58</v>
      </c>
      <c r="M33" s="159">
        <v>43891</v>
      </c>
      <c r="N33" s="159">
        <v>43983</v>
      </c>
      <c r="O33" s="133" t="s">
        <v>52</v>
      </c>
      <c r="P33" s="133"/>
      <c r="Q33" s="133" t="s">
        <v>32</v>
      </c>
      <c r="R33" s="85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</row>
    <row r="34" spans="1:40" s="30" customFormat="1" ht="31.5" x14ac:dyDescent="0.5">
      <c r="A34" s="78" t="s">
        <v>71</v>
      </c>
      <c r="B34" s="110" t="s">
        <v>26</v>
      </c>
      <c r="C34" s="185" t="s">
        <v>72</v>
      </c>
      <c r="D34" s="133" t="s">
        <v>73</v>
      </c>
      <c r="E34" s="115" t="s">
        <v>51</v>
      </c>
      <c r="F34" s="183"/>
      <c r="G34" s="134" t="s">
        <v>74</v>
      </c>
      <c r="H34" s="42">
        <f>3418672*3.6/4</f>
        <v>3076804.8000000003</v>
      </c>
      <c r="I34" s="156">
        <v>1</v>
      </c>
      <c r="J34" s="156">
        <v>0</v>
      </c>
      <c r="K34" s="133" t="s">
        <v>41</v>
      </c>
      <c r="L34" s="110" t="s">
        <v>58</v>
      </c>
      <c r="M34" s="159">
        <v>43586</v>
      </c>
      <c r="N34" s="159">
        <v>44166</v>
      </c>
      <c r="O34" s="133" t="s">
        <v>62</v>
      </c>
      <c r="P34" s="133"/>
      <c r="Q34" s="110" t="s">
        <v>75</v>
      </c>
      <c r="R34" s="85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</row>
    <row r="35" spans="1:40" s="24" customFormat="1" ht="31.5" x14ac:dyDescent="0.5">
      <c r="A35" s="31" t="s">
        <v>76</v>
      </c>
      <c r="B35" s="110" t="s">
        <v>26</v>
      </c>
      <c r="C35" s="167" t="s">
        <v>77</v>
      </c>
      <c r="D35" s="186" t="s">
        <v>78</v>
      </c>
      <c r="E35" s="115" t="s">
        <v>51</v>
      </c>
      <c r="F35" s="184"/>
      <c r="G35" s="115"/>
      <c r="H35" s="42">
        <f>50000*3.6/4</f>
        <v>45000</v>
      </c>
      <c r="I35" s="109">
        <v>1</v>
      </c>
      <c r="J35" s="109">
        <v>0</v>
      </c>
      <c r="K35" s="132" t="s">
        <v>41</v>
      </c>
      <c r="L35" s="110" t="s">
        <v>58</v>
      </c>
      <c r="M35" s="159">
        <v>43891</v>
      </c>
      <c r="N35" s="159">
        <v>43983</v>
      </c>
      <c r="O35" s="110" t="s">
        <v>52</v>
      </c>
      <c r="P35" s="110"/>
      <c r="Q35" s="110" t="s">
        <v>32</v>
      </c>
      <c r="R35" s="85"/>
    </row>
    <row r="36" spans="1:40" s="24" customFormat="1" ht="31.5" x14ac:dyDescent="0.5">
      <c r="A36" s="32" t="s">
        <v>79</v>
      </c>
      <c r="B36" s="110" t="s">
        <v>26</v>
      </c>
      <c r="C36" s="167" t="s">
        <v>80</v>
      </c>
      <c r="D36" s="132" t="s">
        <v>73</v>
      </c>
      <c r="E36" s="115" t="s">
        <v>51</v>
      </c>
      <c r="F36" s="184"/>
      <c r="G36" s="115"/>
      <c r="H36" s="42">
        <f>458333.33*3.6/4</f>
        <v>412499.99700000003</v>
      </c>
      <c r="I36" s="109">
        <v>1</v>
      </c>
      <c r="J36" s="109">
        <v>0</v>
      </c>
      <c r="K36" s="132" t="s">
        <v>41</v>
      </c>
      <c r="L36" s="110" t="s">
        <v>58</v>
      </c>
      <c r="M36" s="111">
        <v>43922</v>
      </c>
      <c r="N36" s="111">
        <v>43983</v>
      </c>
      <c r="O36" s="110" t="s">
        <v>52</v>
      </c>
      <c r="P36" s="110"/>
      <c r="Q36" s="110" t="s">
        <v>32</v>
      </c>
      <c r="R36" s="85"/>
    </row>
    <row r="37" spans="1:40" s="24" customFormat="1" ht="31.5" x14ac:dyDescent="0.5">
      <c r="A37" s="32" t="s">
        <v>81</v>
      </c>
      <c r="B37" s="110" t="s">
        <v>26</v>
      </c>
      <c r="C37" s="167" t="s">
        <v>82</v>
      </c>
      <c r="D37" s="132" t="s">
        <v>270</v>
      </c>
      <c r="E37" s="115" t="s">
        <v>51</v>
      </c>
      <c r="F37" s="184"/>
      <c r="G37" s="115"/>
      <c r="H37" s="42">
        <f>621500*3.6/4</f>
        <v>559350</v>
      </c>
      <c r="I37" s="109">
        <v>1</v>
      </c>
      <c r="J37" s="109">
        <v>0</v>
      </c>
      <c r="K37" s="132" t="s">
        <v>30</v>
      </c>
      <c r="L37" s="110" t="s">
        <v>58</v>
      </c>
      <c r="M37" s="111">
        <v>43891</v>
      </c>
      <c r="N37" s="111">
        <v>43922</v>
      </c>
      <c r="O37" s="110" t="s">
        <v>52</v>
      </c>
      <c r="P37" s="110"/>
      <c r="Q37" s="110" t="s">
        <v>32</v>
      </c>
      <c r="R37" s="85"/>
    </row>
    <row r="38" spans="1:40" s="22" customFormat="1" ht="31.5" x14ac:dyDescent="0.5">
      <c r="A38" s="33" t="s">
        <v>83</v>
      </c>
      <c r="B38" s="110" t="s">
        <v>26</v>
      </c>
      <c r="C38" s="187" t="s">
        <v>84</v>
      </c>
      <c r="D38" s="133" t="s">
        <v>85</v>
      </c>
      <c r="E38" s="115" t="s">
        <v>51</v>
      </c>
      <c r="F38" s="183"/>
      <c r="G38" s="180" t="s">
        <v>86</v>
      </c>
      <c r="H38" s="42">
        <f>3473883.56*3.6/4</f>
        <v>3126495.2039999999</v>
      </c>
      <c r="I38" s="109">
        <v>1</v>
      </c>
      <c r="J38" s="109">
        <v>0</v>
      </c>
      <c r="K38" s="133" t="s">
        <v>30</v>
      </c>
      <c r="L38" s="110" t="s">
        <v>58</v>
      </c>
      <c r="M38" s="159">
        <v>43586</v>
      </c>
      <c r="N38" s="159">
        <v>43739</v>
      </c>
      <c r="O38" s="133" t="s">
        <v>52</v>
      </c>
      <c r="P38" s="133"/>
      <c r="Q38" s="110" t="s">
        <v>75</v>
      </c>
      <c r="R38" s="85"/>
    </row>
    <row r="39" spans="1:40" s="22" customFormat="1" ht="31.5" x14ac:dyDescent="0.5">
      <c r="A39" s="79" t="s">
        <v>88</v>
      </c>
      <c r="B39" s="110" t="s">
        <v>26</v>
      </c>
      <c r="C39" s="182" t="s">
        <v>89</v>
      </c>
      <c r="D39" s="133" t="s">
        <v>271</v>
      </c>
      <c r="E39" s="115" t="s">
        <v>51</v>
      </c>
      <c r="F39" s="183"/>
      <c r="G39" s="134" t="s">
        <v>90</v>
      </c>
      <c r="H39" s="42">
        <f>45946.54*3.6/4</f>
        <v>41351.885999999999</v>
      </c>
      <c r="I39" s="109">
        <v>1</v>
      </c>
      <c r="J39" s="109">
        <v>0</v>
      </c>
      <c r="K39" s="133" t="s">
        <v>30</v>
      </c>
      <c r="L39" s="110" t="s">
        <v>58</v>
      </c>
      <c r="M39" s="159">
        <v>43952</v>
      </c>
      <c r="N39" s="159">
        <v>44105</v>
      </c>
      <c r="O39" s="133" t="s">
        <v>52</v>
      </c>
      <c r="P39" s="133"/>
      <c r="Q39" s="133" t="s">
        <v>32</v>
      </c>
      <c r="R39" s="85"/>
    </row>
    <row r="40" spans="1:40" s="22" customFormat="1" ht="31.5" x14ac:dyDescent="0.5">
      <c r="A40" s="33" t="s">
        <v>91</v>
      </c>
      <c r="B40" s="110" t="s">
        <v>26</v>
      </c>
      <c r="C40" s="185" t="s">
        <v>92</v>
      </c>
      <c r="D40" s="135" t="s">
        <v>272</v>
      </c>
      <c r="E40" s="115" t="s">
        <v>51</v>
      </c>
      <c r="F40" s="183"/>
      <c r="G40" s="134" t="s">
        <v>279</v>
      </c>
      <c r="H40" s="42">
        <f>4738666.67*3.6/4</f>
        <v>4264800.0030000005</v>
      </c>
      <c r="I40" s="109">
        <v>1</v>
      </c>
      <c r="J40" s="109">
        <v>0</v>
      </c>
      <c r="K40" s="135" t="s">
        <v>30</v>
      </c>
      <c r="L40" s="110" t="s">
        <v>58</v>
      </c>
      <c r="M40" s="159">
        <v>43891</v>
      </c>
      <c r="N40" s="159">
        <v>43983</v>
      </c>
      <c r="O40" s="110"/>
      <c r="P40" s="133"/>
      <c r="Q40" s="110" t="s">
        <v>32</v>
      </c>
      <c r="R40" s="85"/>
    </row>
    <row r="41" spans="1:40" s="22" customFormat="1" ht="15.75" x14ac:dyDescent="0.5">
      <c r="A41" s="250" t="s">
        <v>93</v>
      </c>
      <c r="B41" s="251" t="s">
        <v>26</v>
      </c>
      <c r="C41" s="252" t="s">
        <v>94</v>
      </c>
      <c r="D41" s="251" t="s">
        <v>319</v>
      </c>
      <c r="E41" s="235" t="s">
        <v>51</v>
      </c>
      <c r="F41" s="235"/>
      <c r="G41" s="255" t="s">
        <v>312</v>
      </c>
      <c r="H41" s="253">
        <v>914396.89</v>
      </c>
      <c r="I41" s="254">
        <v>1</v>
      </c>
      <c r="J41" s="254">
        <v>0</v>
      </c>
      <c r="K41" s="235" t="s">
        <v>41</v>
      </c>
      <c r="L41" s="235" t="s">
        <v>58</v>
      </c>
      <c r="M41" s="234">
        <v>43586</v>
      </c>
      <c r="N41" s="234">
        <v>43709</v>
      </c>
      <c r="O41" s="257"/>
      <c r="P41" s="235"/>
      <c r="Q41" s="205" t="s">
        <v>249</v>
      </c>
      <c r="R41" s="85"/>
    </row>
    <row r="42" spans="1:40" s="22" customFormat="1" ht="15.75" x14ac:dyDescent="0.5">
      <c r="A42" s="250"/>
      <c r="B42" s="251"/>
      <c r="C42" s="252"/>
      <c r="D42" s="251"/>
      <c r="E42" s="235"/>
      <c r="F42" s="235"/>
      <c r="G42" s="256"/>
      <c r="H42" s="253"/>
      <c r="I42" s="254"/>
      <c r="J42" s="254"/>
      <c r="K42" s="235"/>
      <c r="L42" s="235"/>
      <c r="M42" s="234"/>
      <c r="N42" s="234"/>
      <c r="O42" s="258"/>
      <c r="P42" s="235"/>
      <c r="Q42" s="206"/>
      <c r="R42" s="84"/>
    </row>
    <row r="43" spans="1:40" s="22" customFormat="1" ht="31.5" x14ac:dyDescent="0.5">
      <c r="A43" s="26" t="s">
        <v>95</v>
      </c>
      <c r="B43" s="110" t="s">
        <v>26</v>
      </c>
      <c r="C43" s="182" t="s">
        <v>96</v>
      </c>
      <c r="D43" s="133" t="s">
        <v>78</v>
      </c>
      <c r="E43" s="115" t="s">
        <v>51</v>
      </c>
      <c r="F43" s="183"/>
      <c r="G43" s="134"/>
      <c r="H43" s="42">
        <f>1666666.67*3.6/4</f>
        <v>1500000.003</v>
      </c>
      <c r="I43" s="109">
        <v>1</v>
      </c>
      <c r="J43" s="109">
        <v>0</v>
      </c>
      <c r="K43" s="133" t="s">
        <v>41</v>
      </c>
      <c r="L43" s="110" t="s">
        <v>58</v>
      </c>
      <c r="M43" s="159">
        <v>44166</v>
      </c>
      <c r="N43" s="159">
        <v>44348</v>
      </c>
      <c r="O43" s="133" t="s">
        <v>52</v>
      </c>
      <c r="P43" s="133"/>
      <c r="Q43" s="133" t="s">
        <v>32</v>
      </c>
      <c r="R43" s="84"/>
    </row>
    <row r="44" spans="1:40" s="22" customFormat="1" ht="31.5" x14ac:dyDescent="0.5">
      <c r="A44" s="26" t="s">
        <v>97</v>
      </c>
      <c r="B44" s="110" t="s">
        <v>26</v>
      </c>
      <c r="C44" s="182" t="s">
        <v>98</v>
      </c>
      <c r="D44" s="110" t="s">
        <v>99</v>
      </c>
      <c r="E44" s="107" t="s">
        <v>29</v>
      </c>
      <c r="F44" s="183"/>
      <c r="G44" s="134"/>
      <c r="H44" s="42">
        <f>40000*3.6/4</f>
        <v>36000</v>
      </c>
      <c r="I44" s="109">
        <v>1</v>
      </c>
      <c r="J44" s="109">
        <v>0</v>
      </c>
      <c r="K44" s="133" t="s">
        <v>100</v>
      </c>
      <c r="L44" s="110" t="s">
        <v>31</v>
      </c>
      <c r="M44" s="159">
        <v>44044</v>
      </c>
      <c r="N44" s="159">
        <v>44105</v>
      </c>
      <c r="O44" s="133" t="s">
        <v>52</v>
      </c>
      <c r="P44" s="133"/>
      <c r="Q44" s="133" t="s">
        <v>32</v>
      </c>
      <c r="R44" s="84"/>
    </row>
    <row r="45" spans="1:40" s="27" customFormat="1" ht="31.5" x14ac:dyDescent="0.5">
      <c r="A45" s="33" t="s">
        <v>101</v>
      </c>
      <c r="B45" s="110" t="s">
        <v>26</v>
      </c>
      <c r="C45" s="182" t="s">
        <v>102</v>
      </c>
      <c r="D45" s="135" t="s">
        <v>73</v>
      </c>
      <c r="E45" s="115" t="s">
        <v>51</v>
      </c>
      <c r="F45" s="148"/>
      <c r="G45" s="134"/>
      <c r="H45" s="42">
        <f>838333.33*3.6/4</f>
        <v>754499.99699999997</v>
      </c>
      <c r="I45" s="109">
        <v>1</v>
      </c>
      <c r="J45" s="109">
        <v>0</v>
      </c>
      <c r="K45" s="135" t="s">
        <v>41</v>
      </c>
      <c r="L45" s="110" t="s">
        <v>58</v>
      </c>
      <c r="M45" s="159">
        <v>44013</v>
      </c>
      <c r="N45" s="159">
        <v>44075</v>
      </c>
      <c r="O45" s="133" t="s">
        <v>52</v>
      </c>
      <c r="P45" s="133"/>
      <c r="Q45" s="133" t="s">
        <v>32</v>
      </c>
      <c r="R45" s="84"/>
    </row>
    <row r="46" spans="1:40" s="90" customFormat="1" ht="15.75" hidden="1" x14ac:dyDescent="0.5">
      <c r="A46" s="88" t="s">
        <v>103</v>
      </c>
      <c r="B46" s="112"/>
      <c r="C46" s="113"/>
      <c r="D46" s="112"/>
      <c r="E46" s="107"/>
      <c r="F46" s="110"/>
      <c r="G46" s="114"/>
      <c r="H46" s="42"/>
      <c r="I46" s="109"/>
      <c r="J46" s="109"/>
      <c r="K46" s="110"/>
      <c r="L46" s="110"/>
      <c r="M46" s="111"/>
      <c r="N46" s="111"/>
      <c r="O46" s="180"/>
      <c r="P46" s="110"/>
      <c r="Q46" s="110"/>
      <c r="R46" s="89"/>
    </row>
    <row r="47" spans="1:40" s="27" customFormat="1" ht="31.5" customHeight="1" x14ac:dyDescent="0.5">
      <c r="A47" s="26" t="s">
        <v>104</v>
      </c>
      <c r="B47" s="110" t="s">
        <v>26</v>
      </c>
      <c r="C47" s="188" t="s">
        <v>105</v>
      </c>
      <c r="D47" s="135" t="s">
        <v>106</v>
      </c>
      <c r="E47" s="115" t="s">
        <v>51</v>
      </c>
      <c r="F47" s="148"/>
      <c r="G47" s="134" t="s">
        <v>107</v>
      </c>
      <c r="H47" s="42">
        <f>2333333.33*3.6/4</f>
        <v>2099999.997</v>
      </c>
      <c r="I47" s="156">
        <v>0.9</v>
      </c>
      <c r="J47" s="156">
        <v>0.1</v>
      </c>
      <c r="K47" s="135" t="s">
        <v>41</v>
      </c>
      <c r="L47" s="110" t="s">
        <v>58</v>
      </c>
      <c r="M47" s="159">
        <v>43831</v>
      </c>
      <c r="N47" s="159">
        <v>43983</v>
      </c>
      <c r="O47" s="133" t="s">
        <v>62</v>
      </c>
      <c r="P47" s="133"/>
      <c r="Q47" s="110" t="s">
        <v>75</v>
      </c>
      <c r="R47" s="25"/>
    </row>
    <row r="48" spans="1:40" s="90" customFormat="1" ht="15.75" hidden="1" x14ac:dyDescent="0.5">
      <c r="A48" s="88" t="s">
        <v>108</v>
      </c>
      <c r="B48" s="112"/>
      <c r="C48" s="113"/>
      <c r="D48" s="112"/>
      <c r="E48" s="107"/>
      <c r="F48" s="110"/>
      <c r="G48" s="114"/>
      <c r="H48" s="42"/>
      <c r="I48" s="109"/>
      <c r="J48" s="109"/>
      <c r="K48" s="110"/>
      <c r="L48" s="110"/>
      <c r="M48" s="111"/>
      <c r="N48" s="111"/>
      <c r="O48" s="180"/>
      <c r="P48" s="110"/>
      <c r="Q48" s="110"/>
      <c r="R48" s="89"/>
    </row>
    <row r="49" spans="1:18" s="90" customFormat="1" ht="31.5" x14ac:dyDescent="0.5">
      <c r="A49" s="100" t="s">
        <v>314</v>
      </c>
      <c r="B49" s="112" t="s">
        <v>26</v>
      </c>
      <c r="C49" s="113" t="s">
        <v>315</v>
      </c>
      <c r="D49" s="112" t="s">
        <v>38</v>
      </c>
      <c r="E49" s="107" t="s">
        <v>51</v>
      </c>
      <c r="F49" s="110"/>
      <c r="G49" s="114" t="s">
        <v>316</v>
      </c>
      <c r="H49" s="42">
        <v>2716469.33</v>
      </c>
      <c r="I49" s="109">
        <v>1</v>
      </c>
      <c r="J49" s="109">
        <v>0</v>
      </c>
      <c r="K49" s="110" t="s">
        <v>30</v>
      </c>
      <c r="L49" s="110" t="s">
        <v>58</v>
      </c>
      <c r="M49" s="111">
        <v>43922</v>
      </c>
      <c r="N49" s="111">
        <v>44044</v>
      </c>
      <c r="O49" s="189" t="s">
        <v>52</v>
      </c>
      <c r="P49" s="110"/>
      <c r="Q49" s="110" t="s">
        <v>32</v>
      </c>
      <c r="R49" s="105"/>
    </row>
    <row r="50" spans="1:18" s="90" customFormat="1" ht="31.5" x14ac:dyDescent="0.5">
      <c r="A50" s="100" t="s">
        <v>317</v>
      </c>
      <c r="B50" s="112" t="s">
        <v>26</v>
      </c>
      <c r="C50" s="113" t="s">
        <v>318</v>
      </c>
      <c r="D50" s="112" t="s">
        <v>73</v>
      </c>
      <c r="E50" s="107" t="s">
        <v>51</v>
      </c>
      <c r="F50" s="110"/>
      <c r="G50" s="114"/>
      <c r="H50" s="42">
        <v>228600.2</v>
      </c>
      <c r="I50" s="109">
        <v>1</v>
      </c>
      <c r="J50" s="109">
        <v>0</v>
      </c>
      <c r="K50" s="110" t="s">
        <v>41</v>
      </c>
      <c r="L50" s="110" t="s">
        <v>58</v>
      </c>
      <c r="M50" s="111">
        <v>43922</v>
      </c>
      <c r="N50" s="111">
        <v>44013</v>
      </c>
      <c r="O50" s="190" t="s">
        <v>52</v>
      </c>
      <c r="P50" s="110"/>
      <c r="Q50" s="110" t="s">
        <v>32</v>
      </c>
      <c r="R50" s="105"/>
    </row>
    <row r="51" spans="1:18" s="27" customFormat="1" ht="15.75" x14ac:dyDescent="0.5">
      <c r="A51" s="34"/>
      <c r="B51" s="119"/>
      <c r="C51" s="191"/>
      <c r="D51" s="136"/>
      <c r="E51" s="136"/>
      <c r="F51" s="123"/>
      <c r="G51" s="137"/>
      <c r="H51" s="138">
        <f>SUM(H27:H50)</f>
        <v>22418377.562000003</v>
      </c>
      <c r="I51" s="38"/>
      <c r="J51" s="139"/>
      <c r="K51" s="139"/>
      <c r="L51" s="136"/>
      <c r="M51" s="119"/>
      <c r="N51" s="140"/>
      <c r="O51" s="140"/>
      <c r="P51" s="137"/>
      <c r="Q51" s="141"/>
      <c r="R51" s="84"/>
    </row>
    <row r="52" spans="1:18" s="27" customFormat="1" ht="15.75" x14ac:dyDescent="0.5">
      <c r="A52" s="35"/>
      <c r="B52" s="127"/>
      <c r="C52" s="192"/>
      <c r="D52" s="142"/>
      <c r="E52" s="142"/>
      <c r="F52" s="131"/>
      <c r="G52" s="143"/>
      <c r="H52" s="144"/>
      <c r="I52" s="39"/>
      <c r="J52" s="145"/>
      <c r="K52" s="145"/>
      <c r="L52" s="142"/>
      <c r="M52" s="127"/>
      <c r="N52" s="146"/>
      <c r="O52" s="146"/>
      <c r="P52" s="143"/>
      <c r="Q52" s="144"/>
      <c r="R52" s="84"/>
    </row>
    <row r="53" spans="1:18" s="27" customFormat="1" ht="15.75" x14ac:dyDescent="0.5">
      <c r="A53" s="37">
        <v>3</v>
      </c>
      <c r="B53" s="229" t="s">
        <v>109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84"/>
    </row>
    <row r="54" spans="1:18" s="27" customFormat="1" ht="15.75" x14ac:dyDescent="0.5">
      <c r="A54"/>
      <c r="B54" s="237" t="s">
        <v>43</v>
      </c>
      <c r="C54" s="216" t="s">
        <v>44</v>
      </c>
      <c r="D54" s="222" t="s">
        <v>110</v>
      </c>
      <c r="E54" s="221" t="s">
        <v>328</v>
      </c>
      <c r="F54" s="221" t="s">
        <v>17</v>
      </c>
      <c r="G54" s="221" t="s">
        <v>18</v>
      </c>
      <c r="H54" s="221" t="s">
        <v>45</v>
      </c>
      <c r="I54" s="221"/>
      <c r="J54" s="221"/>
      <c r="K54" s="221" t="s">
        <v>46</v>
      </c>
      <c r="L54" s="221" t="s">
        <v>47</v>
      </c>
      <c r="M54" s="221" t="s">
        <v>48</v>
      </c>
      <c r="N54" s="221"/>
      <c r="O54" s="218" t="s">
        <v>10</v>
      </c>
      <c r="P54" s="216" t="s">
        <v>11</v>
      </c>
      <c r="Q54" s="239" t="s">
        <v>12</v>
      </c>
      <c r="R54" s="84"/>
    </row>
    <row r="55" spans="1:18" s="27" customFormat="1" ht="39.4" x14ac:dyDescent="0.5">
      <c r="A55"/>
      <c r="B55" s="238"/>
      <c r="C55" s="217"/>
      <c r="D55" s="227"/>
      <c r="E55" s="222"/>
      <c r="F55" s="222"/>
      <c r="G55" s="222"/>
      <c r="H55" s="177" t="s">
        <v>19</v>
      </c>
      <c r="I55" s="178" t="s">
        <v>20</v>
      </c>
      <c r="J55" s="178" t="s">
        <v>21</v>
      </c>
      <c r="K55" s="222"/>
      <c r="L55" s="222"/>
      <c r="M55" s="172" t="s">
        <v>23</v>
      </c>
      <c r="N55" s="172" t="s">
        <v>24</v>
      </c>
      <c r="O55" s="223"/>
      <c r="P55" s="217"/>
      <c r="Q55" s="240"/>
      <c r="R55" s="87"/>
    </row>
    <row r="56" spans="1:18" s="24" customFormat="1" ht="63" x14ac:dyDescent="0.5">
      <c r="A56" s="16" t="s">
        <v>111</v>
      </c>
      <c r="B56" s="110" t="s">
        <v>112</v>
      </c>
      <c r="C56" s="107" t="s">
        <v>113</v>
      </c>
      <c r="D56" s="110" t="s">
        <v>274</v>
      </c>
      <c r="E56" s="115" t="s">
        <v>53</v>
      </c>
      <c r="F56" s="184"/>
      <c r="G56" s="193"/>
      <c r="H56" s="42">
        <f>3066666.65*3.6/4</f>
        <v>2759999.9849999999</v>
      </c>
      <c r="I56" s="109">
        <v>1</v>
      </c>
      <c r="J56" s="109">
        <v>0</v>
      </c>
      <c r="K56" s="156" t="s">
        <v>114</v>
      </c>
      <c r="L56" s="110" t="s">
        <v>115</v>
      </c>
      <c r="M56" s="159">
        <v>43922</v>
      </c>
      <c r="N56" s="159">
        <v>44013</v>
      </c>
      <c r="O56" s="262" t="s">
        <v>329</v>
      </c>
      <c r="P56" s="184"/>
      <c r="Q56" s="133" t="s">
        <v>32</v>
      </c>
      <c r="R56" s="108"/>
    </row>
    <row r="57" spans="1:18" s="27" customFormat="1" ht="31.5" x14ac:dyDescent="0.5">
      <c r="A57" s="16" t="s">
        <v>116</v>
      </c>
      <c r="B57" s="194" t="s">
        <v>26</v>
      </c>
      <c r="C57" s="113" t="s">
        <v>117</v>
      </c>
      <c r="D57" s="194" t="s">
        <v>118</v>
      </c>
      <c r="E57" s="115" t="s">
        <v>51</v>
      </c>
      <c r="F57" s="148"/>
      <c r="G57" s="133"/>
      <c r="H57" s="42">
        <f>52500*3.6/4</f>
        <v>47250</v>
      </c>
      <c r="I57" s="109">
        <v>1</v>
      </c>
      <c r="J57" s="109">
        <v>0</v>
      </c>
      <c r="K57" s="156" t="s">
        <v>41</v>
      </c>
      <c r="L57" s="110" t="s">
        <v>58</v>
      </c>
      <c r="M57" s="159">
        <v>44044</v>
      </c>
      <c r="N57" s="159">
        <v>44105</v>
      </c>
      <c r="O57" s="133" t="s">
        <v>62</v>
      </c>
      <c r="P57" s="148"/>
      <c r="Q57" s="133" t="s">
        <v>32</v>
      </c>
      <c r="R57" s="84"/>
    </row>
    <row r="58" spans="1:18" s="27" customFormat="1" ht="31.5" x14ac:dyDescent="0.5">
      <c r="A58" s="16" t="s">
        <v>119</v>
      </c>
      <c r="B58" s="194" t="s">
        <v>26</v>
      </c>
      <c r="C58" s="113" t="s">
        <v>281</v>
      </c>
      <c r="D58" s="194" t="s">
        <v>120</v>
      </c>
      <c r="E58" s="195" t="s">
        <v>29</v>
      </c>
      <c r="F58" s="148"/>
      <c r="G58" s="133"/>
      <c r="H58" s="42">
        <f>58333.33*3.6/4</f>
        <v>52499.997000000003</v>
      </c>
      <c r="I58" s="109">
        <v>1</v>
      </c>
      <c r="J58" s="109">
        <v>0</v>
      </c>
      <c r="K58" s="156" t="s">
        <v>41</v>
      </c>
      <c r="L58" s="110" t="s">
        <v>31</v>
      </c>
      <c r="M58" s="159">
        <v>44197</v>
      </c>
      <c r="N58" s="159">
        <v>44348</v>
      </c>
      <c r="O58" s="133"/>
      <c r="P58" s="148"/>
      <c r="Q58" s="133" t="s">
        <v>32</v>
      </c>
      <c r="R58" s="84"/>
    </row>
    <row r="59" spans="1:18" s="27" customFormat="1" ht="47.25" x14ac:dyDescent="0.5">
      <c r="A59" s="16" t="s">
        <v>121</v>
      </c>
      <c r="B59" s="133" t="s">
        <v>26</v>
      </c>
      <c r="C59" s="113" t="s">
        <v>122</v>
      </c>
      <c r="D59" s="196" t="s">
        <v>123</v>
      </c>
      <c r="E59" s="195" t="s">
        <v>29</v>
      </c>
      <c r="F59" s="148"/>
      <c r="G59" s="133"/>
      <c r="H59" s="42">
        <f>122500*3.6/4</f>
        <v>110250</v>
      </c>
      <c r="I59" s="109">
        <v>1</v>
      </c>
      <c r="J59" s="109">
        <v>0</v>
      </c>
      <c r="K59" s="156" t="s">
        <v>30</v>
      </c>
      <c r="L59" s="110" t="s">
        <v>31</v>
      </c>
      <c r="M59" s="159">
        <v>43983</v>
      </c>
      <c r="N59" s="159">
        <v>44105</v>
      </c>
      <c r="O59" s="133"/>
      <c r="P59" s="148"/>
      <c r="Q59" s="133" t="s">
        <v>32</v>
      </c>
      <c r="R59" s="84"/>
    </row>
    <row r="60" spans="1:18" s="27" customFormat="1" ht="31.5" x14ac:dyDescent="0.5">
      <c r="A60" s="16" t="s">
        <v>124</v>
      </c>
      <c r="B60" s="194" t="s">
        <v>26</v>
      </c>
      <c r="C60" s="113" t="s">
        <v>325</v>
      </c>
      <c r="D60" s="196" t="s">
        <v>125</v>
      </c>
      <c r="E60" s="115" t="s">
        <v>53</v>
      </c>
      <c r="F60" s="148"/>
      <c r="G60" s="133"/>
      <c r="H60" s="42">
        <f>116666.67*3.6/4</f>
        <v>105000.003</v>
      </c>
      <c r="I60" s="109">
        <v>1</v>
      </c>
      <c r="J60" s="109">
        <v>0</v>
      </c>
      <c r="K60" s="156" t="s">
        <v>41</v>
      </c>
      <c r="L60" s="110" t="s">
        <v>115</v>
      </c>
      <c r="M60" s="159">
        <v>44013</v>
      </c>
      <c r="N60" s="159">
        <v>44166</v>
      </c>
      <c r="O60" s="262" t="s">
        <v>330</v>
      </c>
      <c r="P60" s="148"/>
      <c r="Q60" s="133" t="s">
        <v>32</v>
      </c>
      <c r="R60" s="97"/>
    </row>
    <row r="61" spans="1:18" s="27" customFormat="1" ht="47.25" x14ac:dyDescent="0.5">
      <c r="A61" s="16" t="s">
        <v>126</v>
      </c>
      <c r="B61" s="110" t="s">
        <v>26</v>
      </c>
      <c r="C61" s="197" t="s">
        <v>127</v>
      </c>
      <c r="D61" s="133" t="s">
        <v>128</v>
      </c>
      <c r="E61" s="115" t="s">
        <v>51</v>
      </c>
      <c r="F61" s="148"/>
      <c r="G61" s="134"/>
      <c r="H61" s="42">
        <f>100333.33*3.6/4</f>
        <v>90299.997000000003</v>
      </c>
      <c r="I61" s="109">
        <v>1</v>
      </c>
      <c r="J61" s="109">
        <v>0</v>
      </c>
      <c r="K61" s="133" t="s">
        <v>41</v>
      </c>
      <c r="L61" s="110" t="s">
        <v>58</v>
      </c>
      <c r="M61" s="159">
        <v>43952</v>
      </c>
      <c r="N61" s="159">
        <v>44013</v>
      </c>
      <c r="O61" s="133" t="s">
        <v>62</v>
      </c>
      <c r="P61" s="148"/>
      <c r="Q61" s="133" t="s">
        <v>32</v>
      </c>
      <c r="R61" s="84"/>
    </row>
    <row r="62" spans="1:18" s="9" customFormat="1" ht="31.5" x14ac:dyDescent="0.5">
      <c r="A62" s="16" t="s">
        <v>129</v>
      </c>
      <c r="B62" s="194" t="s">
        <v>26</v>
      </c>
      <c r="C62" s="113" t="s">
        <v>130</v>
      </c>
      <c r="D62" s="194" t="s">
        <v>131</v>
      </c>
      <c r="E62" s="115" t="s">
        <v>51</v>
      </c>
      <c r="F62" s="148"/>
      <c r="G62" s="133"/>
      <c r="H62" s="42">
        <f>99983.34*3.6/4</f>
        <v>89985.005999999994</v>
      </c>
      <c r="I62" s="109">
        <v>1</v>
      </c>
      <c r="J62" s="109">
        <v>0</v>
      </c>
      <c r="K62" s="156" t="s">
        <v>114</v>
      </c>
      <c r="L62" s="110" t="s">
        <v>58</v>
      </c>
      <c r="M62" s="159">
        <v>43983</v>
      </c>
      <c r="N62" s="159">
        <v>44166</v>
      </c>
      <c r="O62" s="133" t="s">
        <v>52</v>
      </c>
      <c r="P62" s="148"/>
      <c r="Q62" s="133" t="s">
        <v>32</v>
      </c>
      <c r="R62" s="6"/>
    </row>
    <row r="63" spans="1:18" s="9" customFormat="1" ht="29.25" customHeight="1" x14ac:dyDescent="0.5">
      <c r="A63" s="16" t="s">
        <v>132</v>
      </c>
      <c r="B63" s="181" t="s">
        <v>26</v>
      </c>
      <c r="C63" s="113" t="s">
        <v>133</v>
      </c>
      <c r="D63" s="112" t="s">
        <v>134</v>
      </c>
      <c r="E63" s="115" t="s">
        <v>51</v>
      </c>
      <c r="F63" s="148"/>
      <c r="G63" s="110"/>
      <c r="H63" s="42">
        <f>1530000*3.6/4</f>
        <v>1377000</v>
      </c>
      <c r="I63" s="109">
        <v>1</v>
      </c>
      <c r="J63" s="109">
        <v>0</v>
      </c>
      <c r="K63" s="109" t="s">
        <v>114</v>
      </c>
      <c r="L63" s="110" t="s">
        <v>58</v>
      </c>
      <c r="M63" s="111">
        <v>44013</v>
      </c>
      <c r="N63" s="111">
        <v>44166</v>
      </c>
      <c r="O63" s="133" t="s">
        <v>52</v>
      </c>
      <c r="P63" s="148"/>
      <c r="Q63" s="133" t="s">
        <v>32</v>
      </c>
      <c r="R63" s="6"/>
    </row>
    <row r="64" spans="1:18" s="9" customFormat="1" ht="31.5" x14ac:dyDescent="0.5">
      <c r="A64" s="102" t="s">
        <v>135</v>
      </c>
      <c r="B64" s="133" t="s">
        <v>26</v>
      </c>
      <c r="C64" s="147" t="s">
        <v>310</v>
      </c>
      <c r="D64" s="110" t="s">
        <v>311</v>
      </c>
      <c r="E64" s="115" t="s">
        <v>51</v>
      </c>
      <c r="F64" s="148"/>
      <c r="G64" s="133"/>
      <c r="H64" s="42">
        <f>4219127.67*3.6/4</f>
        <v>3797214.9029999999</v>
      </c>
      <c r="I64" s="109">
        <v>1</v>
      </c>
      <c r="J64" s="109">
        <v>0</v>
      </c>
      <c r="K64" s="133" t="s">
        <v>30</v>
      </c>
      <c r="L64" s="110" t="s">
        <v>58</v>
      </c>
      <c r="M64" s="159">
        <v>43922</v>
      </c>
      <c r="N64" s="159">
        <v>43983</v>
      </c>
      <c r="O64" s="133" t="s">
        <v>52</v>
      </c>
      <c r="P64" s="148"/>
      <c r="Q64" s="133" t="s">
        <v>32</v>
      </c>
      <c r="R64" s="89"/>
    </row>
    <row r="65" spans="1:24" s="27" customFormat="1" ht="31.5" x14ac:dyDescent="0.5">
      <c r="A65" s="16" t="s">
        <v>137</v>
      </c>
      <c r="B65" s="110" t="s">
        <v>26</v>
      </c>
      <c r="C65" s="197" t="s">
        <v>138</v>
      </c>
      <c r="D65" s="133" t="s">
        <v>139</v>
      </c>
      <c r="E65" s="115" t="s">
        <v>51</v>
      </c>
      <c r="F65" s="148"/>
      <c r="G65" s="134"/>
      <c r="H65" s="42">
        <f>83333.33*3.6/4</f>
        <v>74999.997000000003</v>
      </c>
      <c r="I65" s="109">
        <v>1</v>
      </c>
      <c r="J65" s="109">
        <v>0</v>
      </c>
      <c r="K65" s="133" t="s">
        <v>30</v>
      </c>
      <c r="L65" s="110" t="s">
        <v>58</v>
      </c>
      <c r="M65" s="159">
        <v>44287</v>
      </c>
      <c r="N65" s="159">
        <v>44470</v>
      </c>
      <c r="O65" s="133" t="s">
        <v>52</v>
      </c>
      <c r="P65" s="148"/>
      <c r="Q65" s="133" t="s">
        <v>32</v>
      </c>
      <c r="R65" s="84"/>
    </row>
    <row r="66" spans="1:24" s="27" customFormat="1" ht="94.5" x14ac:dyDescent="0.5">
      <c r="A66" s="98" t="s">
        <v>140</v>
      </c>
      <c r="B66" s="110" t="s">
        <v>26</v>
      </c>
      <c r="C66" s="197" t="s">
        <v>141</v>
      </c>
      <c r="D66" s="133" t="s">
        <v>106</v>
      </c>
      <c r="E66" s="115" t="s">
        <v>51</v>
      </c>
      <c r="F66" s="148"/>
      <c r="G66" s="134"/>
      <c r="H66" s="42">
        <f>83333.33*3.6/4</f>
        <v>74999.997000000003</v>
      </c>
      <c r="I66" s="109">
        <v>1</v>
      </c>
      <c r="J66" s="109">
        <v>0</v>
      </c>
      <c r="K66" s="133" t="s">
        <v>41</v>
      </c>
      <c r="L66" s="110" t="s">
        <v>31</v>
      </c>
      <c r="M66" s="159">
        <v>43891</v>
      </c>
      <c r="N66" s="159">
        <v>43983</v>
      </c>
      <c r="O66" s="133"/>
      <c r="P66" s="148"/>
      <c r="Q66" s="133" t="s">
        <v>32</v>
      </c>
      <c r="R66" s="99"/>
    </row>
    <row r="67" spans="1:24" s="27" customFormat="1" ht="31.5" x14ac:dyDescent="0.5">
      <c r="A67" s="16" t="s">
        <v>142</v>
      </c>
      <c r="B67" s="194" t="s">
        <v>26</v>
      </c>
      <c r="C67" s="113" t="s">
        <v>143</v>
      </c>
      <c r="D67" s="194" t="s">
        <v>144</v>
      </c>
      <c r="E67" s="115" t="s">
        <v>51</v>
      </c>
      <c r="F67" s="148"/>
      <c r="G67" s="133"/>
      <c r="H67" s="42">
        <f>233333.33*3.6/4</f>
        <v>209999.997</v>
      </c>
      <c r="I67" s="109">
        <v>1</v>
      </c>
      <c r="J67" s="109">
        <v>0</v>
      </c>
      <c r="K67" s="156" t="s">
        <v>41</v>
      </c>
      <c r="L67" s="110" t="s">
        <v>58</v>
      </c>
      <c r="M67" s="159">
        <v>43983</v>
      </c>
      <c r="N67" s="159">
        <v>44105</v>
      </c>
      <c r="O67" s="133" t="s">
        <v>52</v>
      </c>
      <c r="P67" s="148"/>
      <c r="Q67" s="133" t="s">
        <v>32</v>
      </c>
      <c r="R67" s="84"/>
    </row>
    <row r="68" spans="1:24" s="27" customFormat="1" ht="31.5" x14ac:dyDescent="0.5">
      <c r="A68" s="74" t="s">
        <v>145</v>
      </c>
      <c r="B68" s="112" t="s">
        <v>26</v>
      </c>
      <c r="C68" s="113" t="s">
        <v>146</v>
      </c>
      <c r="D68" s="112" t="s">
        <v>147</v>
      </c>
      <c r="E68" s="115" t="s">
        <v>51</v>
      </c>
      <c r="F68" s="110"/>
      <c r="G68" s="114"/>
      <c r="H68" s="42">
        <f>60000*3.6/4</f>
        <v>54000</v>
      </c>
      <c r="I68" s="109">
        <v>1</v>
      </c>
      <c r="J68" s="109">
        <v>0</v>
      </c>
      <c r="K68" s="110" t="s">
        <v>41</v>
      </c>
      <c r="L68" s="110" t="s">
        <v>58</v>
      </c>
      <c r="M68" s="111">
        <v>43922</v>
      </c>
      <c r="N68" s="111">
        <v>44044</v>
      </c>
      <c r="O68" s="190" t="s">
        <v>52</v>
      </c>
      <c r="P68" s="110"/>
      <c r="Q68" s="133" t="s">
        <v>32</v>
      </c>
      <c r="R68" s="84"/>
    </row>
    <row r="69" spans="1:24" s="27" customFormat="1" ht="31.5" x14ac:dyDescent="0.5">
      <c r="A69" s="74" t="s">
        <v>148</v>
      </c>
      <c r="B69" s="112" t="s">
        <v>26</v>
      </c>
      <c r="C69" s="113" t="s">
        <v>149</v>
      </c>
      <c r="D69" s="112" t="s">
        <v>147</v>
      </c>
      <c r="E69" s="115" t="s">
        <v>51</v>
      </c>
      <c r="F69" s="110"/>
      <c r="G69" s="114"/>
      <c r="H69" s="42">
        <f>66666.67*3.6/4</f>
        <v>60000.002999999997</v>
      </c>
      <c r="I69" s="109">
        <v>1</v>
      </c>
      <c r="J69" s="109">
        <v>0</v>
      </c>
      <c r="K69" s="110" t="s">
        <v>41</v>
      </c>
      <c r="L69" s="110" t="s">
        <v>58</v>
      </c>
      <c r="M69" s="111">
        <v>43922</v>
      </c>
      <c r="N69" s="111">
        <v>44044</v>
      </c>
      <c r="O69" s="190" t="s">
        <v>62</v>
      </c>
      <c r="P69" s="110"/>
      <c r="Q69" s="133" t="s">
        <v>32</v>
      </c>
      <c r="R69" s="84"/>
    </row>
    <row r="70" spans="1:24" s="27" customFormat="1" ht="31.5" x14ac:dyDescent="0.5">
      <c r="A70" s="91" t="s">
        <v>306</v>
      </c>
      <c r="B70" s="194" t="s">
        <v>26</v>
      </c>
      <c r="C70" s="149" t="s">
        <v>291</v>
      </c>
      <c r="D70" s="150" t="s">
        <v>292</v>
      </c>
      <c r="E70" s="157" t="s">
        <v>51</v>
      </c>
      <c r="F70" s="148"/>
      <c r="G70" s="148"/>
      <c r="H70" s="42">
        <f>2724439.5*3.6/4</f>
        <v>2451995.5500000003</v>
      </c>
      <c r="I70" s="109">
        <v>0.41610000000000003</v>
      </c>
      <c r="J70" s="109">
        <v>0.58389999999999997</v>
      </c>
      <c r="K70" s="156" t="s">
        <v>30</v>
      </c>
      <c r="L70" s="133" t="s">
        <v>31</v>
      </c>
      <c r="M70" s="159">
        <v>43770</v>
      </c>
      <c r="N70" s="159">
        <v>44166</v>
      </c>
      <c r="O70" s="148"/>
      <c r="P70" s="148"/>
      <c r="Q70" s="133" t="s">
        <v>75</v>
      </c>
      <c r="R70" s="25"/>
    </row>
    <row r="71" spans="1:24" s="27" customFormat="1" ht="15.75" x14ac:dyDescent="0.5">
      <c r="A71" s="18"/>
      <c r="B71" s="151"/>
      <c r="C71" s="117"/>
      <c r="D71" s="151"/>
      <c r="E71" s="151"/>
      <c r="F71" s="123"/>
      <c r="G71" s="137"/>
      <c r="H71" s="152">
        <f>SUM(H56:H70)</f>
        <v>11355495.434999999</v>
      </c>
      <c r="I71" s="38"/>
      <c r="J71" s="121"/>
      <c r="K71" s="121"/>
      <c r="L71" s="139"/>
      <c r="M71" s="137"/>
      <c r="N71" s="140"/>
      <c r="O71" s="140"/>
      <c r="P71" s="141"/>
      <c r="Q71" s="141"/>
      <c r="R71" s="84"/>
    </row>
    <row r="72" spans="1:24" s="27" customFormat="1" ht="15.75" x14ac:dyDescent="0.5">
      <c r="A72" s="19"/>
      <c r="B72" s="153"/>
      <c r="C72" s="125"/>
      <c r="D72" s="153"/>
      <c r="E72" s="153"/>
      <c r="F72" s="131"/>
      <c r="G72" s="143"/>
      <c r="H72" s="143"/>
      <c r="I72" s="39"/>
      <c r="J72" s="129"/>
      <c r="K72" s="129"/>
      <c r="L72" s="145"/>
      <c r="M72" s="143"/>
      <c r="N72" s="146"/>
      <c r="O72" s="146"/>
      <c r="P72" s="144"/>
      <c r="Q72" s="144"/>
      <c r="R72" s="84"/>
    </row>
    <row r="73" spans="1:24" s="27" customFormat="1" ht="15.75" x14ac:dyDescent="0.5">
      <c r="A73" s="37">
        <v>4</v>
      </c>
      <c r="B73" s="229" t="s">
        <v>150</v>
      </c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84"/>
    </row>
    <row r="74" spans="1:24" s="27" customFormat="1" ht="15.75" x14ac:dyDescent="0.5">
      <c r="A74"/>
      <c r="B74" s="224" t="s">
        <v>43</v>
      </c>
      <c r="C74" s="216" t="s">
        <v>44</v>
      </c>
      <c r="D74" s="221" t="s">
        <v>110</v>
      </c>
      <c r="E74" s="221" t="s">
        <v>328</v>
      </c>
      <c r="F74" s="236"/>
      <c r="G74" s="236"/>
      <c r="H74" s="221" t="s">
        <v>45</v>
      </c>
      <c r="I74" s="221"/>
      <c r="J74" s="221"/>
      <c r="K74" s="221" t="s">
        <v>46</v>
      </c>
      <c r="L74" s="221" t="s">
        <v>47</v>
      </c>
      <c r="M74" s="221" t="s">
        <v>48</v>
      </c>
      <c r="N74" s="221"/>
      <c r="O74" s="218" t="s">
        <v>10</v>
      </c>
      <c r="P74" s="216" t="s">
        <v>11</v>
      </c>
      <c r="Q74" s="216" t="s">
        <v>12</v>
      </c>
      <c r="R74" s="84"/>
    </row>
    <row r="75" spans="1:24" s="27" customFormat="1" ht="63" customHeight="1" x14ac:dyDescent="0.5">
      <c r="A75"/>
      <c r="B75" s="225"/>
      <c r="C75" s="217"/>
      <c r="D75" s="222"/>
      <c r="E75" s="222"/>
      <c r="F75" s="171" t="s">
        <v>17</v>
      </c>
      <c r="G75" s="171" t="s">
        <v>151</v>
      </c>
      <c r="H75" s="172" t="s">
        <v>19</v>
      </c>
      <c r="I75" s="177" t="s">
        <v>20</v>
      </c>
      <c r="J75" s="178" t="s">
        <v>21</v>
      </c>
      <c r="K75" s="222"/>
      <c r="L75" s="222"/>
      <c r="M75" s="172" t="s">
        <v>152</v>
      </c>
      <c r="N75" s="172" t="s">
        <v>24</v>
      </c>
      <c r="O75" s="223"/>
      <c r="P75" s="217"/>
      <c r="Q75" s="217"/>
      <c r="R75" s="87"/>
    </row>
    <row r="76" spans="1:24" s="27" customFormat="1" ht="47.25" x14ac:dyDescent="0.5">
      <c r="A76" s="33" t="s">
        <v>153</v>
      </c>
      <c r="B76" s="133" t="s">
        <v>26</v>
      </c>
      <c r="C76" s="134" t="s">
        <v>154</v>
      </c>
      <c r="D76" s="156" t="s">
        <v>155</v>
      </c>
      <c r="E76" s="115" t="s">
        <v>156</v>
      </c>
      <c r="F76" s="134"/>
      <c r="G76" s="134"/>
      <c r="H76" s="42">
        <f>166833.33*3.6/4</f>
        <v>150149.997</v>
      </c>
      <c r="I76" s="158">
        <v>1</v>
      </c>
      <c r="J76" s="156">
        <v>0</v>
      </c>
      <c r="K76" s="156" t="s">
        <v>30</v>
      </c>
      <c r="L76" s="133" t="s">
        <v>31</v>
      </c>
      <c r="M76" s="159">
        <v>44593</v>
      </c>
      <c r="N76" s="159">
        <v>44713</v>
      </c>
      <c r="O76" s="134"/>
      <c r="P76" s="134"/>
      <c r="Q76" s="133" t="s">
        <v>32</v>
      </c>
      <c r="R76" s="84"/>
    </row>
    <row r="77" spans="1:24" s="27" customFormat="1" ht="63" x14ac:dyDescent="0.5">
      <c r="A77" s="79" t="s">
        <v>157</v>
      </c>
      <c r="B77" s="133" t="s">
        <v>26</v>
      </c>
      <c r="C77" s="115" t="s">
        <v>158</v>
      </c>
      <c r="D77" s="109" t="s">
        <v>295</v>
      </c>
      <c r="E77" s="115" t="s">
        <v>159</v>
      </c>
      <c r="F77" s="134"/>
      <c r="G77" s="134"/>
      <c r="H77" s="42">
        <f>459833.32*3.6/4</f>
        <v>413849.98800000001</v>
      </c>
      <c r="I77" s="158">
        <v>1</v>
      </c>
      <c r="J77" s="156">
        <v>0</v>
      </c>
      <c r="K77" s="156" t="s">
        <v>160</v>
      </c>
      <c r="L77" s="133" t="s">
        <v>115</v>
      </c>
      <c r="M77" s="159">
        <v>43983</v>
      </c>
      <c r="N77" s="159">
        <v>44075</v>
      </c>
      <c r="O77" s="134"/>
      <c r="P77" s="134"/>
      <c r="Q77" s="133" t="s">
        <v>32</v>
      </c>
      <c r="R77" s="85"/>
    </row>
    <row r="78" spans="1:24" s="17" customFormat="1" ht="47.25" x14ac:dyDescent="0.5">
      <c r="A78" s="33" t="s">
        <v>161</v>
      </c>
      <c r="B78" s="110" t="s">
        <v>26</v>
      </c>
      <c r="C78" s="113" t="s">
        <v>162</v>
      </c>
      <c r="D78" s="181" t="s">
        <v>163</v>
      </c>
      <c r="E78" s="115" t="s">
        <v>156</v>
      </c>
      <c r="F78" s="110"/>
      <c r="G78" s="110"/>
      <c r="H78" s="42">
        <f>70000*3.6/4</f>
        <v>63000</v>
      </c>
      <c r="I78" s="158">
        <v>1</v>
      </c>
      <c r="J78" s="156">
        <v>0</v>
      </c>
      <c r="K78" s="109" t="s">
        <v>114</v>
      </c>
      <c r="L78" s="110" t="s">
        <v>31</v>
      </c>
      <c r="M78" s="111">
        <v>44044</v>
      </c>
      <c r="N78" s="111">
        <v>44166</v>
      </c>
      <c r="O78" s="115"/>
      <c r="P78" s="115"/>
      <c r="Q78" s="133" t="s">
        <v>32</v>
      </c>
      <c r="R78" s="96"/>
      <c r="S78" s="96"/>
      <c r="T78" s="96"/>
      <c r="U78" s="96"/>
      <c r="V78" s="96"/>
      <c r="W78" s="96"/>
      <c r="X78" s="96"/>
    </row>
    <row r="79" spans="1:24" s="40" customFormat="1" ht="47.25" x14ac:dyDescent="0.45">
      <c r="A79" s="33" t="s">
        <v>164</v>
      </c>
      <c r="B79" s="110" t="s">
        <v>26</v>
      </c>
      <c r="C79" s="167" t="s">
        <v>165</v>
      </c>
      <c r="D79" s="109" t="s">
        <v>166</v>
      </c>
      <c r="E79" s="115" t="s">
        <v>156</v>
      </c>
      <c r="F79" s="115"/>
      <c r="G79" s="115"/>
      <c r="H79" s="42">
        <f>58333.33*3.6/4</f>
        <v>52499.997000000003</v>
      </c>
      <c r="I79" s="158">
        <v>1</v>
      </c>
      <c r="J79" s="156">
        <v>0</v>
      </c>
      <c r="K79" s="109" t="s">
        <v>114</v>
      </c>
      <c r="L79" s="110" t="s">
        <v>31</v>
      </c>
      <c r="M79" s="111">
        <v>43891</v>
      </c>
      <c r="N79" s="111">
        <v>44013</v>
      </c>
      <c r="O79" s="115"/>
      <c r="P79" s="115"/>
      <c r="Q79" s="133" t="s">
        <v>32</v>
      </c>
      <c r="R79" s="85"/>
    </row>
    <row r="80" spans="1:24" s="27" customFormat="1" ht="31.5" x14ac:dyDescent="0.5">
      <c r="A80" s="33" t="s">
        <v>167</v>
      </c>
      <c r="B80" s="133" t="s">
        <v>26</v>
      </c>
      <c r="C80" s="113" t="s">
        <v>168</v>
      </c>
      <c r="D80" s="196" t="s">
        <v>169</v>
      </c>
      <c r="E80" s="115" t="s">
        <v>170</v>
      </c>
      <c r="F80" s="133"/>
      <c r="G80" s="133"/>
      <c r="H80" s="42">
        <f>333333.33*3.6/4</f>
        <v>299999.99700000003</v>
      </c>
      <c r="I80" s="158">
        <v>1</v>
      </c>
      <c r="J80" s="156">
        <v>0</v>
      </c>
      <c r="K80" s="156" t="s">
        <v>30</v>
      </c>
      <c r="L80" s="133" t="s">
        <v>115</v>
      </c>
      <c r="M80" s="159">
        <v>44197</v>
      </c>
      <c r="N80" s="159">
        <v>44348</v>
      </c>
      <c r="O80" s="134"/>
      <c r="P80" s="134"/>
      <c r="Q80" s="133" t="s">
        <v>32</v>
      </c>
      <c r="R80" s="84"/>
    </row>
    <row r="81" spans="1:18" s="27" customFormat="1" ht="31.5" x14ac:dyDescent="0.5">
      <c r="A81" s="79" t="s">
        <v>171</v>
      </c>
      <c r="B81" s="194" t="s">
        <v>26</v>
      </c>
      <c r="C81" s="113" t="s">
        <v>172</v>
      </c>
      <c r="D81" s="194" t="s">
        <v>173</v>
      </c>
      <c r="E81" s="115" t="s">
        <v>170</v>
      </c>
      <c r="F81" s="133"/>
      <c r="G81" s="133"/>
      <c r="H81" s="42">
        <f>700000*3.6/4</f>
        <v>630000</v>
      </c>
      <c r="I81" s="158">
        <v>1</v>
      </c>
      <c r="J81" s="156">
        <v>0</v>
      </c>
      <c r="K81" s="156" t="s">
        <v>41</v>
      </c>
      <c r="L81" s="133" t="s">
        <v>31</v>
      </c>
      <c r="M81" s="111">
        <v>43952</v>
      </c>
      <c r="N81" s="111">
        <v>43983</v>
      </c>
      <c r="O81" s="134"/>
      <c r="P81" s="134"/>
      <c r="Q81" s="133" t="s">
        <v>32</v>
      </c>
      <c r="R81" s="85"/>
    </row>
    <row r="82" spans="1:18" s="27" customFormat="1" ht="47.25" x14ac:dyDescent="0.5">
      <c r="A82" s="33" t="s">
        <v>174</v>
      </c>
      <c r="B82" s="194" t="s">
        <v>26</v>
      </c>
      <c r="C82" s="113" t="s">
        <v>175</v>
      </c>
      <c r="D82" s="194" t="s">
        <v>118</v>
      </c>
      <c r="E82" s="115" t="s">
        <v>156</v>
      </c>
      <c r="F82" s="133"/>
      <c r="G82" s="133"/>
      <c r="H82" s="42">
        <f>151666.67*3.6/4</f>
        <v>136500.00300000003</v>
      </c>
      <c r="I82" s="158">
        <v>1</v>
      </c>
      <c r="J82" s="156">
        <v>0</v>
      </c>
      <c r="K82" s="156" t="s">
        <v>41</v>
      </c>
      <c r="L82" s="133" t="s">
        <v>31</v>
      </c>
      <c r="M82" s="159">
        <v>43922</v>
      </c>
      <c r="N82" s="159">
        <v>44044</v>
      </c>
      <c r="O82" s="134"/>
      <c r="P82" s="134"/>
      <c r="Q82" s="133" t="s">
        <v>32</v>
      </c>
      <c r="R82" s="84"/>
    </row>
    <row r="83" spans="1:18" s="27" customFormat="1" ht="47.25" x14ac:dyDescent="0.5">
      <c r="A83" s="33" t="s">
        <v>176</v>
      </c>
      <c r="B83" s="194" t="s">
        <v>26</v>
      </c>
      <c r="C83" s="113" t="s">
        <v>177</v>
      </c>
      <c r="D83" s="194" t="s">
        <v>78</v>
      </c>
      <c r="E83" s="115" t="s">
        <v>156</v>
      </c>
      <c r="F83" s="133"/>
      <c r="G83" s="133"/>
      <c r="H83" s="42">
        <f>35000*3.6/4</f>
        <v>31500</v>
      </c>
      <c r="I83" s="158">
        <v>1</v>
      </c>
      <c r="J83" s="156">
        <v>0</v>
      </c>
      <c r="K83" s="156" t="s">
        <v>41</v>
      </c>
      <c r="L83" s="133" t="s">
        <v>31</v>
      </c>
      <c r="M83" s="159">
        <v>43922</v>
      </c>
      <c r="N83" s="159">
        <v>44044</v>
      </c>
      <c r="O83" s="134"/>
      <c r="P83" s="134"/>
      <c r="Q83" s="133" t="s">
        <v>32</v>
      </c>
      <c r="R83" s="84"/>
    </row>
    <row r="84" spans="1:18" s="27" customFormat="1" ht="47.25" x14ac:dyDescent="0.5">
      <c r="A84" s="33" t="s">
        <v>178</v>
      </c>
      <c r="B84" s="194" t="s">
        <v>26</v>
      </c>
      <c r="C84" s="113" t="s">
        <v>179</v>
      </c>
      <c r="D84" s="194" t="s">
        <v>180</v>
      </c>
      <c r="E84" s="115" t="s">
        <v>156</v>
      </c>
      <c r="F84" s="133"/>
      <c r="G84" s="133"/>
      <c r="H84" s="42">
        <f>46666.67*3.6/4</f>
        <v>42000.002999999997</v>
      </c>
      <c r="I84" s="158">
        <v>1</v>
      </c>
      <c r="J84" s="156">
        <v>0</v>
      </c>
      <c r="K84" s="156" t="s">
        <v>41</v>
      </c>
      <c r="L84" s="133" t="s">
        <v>31</v>
      </c>
      <c r="M84" s="159">
        <v>43983</v>
      </c>
      <c r="N84" s="159">
        <v>44105</v>
      </c>
      <c r="O84" s="134"/>
      <c r="P84" s="134"/>
      <c r="Q84" s="133" t="s">
        <v>32</v>
      </c>
      <c r="R84" s="84"/>
    </row>
    <row r="85" spans="1:18" s="27" customFormat="1" ht="42" customHeight="1" x14ac:dyDescent="0.5">
      <c r="A85" s="33" t="s">
        <v>181</v>
      </c>
      <c r="B85" s="194" t="s">
        <v>26</v>
      </c>
      <c r="C85" s="160" t="s">
        <v>182</v>
      </c>
      <c r="D85" s="112" t="s">
        <v>275</v>
      </c>
      <c r="E85" s="115" t="s">
        <v>170</v>
      </c>
      <c r="F85" s="133"/>
      <c r="G85" s="133"/>
      <c r="H85" s="42">
        <f>466666.66*3.6/4</f>
        <v>419999.99400000001</v>
      </c>
      <c r="I85" s="158">
        <v>1</v>
      </c>
      <c r="J85" s="156">
        <v>0</v>
      </c>
      <c r="K85" s="156" t="s">
        <v>114</v>
      </c>
      <c r="L85" s="133" t="s">
        <v>115</v>
      </c>
      <c r="M85" s="159">
        <v>44044</v>
      </c>
      <c r="N85" s="159">
        <v>44105</v>
      </c>
      <c r="O85" s="134"/>
      <c r="P85" s="134"/>
      <c r="Q85" s="133" t="s">
        <v>32</v>
      </c>
      <c r="R85" s="85"/>
    </row>
    <row r="86" spans="1:18" s="27" customFormat="1" ht="47.25" x14ac:dyDescent="0.5">
      <c r="A86" s="33" t="s">
        <v>183</v>
      </c>
      <c r="B86" s="133" t="s">
        <v>26</v>
      </c>
      <c r="C86" s="167" t="s">
        <v>184</v>
      </c>
      <c r="D86" s="156" t="s">
        <v>185</v>
      </c>
      <c r="E86" s="115" t="s">
        <v>159</v>
      </c>
      <c r="F86" s="133"/>
      <c r="G86" s="133"/>
      <c r="H86" s="42">
        <f>2389000.01*3.6/4</f>
        <v>2150100.0090000001</v>
      </c>
      <c r="I86" s="158">
        <v>1</v>
      </c>
      <c r="J86" s="156">
        <v>0</v>
      </c>
      <c r="K86" s="156" t="s">
        <v>114</v>
      </c>
      <c r="L86" s="133" t="s">
        <v>31</v>
      </c>
      <c r="M86" s="159">
        <v>43922</v>
      </c>
      <c r="N86" s="159">
        <v>43983</v>
      </c>
      <c r="O86" s="133"/>
      <c r="P86" s="134"/>
      <c r="Q86" s="133" t="s">
        <v>32</v>
      </c>
      <c r="R86" s="84"/>
    </row>
    <row r="87" spans="1:18" s="17" customFormat="1" ht="31.5" x14ac:dyDescent="0.5">
      <c r="A87" s="79" t="s">
        <v>186</v>
      </c>
      <c r="B87" s="110" t="s">
        <v>26</v>
      </c>
      <c r="C87" s="198" t="s">
        <v>187</v>
      </c>
      <c r="D87" s="109" t="s">
        <v>188</v>
      </c>
      <c r="E87" s="115" t="s">
        <v>170</v>
      </c>
      <c r="F87" s="115"/>
      <c r="G87" s="115"/>
      <c r="H87" s="42">
        <f>361666.67*3.6/4</f>
        <v>325500.00299999997</v>
      </c>
      <c r="I87" s="158">
        <v>1</v>
      </c>
      <c r="J87" s="156">
        <v>0</v>
      </c>
      <c r="K87" s="109" t="s">
        <v>114</v>
      </c>
      <c r="L87" s="110" t="s">
        <v>115</v>
      </c>
      <c r="M87" s="159">
        <v>43983</v>
      </c>
      <c r="N87" s="159">
        <v>44044</v>
      </c>
      <c r="O87" s="110"/>
      <c r="P87" s="115"/>
      <c r="Q87" s="133" t="s">
        <v>32</v>
      </c>
      <c r="R87" s="84"/>
    </row>
    <row r="88" spans="1:18" s="17" customFormat="1" ht="47.25" x14ac:dyDescent="0.5">
      <c r="A88" s="33" t="s">
        <v>189</v>
      </c>
      <c r="B88" s="181" t="s">
        <v>26</v>
      </c>
      <c r="C88" s="199" t="s">
        <v>190</v>
      </c>
      <c r="D88" s="181" t="s">
        <v>166</v>
      </c>
      <c r="E88" s="115" t="s">
        <v>156</v>
      </c>
      <c r="F88" s="110"/>
      <c r="G88" s="110"/>
      <c r="H88" s="42">
        <f>116666.67*3.6/4</f>
        <v>105000.003</v>
      </c>
      <c r="I88" s="158">
        <v>1</v>
      </c>
      <c r="J88" s="156">
        <v>0</v>
      </c>
      <c r="K88" s="109" t="s">
        <v>114</v>
      </c>
      <c r="L88" s="110" t="s">
        <v>31</v>
      </c>
      <c r="M88" s="111">
        <v>44166</v>
      </c>
      <c r="N88" s="111">
        <v>44287</v>
      </c>
      <c r="O88" s="115"/>
      <c r="P88" s="115"/>
      <c r="Q88" s="133" t="s">
        <v>32</v>
      </c>
      <c r="R88" s="85"/>
    </row>
    <row r="89" spans="1:18" s="17" customFormat="1" ht="47.25" x14ac:dyDescent="0.5">
      <c r="A89" s="33" t="s">
        <v>191</v>
      </c>
      <c r="B89" s="110" t="s">
        <v>26</v>
      </c>
      <c r="C89" s="113" t="s">
        <v>192</v>
      </c>
      <c r="D89" s="112" t="s">
        <v>193</v>
      </c>
      <c r="E89" s="115" t="s">
        <v>156</v>
      </c>
      <c r="F89" s="110"/>
      <c r="G89" s="110"/>
      <c r="H89" s="42">
        <f>17500*3.6/4</f>
        <v>15750</v>
      </c>
      <c r="I89" s="158">
        <v>1</v>
      </c>
      <c r="J89" s="156">
        <v>0</v>
      </c>
      <c r="K89" s="109" t="s">
        <v>114</v>
      </c>
      <c r="L89" s="110" t="s">
        <v>31</v>
      </c>
      <c r="M89" s="111">
        <v>44166</v>
      </c>
      <c r="N89" s="111">
        <v>44287</v>
      </c>
      <c r="O89" s="115"/>
      <c r="P89" s="115"/>
      <c r="Q89" s="133" t="s">
        <v>32</v>
      </c>
      <c r="R89" s="85"/>
    </row>
    <row r="90" spans="1:18" s="17" customFormat="1" ht="47.25" x14ac:dyDescent="0.5">
      <c r="A90" s="33" t="s">
        <v>194</v>
      </c>
      <c r="B90" s="110" t="s">
        <v>26</v>
      </c>
      <c r="C90" s="199" t="s">
        <v>195</v>
      </c>
      <c r="D90" s="112" t="s">
        <v>196</v>
      </c>
      <c r="E90" s="115" t="s">
        <v>156</v>
      </c>
      <c r="F90" s="200"/>
      <c r="G90" s="200"/>
      <c r="H90" s="42">
        <f>43166.67*3.6/4</f>
        <v>38850.002999999997</v>
      </c>
      <c r="I90" s="158">
        <v>1</v>
      </c>
      <c r="J90" s="156">
        <v>0</v>
      </c>
      <c r="K90" s="109" t="s">
        <v>30</v>
      </c>
      <c r="L90" s="110" t="s">
        <v>31</v>
      </c>
      <c r="M90" s="111">
        <v>44044</v>
      </c>
      <c r="N90" s="111">
        <v>44075</v>
      </c>
      <c r="O90" s="115"/>
      <c r="P90" s="115"/>
      <c r="Q90" s="133" t="s">
        <v>32</v>
      </c>
      <c r="R90" s="85"/>
    </row>
    <row r="91" spans="1:18" s="17" customFormat="1" ht="47.25" x14ac:dyDescent="0.5">
      <c r="A91" s="33" t="s">
        <v>197</v>
      </c>
      <c r="B91" s="110" t="s">
        <v>26</v>
      </c>
      <c r="C91" s="113" t="s">
        <v>302</v>
      </c>
      <c r="D91" s="110" t="s">
        <v>198</v>
      </c>
      <c r="E91" s="157" t="s">
        <v>156</v>
      </c>
      <c r="F91" s="110"/>
      <c r="G91" s="115"/>
      <c r="H91" s="42">
        <f>109666.67*3.6/4</f>
        <v>98700.002999999997</v>
      </c>
      <c r="I91" s="109">
        <v>0</v>
      </c>
      <c r="J91" s="109">
        <v>1</v>
      </c>
      <c r="K91" s="110" t="s">
        <v>30</v>
      </c>
      <c r="L91" s="110" t="s">
        <v>31</v>
      </c>
      <c r="M91" s="111">
        <v>43891</v>
      </c>
      <c r="N91" s="111">
        <v>43922</v>
      </c>
      <c r="O91" s="110"/>
      <c r="P91" s="115"/>
      <c r="Q91" s="133" t="s">
        <v>32</v>
      </c>
      <c r="R91" s="85"/>
    </row>
    <row r="92" spans="1:18" s="90" customFormat="1" ht="47.25" x14ac:dyDescent="0.5">
      <c r="A92" s="88" t="s">
        <v>199</v>
      </c>
      <c r="B92" s="194" t="s">
        <v>26</v>
      </c>
      <c r="C92" s="113" t="s">
        <v>200</v>
      </c>
      <c r="D92" s="194" t="s">
        <v>201</v>
      </c>
      <c r="E92" s="157" t="s">
        <v>159</v>
      </c>
      <c r="F92" s="133"/>
      <c r="G92" s="133"/>
      <c r="H92" s="42">
        <f>250000*3.6/4</f>
        <v>225000</v>
      </c>
      <c r="I92" s="109">
        <v>1</v>
      </c>
      <c r="J92" s="109">
        <v>0</v>
      </c>
      <c r="K92" s="156" t="s">
        <v>201</v>
      </c>
      <c r="L92" s="133" t="s">
        <v>115</v>
      </c>
      <c r="M92" s="159">
        <v>43952</v>
      </c>
      <c r="N92" s="159">
        <v>44044</v>
      </c>
      <c r="O92" s="134"/>
      <c r="P92" s="134"/>
      <c r="Q92" s="133" t="s">
        <v>32</v>
      </c>
      <c r="R92" s="89"/>
    </row>
    <row r="93" spans="1:18" s="90" customFormat="1" ht="47.25" x14ac:dyDescent="0.5">
      <c r="A93" s="88" t="s">
        <v>202</v>
      </c>
      <c r="B93" s="194" t="s">
        <v>26</v>
      </c>
      <c r="C93" s="113" t="s">
        <v>203</v>
      </c>
      <c r="D93" s="194" t="s">
        <v>204</v>
      </c>
      <c r="E93" s="157" t="s">
        <v>156</v>
      </c>
      <c r="F93" s="133"/>
      <c r="G93" s="133" t="s">
        <v>205</v>
      </c>
      <c r="H93" s="42">
        <f>37916.67*3.6/4</f>
        <v>34125.002999999997</v>
      </c>
      <c r="I93" s="109">
        <v>1</v>
      </c>
      <c r="J93" s="109">
        <v>0</v>
      </c>
      <c r="K93" s="156" t="s">
        <v>30</v>
      </c>
      <c r="L93" s="133" t="s">
        <v>31</v>
      </c>
      <c r="M93" s="159">
        <v>43831</v>
      </c>
      <c r="N93" s="159">
        <v>43891</v>
      </c>
      <c r="O93" s="134"/>
      <c r="P93" s="134"/>
      <c r="Q93" s="133" t="s">
        <v>87</v>
      </c>
      <c r="R93" s="89"/>
    </row>
    <row r="94" spans="1:18" s="90" customFormat="1" ht="47.25" x14ac:dyDescent="0.5">
      <c r="A94" s="91" t="s">
        <v>284</v>
      </c>
      <c r="B94" s="194" t="s">
        <v>26</v>
      </c>
      <c r="C94" s="149" t="s">
        <v>288</v>
      </c>
      <c r="D94" s="150" t="s">
        <v>285</v>
      </c>
      <c r="E94" s="157" t="s">
        <v>156</v>
      </c>
      <c r="F94" s="148"/>
      <c r="G94" s="148"/>
      <c r="H94" s="42">
        <f>116666*3.6/4</f>
        <v>104999.40000000001</v>
      </c>
      <c r="I94" s="109">
        <v>1</v>
      </c>
      <c r="J94" s="109">
        <v>0</v>
      </c>
      <c r="K94" s="156" t="s">
        <v>30</v>
      </c>
      <c r="L94" s="133" t="s">
        <v>31</v>
      </c>
      <c r="M94" s="159">
        <v>43983</v>
      </c>
      <c r="N94" s="159">
        <v>44075</v>
      </c>
      <c r="O94" s="148"/>
      <c r="P94" s="148"/>
      <c r="Q94" s="133" t="s">
        <v>32</v>
      </c>
      <c r="R94" s="89"/>
    </row>
    <row r="95" spans="1:18" s="90" customFormat="1" ht="31.5" x14ac:dyDescent="0.5">
      <c r="A95" s="91" t="s">
        <v>286</v>
      </c>
      <c r="B95" s="194" t="s">
        <v>26</v>
      </c>
      <c r="C95" s="149" t="s">
        <v>287</v>
      </c>
      <c r="D95" s="150" t="s">
        <v>213</v>
      </c>
      <c r="E95" s="157" t="s">
        <v>51</v>
      </c>
      <c r="F95" s="148"/>
      <c r="G95" s="148"/>
      <c r="H95" s="42">
        <f>653286.33*3.6/4</f>
        <v>587957.69699999993</v>
      </c>
      <c r="I95" s="109">
        <v>0</v>
      </c>
      <c r="J95" s="109">
        <v>1</v>
      </c>
      <c r="K95" s="156" t="s">
        <v>30</v>
      </c>
      <c r="L95" s="133" t="s">
        <v>31</v>
      </c>
      <c r="M95" s="159">
        <v>43770</v>
      </c>
      <c r="N95" s="159">
        <v>44166</v>
      </c>
      <c r="O95" s="148"/>
      <c r="P95" s="148"/>
      <c r="Q95" s="133" t="s">
        <v>75</v>
      </c>
      <c r="R95" s="93"/>
    </row>
    <row r="96" spans="1:18" s="90" customFormat="1" ht="31.5" x14ac:dyDescent="0.5">
      <c r="A96" s="94" t="s">
        <v>290</v>
      </c>
      <c r="B96" s="194" t="s">
        <v>26</v>
      </c>
      <c r="C96" s="149" t="s">
        <v>291</v>
      </c>
      <c r="D96" s="150" t="s">
        <v>292</v>
      </c>
      <c r="E96" s="157" t="s">
        <v>51</v>
      </c>
      <c r="F96" s="148"/>
      <c r="G96" s="148"/>
      <c r="H96" s="42">
        <f>2724439.5*3.6/4</f>
        <v>2451995.5500000003</v>
      </c>
      <c r="I96" s="109">
        <v>0.41610000000000003</v>
      </c>
      <c r="J96" s="109">
        <v>0.58389999999999997</v>
      </c>
      <c r="K96" s="156" t="s">
        <v>30</v>
      </c>
      <c r="L96" s="133" t="s">
        <v>31</v>
      </c>
      <c r="M96" s="159">
        <v>43770</v>
      </c>
      <c r="N96" s="159">
        <v>44166</v>
      </c>
      <c r="O96" s="148"/>
      <c r="P96" s="148"/>
      <c r="Q96" s="133" t="s">
        <v>75</v>
      </c>
      <c r="R96" s="203"/>
    </row>
    <row r="97" spans="1:18" s="90" customFormat="1" ht="47.25" x14ac:dyDescent="0.5">
      <c r="A97" s="91" t="s">
        <v>293</v>
      </c>
      <c r="B97" s="194" t="s">
        <v>26</v>
      </c>
      <c r="C97" s="149" t="s">
        <v>294</v>
      </c>
      <c r="D97" s="150" t="s">
        <v>40</v>
      </c>
      <c r="E97" s="157" t="s">
        <v>156</v>
      </c>
      <c r="F97" s="148"/>
      <c r="G97" s="148"/>
      <c r="H97" s="42">
        <f>46666.67*3.6/4</f>
        <v>42000.002999999997</v>
      </c>
      <c r="I97" s="109">
        <v>1</v>
      </c>
      <c r="J97" s="109">
        <v>0</v>
      </c>
      <c r="K97" s="156" t="s">
        <v>41</v>
      </c>
      <c r="L97" s="133" t="s">
        <v>31</v>
      </c>
      <c r="M97" s="159">
        <v>43952</v>
      </c>
      <c r="N97" s="159">
        <v>43983</v>
      </c>
      <c r="O97" s="148"/>
      <c r="P97" s="148"/>
      <c r="Q97" s="133" t="s">
        <v>32</v>
      </c>
      <c r="R97" s="108"/>
    </row>
    <row r="98" spans="1:18" s="90" customFormat="1" ht="78.75" x14ac:dyDescent="0.5">
      <c r="A98" s="101" t="s">
        <v>320</v>
      </c>
      <c r="B98" s="112" t="s">
        <v>112</v>
      </c>
      <c r="C98" s="113" t="s">
        <v>307</v>
      </c>
      <c r="D98" s="112" t="s">
        <v>308</v>
      </c>
      <c r="E98" s="115" t="s">
        <v>53</v>
      </c>
      <c r="F98" s="110"/>
      <c r="G98" s="114"/>
      <c r="H98" s="42">
        <v>300000</v>
      </c>
      <c r="I98" s="109">
        <v>1</v>
      </c>
      <c r="J98" s="109">
        <v>0</v>
      </c>
      <c r="K98" s="110" t="s">
        <v>30</v>
      </c>
      <c r="L98" s="110" t="s">
        <v>115</v>
      </c>
      <c r="M98" s="111">
        <v>43891</v>
      </c>
      <c r="N98" s="111">
        <v>43983</v>
      </c>
      <c r="O98" s="190" t="s">
        <v>326</v>
      </c>
      <c r="P98" s="110"/>
      <c r="Q98" s="133" t="s">
        <v>32</v>
      </c>
      <c r="R98" s="204"/>
    </row>
    <row r="99" spans="1:18" s="27" customFormat="1" ht="15.75" x14ac:dyDescent="0.5">
      <c r="A99" s="18"/>
      <c r="B99" s="151"/>
      <c r="C99" s="117"/>
      <c r="D99" s="151"/>
      <c r="E99" s="151"/>
      <c r="F99" s="154"/>
      <c r="G99" s="137"/>
      <c r="H99" s="152">
        <f>SUM(H76:H98)-H96</f>
        <v>6267482.1029999983</v>
      </c>
      <c r="I99" s="38"/>
      <c r="J99" s="121"/>
      <c r="K99" s="121"/>
      <c r="L99" s="139"/>
      <c r="M99" s="137"/>
      <c r="N99" s="140"/>
      <c r="O99" s="140"/>
      <c r="P99" s="141"/>
      <c r="Q99" s="141"/>
      <c r="R99" s="84"/>
    </row>
    <row r="100" spans="1:18" s="27" customFormat="1" ht="15.75" x14ac:dyDescent="0.5">
      <c r="A100" s="19"/>
      <c r="B100" s="153"/>
      <c r="C100" s="125"/>
      <c r="D100" s="153"/>
      <c r="E100" s="153"/>
      <c r="F100" s="155"/>
      <c r="G100" s="143"/>
      <c r="H100" s="143"/>
      <c r="I100" s="39"/>
      <c r="J100" s="129"/>
      <c r="K100" s="129"/>
      <c r="L100" s="145"/>
      <c r="M100" s="143"/>
      <c r="N100" s="146"/>
      <c r="O100" s="146"/>
      <c r="P100" s="144"/>
      <c r="Q100" s="144"/>
      <c r="R100" s="84"/>
    </row>
    <row r="101" spans="1:18" s="27" customFormat="1" ht="15.75" x14ac:dyDescent="0.5">
      <c r="A101" s="37">
        <v>5</v>
      </c>
      <c r="B101" s="229" t="s">
        <v>206</v>
      </c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84"/>
    </row>
    <row r="102" spans="1:18" s="27" customFormat="1" ht="15.75" x14ac:dyDescent="0.5">
      <c r="A102"/>
      <c r="B102" s="225" t="s">
        <v>43</v>
      </c>
      <c r="C102" s="222" t="s">
        <v>44</v>
      </c>
      <c r="D102" s="222" t="s">
        <v>207</v>
      </c>
      <c r="E102" s="222" t="s">
        <v>328</v>
      </c>
      <c r="F102" s="222" t="s">
        <v>277</v>
      </c>
      <c r="G102" s="218" t="s">
        <v>45</v>
      </c>
      <c r="H102" s="219"/>
      <c r="I102" s="220"/>
      <c r="J102" s="232" t="s">
        <v>208</v>
      </c>
      <c r="K102" s="222" t="s">
        <v>46</v>
      </c>
      <c r="L102" s="222" t="s">
        <v>47</v>
      </c>
      <c r="M102" s="218" t="s">
        <v>48</v>
      </c>
      <c r="N102" s="220"/>
      <c r="O102" s="222" t="s">
        <v>10</v>
      </c>
      <c r="P102" s="217" t="s">
        <v>11</v>
      </c>
      <c r="Q102" s="217" t="s">
        <v>12</v>
      </c>
      <c r="R102" s="84"/>
    </row>
    <row r="103" spans="1:18" s="27" customFormat="1" ht="26.25" x14ac:dyDescent="0.5">
      <c r="A103"/>
      <c r="B103" s="231"/>
      <c r="C103" s="227"/>
      <c r="D103" s="227"/>
      <c r="E103" s="227"/>
      <c r="F103" s="227"/>
      <c r="G103" s="172" t="s">
        <v>19</v>
      </c>
      <c r="H103" s="177" t="s">
        <v>20</v>
      </c>
      <c r="I103" s="178" t="s">
        <v>21</v>
      </c>
      <c r="J103" s="233"/>
      <c r="K103" s="227"/>
      <c r="L103" s="227"/>
      <c r="M103" s="172" t="s">
        <v>209</v>
      </c>
      <c r="N103" s="172" t="s">
        <v>210</v>
      </c>
      <c r="O103" s="227"/>
      <c r="P103" s="228"/>
      <c r="Q103" s="228"/>
      <c r="R103" s="87"/>
    </row>
    <row r="104" spans="1:18" s="27" customFormat="1" ht="47.25" x14ac:dyDescent="0.5">
      <c r="A104" s="41" t="s">
        <v>211</v>
      </c>
      <c r="B104" s="133" t="s">
        <v>26</v>
      </c>
      <c r="C104" s="134" t="s">
        <v>212</v>
      </c>
      <c r="D104" s="156" t="s">
        <v>213</v>
      </c>
      <c r="E104" s="157" t="s">
        <v>214</v>
      </c>
      <c r="F104" s="148"/>
      <c r="G104" s="42">
        <v>35000</v>
      </c>
      <c r="H104" s="158">
        <v>1</v>
      </c>
      <c r="I104" s="156">
        <v>0</v>
      </c>
      <c r="J104" s="150">
        <v>1</v>
      </c>
      <c r="K104" s="156" t="s">
        <v>30</v>
      </c>
      <c r="L104" s="133" t="s">
        <v>31</v>
      </c>
      <c r="M104" s="159">
        <v>44075</v>
      </c>
      <c r="N104" s="159">
        <v>44136</v>
      </c>
      <c r="O104" s="148"/>
      <c r="P104" s="148"/>
      <c r="Q104" s="133" t="s">
        <v>32</v>
      </c>
      <c r="R104" s="84"/>
    </row>
    <row r="105" spans="1:18" s="27" customFormat="1" ht="46.5" hidden="1" customHeight="1" x14ac:dyDescent="0.5">
      <c r="A105" s="80" t="s">
        <v>215</v>
      </c>
      <c r="B105" s="133" t="s">
        <v>26</v>
      </c>
      <c r="C105" s="134" t="s">
        <v>216</v>
      </c>
      <c r="D105" s="156" t="s">
        <v>217</v>
      </c>
      <c r="E105" s="157" t="s">
        <v>214</v>
      </c>
      <c r="F105" s="148"/>
      <c r="G105" s="42"/>
      <c r="H105" s="158">
        <v>0</v>
      </c>
      <c r="I105" s="156">
        <v>0</v>
      </c>
      <c r="J105" s="150">
        <v>1</v>
      </c>
      <c r="K105" s="156" t="s">
        <v>30</v>
      </c>
      <c r="L105" s="133" t="s">
        <v>31</v>
      </c>
      <c r="M105" s="159">
        <v>43617</v>
      </c>
      <c r="N105" s="159">
        <v>43678</v>
      </c>
      <c r="O105" s="148"/>
      <c r="P105" s="148"/>
      <c r="Q105" s="133" t="s">
        <v>246</v>
      </c>
      <c r="R105" s="85"/>
    </row>
    <row r="106" spans="1:18" s="27" customFormat="1" ht="47.25" x14ac:dyDescent="0.5">
      <c r="A106" s="41" t="s">
        <v>218</v>
      </c>
      <c r="B106" s="133" t="s">
        <v>26</v>
      </c>
      <c r="C106" s="134" t="s">
        <v>219</v>
      </c>
      <c r="D106" s="156" t="s">
        <v>201</v>
      </c>
      <c r="E106" s="157" t="s">
        <v>214</v>
      </c>
      <c r="F106" s="148"/>
      <c r="G106" s="42">
        <v>28333.34</v>
      </c>
      <c r="H106" s="158">
        <v>1</v>
      </c>
      <c r="I106" s="156">
        <v>0</v>
      </c>
      <c r="J106" s="150">
        <v>1</v>
      </c>
      <c r="K106" s="156" t="s">
        <v>201</v>
      </c>
      <c r="L106" s="133" t="s">
        <v>31</v>
      </c>
      <c r="M106" s="159">
        <v>43983</v>
      </c>
      <c r="N106" s="159">
        <v>44166</v>
      </c>
      <c r="O106" s="148"/>
      <c r="P106" s="148"/>
      <c r="Q106" s="133" t="s">
        <v>32</v>
      </c>
      <c r="R106" s="84"/>
    </row>
    <row r="107" spans="1:18" s="27" customFormat="1" ht="47.25" x14ac:dyDescent="0.5">
      <c r="A107" s="41" t="s">
        <v>220</v>
      </c>
      <c r="B107" s="133" t="s">
        <v>26</v>
      </c>
      <c r="C107" s="113" t="s">
        <v>221</v>
      </c>
      <c r="D107" s="156" t="s">
        <v>201</v>
      </c>
      <c r="E107" s="157" t="s">
        <v>214</v>
      </c>
      <c r="F107" s="148"/>
      <c r="G107" s="42">
        <v>83333.33</v>
      </c>
      <c r="H107" s="158">
        <v>1</v>
      </c>
      <c r="I107" s="156">
        <v>0</v>
      </c>
      <c r="J107" s="150">
        <v>1</v>
      </c>
      <c r="K107" s="156" t="s">
        <v>201</v>
      </c>
      <c r="L107" s="133" t="s">
        <v>31</v>
      </c>
      <c r="M107" s="159">
        <v>43922</v>
      </c>
      <c r="N107" s="159">
        <v>43983</v>
      </c>
      <c r="O107" s="148"/>
      <c r="P107" s="148"/>
      <c r="Q107" s="133" t="s">
        <v>32</v>
      </c>
      <c r="R107" s="85"/>
    </row>
    <row r="108" spans="1:18" s="27" customFormat="1" ht="47.25" x14ac:dyDescent="0.5">
      <c r="A108" s="41" t="s">
        <v>222</v>
      </c>
      <c r="B108" s="133" t="s">
        <v>26</v>
      </c>
      <c r="C108" s="160" t="s">
        <v>223</v>
      </c>
      <c r="D108" s="156" t="s">
        <v>201</v>
      </c>
      <c r="E108" s="157" t="s">
        <v>214</v>
      </c>
      <c r="F108" s="148"/>
      <c r="G108" s="42">
        <v>3333.33</v>
      </c>
      <c r="H108" s="158">
        <v>1</v>
      </c>
      <c r="I108" s="156">
        <v>0</v>
      </c>
      <c r="J108" s="150">
        <v>1</v>
      </c>
      <c r="K108" s="156" t="s">
        <v>201</v>
      </c>
      <c r="L108" s="133" t="s">
        <v>31</v>
      </c>
      <c r="M108" s="159">
        <v>44197</v>
      </c>
      <c r="N108" s="159">
        <v>44256</v>
      </c>
      <c r="O108" s="148"/>
      <c r="P108" s="148"/>
      <c r="Q108" s="133" t="s">
        <v>32</v>
      </c>
      <c r="R108" s="84"/>
    </row>
    <row r="109" spans="1:18" s="27" customFormat="1" ht="47.25" x14ac:dyDescent="0.5">
      <c r="A109" s="41" t="s">
        <v>300</v>
      </c>
      <c r="B109" s="133" t="s">
        <v>26</v>
      </c>
      <c r="C109" s="113" t="s">
        <v>301</v>
      </c>
      <c r="D109" s="156" t="s">
        <v>106</v>
      </c>
      <c r="E109" s="157" t="s">
        <v>214</v>
      </c>
      <c r="F109" s="148"/>
      <c r="G109" s="42">
        <v>33333.33</v>
      </c>
      <c r="H109" s="158">
        <v>1</v>
      </c>
      <c r="I109" s="156">
        <v>0</v>
      </c>
      <c r="J109" s="150">
        <v>1</v>
      </c>
      <c r="K109" s="156" t="s">
        <v>41</v>
      </c>
      <c r="L109" s="133" t="s">
        <v>31</v>
      </c>
      <c r="M109" s="159">
        <v>43891</v>
      </c>
      <c r="N109" s="159" t="s">
        <v>327</v>
      </c>
      <c r="O109" s="148"/>
      <c r="P109" s="148"/>
      <c r="Q109" s="133" t="s">
        <v>32</v>
      </c>
      <c r="R109" s="85"/>
    </row>
    <row r="110" spans="1:18" s="27" customFormat="1" ht="15.75" x14ac:dyDescent="0.5">
      <c r="A110" s="43"/>
      <c r="B110" s="137"/>
      <c r="C110" s="201"/>
      <c r="D110" s="139"/>
      <c r="E110" s="139"/>
      <c r="F110" s="154"/>
      <c r="G110" s="152">
        <f>SUM(G104:G109)</f>
        <v>183333.32999999996</v>
      </c>
      <c r="H110" s="161"/>
      <c r="I110" s="38"/>
      <c r="J110" s="162"/>
      <c r="K110" s="163"/>
      <c r="L110" s="139"/>
      <c r="M110" s="139"/>
      <c r="N110" s="141"/>
      <c r="O110" s="140"/>
      <c r="P110" s="140"/>
      <c r="Q110" s="137"/>
      <c r="R110" s="84"/>
    </row>
    <row r="111" spans="1:18" s="27" customFormat="1" ht="15.75" x14ac:dyDescent="0.5">
      <c r="A111" s="44"/>
      <c r="B111" s="143"/>
      <c r="C111" s="202"/>
      <c r="D111" s="145"/>
      <c r="E111" s="145"/>
      <c r="F111" s="155"/>
      <c r="G111" s="143"/>
      <c r="H111" s="28"/>
      <c r="I111" s="39"/>
      <c r="J111" s="164"/>
      <c r="K111" s="165"/>
      <c r="L111" s="145"/>
      <c r="M111" s="145"/>
      <c r="N111" s="144"/>
      <c r="O111" s="146"/>
      <c r="P111" s="146"/>
      <c r="Q111" s="143"/>
      <c r="R111" s="84"/>
    </row>
    <row r="112" spans="1:18" s="27" customFormat="1" ht="15.75" x14ac:dyDescent="0.5">
      <c r="A112" s="37">
        <v>6</v>
      </c>
      <c r="B112" s="229" t="s">
        <v>224</v>
      </c>
      <c r="C112" s="230"/>
      <c r="D112" s="230"/>
      <c r="E112" s="230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84"/>
    </row>
    <row r="113" spans="1:18" s="27" customFormat="1" ht="15.75" x14ac:dyDescent="0.5">
      <c r="A113" s="1"/>
      <c r="B113" s="224" t="s">
        <v>43</v>
      </c>
      <c r="C113" s="221" t="s">
        <v>44</v>
      </c>
      <c r="D113" s="221" t="s">
        <v>110</v>
      </c>
      <c r="E113" s="221" t="s">
        <v>328</v>
      </c>
      <c r="F113" s="222" t="s">
        <v>17</v>
      </c>
      <c r="G113" s="222" t="s">
        <v>18</v>
      </c>
      <c r="H113" s="218" t="s">
        <v>45</v>
      </c>
      <c r="I113" s="219"/>
      <c r="J113" s="220"/>
      <c r="K113" s="221" t="s">
        <v>46</v>
      </c>
      <c r="L113" s="221" t="s">
        <v>47</v>
      </c>
      <c r="M113" s="218" t="s">
        <v>48</v>
      </c>
      <c r="N113" s="220"/>
      <c r="O113" s="218" t="s">
        <v>10</v>
      </c>
      <c r="P113" s="216" t="s">
        <v>11</v>
      </c>
      <c r="Q113" s="216" t="s">
        <v>12</v>
      </c>
      <c r="R113" s="84"/>
    </row>
    <row r="114" spans="1:18" s="27" customFormat="1" ht="64.5" customHeight="1" x14ac:dyDescent="0.5">
      <c r="A114" s="1"/>
      <c r="B114" s="225"/>
      <c r="C114" s="222"/>
      <c r="D114" s="222"/>
      <c r="E114" s="222"/>
      <c r="F114" s="226"/>
      <c r="G114" s="226"/>
      <c r="H114" s="172" t="s">
        <v>19</v>
      </c>
      <c r="I114" s="177" t="s">
        <v>20</v>
      </c>
      <c r="J114" s="178" t="s">
        <v>21</v>
      </c>
      <c r="K114" s="222"/>
      <c r="L114" s="222"/>
      <c r="M114" s="172" t="s">
        <v>225</v>
      </c>
      <c r="N114" s="172" t="s">
        <v>24</v>
      </c>
      <c r="O114" s="223"/>
      <c r="P114" s="217"/>
      <c r="Q114" s="217"/>
      <c r="R114" s="87"/>
    </row>
    <row r="115" spans="1:18" s="17" customFormat="1" ht="94.5" x14ac:dyDescent="0.5">
      <c r="A115" s="45" t="s">
        <v>226</v>
      </c>
      <c r="B115" s="133" t="s">
        <v>26</v>
      </c>
      <c r="C115" s="107" t="s">
        <v>299</v>
      </c>
      <c r="D115" s="110" t="s">
        <v>227</v>
      </c>
      <c r="E115" s="107" t="s">
        <v>51</v>
      </c>
      <c r="F115" s="107"/>
      <c r="G115" s="107"/>
      <c r="H115" s="42">
        <f>326000.02*3.6/4</f>
        <v>293400.01800000004</v>
      </c>
      <c r="I115" s="166">
        <v>1</v>
      </c>
      <c r="J115" s="109">
        <v>0</v>
      </c>
      <c r="K115" s="156" t="s">
        <v>228</v>
      </c>
      <c r="L115" s="110" t="s">
        <v>58</v>
      </c>
      <c r="M115" s="111">
        <v>43647</v>
      </c>
      <c r="N115" s="111">
        <v>43770</v>
      </c>
      <c r="O115" s="111" t="s">
        <v>229</v>
      </c>
      <c r="P115" s="107"/>
      <c r="Q115" s="111" t="s">
        <v>32</v>
      </c>
      <c r="R115" s="85"/>
    </row>
    <row r="116" spans="1:18" s="27" customFormat="1" ht="110.25" customHeight="1" x14ac:dyDescent="0.5">
      <c r="A116" s="80" t="s">
        <v>230</v>
      </c>
      <c r="B116" s="133" t="s">
        <v>26</v>
      </c>
      <c r="C116" s="167" t="s">
        <v>231</v>
      </c>
      <c r="D116" s="109" t="s">
        <v>283</v>
      </c>
      <c r="E116" s="107" t="s">
        <v>53</v>
      </c>
      <c r="F116" s="168"/>
      <c r="G116" s="133" t="s">
        <v>280</v>
      </c>
      <c r="H116" s="42">
        <f>162333.37*3.6/4</f>
        <v>146100.033</v>
      </c>
      <c r="I116" s="166">
        <v>1</v>
      </c>
      <c r="J116" s="109">
        <v>0</v>
      </c>
      <c r="K116" s="156" t="s">
        <v>232</v>
      </c>
      <c r="L116" s="110" t="s">
        <v>31</v>
      </c>
      <c r="M116" s="111">
        <v>43647</v>
      </c>
      <c r="N116" s="111">
        <v>44713</v>
      </c>
      <c r="O116" s="107" t="s">
        <v>321</v>
      </c>
      <c r="P116" s="168"/>
      <c r="Q116" s="133" t="s">
        <v>87</v>
      </c>
      <c r="R116" s="108"/>
    </row>
    <row r="117" spans="1:18" s="17" customFormat="1" ht="78.75" x14ac:dyDescent="0.5">
      <c r="A117" s="81" t="s">
        <v>233</v>
      </c>
      <c r="B117" s="110" t="s">
        <v>26</v>
      </c>
      <c r="C117" s="107" t="s">
        <v>234</v>
      </c>
      <c r="D117" s="109" t="s">
        <v>235</v>
      </c>
      <c r="E117" s="107" t="s">
        <v>29</v>
      </c>
      <c r="F117" s="107"/>
      <c r="G117" s="168"/>
      <c r="H117" s="42">
        <f>759166.67*3.6/4</f>
        <v>683250.00300000003</v>
      </c>
      <c r="I117" s="166">
        <v>1</v>
      </c>
      <c r="J117" s="109">
        <v>0</v>
      </c>
      <c r="K117" s="109" t="s">
        <v>236</v>
      </c>
      <c r="L117" s="110" t="s">
        <v>115</v>
      </c>
      <c r="M117" s="111">
        <v>43922</v>
      </c>
      <c r="N117" s="111">
        <v>43983</v>
      </c>
      <c r="O117" s="107" t="s">
        <v>322</v>
      </c>
      <c r="P117" s="107"/>
      <c r="Q117" s="110" t="s">
        <v>32</v>
      </c>
      <c r="R117" s="85"/>
    </row>
    <row r="118" spans="1:18" s="17" customFormat="1" ht="78.75" x14ac:dyDescent="0.5">
      <c r="A118" s="45" t="s">
        <v>237</v>
      </c>
      <c r="B118" s="110" t="s">
        <v>26</v>
      </c>
      <c r="C118" s="167" t="s">
        <v>297</v>
      </c>
      <c r="D118" s="132" t="s">
        <v>238</v>
      </c>
      <c r="E118" s="107" t="s">
        <v>53</v>
      </c>
      <c r="F118" s="107"/>
      <c r="G118" s="107"/>
      <c r="H118" s="42">
        <f>33333.33*3.6/4</f>
        <v>29999.997000000003</v>
      </c>
      <c r="I118" s="166">
        <v>1</v>
      </c>
      <c r="J118" s="109">
        <v>0</v>
      </c>
      <c r="K118" s="132" t="s">
        <v>41</v>
      </c>
      <c r="L118" s="110" t="s">
        <v>31</v>
      </c>
      <c r="M118" s="111">
        <v>43647</v>
      </c>
      <c r="N118" s="111">
        <v>43770</v>
      </c>
      <c r="O118" s="107" t="s">
        <v>322</v>
      </c>
      <c r="P118" s="107"/>
      <c r="Q118" s="110" t="s">
        <v>32</v>
      </c>
      <c r="R118" s="85"/>
    </row>
    <row r="119" spans="1:18" s="27" customFormat="1" ht="47.25" x14ac:dyDescent="0.5">
      <c r="A119" s="41" t="s">
        <v>239</v>
      </c>
      <c r="B119" s="110" t="s">
        <v>26</v>
      </c>
      <c r="C119" s="113" t="s">
        <v>240</v>
      </c>
      <c r="D119" s="156" t="s">
        <v>201</v>
      </c>
      <c r="E119" s="107" t="s">
        <v>29</v>
      </c>
      <c r="F119" s="168"/>
      <c r="G119" s="168"/>
      <c r="H119" s="42">
        <f>16666.67*3.6/4</f>
        <v>15000.002999999999</v>
      </c>
      <c r="I119" s="166">
        <v>1</v>
      </c>
      <c r="J119" s="109">
        <v>0</v>
      </c>
      <c r="K119" s="132" t="s">
        <v>201</v>
      </c>
      <c r="L119" s="110" t="s">
        <v>31</v>
      </c>
      <c r="M119" s="111">
        <v>43891</v>
      </c>
      <c r="N119" s="111">
        <v>43983</v>
      </c>
      <c r="O119" s="107"/>
      <c r="P119" s="168"/>
      <c r="Q119" s="110" t="s">
        <v>32</v>
      </c>
      <c r="R119" s="85"/>
    </row>
    <row r="120" spans="1:18" s="27" customFormat="1" ht="141.75" x14ac:dyDescent="0.5">
      <c r="A120" s="41" t="s">
        <v>296</v>
      </c>
      <c r="B120" s="110" t="s">
        <v>26</v>
      </c>
      <c r="C120" s="113" t="s">
        <v>298</v>
      </c>
      <c r="D120" s="156" t="s">
        <v>35</v>
      </c>
      <c r="E120" s="107" t="s">
        <v>53</v>
      </c>
      <c r="F120" s="168"/>
      <c r="G120" s="168"/>
      <c r="H120" s="42">
        <f>100000*3.6/4</f>
        <v>90000</v>
      </c>
      <c r="I120" s="166">
        <v>1</v>
      </c>
      <c r="J120" s="109">
        <v>0</v>
      </c>
      <c r="K120" s="132" t="s">
        <v>30</v>
      </c>
      <c r="L120" s="110" t="s">
        <v>31</v>
      </c>
      <c r="M120" s="111">
        <v>43922</v>
      </c>
      <c r="N120" s="111">
        <v>44013</v>
      </c>
      <c r="O120" s="107" t="s">
        <v>323</v>
      </c>
      <c r="P120" s="168"/>
      <c r="Q120" s="110" t="s">
        <v>32</v>
      </c>
      <c r="R120" s="85"/>
    </row>
    <row r="121" spans="1:18" ht="18" x14ac:dyDescent="0.45">
      <c r="B121" s="46"/>
      <c r="C121" s="46"/>
      <c r="D121" s="46"/>
      <c r="E121" s="46"/>
      <c r="F121" s="46"/>
      <c r="G121" s="46"/>
      <c r="H121" s="47">
        <f>SUM(H115:H120)</f>
        <v>1257750.054</v>
      </c>
      <c r="I121" s="95"/>
      <c r="J121" s="48"/>
      <c r="K121" s="49"/>
      <c r="L121" s="50"/>
      <c r="M121" s="51"/>
      <c r="N121" s="52"/>
      <c r="O121" s="52"/>
      <c r="P121" s="46"/>
      <c r="Q121" s="46"/>
    </row>
    <row r="122" spans="1:18" ht="18" x14ac:dyDescent="0.55000000000000004">
      <c r="G122" s="82" t="s">
        <v>276</v>
      </c>
      <c r="H122" s="47">
        <v>1000000</v>
      </c>
      <c r="I122" s="46"/>
      <c r="J122" s="53"/>
      <c r="K122" s="50"/>
      <c r="L122" s="54"/>
      <c r="M122" s="51"/>
      <c r="N122" s="52"/>
      <c r="O122" s="52"/>
      <c r="P122" s="46"/>
      <c r="Q122" s="46"/>
    </row>
    <row r="123" spans="1:18" ht="18" x14ac:dyDescent="0.55000000000000004">
      <c r="G123" s="55" t="s">
        <v>241</v>
      </c>
      <c r="H123" s="56">
        <f>SUM(H22+H51+H71+H99+G110+H121+H122)</f>
        <v>44846615.777999997</v>
      </c>
      <c r="I123" s="57"/>
    </row>
    <row r="125" spans="1:18" x14ac:dyDescent="0.45">
      <c r="B125" s="20" t="s">
        <v>265</v>
      </c>
    </row>
    <row r="126" spans="1:18" x14ac:dyDescent="0.45">
      <c r="B126" s="75"/>
      <c r="C126" s="64" t="s">
        <v>242</v>
      </c>
      <c r="M126" s="63"/>
    </row>
    <row r="127" spans="1:18" x14ac:dyDescent="0.45">
      <c r="B127" s="76"/>
      <c r="C127" s="64" t="s">
        <v>243</v>
      </c>
      <c r="M127" s="63"/>
    </row>
    <row r="128" spans="1:18" x14ac:dyDescent="0.45">
      <c r="B128" s="66"/>
      <c r="C128" s="64" t="s">
        <v>266</v>
      </c>
      <c r="M128" s="63"/>
    </row>
    <row r="129" spans="1:15" x14ac:dyDescent="0.45">
      <c r="B129" s="77"/>
      <c r="C129" s="65" t="s">
        <v>278</v>
      </c>
      <c r="M129" s="63"/>
    </row>
    <row r="130" spans="1:15" x14ac:dyDescent="0.45">
      <c r="B130" s="92"/>
      <c r="C130" s="65" t="s">
        <v>273</v>
      </c>
      <c r="M130" s="63"/>
    </row>
    <row r="131" spans="1:15" x14ac:dyDescent="0.45">
      <c r="M131" s="63"/>
    </row>
    <row r="132" spans="1:15" x14ac:dyDescent="0.45">
      <c r="M132" s="63"/>
    </row>
    <row r="133" spans="1:15" x14ac:dyDescent="0.45">
      <c r="M133" s="63"/>
    </row>
    <row r="136" spans="1:15" x14ac:dyDescent="0.45">
      <c r="A136" s="67"/>
      <c r="B136" s="207" t="s">
        <v>244</v>
      </c>
      <c r="C136" s="68" t="s">
        <v>58</v>
      </c>
      <c r="D136" s="69"/>
      <c r="E136" s="69"/>
      <c r="I136" s="70"/>
      <c r="N136" s="60"/>
      <c r="O136" s="60"/>
    </row>
    <row r="137" spans="1:15" x14ac:dyDescent="0.45">
      <c r="A137" s="67"/>
      <c r="B137" s="208"/>
      <c r="C137" s="68" t="s">
        <v>31</v>
      </c>
      <c r="D137" s="69"/>
      <c r="E137" s="69"/>
      <c r="N137" s="60"/>
      <c r="O137" s="60"/>
    </row>
    <row r="138" spans="1:15" x14ac:dyDescent="0.45">
      <c r="A138" s="67"/>
      <c r="B138" s="209"/>
      <c r="C138" s="71" t="s">
        <v>115</v>
      </c>
      <c r="D138" s="69"/>
      <c r="E138" s="69"/>
      <c r="N138" s="60"/>
      <c r="O138" s="60"/>
    </row>
    <row r="139" spans="1:15" x14ac:dyDescent="0.45">
      <c r="A139" s="67"/>
      <c r="B139" s="72"/>
      <c r="C139" s="69"/>
      <c r="D139" s="69"/>
      <c r="E139" s="69"/>
      <c r="N139" s="60"/>
      <c r="O139" s="60"/>
    </row>
    <row r="140" spans="1:15" x14ac:dyDescent="0.45">
      <c r="A140" s="67"/>
      <c r="B140" s="207" t="s">
        <v>12</v>
      </c>
      <c r="C140" s="68" t="s">
        <v>32</v>
      </c>
      <c r="D140" s="69"/>
      <c r="E140" s="69"/>
      <c r="N140" s="60"/>
      <c r="O140" s="60"/>
    </row>
    <row r="141" spans="1:15" x14ac:dyDescent="0.45">
      <c r="A141" s="67"/>
      <c r="B141" s="208"/>
      <c r="C141" s="68" t="s">
        <v>87</v>
      </c>
      <c r="D141" s="69"/>
      <c r="E141" s="69"/>
      <c r="N141" s="60"/>
      <c r="O141" s="60"/>
    </row>
    <row r="142" spans="1:15" x14ac:dyDescent="0.45">
      <c r="A142" s="67"/>
      <c r="B142" s="208"/>
      <c r="C142" s="68" t="s">
        <v>245</v>
      </c>
      <c r="D142" s="69"/>
      <c r="E142" s="69"/>
      <c r="N142" s="60"/>
      <c r="O142" s="60"/>
    </row>
    <row r="143" spans="1:15" x14ac:dyDescent="0.45">
      <c r="A143" s="67"/>
      <c r="B143" s="208"/>
      <c r="C143" s="68" t="s">
        <v>246</v>
      </c>
      <c r="D143" s="69"/>
      <c r="E143" s="69"/>
      <c r="N143" s="60"/>
      <c r="O143" s="60"/>
    </row>
    <row r="144" spans="1:15" x14ac:dyDescent="0.45">
      <c r="A144" s="67"/>
      <c r="B144" s="208"/>
      <c r="C144" s="68" t="s">
        <v>247</v>
      </c>
      <c r="D144" s="69"/>
      <c r="E144" s="69"/>
      <c r="N144" s="60"/>
      <c r="O144" s="60"/>
    </row>
    <row r="145" spans="1:15" x14ac:dyDescent="0.45">
      <c r="A145" s="67"/>
      <c r="B145" s="208"/>
      <c r="C145" s="68" t="s">
        <v>248</v>
      </c>
      <c r="D145" s="69"/>
      <c r="E145" s="69"/>
      <c r="N145" s="60"/>
      <c r="O145" s="60"/>
    </row>
    <row r="146" spans="1:15" x14ac:dyDescent="0.45">
      <c r="A146" s="67"/>
      <c r="B146" s="208"/>
      <c r="C146" s="68" t="s">
        <v>75</v>
      </c>
      <c r="D146" s="69"/>
      <c r="E146" s="69"/>
      <c r="N146" s="60"/>
      <c r="O146" s="60"/>
    </row>
    <row r="147" spans="1:15" x14ac:dyDescent="0.45">
      <c r="A147" s="67"/>
      <c r="B147" s="209"/>
      <c r="C147" s="68" t="s">
        <v>249</v>
      </c>
      <c r="D147" s="69"/>
      <c r="E147" s="69"/>
      <c r="N147" s="60"/>
      <c r="O147" s="60"/>
    </row>
    <row r="148" spans="1:15" x14ac:dyDescent="0.45">
      <c r="A148" s="67"/>
      <c r="B148" s="72"/>
      <c r="C148" s="69"/>
      <c r="D148" s="69"/>
      <c r="E148" s="69"/>
      <c r="N148" s="60"/>
      <c r="O148" s="60"/>
    </row>
    <row r="149" spans="1:15" x14ac:dyDescent="0.45">
      <c r="A149" s="67"/>
      <c r="B149" s="210" t="s">
        <v>250</v>
      </c>
      <c r="C149" s="211" t="s">
        <v>251</v>
      </c>
      <c r="D149" s="68" t="s">
        <v>159</v>
      </c>
      <c r="E149" s="73"/>
      <c r="N149" s="60"/>
      <c r="O149" s="60"/>
    </row>
    <row r="150" spans="1:15" x14ac:dyDescent="0.45">
      <c r="A150" s="67"/>
      <c r="B150" s="210"/>
      <c r="C150" s="211"/>
      <c r="D150" s="68" t="s">
        <v>170</v>
      </c>
      <c r="E150" s="73"/>
      <c r="N150" s="60"/>
      <c r="O150" s="60"/>
    </row>
    <row r="151" spans="1:15" x14ac:dyDescent="0.45">
      <c r="A151" s="67"/>
      <c r="B151" s="210"/>
      <c r="C151" s="211"/>
      <c r="D151" s="68" t="s">
        <v>156</v>
      </c>
      <c r="E151" s="73"/>
      <c r="N151" s="60"/>
      <c r="O151" s="60"/>
    </row>
    <row r="152" spans="1:15" x14ac:dyDescent="0.45">
      <c r="A152" s="67"/>
      <c r="B152" s="210"/>
      <c r="C152" s="211"/>
      <c r="D152" s="68" t="s">
        <v>53</v>
      </c>
      <c r="E152" s="73"/>
      <c r="N152" s="60"/>
      <c r="O152" s="60"/>
    </row>
    <row r="153" spans="1:15" x14ac:dyDescent="0.45">
      <c r="A153" s="67"/>
      <c r="B153" s="210"/>
      <c r="C153" s="211"/>
      <c r="D153" s="68" t="s">
        <v>51</v>
      </c>
      <c r="E153" s="73"/>
      <c r="N153" s="60"/>
      <c r="O153" s="60"/>
    </row>
    <row r="154" spans="1:15" x14ac:dyDescent="0.45">
      <c r="A154" s="67"/>
      <c r="B154" s="210"/>
      <c r="C154" s="211"/>
      <c r="D154" s="68" t="s">
        <v>252</v>
      </c>
      <c r="E154" s="73"/>
      <c r="N154" s="60"/>
      <c r="O154" s="60"/>
    </row>
    <row r="155" spans="1:15" x14ac:dyDescent="0.45">
      <c r="A155" s="67"/>
      <c r="B155" s="210"/>
      <c r="C155" s="211"/>
      <c r="D155" s="68" t="s">
        <v>253</v>
      </c>
      <c r="E155" s="73"/>
      <c r="N155" s="60"/>
      <c r="O155" s="60"/>
    </row>
    <row r="156" spans="1:15" x14ac:dyDescent="0.45">
      <c r="A156" s="67"/>
      <c r="B156" s="210"/>
      <c r="C156" s="212" t="s">
        <v>254</v>
      </c>
      <c r="D156" s="68" t="s">
        <v>136</v>
      </c>
      <c r="E156" s="73"/>
      <c r="N156" s="60"/>
      <c r="O156" s="60"/>
    </row>
    <row r="157" spans="1:15" x14ac:dyDescent="0.45">
      <c r="A157" s="67"/>
      <c r="B157" s="210"/>
      <c r="C157" s="212"/>
      <c r="D157" s="68" t="s">
        <v>255</v>
      </c>
      <c r="E157" s="73"/>
      <c r="N157" s="60"/>
      <c r="O157" s="60"/>
    </row>
    <row r="158" spans="1:15" x14ac:dyDescent="0.45">
      <c r="A158" s="67"/>
      <c r="B158" s="210"/>
      <c r="C158" s="212"/>
      <c r="D158" s="68" t="s">
        <v>29</v>
      </c>
      <c r="E158" s="73"/>
      <c r="N158" s="60"/>
      <c r="O158" s="60"/>
    </row>
    <row r="159" spans="1:15" x14ac:dyDescent="0.45">
      <c r="A159" s="67"/>
      <c r="B159" s="210"/>
      <c r="C159" s="212"/>
      <c r="D159" s="68" t="s">
        <v>53</v>
      </c>
      <c r="E159" s="73"/>
      <c r="N159" s="60"/>
      <c r="O159" s="60"/>
    </row>
    <row r="160" spans="1:15" x14ac:dyDescent="0.45">
      <c r="A160" s="67"/>
      <c r="B160" s="210"/>
      <c r="C160" s="212"/>
      <c r="D160" s="68" t="s">
        <v>51</v>
      </c>
      <c r="E160" s="73"/>
      <c r="N160" s="60"/>
      <c r="O160" s="60"/>
    </row>
    <row r="161" spans="1:15" x14ac:dyDescent="0.45">
      <c r="A161" s="67"/>
      <c r="B161" s="210"/>
      <c r="C161" s="212"/>
      <c r="D161" s="68" t="s">
        <v>256</v>
      </c>
      <c r="E161" s="73"/>
      <c r="N161" s="60"/>
      <c r="O161" s="60"/>
    </row>
    <row r="162" spans="1:15" x14ac:dyDescent="0.45">
      <c r="A162" s="67"/>
      <c r="B162" s="210"/>
      <c r="C162" s="212"/>
      <c r="D162" s="68" t="s">
        <v>257</v>
      </c>
      <c r="E162" s="73"/>
      <c r="N162" s="60"/>
      <c r="O162" s="60"/>
    </row>
    <row r="163" spans="1:15" x14ac:dyDescent="0.45">
      <c r="A163" s="67"/>
      <c r="B163" s="210"/>
      <c r="C163" s="212"/>
      <c r="D163" s="68" t="s">
        <v>258</v>
      </c>
      <c r="E163" s="73"/>
      <c r="N163" s="60"/>
      <c r="O163" s="60"/>
    </row>
    <row r="164" spans="1:15" x14ac:dyDescent="0.45">
      <c r="A164" s="67"/>
      <c r="B164" s="210"/>
      <c r="C164" s="212"/>
      <c r="D164" s="68" t="s">
        <v>259</v>
      </c>
      <c r="E164" s="73"/>
      <c r="N164" s="60"/>
      <c r="O164" s="60"/>
    </row>
    <row r="165" spans="1:15" x14ac:dyDescent="0.45">
      <c r="A165" s="67"/>
      <c r="B165" s="210"/>
      <c r="C165" s="212"/>
      <c r="D165" s="68" t="s">
        <v>260</v>
      </c>
      <c r="E165" s="73"/>
      <c r="N165" s="60"/>
      <c r="O165" s="60"/>
    </row>
    <row r="166" spans="1:15" x14ac:dyDescent="0.45">
      <c r="A166" s="67"/>
      <c r="B166" s="210"/>
      <c r="C166" s="213" t="s">
        <v>261</v>
      </c>
      <c r="D166" s="68" t="s">
        <v>214</v>
      </c>
      <c r="E166" s="73"/>
      <c r="N166" s="60"/>
      <c r="O166" s="60"/>
    </row>
    <row r="167" spans="1:15" x14ac:dyDescent="0.45">
      <c r="A167" s="67"/>
      <c r="B167" s="210"/>
      <c r="C167" s="214"/>
      <c r="D167" s="68" t="s">
        <v>53</v>
      </c>
      <c r="E167" s="73"/>
      <c r="N167" s="60"/>
      <c r="O167" s="60"/>
    </row>
    <row r="168" spans="1:15" x14ac:dyDescent="0.45">
      <c r="A168" s="67"/>
      <c r="B168" s="210"/>
      <c r="C168" s="215"/>
      <c r="D168" s="68" t="s">
        <v>51</v>
      </c>
      <c r="E168" s="73"/>
      <c r="N168" s="60"/>
      <c r="O168" s="60"/>
    </row>
  </sheetData>
  <mergeCells count="115">
    <mergeCell ref="O41:O42"/>
    <mergeCell ref="P41:P42"/>
    <mergeCell ref="Q27:Q28"/>
    <mergeCell ref="H13:J13"/>
    <mergeCell ref="K13:K14"/>
    <mergeCell ref="M13:N13"/>
    <mergeCell ref="O13:O14"/>
    <mergeCell ref="P13:P14"/>
    <mergeCell ref="Q13:Q14"/>
    <mergeCell ref="B24:Q24"/>
    <mergeCell ref="B25:B26"/>
    <mergeCell ref="C25:C26"/>
    <mergeCell ref="D25:D26"/>
    <mergeCell ref="E25:E26"/>
    <mergeCell ref="F25:F26"/>
    <mergeCell ref="G25:G26"/>
    <mergeCell ref="H25:J25"/>
    <mergeCell ref="K25:K26"/>
    <mergeCell ref="L25:L26"/>
    <mergeCell ref="M25:N25"/>
    <mergeCell ref="O25:O26"/>
    <mergeCell ref="P25:P26"/>
    <mergeCell ref="Q25:Q26"/>
    <mergeCell ref="J27:J28"/>
    <mergeCell ref="A41:A42"/>
    <mergeCell ref="B41:B42"/>
    <mergeCell ref="C41:C42"/>
    <mergeCell ref="D41:D42"/>
    <mergeCell ref="E41:E42"/>
    <mergeCell ref="F41:F42"/>
    <mergeCell ref="H41:H42"/>
    <mergeCell ref="I41:I42"/>
    <mergeCell ref="J41:J42"/>
    <mergeCell ref="G41:G42"/>
    <mergeCell ref="K27:K28"/>
    <mergeCell ref="L27:L28"/>
    <mergeCell ref="M27:M28"/>
    <mergeCell ref="N27:N28"/>
    <mergeCell ref="P27:P28"/>
    <mergeCell ref="A27:A28"/>
    <mergeCell ref="B27:B28"/>
    <mergeCell ref="D27:D28"/>
    <mergeCell ref="F27:F28"/>
    <mergeCell ref="G27:G28"/>
    <mergeCell ref="I27:I28"/>
    <mergeCell ref="C27:C28"/>
    <mergeCell ref="H27:H28"/>
    <mergeCell ref="O27:O28"/>
    <mergeCell ref="E27:E28"/>
    <mergeCell ref="N41:N42"/>
    <mergeCell ref="K41:K42"/>
    <mergeCell ref="L41:L42"/>
    <mergeCell ref="M41:M42"/>
    <mergeCell ref="B73:Q73"/>
    <mergeCell ref="B74:B75"/>
    <mergeCell ref="C74:C75"/>
    <mergeCell ref="D74:D75"/>
    <mergeCell ref="E74:E75"/>
    <mergeCell ref="F74:G74"/>
    <mergeCell ref="B53:Q53"/>
    <mergeCell ref="B54:B55"/>
    <mergeCell ref="C54:C55"/>
    <mergeCell ref="D54:D55"/>
    <mergeCell ref="E54:E55"/>
    <mergeCell ref="F54:F55"/>
    <mergeCell ref="G54:G55"/>
    <mergeCell ref="H54:J54"/>
    <mergeCell ref="K54:K55"/>
    <mergeCell ref="L54:L55"/>
    <mergeCell ref="M54:N54"/>
    <mergeCell ref="O54:O55"/>
    <mergeCell ref="P54:P55"/>
    <mergeCell ref="Q54:Q55"/>
    <mergeCell ref="Q102:Q103"/>
    <mergeCell ref="B112:Q112"/>
    <mergeCell ref="Q74:Q75"/>
    <mergeCell ref="B101:Q101"/>
    <mergeCell ref="B102:B103"/>
    <mergeCell ref="C102:C103"/>
    <mergeCell ref="D102:D103"/>
    <mergeCell ref="E102:E103"/>
    <mergeCell ref="F102:F103"/>
    <mergeCell ref="G102:I102"/>
    <mergeCell ref="J102:J103"/>
    <mergeCell ref="K102:K103"/>
    <mergeCell ref="H74:J74"/>
    <mergeCell ref="K74:K75"/>
    <mergeCell ref="L74:L75"/>
    <mergeCell ref="M74:N74"/>
    <mergeCell ref="O74:O75"/>
    <mergeCell ref="P74:P75"/>
    <mergeCell ref="Q41:Q42"/>
    <mergeCell ref="B136:B138"/>
    <mergeCell ref="B140:B147"/>
    <mergeCell ref="B149:B168"/>
    <mergeCell ref="C149:C155"/>
    <mergeCell ref="C156:C165"/>
    <mergeCell ref="C166:C168"/>
    <mergeCell ref="Q113:Q114"/>
    <mergeCell ref="H113:J113"/>
    <mergeCell ref="K113:K114"/>
    <mergeCell ref="L113:L114"/>
    <mergeCell ref="M113:N113"/>
    <mergeCell ref="O113:O114"/>
    <mergeCell ref="P113:P114"/>
    <mergeCell ref="B113:B114"/>
    <mergeCell ref="C113:C114"/>
    <mergeCell ref="D113:D114"/>
    <mergeCell ref="E113:E114"/>
    <mergeCell ref="F113:F114"/>
    <mergeCell ref="G113:G114"/>
    <mergeCell ref="L102:L103"/>
    <mergeCell ref="M102:N102"/>
    <mergeCell ref="O102:O103"/>
    <mergeCell ref="P102:P103"/>
  </mergeCells>
  <dataValidations count="10">
    <dataValidation type="list" allowBlank="1" showInputMessage="1" showErrorMessage="1" sqref="N110:N111 L104:L109 L29:L41 M22:M26 L43:L45 L115:L120 M99:M103 L15:L21 M71:M75 M51:M55 L76:L98 L27 L47:L50 L56:L70" xr:uid="{00000000-0002-0000-0000-000000000000}">
      <formula1>$C$136:$C$138</formula1>
    </dataValidation>
    <dataValidation type="list" allowBlank="1" showInputMessage="1" showErrorMessage="1" sqref="F121 M121:M122 M99:M103 L92:L97 L70" xr:uid="{00000000-0002-0000-0000-000001000000}">
      <formula1>#REF!</formula1>
    </dataValidation>
    <dataValidation type="list" allowBlank="1" showInputMessage="1" showErrorMessage="1" sqref="F71:F75 F99:F101 E76:E98 E60:E63 E56:E57 E65:E70" xr:uid="{00000000-0002-0000-0000-000002000000}">
      <formula1>$D$149:$D$155</formula1>
    </dataValidation>
    <dataValidation type="list" allowBlank="1" showInputMessage="1" showErrorMessage="1" sqref="F22:F26 E118:E120 E98 E15:E21 E61 E43:E45 F71:F75 F51:F55 E47:E50 E115 E64:E69 E27 E29:E41" xr:uid="{00000000-0002-0000-0000-000003000000}">
      <formula1>$D$156:$D$165</formula1>
    </dataValidation>
    <dataValidation type="list" allowBlank="1" showInputMessage="1" showErrorMessage="1" sqref="Q27 Q43:Q45 Q29:Q41 Q47:Q50 Q115:Q120 Q76:Q98 Q104:Q109 Q15:Q21 Q56:Q70" xr:uid="{00000000-0002-0000-0000-000004000000}">
      <formula1>$C$140:$C$147</formula1>
    </dataValidation>
    <dataValidation type="list" allowBlank="1" showInputMessage="1" showErrorMessage="1" sqref="E58:E59" xr:uid="{00000000-0002-0000-0000-000005000000}">
      <formula1>$D$65:$D$67</formula1>
    </dataValidation>
    <dataValidation type="list" allowBlank="1" showInputMessage="1" showErrorMessage="1" sqref="M99:M103 L92:L97 L70" xr:uid="{00000000-0002-0000-0000-000006000000}">
      <formula1>$C$200:$C$202</formula1>
    </dataValidation>
    <dataValidation type="list" allowBlank="1" showInputMessage="1" showErrorMessage="1" sqref="L46" xr:uid="{00000000-0002-0000-0000-000007000000}">
      <formula1>$C$126:$C$127</formula1>
    </dataValidation>
    <dataValidation type="list" allowBlank="1" showInputMessage="1" showErrorMessage="1" sqref="Q46" xr:uid="{00000000-0002-0000-0000-000008000000}">
      <formula1>$C$127:$C$131</formula1>
    </dataValidation>
    <dataValidation type="list" allowBlank="1" showInputMessage="1" showErrorMessage="1" sqref="E46" xr:uid="{00000000-0002-0000-0000-000009000000}">
      <formula1>$D$132:$D$134</formula1>
    </dataValidation>
  </dataValidations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5681" ma:contentTypeDescription="A content type to manage public (operations) IDB documents" ma:contentTypeScope="" ma:versionID="6df33e53e534c7d7ad515b2a6e7d0f0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68c30b014d62284f520f31ac912197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I-CSC/CBR-339/2020-A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4460/OC-BR;</Approval_x0020_Number>
    <Phase xmlns="cdc7663a-08f0-4737-9e8c-148ce897a09c" xsi:nil="true"/>
    <Document_x0020_Author xmlns="cdc7663a-08f0-4737-9e8c-148ce897a09c">Da Cruz,Adriana Almeida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 xsi:nil="true"/>
    <_dlc_DocId xmlns="cdc7663a-08f0-4737-9e8c-148ce897a09c">EZSHARE-1866588283-56</_dlc_DocId>
    <_dlc_DocIdUrl xmlns="cdc7663a-08f0-4737-9e8c-148ce897a09c">
      <Url>https://idbg.sharepoint.com/teams/EZ-BR-LON/BR-L1498/_layouts/15/DocIdRedir.aspx?ID=EZSHARE-1866588283-56</Url>
      <Description>EZSHARE-1866588283-56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9B3D3E0-2B6F-44B3-AFE8-BBE8CED08340}"/>
</file>

<file path=customXml/itemProps2.xml><?xml version="1.0" encoding="utf-8"?>
<ds:datastoreItem xmlns:ds="http://schemas.openxmlformats.org/officeDocument/2006/customXml" ds:itemID="{E6A21BF3-2192-4650-A43C-46A365691431}"/>
</file>

<file path=customXml/itemProps3.xml><?xml version="1.0" encoding="utf-8"?>
<ds:datastoreItem xmlns:ds="http://schemas.openxmlformats.org/officeDocument/2006/customXml" ds:itemID="{3762D1D8-19E4-4E93-8604-C525CA3AAF7F}"/>
</file>

<file path=customXml/itemProps4.xml><?xml version="1.0" encoding="utf-8"?>
<ds:datastoreItem xmlns:ds="http://schemas.openxmlformats.org/officeDocument/2006/customXml" ds:itemID="{0FEE9691-75FB-4BF3-A62D-9BB50F14B377}"/>
</file>

<file path=customXml/itemProps5.xml><?xml version="1.0" encoding="utf-8"?>
<ds:datastoreItem xmlns:ds="http://schemas.openxmlformats.org/officeDocument/2006/customXml" ds:itemID="{C34A7A8C-60CD-4CEA-AE43-E5207E4CAFA6}"/>
</file>

<file path=customXml/itemProps6.xml><?xml version="1.0" encoding="utf-8"?>
<ds:datastoreItem xmlns:ds="http://schemas.openxmlformats.org/officeDocument/2006/customXml" ds:itemID="{AF479EDE-A8FE-40FD-854A-AFDF7FB7E4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comentado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Lyvia Adriana dos S. R. Andrade</dc:creator>
  <cp:keywords/>
  <cp:lastModifiedBy>Da Cruz, Adriana Almeida</cp:lastModifiedBy>
  <cp:lastPrinted>2019-07-01T12:42:38Z</cp:lastPrinted>
  <dcterms:created xsi:type="dcterms:W3CDTF">2019-06-07T11:07:46Z</dcterms:created>
  <dcterms:modified xsi:type="dcterms:W3CDTF">2020-02-11T20:08:50Z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Fund IDB">
    <vt:lpwstr/>
  </property>
  <property fmtid="{D5CDD505-2E9C-101B-9397-08002B2CF9AE}" pid="8" name="Country">
    <vt:lpwstr/>
  </property>
  <property fmtid="{D5CDD505-2E9C-101B-9397-08002B2CF9AE}" pid="9" name="Sector IDB">
    <vt:lpwstr/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4904032d-3e70-426a-8d28-1c98beda12d2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0x0101001A458A224826124E8B45B1D613300CFC00FB45108C44143349886529D8908F02D8</vt:lpwstr>
  </property>
</Properties>
</file>