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sharedStrings.xml" ContentType="application/vnd.openxmlformats-officedocument.spreadsheetml.sharedStrings+xml"/>
  <Override PartName="/xl/worksheets/sheet20.xml" ContentType="application/vnd.openxmlformats-officedocument.spreadsheetml.worksheet+xml"/>
  <Override PartName="/xl/worksheets/sheet18.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9.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omments3.xml" ContentType="application/vnd.openxmlformats-officedocument.spreadsheetml.comment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comments4.xml" ContentType="application/vnd.openxmlformats-officedocument.spreadsheetml.comment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55" windowWidth="15120" windowHeight="7815"/>
  </bookViews>
  <sheets>
    <sheet name="TOTAL" sheetId="1" r:id="rId1"/>
    <sheet name="1.1. Infrastruct. construites" sheetId="12" r:id="rId2"/>
    <sheet name="1.2. Infrastruct. équipées" sheetId="13" r:id="rId3"/>
    <sheet name="1.3. Procédures-Manuels-Plans" sheetId="11" r:id="rId4"/>
    <sheet name="1.4. Recouvrement coûts " sheetId="14" r:id="rId5"/>
    <sheet name="1.5. Système d'information" sheetId="10" r:id="rId6"/>
    <sheet name="2.1. Liste pestes et maladies" sheetId="2" r:id="rId7"/>
    <sheet name="2.2. Réseau GSBP formés" sheetId="38" r:id="rId8"/>
    <sheet name="2.3. Bulletin épidémio vég" sheetId="39" r:id="rId9"/>
    <sheet name="2.4. Mouche des Fruits" sheetId="4" r:id="rId10"/>
    <sheet name="2.4b. MdF Calculs" sheetId="30" r:id="rId11"/>
    <sheet name="2.5. Fourmi folle" sheetId="24" r:id="rId12"/>
    <sheet name="2.5b. FF Calculs" sheetId="31" r:id="rId13"/>
    <sheet name="2.6. Labo DPV construit-équipé" sheetId="6" r:id="rId14"/>
    <sheet name="2.7. Plans-Protoc labo DPV" sheetId="40" r:id="rId15"/>
    <sheet name="2.8. Personnel labo DPV formé" sheetId="41" r:id="rId16"/>
    <sheet name="2.9. Analyse de risques" sheetId="7" r:id="rId17"/>
    <sheet name="3.1. GSB formés" sheetId="20" r:id="rId18"/>
    <sheet name="3.2. Echantillons collectés" sheetId="33" r:id="rId19"/>
    <sheet name="3.3. Enquêtes épidémio" sheetId="34" r:id="rId20"/>
    <sheet name="3.4. Bulletins épidémio" sheetId="35" r:id="rId21"/>
    <sheet name="3.5. Paraprof privés formés" sheetId="27" r:id="rId22"/>
    <sheet name="3.6. Anx vaccinés PPC-Teschen" sheetId="36" r:id="rId23"/>
    <sheet name="3.7. Services - Unités Froid" sheetId="37" r:id="rId24"/>
    <sheet name="3.8. Analyse Risques" sheetId="28" r:id="rId25"/>
    <sheet name="3.9. Système Acrréditation" sheetId="26" r:id="rId26"/>
    <sheet name="Prof privés-publics formés" sheetId="25" state="hidden" r:id="rId27"/>
    <sheet name="4.1. Infrastructure LVCQAT" sheetId="16" r:id="rId28"/>
    <sheet name="4.2. LVCQAT équipé" sheetId="17" r:id="rId29"/>
    <sheet name="4.3. Procédures LVCQAT" sheetId="18" r:id="rId30"/>
    <sheet name="4.4. Personnel LVCQAT formé" sheetId="19" r:id="rId31"/>
    <sheet name="Suivi-Evaluation-Audit" sheetId="22" r:id="rId32"/>
    <sheet name="Administration" sheetId="23" r:id="rId33"/>
  </sheets>
  <definedNames>
    <definedName name="Qté_pièges__80__du_total" localSheetId="10">'2.4b. MdF Calculs'!#REF!</definedName>
    <definedName name="Qté_pièges__80__du_total">'2.4. Mouche des Fruits'!$C$28</definedName>
  </definedNames>
  <calcPr calcId="145621"/>
</workbook>
</file>

<file path=xl/calcChain.xml><?xml version="1.0" encoding="utf-8"?>
<calcChain xmlns="http://schemas.openxmlformats.org/spreadsheetml/2006/main">
  <c r="Q7" i="10" l="1"/>
  <c r="P7" i="10"/>
  <c r="O7" i="10"/>
  <c r="R7" i="10"/>
  <c r="R8" i="10"/>
  <c r="R6" i="10"/>
  <c r="Q6" i="10"/>
  <c r="P6" i="10"/>
  <c r="O6" i="10"/>
  <c r="N6" i="10"/>
  <c r="Q7" i="12"/>
  <c r="O7" i="12"/>
  <c r="N7" i="12"/>
  <c r="R7" i="12"/>
  <c r="R8" i="12"/>
  <c r="R6" i="12"/>
  <c r="R8" i="13"/>
  <c r="R9" i="13"/>
  <c r="R10" i="13"/>
  <c r="R11" i="13"/>
  <c r="R12" i="13"/>
  <c r="R13" i="13"/>
  <c r="R14" i="13"/>
  <c r="R15" i="13"/>
  <c r="R16" i="13"/>
  <c r="R17" i="13"/>
  <c r="R18" i="13"/>
  <c r="R19" i="13"/>
  <c r="R20" i="13"/>
  <c r="R21" i="13"/>
  <c r="R22" i="13"/>
  <c r="R23" i="13"/>
  <c r="R24" i="13"/>
  <c r="R25" i="13"/>
  <c r="R26" i="13"/>
  <c r="R27" i="13"/>
  <c r="R28" i="13"/>
  <c r="R29" i="13"/>
  <c r="R30" i="13"/>
  <c r="R31" i="13"/>
  <c r="R32" i="13"/>
  <c r="R33" i="13"/>
  <c r="R34" i="13"/>
  <c r="R35" i="13"/>
  <c r="R36" i="13"/>
  <c r="R37" i="13"/>
  <c r="R38" i="13"/>
  <c r="R39" i="13"/>
  <c r="R40" i="13"/>
  <c r="R41" i="13"/>
  <c r="R42" i="13"/>
  <c r="R43" i="13"/>
  <c r="R44" i="13"/>
  <c r="R45" i="13"/>
  <c r="R46" i="13"/>
  <c r="R47" i="13"/>
  <c r="R7" i="13"/>
  <c r="N11" i="13"/>
  <c r="M11" i="13"/>
  <c r="O11" i="13"/>
  <c r="M7" i="13"/>
  <c r="R7" i="11"/>
  <c r="R8" i="11"/>
  <c r="R9" i="11"/>
  <c r="R10" i="11"/>
  <c r="R6" i="11"/>
  <c r="M7" i="11"/>
  <c r="M8" i="11"/>
  <c r="M9" i="11"/>
  <c r="M10" i="11"/>
  <c r="M6" i="11"/>
  <c r="R7" i="14"/>
  <c r="R6" i="14"/>
  <c r="Q6" i="14"/>
  <c r="P6" i="14"/>
  <c r="O6" i="14"/>
  <c r="N6" i="14"/>
  <c r="M6" i="14"/>
  <c r="R9" i="2"/>
  <c r="R10" i="2"/>
  <c r="R11" i="2"/>
  <c r="R12" i="2"/>
  <c r="R13" i="2"/>
  <c r="R14" i="2"/>
  <c r="R15" i="2"/>
  <c r="R16" i="2"/>
  <c r="R17" i="2"/>
  <c r="R8" i="2"/>
  <c r="N8" i="2"/>
  <c r="O9" i="2"/>
  <c r="N9" i="2"/>
  <c r="N12" i="2"/>
  <c r="N13" i="2"/>
  <c r="N14" i="2"/>
  <c r="N15" i="2"/>
  <c r="N16" i="2"/>
  <c r="N17" i="2"/>
  <c r="N11" i="2"/>
  <c r="R7" i="38"/>
  <c r="R8" i="38"/>
  <c r="R9" i="38"/>
  <c r="R6" i="38"/>
  <c r="O9" i="38"/>
  <c r="P9" i="38"/>
  <c r="Q9" i="38"/>
  <c r="N9" i="38"/>
  <c r="N8" i="38"/>
  <c r="N6" i="38"/>
  <c r="R6" i="39"/>
  <c r="Q6" i="39"/>
  <c r="P6" i="39"/>
  <c r="N9" i="4"/>
  <c r="N8" i="4"/>
  <c r="O9" i="4"/>
  <c r="R9" i="4" s="1"/>
  <c r="O8" i="4"/>
  <c r="R7" i="4"/>
  <c r="M9" i="4"/>
  <c r="M8" i="4"/>
  <c r="M7" i="4"/>
  <c r="M19" i="24"/>
  <c r="P19" i="24" s="1"/>
  <c r="N19" i="24"/>
  <c r="R19" i="24" s="1"/>
  <c r="O19" i="24"/>
  <c r="M18" i="24"/>
  <c r="N18" i="24"/>
  <c r="O18" i="24"/>
  <c r="P18" i="24"/>
  <c r="R7" i="24"/>
  <c r="R8" i="24"/>
  <c r="R9" i="24"/>
  <c r="R10" i="24"/>
  <c r="R11" i="24"/>
  <c r="R12" i="24"/>
  <c r="R13" i="24"/>
  <c r="R14" i="24"/>
  <c r="R15" i="24"/>
  <c r="R16" i="24"/>
  <c r="R17" i="24"/>
  <c r="R18" i="24"/>
  <c r="R6" i="24"/>
  <c r="P17" i="24"/>
  <c r="O17" i="24"/>
  <c r="N17" i="24"/>
  <c r="M17" i="24"/>
  <c r="N16" i="24"/>
  <c r="M12" i="24"/>
  <c r="M13" i="24"/>
  <c r="M14" i="24"/>
  <c r="M15" i="24"/>
  <c r="M11" i="24"/>
  <c r="N10" i="24"/>
  <c r="M10" i="24"/>
  <c r="N9" i="24"/>
  <c r="O9" i="24"/>
  <c r="O8" i="24"/>
  <c r="N8" i="24"/>
  <c r="N6" i="24"/>
  <c r="M6" i="24"/>
  <c r="M7" i="24"/>
  <c r="R9" i="6"/>
  <c r="R8" i="6"/>
  <c r="N9" i="6"/>
  <c r="N8" i="6"/>
  <c r="R7" i="40"/>
  <c r="R8" i="40"/>
  <c r="R6" i="40"/>
  <c r="R7" i="41"/>
  <c r="N7" i="41"/>
  <c r="R10" i="7"/>
  <c r="R11" i="7"/>
  <c r="R12" i="7"/>
  <c r="R13" i="7"/>
  <c r="R9" i="7"/>
  <c r="O9" i="7"/>
  <c r="R6" i="20"/>
  <c r="N9" i="33"/>
  <c r="O9" i="33"/>
  <c r="P9" i="33"/>
  <c r="Q9" i="33"/>
  <c r="M9" i="33"/>
  <c r="R8" i="33"/>
  <c r="R7" i="33"/>
  <c r="N8" i="33"/>
  <c r="O8" i="33"/>
  <c r="M8" i="33"/>
  <c r="M7" i="33"/>
  <c r="N7" i="33"/>
  <c r="O7" i="33"/>
  <c r="R6" i="34"/>
  <c r="N6" i="34"/>
  <c r="M6" i="34"/>
  <c r="R6" i="35"/>
  <c r="P6" i="35"/>
  <c r="Q6" i="35"/>
  <c r="O6" i="35"/>
  <c r="R7" i="27"/>
  <c r="R6" i="27"/>
  <c r="O7" i="27"/>
  <c r="P7" i="27"/>
  <c r="N7" i="27"/>
  <c r="O6" i="27"/>
  <c r="P6" i="27"/>
  <c r="N6" i="27"/>
  <c r="R8" i="36"/>
  <c r="R9" i="36"/>
  <c r="R10" i="36"/>
  <c r="R11" i="36"/>
  <c r="R12" i="36"/>
  <c r="R13" i="36"/>
  <c r="R14" i="36"/>
  <c r="R15" i="36"/>
  <c r="R16" i="36"/>
  <c r="R17" i="36"/>
  <c r="R18" i="36"/>
  <c r="R19" i="36"/>
  <c r="R20" i="36"/>
  <c r="R21" i="36"/>
  <c r="R7" i="36"/>
  <c r="M8" i="36"/>
  <c r="M9" i="36"/>
  <c r="M10" i="36"/>
  <c r="M11" i="36"/>
  <c r="M12" i="36"/>
  <c r="M13" i="36"/>
  <c r="M7" i="36"/>
  <c r="N21" i="36"/>
  <c r="N19" i="36"/>
  <c r="M20" i="36"/>
  <c r="M18" i="36"/>
  <c r="M15" i="36"/>
  <c r="M14" i="36"/>
  <c r="R9" i="37"/>
  <c r="N9" i="37"/>
  <c r="O9" i="37"/>
  <c r="P9" i="37"/>
  <c r="Q9" i="37"/>
  <c r="M9" i="37"/>
  <c r="R9" i="28"/>
  <c r="R10" i="28"/>
  <c r="R11" i="28"/>
  <c r="R12" i="28"/>
  <c r="R8" i="28"/>
  <c r="O9" i="28"/>
  <c r="O8" i="28"/>
  <c r="R7" i="26"/>
  <c r="R8" i="26"/>
  <c r="R6" i="26"/>
  <c r="R7" i="16"/>
  <c r="N7" i="16"/>
  <c r="Q6" i="16"/>
  <c r="O6" i="16"/>
  <c r="P6" i="16"/>
  <c r="N6" i="16"/>
  <c r="R6" i="16" s="1"/>
  <c r="R10" i="17"/>
  <c r="R6" i="17"/>
  <c r="R7" i="18"/>
  <c r="R8" i="18"/>
  <c r="R9" i="18"/>
  <c r="R6" i="18"/>
  <c r="Q9" i="18"/>
  <c r="P9" i="18"/>
  <c r="Q8" i="18"/>
  <c r="P8" i="18"/>
  <c r="O7" i="18"/>
  <c r="O6" i="18"/>
  <c r="M8" i="18"/>
  <c r="R6" i="19"/>
  <c r="R10" i="22"/>
  <c r="R9" i="22"/>
  <c r="R7" i="22"/>
  <c r="R6" i="22"/>
  <c r="O6" i="22"/>
  <c r="P6" i="22"/>
  <c r="N6" i="22"/>
  <c r="R12" i="23"/>
  <c r="N12" i="23"/>
  <c r="O12" i="23"/>
  <c r="P12" i="23"/>
  <c r="Q12" i="23"/>
  <c r="M12" i="23"/>
  <c r="R7" i="23"/>
  <c r="R8" i="23"/>
  <c r="R9" i="23"/>
  <c r="R10" i="23"/>
  <c r="R11" i="23"/>
  <c r="R6" i="23"/>
  <c r="N9" i="23"/>
  <c r="O9" i="23"/>
  <c r="P9" i="23"/>
  <c r="Q9" i="23"/>
  <c r="M9" i="23"/>
  <c r="N8" i="23"/>
  <c r="O8" i="23"/>
  <c r="P8" i="23"/>
  <c r="Q8" i="23"/>
  <c r="M8" i="23"/>
  <c r="N6" i="23"/>
  <c r="O6" i="23"/>
  <c r="P6" i="23"/>
  <c r="Q6" i="23"/>
  <c r="M6" i="23"/>
  <c r="G16" i="23"/>
  <c r="G15" i="23"/>
  <c r="R8" i="4" l="1"/>
  <c r="R9" i="33"/>
  <c r="F14" i="13"/>
  <c r="F16" i="13"/>
  <c r="F15" i="13"/>
  <c r="C12" i="34"/>
  <c r="C11" i="34"/>
  <c r="C10" i="34"/>
  <c r="D7" i="33"/>
  <c r="D6" i="35"/>
  <c r="G7" i="36" l="1"/>
  <c r="F10" i="11" l="1"/>
  <c r="G10" i="11" s="1"/>
  <c r="F10" i="22"/>
  <c r="F8" i="17"/>
  <c r="G8" i="17" s="1"/>
  <c r="M8" i="17" s="1"/>
  <c r="R8" i="17" s="1"/>
  <c r="F9" i="17"/>
  <c r="G9" i="17" s="1"/>
  <c r="M9" i="17" s="1"/>
  <c r="R9" i="17" s="1"/>
  <c r="H5" i="33"/>
  <c r="F7" i="33"/>
  <c r="F5" i="33" s="1"/>
  <c r="D9" i="38"/>
  <c r="D9" i="20"/>
  <c r="D7" i="24"/>
  <c r="F7" i="24"/>
  <c r="G7" i="24" s="1"/>
  <c r="G7" i="33" l="1"/>
  <c r="G5" i="33" s="1"/>
  <c r="G12" i="24"/>
  <c r="G16" i="24"/>
  <c r="F12" i="24"/>
  <c r="F13" i="24"/>
  <c r="G13" i="24" s="1"/>
  <c r="F14" i="24"/>
  <c r="G14" i="24" s="1"/>
  <c r="F15" i="24"/>
  <c r="G15" i="24" s="1"/>
  <c r="F16" i="24"/>
  <c r="D8" i="33"/>
  <c r="F8" i="22"/>
  <c r="F7" i="22"/>
  <c r="E6" i="35"/>
  <c r="F6" i="35"/>
  <c r="F44" i="13"/>
  <c r="F8" i="33"/>
  <c r="G9" i="33"/>
  <c r="H9" i="33"/>
  <c r="D30" i="1"/>
  <c r="E30" i="1"/>
  <c r="F30" i="1"/>
  <c r="D29" i="1"/>
  <c r="D28" i="1"/>
  <c r="E28" i="1"/>
  <c r="E26" i="1"/>
  <c r="E24" i="1"/>
  <c r="C28" i="1"/>
  <c r="B28" i="1"/>
  <c r="B27" i="1"/>
  <c r="B26" i="1"/>
  <c r="B25" i="1"/>
  <c r="B24" i="1"/>
  <c r="B23" i="1"/>
  <c r="B22" i="1"/>
  <c r="E6" i="41"/>
  <c r="I6" i="41"/>
  <c r="I5" i="41" s="1"/>
  <c r="B19" i="1"/>
  <c r="B18" i="1"/>
  <c r="B17" i="1"/>
  <c r="B14" i="1"/>
  <c r="B13" i="1"/>
  <c r="B12" i="1"/>
  <c r="F7" i="41"/>
  <c r="G7" i="41" s="1"/>
  <c r="H5" i="41"/>
  <c r="E19" i="1" s="1"/>
  <c r="F8" i="40"/>
  <c r="G8" i="40" s="1"/>
  <c r="F7" i="40"/>
  <c r="G7" i="40" s="1"/>
  <c r="F6" i="40"/>
  <c r="G6" i="40" s="1"/>
  <c r="H5" i="40"/>
  <c r="E18" i="1" s="1"/>
  <c r="E9" i="39"/>
  <c r="D9" i="39"/>
  <c r="F8" i="39"/>
  <c r="G8" i="39" s="1"/>
  <c r="F7" i="39"/>
  <c r="G7" i="39" s="1"/>
  <c r="I5" i="39"/>
  <c r="H5" i="38"/>
  <c r="E13" i="1" s="1"/>
  <c r="F9" i="38"/>
  <c r="G9" i="38" s="1"/>
  <c r="F8" i="38"/>
  <c r="G8" i="38" s="1"/>
  <c r="D6" i="38"/>
  <c r="F6" i="38" s="1"/>
  <c r="G6" i="38" s="1"/>
  <c r="I5" i="38"/>
  <c r="F9" i="37"/>
  <c r="H9" i="37" s="1"/>
  <c r="H5" i="37" s="1"/>
  <c r="F21" i="36"/>
  <c r="H21" i="36" s="1"/>
  <c r="F20" i="36"/>
  <c r="G20" i="36" s="1"/>
  <c r="F19" i="36"/>
  <c r="G19" i="36" s="1"/>
  <c r="F18" i="36"/>
  <c r="G18" i="36" s="1"/>
  <c r="F16" i="36"/>
  <c r="H16" i="36" s="1"/>
  <c r="H5" i="36" s="1"/>
  <c r="E27" i="1" s="1"/>
  <c r="F15" i="36"/>
  <c r="G15" i="36" s="1"/>
  <c r="F14" i="36"/>
  <c r="G14" i="36" s="1"/>
  <c r="F13" i="36"/>
  <c r="G13" i="36" s="1"/>
  <c r="F12" i="36"/>
  <c r="G12" i="36" s="1"/>
  <c r="F11" i="36"/>
  <c r="G11" i="36" s="1"/>
  <c r="F10" i="36"/>
  <c r="G10" i="36" s="1"/>
  <c r="F9" i="36"/>
  <c r="G9" i="36" s="1"/>
  <c r="F8" i="36"/>
  <c r="G8" i="36" s="1"/>
  <c r="F7" i="36"/>
  <c r="I5" i="35"/>
  <c r="F6" i="34"/>
  <c r="G6" i="34" s="1"/>
  <c r="I5" i="34"/>
  <c r="F19" i="33"/>
  <c r="F18" i="33"/>
  <c r="F17" i="33"/>
  <c r="F16" i="33"/>
  <c r="F15" i="33"/>
  <c r="F14" i="33"/>
  <c r="F13" i="33"/>
  <c r="F12" i="33"/>
  <c r="F11" i="33"/>
  <c r="F10" i="33"/>
  <c r="E6" i="33"/>
  <c r="F6" i="33" s="1"/>
  <c r="I6" i="33" s="1"/>
  <c r="I5" i="33" s="1"/>
  <c r="F5" i="34" l="1"/>
  <c r="C24" i="1" s="1"/>
  <c r="H6" i="35"/>
  <c r="F5" i="35"/>
  <c r="C25" i="1" s="1"/>
  <c r="F5" i="37"/>
  <c r="G5" i="36"/>
  <c r="F9" i="33"/>
  <c r="C23" i="1" s="1"/>
  <c r="F9" i="39"/>
  <c r="H9" i="39" s="1"/>
  <c r="H5" i="39" s="1"/>
  <c r="E14" i="1" s="1"/>
  <c r="G5" i="41"/>
  <c r="F5" i="41"/>
  <c r="C19" i="1" s="1"/>
  <c r="G5" i="40"/>
  <c r="F5" i="40"/>
  <c r="C18" i="1" s="1"/>
  <c r="G5" i="39"/>
  <c r="G5" i="38"/>
  <c r="F5" i="38"/>
  <c r="C13" i="1" s="1"/>
  <c r="G5" i="37"/>
  <c r="K5" i="37" s="1"/>
  <c r="F5" i="36"/>
  <c r="C27" i="1" s="1"/>
  <c r="G5" i="35"/>
  <c r="D25" i="1" s="1"/>
  <c r="G5" i="34"/>
  <c r="D24" i="1" s="1"/>
  <c r="H8" i="33"/>
  <c r="E7" i="16"/>
  <c r="F11" i="13"/>
  <c r="G6" i="11"/>
  <c r="K5" i="7"/>
  <c r="G5" i="23"/>
  <c r="G6" i="23"/>
  <c r="F6" i="23"/>
  <c r="D6" i="23"/>
  <c r="E31" i="31"/>
  <c r="E30" i="31"/>
  <c r="D19" i="31"/>
  <c r="D24" i="31"/>
  <c r="C40" i="31"/>
  <c r="C38" i="31"/>
  <c r="C36" i="31"/>
  <c r="C24" i="31"/>
  <c r="C25" i="31" s="1"/>
  <c r="C27" i="31" s="1"/>
  <c r="C28" i="31" s="1"/>
  <c r="C30" i="31" s="1"/>
  <c r="C22" i="31"/>
  <c r="C19" i="31"/>
  <c r="C17" i="31"/>
  <c r="C7" i="31"/>
  <c r="C8" i="31" s="1"/>
  <c r="C32" i="30"/>
  <c r="C21" i="30"/>
  <c r="C4" i="30"/>
  <c r="C6" i="30" s="1"/>
  <c r="C8" i="30" s="1"/>
  <c r="K5" i="36" l="1"/>
  <c r="D27" i="1"/>
  <c r="D23" i="1"/>
  <c r="F5" i="39"/>
  <c r="C14" i="1" s="1"/>
  <c r="K5" i="39"/>
  <c r="D14" i="1"/>
  <c r="K5" i="38"/>
  <c r="D13" i="1"/>
  <c r="K5" i="41"/>
  <c r="D19" i="1"/>
  <c r="K5" i="40"/>
  <c r="D18" i="1"/>
  <c r="H5" i="35"/>
  <c r="H5" i="34"/>
  <c r="K5" i="34" s="1"/>
  <c r="E23" i="1"/>
  <c r="C10" i="31"/>
  <c r="C9" i="31"/>
  <c r="C7" i="30"/>
  <c r="C9" i="30" s="1"/>
  <c r="C30" i="30" s="1"/>
  <c r="F6" i="27"/>
  <c r="G6" i="27" s="1"/>
  <c r="D7" i="27"/>
  <c r="F7" i="27" s="1"/>
  <c r="G7" i="27" s="1"/>
  <c r="B7" i="1"/>
  <c r="F12" i="2"/>
  <c r="G12" i="2" s="1"/>
  <c r="F13" i="2"/>
  <c r="G13" i="2" s="1"/>
  <c r="F14" i="2"/>
  <c r="G14" i="2" s="1"/>
  <c r="F15" i="2"/>
  <c r="G15" i="2" s="1"/>
  <c r="F16" i="2"/>
  <c r="G16" i="2" s="1"/>
  <c r="F17" i="2"/>
  <c r="G17" i="2" s="1"/>
  <c r="F11" i="2"/>
  <c r="G11" i="2" s="1"/>
  <c r="K5" i="35" l="1"/>
  <c r="E25" i="1"/>
  <c r="K5" i="33"/>
  <c r="C35" i="30"/>
  <c r="C37" i="30" s="1"/>
  <c r="C33" i="30"/>
  <c r="C11" i="31"/>
  <c r="C15" i="30"/>
  <c r="C18" i="30" s="1"/>
  <c r="C22" i="30" s="1"/>
  <c r="C24" i="30" s="1"/>
  <c r="F6" i="20"/>
  <c r="F18" i="13"/>
  <c r="F17" i="13" s="1"/>
  <c r="E12" i="13"/>
  <c r="F12" i="13" s="1"/>
  <c r="G11" i="13" s="1"/>
  <c r="F13" i="13"/>
  <c r="E13" i="13"/>
  <c r="G17" i="13" l="1"/>
  <c r="E18" i="24"/>
  <c r="F18" i="24" s="1"/>
  <c r="G18" i="24" s="1"/>
  <c r="E17" i="24"/>
  <c r="D17" i="24"/>
  <c r="F8" i="24"/>
  <c r="G8" i="24" s="1"/>
  <c r="F9" i="24"/>
  <c r="G9" i="24" s="1"/>
  <c r="F10" i="24"/>
  <c r="G10" i="24" s="1"/>
  <c r="F19" i="24"/>
  <c r="G19" i="24" s="1"/>
  <c r="F11" i="24"/>
  <c r="G11" i="24" s="1"/>
  <c r="E6" i="24"/>
  <c r="D6" i="24"/>
  <c r="F6" i="24" s="1"/>
  <c r="G6" i="24" s="1"/>
  <c r="I10" i="4"/>
  <c r="E6" i="4"/>
  <c r="D6" i="4"/>
  <c r="D6" i="2"/>
  <c r="F17" i="24" l="1"/>
  <c r="G17" i="24" s="1"/>
  <c r="F6" i="4"/>
  <c r="F7" i="23"/>
  <c r="G7" i="23" l="1"/>
  <c r="F9" i="20"/>
  <c r="F8" i="20"/>
  <c r="G10" i="22"/>
  <c r="G7" i="22"/>
  <c r="G8" i="22"/>
  <c r="F5" i="7"/>
  <c r="G11" i="1"/>
  <c r="G21" i="1"/>
  <c r="G31" i="1"/>
  <c r="D41" i="13"/>
  <c r="F41" i="13" s="1"/>
  <c r="B30" i="1"/>
  <c r="G5" i="28"/>
  <c r="H12" i="28"/>
  <c r="H5" i="28" s="1"/>
  <c r="E29" i="1" s="1"/>
  <c r="F12" i="28"/>
  <c r="F5" i="28" s="1"/>
  <c r="D7" i="28"/>
  <c r="D6" i="28"/>
  <c r="F8" i="2"/>
  <c r="H8" i="2" s="1"/>
  <c r="E6" i="2"/>
  <c r="F47" i="13"/>
  <c r="F46" i="13"/>
  <c r="I5" i="26"/>
  <c r="F6" i="26"/>
  <c r="G6" i="26" s="1"/>
  <c r="F7" i="26"/>
  <c r="G7" i="26" s="1"/>
  <c r="F8" i="26"/>
  <c r="H8" i="26" s="1"/>
  <c r="F6" i="18"/>
  <c r="F7" i="18"/>
  <c r="F9" i="18"/>
  <c r="F8" i="18"/>
  <c r="G10" i="19"/>
  <c r="G11" i="19"/>
  <c r="F10" i="19"/>
  <c r="F11" i="19"/>
  <c r="F8" i="19"/>
  <c r="G8" i="19" s="1"/>
  <c r="F9" i="19"/>
  <c r="G9" i="19" s="1"/>
  <c r="F7" i="19"/>
  <c r="F13" i="23"/>
  <c r="F5" i="18" l="1"/>
  <c r="H13" i="23"/>
  <c r="H5" i="23" s="1"/>
  <c r="F5" i="23"/>
  <c r="G9" i="20"/>
  <c r="F5" i="20"/>
  <c r="C22" i="1" s="1"/>
  <c r="G8" i="20"/>
  <c r="F6" i="2"/>
  <c r="I6" i="2" s="1"/>
  <c r="I5" i="2" s="1"/>
  <c r="F45" i="13"/>
  <c r="H45" i="13" s="1"/>
  <c r="F5" i="26"/>
  <c r="H5" i="7"/>
  <c r="I5" i="7"/>
  <c r="G5" i="7"/>
  <c r="H13" i="7"/>
  <c r="F13" i="7"/>
  <c r="F8" i="10" l="1"/>
  <c r="H8" i="10" s="1"/>
  <c r="G7" i="14"/>
  <c r="F7" i="14"/>
  <c r="F6" i="19"/>
  <c r="B8" i="1"/>
  <c r="F7" i="11"/>
  <c r="F8" i="11"/>
  <c r="F9" i="11"/>
  <c r="F6" i="11"/>
  <c r="G7" i="11"/>
  <c r="G8" i="11"/>
  <c r="G9" i="11"/>
  <c r="C29" i="1" l="1"/>
  <c r="G8" i="28"/>
  <c r="F8" i="28"/>
  <c r="G9" i="28"/>
  <c r="F9" i="28"/>
  <c r="F10" i="7"/>
  <c r="G10" i="7" s="1"/>
  <c r="F10" i="28"/>
  <c r="G10" i="28" s="1"/>
  <c r="F6" i="28"/>
  <c r="I6" i="28" s="1"/>
  <c r="F7" i="28"/>
  <c r="I7" i="28" s="1"/>
  <c r="F26" i="1"/>
  <c r="H5" i="27"/>
  <c r="E8" i="12"/>
  <c r="H5" i="12"/>
  <c r="F6" i="12"/>
  <c r="G6" i="12" s="1"/>
  <c r="F11" i="7"/>
  <c r="G11" i="7" s="1"/>
  <c r="I8" i="7"/>
  <c r="I6" i="7"/>
  <c r="F8" i="7"/>
  <c r="F6" i="7"/>
  <c r="D7" i="7"/>
  <c r="F7" i="7" s="1"/>
  <c r="I7" i="7" s="1"/>
  <c r="D8" i="7"/>
  <c r="D6" i="7"/>
  <c r="F9" i="7"/>
  <c r="G9" i="7" s="1"/>
  <c r="F37" i="1"/>
  <c r="F36" i="1"/>
  <c r="F35" i="1"/>
  <c r="F34" i="1"/>
  <c r="F33" i="1"/>
  <c r="F32" i="1"/>
  <c r="F20" i="1"/>
  <c r="F16" i="1"/>
  <c r="F10" i="1"/>
  <c r="F9" i="1"/>
  <c r="F8" i="1"/>
  <c r="F7" i="1"/>
  <c r="F6" i="1"/>
  <c r="D7" i="4"/>
  <c r="I6" i="4"/>
  <c r="I5" i="4" s="1"/>
  <c r="F15" i="1" s="1"/>
  <c r="G10" i="2"/>
  <c r="F9" i="2"/>
  <c r="G7" i="18"/>
  <c r="G8" i="18"/>
  <c r="G9" i="18"/>
  <c r="G6" i="18"/>
  <c r="G5" i="18" l="1"/>
  <c r="G29" i="1"/>
  <c r="I5" i="28"/>
  <c r="F29" i="1" s="1"/>
  <c r="G9" i="2"/>
  <c r="E35" i="1"/>
  <c r="E34" i="1"/>
  <c r="E32" i="1"/>
  <c r="B29" i="1"/>
  <c r="G5" i="20"/>
  <c r="D22" i="1" s="1"/>
  <c r="H6" i="20"/>
  <c r="G5" i="27" l="1"/>
  <c r="D26" i="1" s="1"/>
  <c r="J21" i="1" s="1"/>
  <c r="F5" i="27"/>
  <c r="C26" i="1" s="1"/>
  <c r="H5" i="20"/>
  <c r="E22" i="1" s="1"/>
  <c r="E9" i="1"/>
  <c r="E7" i="6"/>
  <c r="F7" i="6" s="1"/>
  <c r="G7" i="6" s="1"/>
  <c r="F8" i="6"/>
  <c r="G8" i="6" s="1"/>
  <c r="F9" i="6"/>
  <c r="H9" i="6" s="1"/>
  <c r="F6" i="6"/>
  <c r="G6" i="6" s="1"/>
  <c r="F7" i="17"/>
  <c r="G9" i="4"/>
  <c r="D28" i="13"/>
  <c r="F28" i="13" s="1"/>
  <c r="D23" i="13"/>
  <c r="F23" i="13" s="1"/>
  <c r="G23" i="13" s="1"/>
  <c r="D17" i="13"/>
  <c r="D20" i="13"/>
  <c r="F20" i="13" s="1"/>
  <c r="G20" i="13" s="1"/>
  <c r="D11" i="13"/>
  <c r="D36" i="13" s="1"/>
  <c r="F36" i="13" s="1"/>
  <c r="D7" i="13"/>
  <c r="F7" i="10"/>
  <c r="G7" i="10" s="1"/>
  <c r="F6" i="10"/>
  <c r="G6" i="10" s="1"/>
  <c r="D38" i="13" l="1"/>
  <c r="F38" i="13" s="1"/>
  <c r="D43" i="13"/>
  <c r="F43" i="13" s="1"/>
  <c r="G14" i="13"/>
  <c r="D37" i="13"/>
  <c r="F37" i="13" s="1"/>
  <c r="D42" i="13"/>
  <c r="F42" i="13" s="1"/>
  <c r="F7" i="13"/>
  <c r="D40" i="13"/>
  <c r="F40" i="13" s="1"/>
  <c r="D35" i="13"/>
  <c r="F35" i="13" s="1"/>
  <c r="H28" i="13"/>
  <c r="G28" i="13"/>
  <c r="H7" i="17"/>
  <c r="G7" i="17"/>
  <c r="F6" i="17"/>
  <c r="G6" i="17" s="1"/>
  <c r="G7" i="19"/>
  <c r="G6" i="19"/>
  <c r="P7" i="17" l="1"/>
  <c r="N7" i="17"/>
  <c r="M7" i="17"/>
  <c r="O7" i="17"/>
  <c r="F34" i="13"/>
  <c r="H34" i="13" s="1"/>
  <c r="F39" i="13"/>
  <c r="G7" i="13"/>
  <c r="I5" i="20"/>
  <c r="F39" i="1" s="1"/>
  <c r="H5" i="26"/>
  <c r="G5" i="26"/>
  <c r="C30" i="1"/>
  <c r="H21" i="1" s="1"/>
  <c r="J5" i="25"/>
  <c r="H5" i="25"/>
  <c r="G5" i="25"/>
  <c r="F5" i="25"/>
  <c r="R7" i="17" l="1"/>
  <c r="H39" i="13"/>
  <c r="H5" i="13" s="1"/>
  <c r="E7" i="1" s="1"/>
  <c r="F5" i="13"/>
  <c r="C7" i="1" s="1"/>
  <c r="F27" i="13"/>
  <c r="K5" i="26"/>
  <c r="G30" i="1"/>
  <c r="K5" i="28"/>
  <c r="K5" i="27"/>
  <c r="G26" i="1"/>
  <c r="B20" i="1"/>
  <c r="B16" i="1"/>
  <c r="B10" i="1"/>
  <c r="F7" i="16"/>
  <c r="G7" i="16" s="1"/>
  <c r="F6" i="16"/>
  <c r="G6" i="16" s="1"/>
  <c r="H5" i="24"/>
  <c r="E16" i="1" s="1"/>
  <c r="E7" i="4"/>
  <c r="F8" i="4"/>
  <c r="G8" i="4" s="1"/>
  <c r="G6" i="14"/>
  <c r="F6" i="14"/>
  <c r="F5" i="14" s="1"/>
  <c r="C9" i="1" s="1"/>
  <c r="F8" i="12"/>
  <c r="F7" i="12"/>
  <c r="G7" i="12" s="1"/>
  <c r="B35" i="1"/>
  <c r="B34" i="1"/>
  <c r="B33" i="1"/>
  <c r="B32" i="1"/>
  <c r="F9" i="22"/>
  <c r="G9" i="22" s="1"/>
  <c r="F6" i="22"/>
  <c r="G6" i="22" s="1"/>
  <c r="D8" i="23"/>
  <c r="F8" i="23" s="1"/>
  <c r="D9" i="23"/>
  <c r="F9" i="23" s="1"/>
  <c r="G9" i="23" s="1"/>
  <c r="D10" i="23"/>
  <c r="F10" i="23" s="1"/>
  <c r="G10" i="23" s="1"/>
  <c r="D11" i="23"/>
  <c r="F11" i="23" s="1"/>
  <c r="G11" i="23" s="1"/>
  <c r="E37" i="1"/>
  <c r="H5" i="22"/>
  <c r="E36" i="1" s="1"/>
  <c r="B15" i="1"/>
  <c r="B9" i="1"/>
  <c r="B6" i="1"/>
  <c r="H5" i="19"/>
  <c r="G5" i="19"/>
  <c r="D35" i="1" s="1"/>
  <c r="F5" i="19"/>
  <c r="C35" i="1" s="1"/>
  <c r="H5" i="18"/>
  <c r="D34" i="1"/>
  <c r="C34" i="1"/>
  <c r="H5" i="17"/>
  <c r="E33" i="1" s="1"/>
  <c r="G5" i="17"/>
  <c r="D33" i="1" s="1"/>
  <c r="F5" i="17"/>
  <c r="C33" i="1" s="1"/>
  <c r="H5" i="16"/>
  <c r="H5" i="10"/>
  <c r="E10" i="1" s="1"/>
  <c r="G5" i="10"/>
  <c r="D10" i="1" s="1"/>
  <c r="F5" i="10"/>
  <c r="C10" i="1" s="1"/>
  <c r="H5" i="14"/>
  <c r="G5" i="14"/>
  <c r="H5" i="11"/>
  <c r="E8" i="1" s="1"/>
  <c r="G5" i="11"/>
  <c r="F5" i="11"/>
  <c r="C8" i="1" s="1"/>
  <c r="G5" i="13"/>
  <c r="E6" i="1"/>
  <c r="E20" i="1"/>
  <c r="C20" i="1"/>
  <c r="H5" i="6"/>
  <c r="E17" i="1" s="1"/>
  <c r="G5" i="6"/>
  <c r="D17" i="1" s="1"/>
  <c r="H5" i="4"/>
  <c r="E15" i="1" s="1"/>
  <c r="H5" i="2"/>
  <c r="E12" i="1" s="1"/>
  <c r="E38" i="1" l="1"/>
  <c r="E39" i="1" s="1"/>
  <c r="E41" i="1" s="1"/>
  <c r="D7" i="1"/>
  <c r="G8" i="23"/>
  <c r="C37" i="1"/>
  <c r="H37" i="1" s="1"/>
  <c r="G34" i="1"/>
  <c r="G33" i="1"/>
  <c r="G10" i="1"/>
  <c r="G35" i="1"/>
  <c r="F5" i="2"/>
  <c r="C12" i="1" s="1"/>
  <c r="G5" i="22"/>
  <c r="D36" i="1" s="1"/>
  <c r="J36" i="1" s="1"/>
  <c r="K5" i="11"/>
  <c r="D8" i="1"/>
  <c r="G8" i="12"/>
  <c r="G5" i="12" s="1"/>
  <c r="K5" i="12" s="1"/>
  <c r="F5" i="12"/>
  <c r="C6" i="1" s="1"/>
  <c r="H5" i="1" s="1"/>
  <c r="D20" i="1"/>
  <c r="G20" i="1" s="1"/>
  <c r="G5" i="2"/>
  <c r="D12" i="1" s="1"/>
  <c r="K5" i="20"/>
  <c r="K5" i="6"/>
  <c r="K5" i="14"/>
  <c r="D9" i="1"/>
  <c r="G9" i="1" s="1"/>
  <c r="K5" i="10"/>
  <c r="K5" i="18"/>
  <c r="K5" i="19"/>
  <c r="G5" i="16"/>
  <c r="F5" i="16"/>
  <c r="C32" i="1" s="1"/>
  <c r="H31" i="1" s="1"/>
  <c r="K5" i="17"/>
  <c r="G5" i="24"/>
  <c r="F5" i="24"/>
  <c r="C16" i="1" s="1"/>
  <c r="F7" i="4"/>
  <c r="K5" i="13"/>
  <c r="F5" i="22"/>
  <c r="C36" i="1" s="1"/>
  <c r="H36" i="1" s="1"/>
  <c r="F5" i="6"/>
  <c r="C17" i="1" s="1"/>
  <c r="C38" i="1" l="1"/>
  <c r="H38" i="1" s="1"/>
  <c r="G8" i="1"/>
  <c r="D6" i="1"/>
  <c r="J5" i="1" s="1"/>
  <c r="G7" i="1"/>
  <c r="G7" i="4"/>
  <c r="G5" i="4" s="1"/>
  <c r="D15" i="1" s="1"/>
  <c r="F5" i="4"/>
  <c r="K5" i="16"/>
  <c r="D32" i="1"/>
  <c r="K5" i="24"/>
  <c r="D16" i="1"/>
  <c r="D38" i="1" s="1"/>
  <c r="J38" i="1" s="1"/>
  <c r="G36" i="1"/>
  <c r="K5" i="22"/>
  <c r="K5" i="23"/>
  <c r="D37" i="1"/>
  <c r="K5" i="2"/>
  <c r="K5" i="4"/>
  <c r="C15" i="1"/>
  <c r="C39" i="1" l="1"/>
  <c r="I38" i="1" s="1"/>
  <c r="D39" i="1"/>
  <c r="K38" i="1" s="1"/>
  <c r="G32" i="1"/>
  <c r="J31" i="1"/>
  <c r="H11" i="1"/>
  <c r="H39" i="1" s="1"/>
  <c r="G37" i="1"/>
  <c r="J37" i="1"/>
  <c r="G6" i="1"/>
  <c r="G16" i="1"/>
  <c r="J11" i="1"/>
  <c r="G15" i="1"/>
  <c r="J39" i="1" l="1"/>
  <c r="I31" i="1"/>
  <c r="I5" i="1"/>
  <c r="I36" i="1"/>
  <c r="I21" i="1"/>
  <c r="I37" i="1"/>
  <c r="C41" i="1"/>
  <c r="I11" i="1"/>
  <c r="K31" i="1"/>
  <c r="K36" i="1"/>
  <c r="K21" i="1"/>
  <c r="K37" i="1"/>
  <c r="K5" i="1"/>
  <c r="K11" i="1"/>
  <c r="G39" i="1"/>
  <c r="D41" i="1"/>
  <c r="I39" i="1" l="1"/>
  <c r="K39" i="1"/>
</calcChain>
</file>

<file path=xl/comments1.xml><?xml version="1.0" encoding="utf-8"?>
<comments xmlns="http://schemas.openxmlformats.org/spreadsheetml/2006/main">
  <authors>
    <author>Test</author>
  </authors>
  <commentList>
    <comment ref="D9" authorId="0">
      <text>
        <r>
          <rPr>
            <b/>
            <sz val="9"/>
            <color indexed="81"/>
            <rFont val="Tahoma"/>
            <family val="2"/>
          </rPr>
          <t>10 producteurs bénévoles par section communale formés / recyclés 2 fois par an pdt 4 ans</t>
        </r>
      </text>
    </comment>
  </commentList>
</comments>
</file>

<file path=xl/comments2.xml><?xml version="1.0" encoding="utf-8"?>
<comments xmlns="http://schemas.openxmlformats.org/spreadsheetml/2006/main">
  <authors>
    <author>Test</author>
  </authors>
  <commentList>
    <comment ref="D9" authorId="0">
      <text>
        <r>
          <rPr>
            <b/>
            <sz val="9"/>
            <color indexed="81"/>
            <rFont val="Tahoma"/>
            <family val="2"/>
          </rPr>
          <t>1 bulletin mensuel, distribué à chaque agent du GSBP, à partir de la 3e année</t>
        </r>
      </text>
    </comment>
  </commentList>
</comments>
</file>

<file path=xl/comments3.xml><?xml version="1.0" encoding="utf-8"?>
<comments xmlns="http://schemas.openxmlformats.org/spreadsheetml/2006/main">
  <authors>
    <author>Test</author>
  </authors>
  <commentList>
    <comment ref="D8" authorId="0">
      <text>
        <r>
          <rPr>
            <b/>
            <sz val="9"/>
            <color indexed="81"/>
            <rFont val="Tahoma"/>
            <family val="2"/>
          </rPr>
          <t xml:space="preserve">Voir calcul ci-dessous
</t>
        </r>
      </text>
    </comment>
  </commentList>
</comments>
</file>

<file path=xl/comments4.xml><?xml version="1.0" encoding="utf-8"?>
<comments xmlns="http://schemas.openxmlformats.org/spreadsheetml/2006/main">
  <authors>
    <author>Test</author>
  </authors>
  <commentList>
    <comment ref="D6" authorId="0">
      <text>
        <r>
          <rPr>
            <b/>
            <sz val="9"/>
            <color indexed="81"/>
            <rFont val="Tahoma"/>
            <family val="2"/>
          </rPr>
          <t>1 bulletin mensuel, distribué à chaque agent du GSBP, à partir de la 3e année</t>
        </r>
      </text>
    </comment>
  </commentList>
</comments>
</file>

<file path=xl/sharedStrings.xml><?xml version="1.0" encoding="utf-8"?>
<sst xmlns="http://schemas.openxmlformats.org/spreadsheetml/2006/main" count="2315" uniqueCount="1210">
  <si>
    <t>HA-L1094 - Budget détaillé et marchés par produit</t>
  </si>
  <si>
    <t>Description</t>
  </si>
  <si>
    <t>Unité</t>
  </si>
  <si>
    <t>Prix unitaire</t>
  </si>
  <si>
    <t>Quantité</t>
  </si>
  <si>
    <t>Total</t>
  </si>
  <si>
    <t>BID</t>
  </si>
  <si>
    <t>Trésor Public</t>
  </si>
  <si>
    <t>Type de marché</t>
  </si>
  <si>
    <t>Carburant pour déplacement</t>
  </si>
  <si>
    <t>Autres frais de fonctionnement</t>
  </si>
  <si>
    <t>Entomologiste pour préparation de la liste initiale d'organismes nuisibles</t>
  </si>
  <si>
    <t>Matériel de diagnostic</t>
  </si>
  <si>
    <t>Pièges</t>
  </si>
  <si>
    <t>Cotation de prix pour biens</t>
  </si>
  <si>
    <t>Formation de membres de GSBP</t>
  </si>
  <si>
    <t xml:space="preserve">Acheter matériels didactiques : photos, flyers, crayons, cahiers, </t>
  </si>
  <si>
    <t>Frais de restauration, frais de déplacement</t>
  </si>
  <si>
    <t>Personnes/jour</t>
  </si>
  <si>
    <t>Forfait</t>
  </si>
  <si>
    <t>Préparation et distribution sur le terrain d'un bulletin mensuel</t>
  </si>
  <si>
    <t>Traitement et entrée des données de terrain dans le système d'information</t>
  </si>
  <si>
    <t>Remarque</t>
  </si>
  <si>
    <t>Voir Produit "Système d'information"</t>
  </si>
  <si>
    <t>Dépenses opérationnelles</t>
  </si>
  <si>
    <t>Homme/jour</t>
  </si>
  <si>
    <t>Consultant individuel international</t>
  </si>
  <si>
    <t>Consultant individuel national</t>
  </si>
  <si>
    <t>TOTAL</t>
  </si>
  <si>
    <t>Produit</t>
  </si>
  <si>
    <t>Budget total</t>
  </si>
  <si>
    <t>COMPOSANTE 1</t>
  </si>
  <si>
    <t>COMPOSANTE 2</t>
  </si>
  <si>
    <t>COMPOSANTE 3</t>
  </si>
  <si>
    <t>COMPOSANTE 4</t>
  </si>
  <si>
    <t>Administration</t>
  </si>
  <si>
    <t>Suivi-Evaluation-Audit</t>
  </si>
  <si>
    <t>Directeur Administratif et Financier</t>
  </si>
  <si>
    <t>Responsable Ressources Humaines</t>
  </si>
  <si>
    <t>Assistant Passation des Marchés (affecté à UPDM)</t>
  </si>
  <si>
    <t>Spécialiste Passation des Marchés (affecté à UPDM)</t>
  </si>
  <si>
    <t>Homme/mois</t>
  </si>
  <si>
    <t>Audit annuel</t>
  </si>
  <si>
    <t>Audit</t>
  </si>
  <si>
    <t>Equipement informatique (lots : laptop + imprimante + UPS + …)</t>
  </si>
  <si>
    <t>Lot</t>
  </si>
  <si>
    <t>Inclut évaluation pour MdF, FF, etc</t>
  </si>
  <si>
    <t>Enquêtes pour évaluation d'impact</t>
  </si>
  <si>
    <t>Coordination Evaluation d'Impact</t>
  </si>
  <si>
    <t>Evaluation intermédiaire indépendante</t>
  </si>
  <si>
    <t>Firme / Service non consultatif</t>
  </si>
  <si>
    <t>Firme d'audit</t>
  </si>
  <si>
    <t>Enquête</t>
  </si>
  <si>
    <t>4.4. : Personnel du LVCQAT formé</t>
  </si>
  <si>
    <t>4.2. : LVCQAT équipé</t>
  </si>
  <si>
    <t>4.1. : Infrastructure du LVCQAT réhabilitée/complétée</t>
  </si>
  <si>
    <t>Centres</t>
  </si>
  <si>
    <t xml:space="preserve">Centres polyvalents départementaux (construction) </t>
  </si>
  <si>
    <t xml:space="preserve">Centres polyvalents départementaux (supervision des travaux) </t>
  </si>
  <si>
    <t>Condition d'exécution = staff recruté</t>
  </si>
  <si>
    <t>Etude</t>
  </si>
  <si>
    <t>Véhicules</t>
  </si>
  <si>
    <t>Lot de matériel informatique</t>
  </si>
  <si>
    <t>Incinérateurs</t>
  </si>
  <si>
    <t>Lot de mobilier</t>
  </si>
  <si>
    <t>Motocyclettes</t>
  </si>
  <si>
    <t>Génératrices</t>
  </si>
  <si>
    <t>Services non consultatifs</t>
  </si>
  <si>
    <t>Services non consultatifs et cotations de prix pour biens</t>
  </si>
  <si>
    <t>Levure de Torula</t>
  </si>
  <si>
    <t>Mélasse</t>
  </si>
  <si>
    <t>80% des pièges alimentés avec mélasse + insecticide</t>
  </si>
  <si>
    <t>20% des pièges alimentés à la levure de Torula. 1 granulé = 5 g ; 3 granulés par piège à changer toutes les semaines pendant 6 mois ;  Torula = bidons de 50 livres.</t>
  </si>
  <si>
    <t>Bidon de 50 livres</t>
  </si>
  <si>
    <t>Personnel</t>
  </si>
  <si>
    <t>Dépenses opérationnelles (carburant, per diem…)</t>
  </si>
  <si>
    <t>Evaluation d'impact</t>
  </si>
  <si>
    <t>Voir ligne budgétaire "Suivi-évaluation"</t>
  </si>
  <si>
    <t>Travaux</t>
  </si>
  <si>
    <t>Supervision des travaux</t>
  </si>
  <si>
    <t>Réactifs</t>
  </si>
  <si>
    <t>Equipements pour labo DPV</t>
  </si>
  <si>
    <t>Formation courte (2-3 mois) du personnel (type Tuskegee)</t>
  </si>
  <si>
    <t>Proficiency tests / tests de confirmation des résultats d'analyse auprès d'autres laboratoires</t>
  </si>
  <si>
    <t>Lot (voir détail ci-dessous)</t>
  </si>
  <si>
    <t>Lot (voir détails ci-dessous)</t>
  </si>
  <si>
    <t>Equipements de laboratoire + installation et formation</t>
  </si>
  <si>
    <t>AOI Travaux</t>
  </si>
  <si>
    <t>Supervision</t>
  </si>
  <si>
    <t>Service consultatif / SFQC</t>
  </si>
  <si>
    <t>3.2. Professionnels vétérinaires des secteurs publics et privés formés</t>
  </si>
  <si>
    <t>VOIR TABLEAU "besoin en formations"</t>
  </si>
  <si>
    <t>Coolbox</t>
  </si>
  <si>
    <t>Tubes</t>
  </si>
  <si>
    <t>Gants</t>
  </si>
  <si>
    <t>Equipement portable de collecte des déchets dangereux</t>
  </si>
  <si>
    <t>Consultant</t>
  </si>
  <si>
    <t>Cours de bonnes pratiques de laboratoire</t>
  </si>
  <si>
    <r>
      <t xml:space="preserve">Pour le personnel de laboratoire Nombre de personnes = </t>
    </r>
    <r>
      <rPr>
        <sz val="11"/>
        <color rgb="FFFF0000"/>
        <rFont val="Calibri"/>
        <family val="2"/>
        <scheme val="minor"/>
      </rPr>
      <t>?</t>
    </r>
  </si>
  <si>
    <t>Maintenance des installations physiques (équipements, système électrique, plomberie)</t>
  </si>
  <si>
    <t>Formation sur les procédures de biosécurité et les normes ISO</t>
  </si>
  <si>
    <t>Formation sur le système de management de la qualité (ISO 9001, Assurance Qualité, Contrôle Qualité)</t>
  </si>
  <si>
    <r>
      <t xml:space="preserve">Pour qui </t>
    </r>
    <r>
      <rPr>
        <sz val="11"/>
        <color rgb="FFFF0000"/>
        <rFont val="Calibri"/>
        <family val="2"/>
        <scheme val="minor"/>
      </rPr>
      <t xml:space="preserve">? </t>
    </r>
    <r>
      <rPr>
        <sz val="11"/>
        <color theme="1"/>
        <rFont val="Calibri"/>
        <family val="2"/>
        <scheme val="minor"/>
      </rPr>
      <t xml:space="preserve">Nombre de personnes = </t>
    </r>
    <r>
      <rPr>
        <sz val="11"/>
        <color rgb="FFFF0000"/>
        <rFont val="Calibri"/>
        <family val="2"/>
        <scheme val="minor"/>
      </rPr>
      <t>?</t>
    </r>
  </si>
  <si>
    <r>
      <t xml:space="preserve">Personnel de l'animalerie Nombre de personnes = </t>
    </r>
    <r>
      <rPr>
        <sz val="11"/>
        <color rgb="FFFF0000"/>
        <rFont val="Calibri"/>
        <family val="2"/>
        <scheme val="minor"/>
      </rPr>
      <t>?</t>
    </r>
  </si>
  <si>
    <t>Formation au soin des animaux de laboratoire ISO-10993-2. (1 fois/an pendant 2 semaines)</t>
  </si>
  <si>
    <t>Pour le responsible de la maintenance Nombre de personnes = 1</t>
  </si>
  <si>
    <t>Achat groupé avec équipements de laboratoire pour la DPV</t>
  </si>
  <si>
    <t>Détail des équipements de laboratoire essentiels pour obtenir l'accréditation P2</t>
  </si>
  <si>
    <t>Achat des normes ISO et des manuels de procédures techniques de laboratoire</t>
  </si>
  <si>
    <t>Essais interlaboratoire (proficiency tests)</t>
  </si>
  <si>
    <t>Obligatoire pour obtenir l'accréditation</t>
  </si>
  <si>
    <t>Elaboration des procédures d'exploitation normalisée et du manuel de laboratoire d'assurance qualité pour ISO 15189</t>
  </si>
  <si>
    <t>Etalonnage/calibrage régulier des équipements</t>
  </si>
  <si>
    <t>Campagne de sensibilisation</t>
  </si>
  <si>
    <t>Au moins 1 lot d'équipement par centre départemental + niveau central. Les besoins seront définis précisément par la firme en charge du développement</t>
  </si>
  <si>
    <t>FF</t>
  </si>
  <si>
    <t xml:space="preserve">Frais opérationnels pour réunions sur le terrain avec les acteurs économiques concernés </t>
  </si>
  <si>
    <t>Firme / Service consultatif (Sélection Fondée sur le Coût et la Qualité)</t>
  </si>
  <si>
    <t>AOI pour biens</t>
  </si>
  <si>
    <t>Motos</t>
  </si>
  <si>
    <t>Carburant</t>
  </si>
  <si>
    <t>FF mensuel</t>
  </si>
  <si>
    <t>Entretien / réparation</t>
  </si>
  <si>
    <t>Protection végétale (Damien)</t>
  </si>
  <si>
    <t>Protection végétale (terrain)</t>
  </si>
  <si>
    <t>Santé animale (Damien)</t>
  </si>
  <si>
    <t>Santé animale (terrain)</t>
  </si>
  <si>
    <t>INVESTISSEMENT</t>
  </si>
  <si>
    <t>COÛTS RÉCURRENTS</t>
  </si>
  <si>
    <t>Matériel informatique</t>
  </si>
  <si>
    <t>Communication</t>
  </si>
  <si>
    <t>Téléphone</t>
  </si>
  <si>
    <t>FF mensuel / véhicule</t>
  </si>
  <si>
    <t>FF mensuel / moto</t>
  </si>
  <si>
    <t>FF mensuel / génératrice</t>
  </si>
  <si>
    <t>FF mensuel / incinérateur</t>
  </si>
  <si>
    <t>LVCQAT</t>
  </si>
  <si>
    <t>Achat groupé de biens génériques - Voir produit 1.2</t>
  </si>
  <si>
    <t>Centres départementaux polyvalents</t>
  </si>
  <si>
    <t>Abonnement Internet</t>
  </si>
  <si>
    <t>Lot annuel</t>
  </si>
  <si>
    <t>Fournitures de bureau et autres consommables</t>
  </si>
  <si>
    <t>Achat groupé avec équipements pour LVCQAT</t>
  </si>
  <si>
    <t>Détail des réactifs de laboratoire requis</t>
  </si>
  <si>
    <t>N/A</t>
  </si>
  <si>
    <t>Equipements génériques (incinérateur, génératrice, mobilier, matériel informatique, matériel roulant…)</t>
  </si>
  <si>
    <t>Lot d'équipements</t>
  </si>
  <si>
    <t>FF (10% du montant des travaux)</t>
  </si>
  <si>
    <t>Elaboration des protocoles de laboratoire et former le personnel à l'application des protocoles</t>
  </si>
  <si>
    <t>Elaboration du plan de biosécurité et de qualité pour la certification des laboratoires et former le personnel à la mise en oeuvre du plan</t>
  </si>
  <si>
    <t>Homme/5 ans</t>
  </si>
  <si>
    <t>250 US$/mois*13 mois*5 ans</t>
  </si>
  <si>
    <t>Formation</t>
  </si>
  <si>
    <t>Animation du réseau (coûts récurrents)</t>
  </si>
  <si>
    <t>Consommables, matériel et coûts de prélèvement</t>
  </si>
  <si>
    <t>Kit vidéoprojecteur/système son/génératrice portable</t>
  </si>
  <si>
    <t>Service non consultatif</t>
  </si>
  <si>
    <t>Vaccin PPC</t>
  </si>
  <si>
    <t>Dose</t>
  </si>
  <si>
    <t>Vaccin Teschen</t>
  </si>
  <si>
    <t>Maintenance et réparation de la chaîne de froid (unités à énergie solaire)</t>
  </si>
  <si>
    <t>FF pour 5 ans / unité de froid</t>
  </si>
  <si>
    <t>Année</t>
  </si>
  <si>
    <t>12 formateurs, 1 formation par an pendant 4 ans. Formation de 3 jours</t>
  </si>
  <si>
    <t>Inclus 20% de taxes légales exigées par le MEF sur honoraires des consultants internationaux</t>
  </si>
  <si>
    <t>Formation de formateurs (des représentants de terrain de la DPV, par les cadres de la DPV) = Frais de restauration, frais de déplacement, frais de logement</t>
  </si>
  <si>
    <t>Gros-Morne = 326 Km2 et Terre-Neuve = 66 Km2. 500 pièges par Km2. Pièges artisanaux à base de bouteilles recyclées. 50% des pièges installés la 1e année, 50% la 2e année.</t>
  </si>
  <si>
    <t>Cartographie (impression au CNIGS)</t>
  </si>
  <si>
    <t>Budget communication "alerte"</t>
  </si>
  <si>
    <r>
      <t xml:space="preserve">En cas de besoin (budget radio + SMS aux membres du réseau - </t>
    </r>
    <r>
      <rPr>
        <sz val="11"/>
        <color rgb="FFFF0000"/>
        <rFont val="Calibri"/>
        <family val="2"/>
        <scheme val="minor"/>
      </rPr>
      <t>coût ?)</t>
    </r>
  </si>
  <si>
    <t>TP (budget régulier)</t>
  </si>
  <si>
    <t>TP (contrepartie du projet)</t>
  </si>
  <si>
    <t>SUIVI-EVALUATION-AUDIT</t>
  </si>
  <si>
    <t>ADMINISTRATION</t>
  </si>
  <si>
    <t>Entomologiste (fonctionnaire)</t>
  </si>
  <si>
    <t>Phytopathologiste (fonctionnaire)</t>
  </si>
  <si>
    <t>Agroéconomiste (fonctionnaire)</t>
  </si>
  <si>
    <t>Voir produit 1.2</t>
  </si>
  <si>
    <t>Formation / FF</t>
  </si>
  <si>
    <t>Achat de documentation technique</t>
  </si>
  <si>
    <t>H/mois</t>
  </si>
  <si>
    <t>Mois</t>
  </si>
  <si>
    <t>Frais de fonctionnement</t>
  </si>
  <si>
    <t>Priorités géographiques (phasage annuel) :</t>
  </si>
  <si>
    <t>Ingénieur individuel</t>
  </si>
  <si>
    <t xml:space="preserve">Plan standard (préparé pour le département du Nord'Est) à ajuster en fonction des caractéristiques de chaque département (importance de l'élevage, de l'agriculture) </t>
  </si>
  <si>
    <t xml:space="preserve">Centres polyvalents départementaux (design = ajustement du plan standard) </t>
  </si>
  <si>
    <t>Carnets de vaccination (de 50 certificats)</t>
  </si>
  <si>
    <t>Seringues et aiguilles</t>
  </si>
  <si>
    <t>Glacières</t>
  </si>
  <si>
    <t>Formation de 2 formateurs</t>
  </si>
  <si>
    <t>La question de la gestion des unités doit être revue (formalisation de la gestion du bien public = protocole ou contrat; enregistrement dans l'inventaire du MARNDR; contrepartie pour le gestionnaire - subvention du MARNDR au début ; coût récurrent à recouvrer par la suite)</t>
  </si>
  <si>
    <t>Par Green Energy Solutions - voir contrat en cours dans le cadre de DEFI</t>
  </si>
  <si>
    <t>Par les 2 formateurs du MARNDR - frais de déplacement sur le terrain + pièces détachées - à intégrer dans recouvrement des coûts dans le futur.</t>
  </si>
  <si>
    <t>Par Green Energy Solutions (formation initiale) + les 2 formateurs du MARNDR ensuite (coût récurrent)</t>
  </si>
  <si>
    <t>Formation initiale des 150 responsables des unités de froid en utilisation des unités et identification de problème</t>
  </si>
  <si>
    <t>Boucles</t>
  </si>
  <si>
    <t>Pinces</t>
  </si>
  <si>
    <t>Vendues aux agents vétérinaires avec subvention à X% (à définir)</t>
  </si>
  <si>
    <t xml:space="preserve">   *2 premiers départements pilotes = Ouest et Artibonite (plus forte concentration de professionnels publics, d'animaux et humaine)</t>
  </si>
  <si>
    <t>Responsable analyse des risques 1</t>
  </si>
  <si>
    <t>Responsable analyse des risques 2</t>
  </si>
  <si>
    <t>Formation courte de base en épidémiologie</t>
  </si>
  <si>
    <t>Formation et Assistance technique permanente en analyse des risques</t>
  </si>
  <si>
    <t>Trésor Public (salaires de fonctionnaires)</t>
  </si>
  <si>
    <t>Diffusion spot radio + émissions bimensuelles</t>
  </si>
  <si>
    <t>Manuel de gestion et contrôle du carburant (logbook)</t>
  </si>
  <si>
    <t>Manuel de gestion administrative, financière et comptable</t>
  </si>
  <si>
    <t>Manuel de Gestion des Ressources Humaines</t>
  </si>
  <si>
    <t>Réunion</t>
  </si>
  <si>
    <t>Formation courte en analyse de risque en université ou centre de recherche à l'étranger</t>
  </si>
  <si>
    <t>Ex = Compendium de CABI</t>
  </si>
  <si>
    <t>Dont missions à l'étranger</t>
  </si>
  <si>
    <t>Présence = 1 trimestre plein puis 2 semaines par trimestre pendant 2 ans</t>
  </si>
  <si>
    <t>Condition d'exécution</t>
  </si>
  <si>
    <t xml:space="preserve">Condition d'exécution </t>
  </si>
  <si>
    <t>Ex : CIRAD</t>
  </si>
  <si>
    <t>Ex : Canada</t>
  </si>
  <si>
    <t>H/J</t>
  </si>
  <si>
    <t>La préparation/finalisation du manuel sera une condition au premier décaissement. Les modèles existent, il suffit de former et accompagner les parties prenantes (chauffeurs, gestionnaires de centres départementaux, responsable administratif et financier central)</t>
  </si>
  <si>
    <t xml:space="preserve">La préparation/finalisation du manuel sera une condition au premier décaissement. </t>
  </si>
  <si>
    <t>La préparation/finalisation du manuel sera une condition au premier décaissement. Le manuel de gestion des RH du MARNDR est en cours d'élaboration dans le cadre de la réforme générale du ministère. Il suffira de demander à la consultante en charge du dossier (i) de l'adapter aux besoins spécifiques de l'UPS (ii) d'accompagner l'UPS, et notamment son responsable RH, dans la mise en application du manuel</t>
  </si>
  <si>
    <t>Consultant individuel (accompagnement/formation). 2 jours par mois pendant 1 an.</t>
  </si>
  <si>
    <t>Consultant individuel international - gré-à-gré (accompagnement/formation). 2 semaines par trimestre pendant 2 ans.</t>
  </si>
  <si>
    <t>Aménagement d'un local du LVCQAT</t>
  </si>
  <si>
    <t>Balance analytique</t>
  </si>
  <si>
    <t>Balance électronique</t>
  </si>
  <si>
    <t>Thermomètres</t>
  </si>
  <si>
    <t>0°à 110°C</t>
  </si>
  <si>
    <t>A minima et maxima 0°à 110°C</t>
  </si>
  <si>
    <t>Thermomètre - hygromètre</t>
  </si>
  <si>
    <t>Bain marie</t>
  </si>
  <si>
    <t>Incubateur-agitateur de paillasse</t>
  </si>
  <si>
    <t>Stérilisateur à billes sèches</t>
  </si>
  <si>
    <t>Stérilisateur portable</t>
  </si>
  <si>
    <t>Etuve</t>
  </si>
  <si>
    <t>Microcentrifugeuse + tubes</t>
  </si>
  <si>
    <t>Agitateur magnétique</t>
  </si>
  <si>
    <t>Plaque chauffante</t>
  </si>
  <si>
    <t>Incubateur microbiologique</t>
  </si>
  <si>
    <t>Hotte à flux laminaire avec roulettes</t>
  </si>
  <si>
    <t>Pompe à vide à membrane</t>
  </si>
  <si>
    <t>Purificateur d’eau</t>
  </si>
  <si>
    <t>Autoclave</t>
  </si>
  <si>
    <t xml:space="preserve">Microscope  </t>
  </si>
  <si>
    <t>Microscope</t>
  </si>
  <si>
    <t>Désignation des articles</t>
  </si>
  <si>
    <t>Désignation</t>
  </si>
  <si>
    <t xml:space="preserve">Spécificité </t>
  </si>
  <si>
    <t>Qté</t>
  </si>
  <si>
    <t>Agarose</t>
  </si>
  <si>
    <t>500 g</t>
  </si>
  <si>
    <t>Ampicilin</t>
  </si>
  <si>
    <t>50 g</t>
  </si>
  <si>
    <t>Agar</t>
  </si>
  <si>
    <t>Acide acétique</t>
  </si>
  <si>
    <t>1000 ml</t>
  </si>
  <si>
    <t>NaOH</t>
  </si>
  <si>
    <t>gal</t>
  </si>
  <si>
    <t>Tween 20</t>
  </si>
  <si>
    <t>500 ml</t>
  </si>
  <si>
    <t>CaCl2</t>
  </si>
  <si>
    <t xml:space="preserve">Gentamicin </t>
  </si>
  <si>
    <t>Acide sulfurique</t>
  </si>
  <si>
    <t>Penicilline</t>
  </si>
  <si>
    <t>Primaricine</t>
  </si>
  <si>
    <t>Treptomycine</t>
  </si>
  <si>
    <t>Acid ascorbic</t>
  </si>
  <si>
    <t>25 g</t>
  </si>
  <si>
    <t>Acide borique</t>
  </si>
  <si>
    <t>Kg</t>
  </si>
  <si>
    <t>MgCl2</t>
  </si>
  <si>
    <t>300g</t>
  </si>
  <si>
    <t>Néomycine</t>
  </si>
  <si>
    <t>Chloramphenicol</t>
  </si>
  <si>
    <t>Lot de réactifs (quantité pour 1 an)</t>
  </si>
  <si>
    <t>Potato Dextrose Agar</t>
  </si>
  <si>
    <t>lb</t>
  </si>
  <si>
    <t>Plate Count Agar</t>
  </si>
  <si>
    <t xml:space="preserve">Yeast Extract </t>
  </si>
  <si>
    <t>Peptone</t>
  </si>
  <si>
    <t>Clucose</t>
  </si>
  <si>
    <t>Sucrose</t>
  </si>
  <si>
    <t>ydrolisate Casein hydrolysate</t>
  </si>
  <si>
    <t>KCl</t>
  </si>
  <si>
    <t>Glycerol</t>
  </si>
  <si>
    <t>ml</t>
  </si>
  <si>
    <r>
      <t>K</t>
    </r>
    <r>
      <rPr>
        <vertAlign val="subscript"/>
        <sz val="9"/>
        <color theme="1"/>
        <rFont val="Calibri"/>
        <family val="2"/>
        <scheme val="minor"/>
      </rPr>
      <t>2</t>
    </r>
    <r>
      <rPr>
        <sz val="9"/>
        <color theme="1"/>
        <rFont val="Calibri"/>
        <family val="2"/>
        <scheme val="minor"/>
      </rPr>
      <t>HPO</t>
    </r>
    <r>
      <rPr>
        <vertAlign val="subscript"/>
        <sz val="9"/>
        <color theme="1"/>
        <rFont val="Calibri"/>
        <family val="2"/>
        <scheme val="minor"/>
      </rPr>
      <t>4</t>
    </r>
  </si>
  <si>
    <r>
      <t>KNO</t>
    </r>
    <r>
      <rPr>
        <vertAlign val="subscript"/>
        <sz val="9"/>
        <color theme="1"/>
        <rFont val="Calibri"/>
        <family val="2"/>
        <scheme val="minor"/>
      </rPr>
      <t>3</t>
    </r>
  </si>
  <si>
    <r>
      <t>MgSO</t>
    </r>
    <r>
      <rPr>
        <vertAlign val="subscript"/>
        <sz val="9"/>
        <color theme="1"/>
        <rFont val="Calibri"/>
        <family val="2"/>
        <scheme val="minor"/>
      </rPr>
      <t>4</t>
    </r>
    <r>
      <rPr>
        <sz val="9"/>
        <color theme="1"/>
        <rFont val="Calibri"/>
        <family val="2"/>
        <scheme val="minor"/>
      </rPr>
      <t>7H</t>
    </r>
    <r>
      <rPr>
        <vertAlign val="subscript"/>
        <sz val="9"/>
        <color theme="1"/>
        <rFont val="Calibri"/>
        <family val="2"/>
        <scheme val="minor"/>
      </rPr>
      <t>2</t>
    </r>
    <r>
      <rPr>
        <sz val="9"/>
        <color theme="1"/>
        <rFont val="Calibri"/>
        <family val="2"/>
        <scheme val="minor"/>
      </rPr>
      <t>O</t>
    </r>
  </si>
  <si>
    <t>Formations de courte durée (3 mois en Université étrangère) en bactériologie, parasitologie, virologie, histopathologie, biologie moléculaire, toxicologie, management de laboratoire</t>
  </si>
  <si>
    <t xml:space="preserve">Objet </t>
  </si>
  <si>
    <t>Qte</t>
  </si>
  <si>
    <t xml:space="preserve">Aceite de cedro </t>
  </si>
  <si>
    <t xml:space="preserve">Aceite De Inmersion, </t>
  </si>
  <si>
    <t>100 Ml</t>
  </si>
  <si>
    <t>Acétal de Hyde</t>
  </si>
  <si>
    <t>Acetate d’ethyl</t>
  </si>
  <si>
    <t xml:space="preserve">Acetonitrile </t>
  </si>
  <si>
    <t>Acétyle Pirocarbonate (flacon de 500g)</t>
  </si>
  <si>
    <t xml:space="preserve">Acid Fuchsin -Fucsina Acida $ </t>
  </si>
  <si>
    <t xml:space="preserve">25 g </t>
  </si>
  <si>
    <t xml:space="preserve">Acide amylique </t>
  </si>
  <si>
    <t>Acide ascorbique</t>
  </si>
  <si>
    <t>Acide Benzoique</t>
  </si>
  <si>
    <t>Acide borique (flacon de 500g)</t>
  </si>
  <si>
    <t>Acide chloridrique (HCL)</t>
  </si>
  <si>
    <t xml:space="preserve">2.5 L </t>
  </si>
  <si>
    <t xml:space="preserve">Acide formique </t>
  </si>
  <si>
    <t>Acide Oxolique</t>
  </si>
  <si>
    <t>Acide phosphorique</t>
  </si>
  <si>
    <t>Acide Sulfanylique</t>
  </si>
  <si>
    <t>Ácido cítrico. P.a. 1 frasco de 500 g</t>
  </si>
  <si>
    <t>Acido Nitrico, Ar ---</t>
  </si>
  <si>
    <t xml:space="preserve">2.5L </t>
  </si>
  <si>
    <t>Acido Nitrico, Crystals</t>
  </si>
  <si>
    <t>Acido Perclórico.</t>
  </si>
  <si>
    <t>Acido Rosalico.</t>
  </si>
  <si>
    <t>Acool  Amylique</t>
  </si>
  <si>
    <t>Acool Butylique</t>
  </si>
  <si>
    <t>Acriflavine 25 gr</t>
  </si>
  <si>
    <t>100 g</t>
  </si>
  <si>
    <t xml:space="preserve">Acriflavine Neutral, 100g </t>
  </si>
  <si>
    <t xml:space="preserve">Unit </t>
  </si>
  <si>
    <t>Aflatoxines  ( Kit)</t>
  </si>
  <si>
    <t xml:space="preserve">boite </t>
  </si>
  <si>
    <t xml:space="preserve">Agar agar </t>
  </si>
  <si>
    <t>Agar bacteriologic A</t>
  </si>
  <si>
    <t>Agar Baind Parker</t>
  </si>
  <si>
    <t>Agar de agar sangre</t>
  </si>
  <si>
    <t xml:space="preserve">Agar Lisina Hierro Medio de LIA </t>
  </si>
  <si>
    <t xml:space="preserve">Agar Mackonkey                                                                                                                </t>
  </si>
  <si>
    <t>Agar Mueller Hinton</t>
  </si>
  <si>
    <t>Agar noble. 2 frascos de 250 g.</t>
  </si>
  <si>
    <t xml:space="preserve">Agar nutriente                                                                                                                        </t>
  </si>
  <si>
    <t>Agar pastragar 100 gr</t>
  </si>
  <si>
    <t>Agar phenylalanine</t>
  </si>
  <si>
    <t xml:space="preserve">Agar sal manitol                                                                                                                     </t>
  </si>
  <si>
    <t>Agar salmonelle shigella</t>
  </si>
  <si>
    <t>Agar soleman</t>
  </si>
  <si>
    <t xml:space="preserve">Agar Technical (agar No 3) --Pastagar. </t>
  </si>
  <si>
    <t>500g.</t>
  </si>
  <si>
    <t xml:space="preserve">Agar TSI                                                                                                                             </t>
  </si>
  <si>
    <t xml:space="preserve">Agar verde brillante                                                                                                               </t>
  </si>
  <si>
    <t>Agar violeta rojo bidis</t>
  </si>
  <si>
    <t xml:space="preserve">Agua peptonada                                                                                                                 </t>
  </si>
  <si>
    <t>Albumina de Mayer</t>
  </si>
  <si>
    <t>Alcohol amílico densidad de 0,808-0,818</t>
  </si>
  <si>
    <t xml:space="preserve">Alcohol Etilico Absoluto Anhidro + </t>
  </si>
  <si>
    <t xml:space="preserve">4 L </t>
  </si>
  <si>
    <t xml:space="preserve">Alcool méthylique </t>
  </si>
  <si>
    <t>Aldehyde Salicylique</t>
  </si>
  <si>
    <t>Alpha naphtylamine</t>
  </si>
  <si>
    <t>Alumbre de Potasio</t>
  </si>
  <si>
    <t>Alumine basique (PH 9.5-10)</t>
  </si>
  <si>
    <t xml:space="preserve">500 g </t>
  </si>
  <si>
    <t>Amino Ethanol-1</t>
  </si>
  <si>
    <t xml:space="preserve">Ammonium Pack of  250 Tests </t>
  </si>
  <si>
    <t>Ampicilline</t>
  </si>
  <si>
    <t xml:space="preserve">Ampocericine  B 100 mg </t>
  </si>
  <si>
    <t>Antibiotiques-tests</t>
  </si>
  <si>
    <t>Antígenos para la serología de prueba lenta, Brucellosis</t>
  </si>
  <si>
    <t xml:space="preserve">Antisueros polivalentes y monovalentes para serotipificar salmonellas                             </t>
  </si>
  <si>
    <t>API 20 E</t>
  </si>
  <si>
    <t>Bacto agar</t>
  </si>
  <si>
    <t>Bacto beef</t>
  </si>
  <si>
    <t xml:space="preserve">Bacto dextrose </t>
  </si>
  <si>
    <t>Bacto peptone</t>
  </si>
  <si>
    <t>Bacto triptone gr</t>
  </si>
  <si>
    <t xml:space="preserve">Baird Parker Medium </t>
  </si>
  <si>
    <t>Base de agar endo</t>
  </si>
  <si>
    <t>BBL Si Citrato Agar</t>
  </si>
  <si>
    <t>Benzene</t>
  </si>
  <si>
    <t>Beta polymixine  5 x 50 disks</t>
  </si>
  <si>
    <t>B-glycerophosphate de sodium 100 gr</t>
  </si>
  <si>
    <t>Bi Selenite 100 gr</t>
  </si>
  <si>
    <t>Bichlorure de Mercure</t>
  </si>
  <si>
    <t xml:space="preserve">Biggy Agar  </t>
  </si>
  <si>
    <t xml:space="preserve">Bile Aesculin Agar </t>
  </si>
  <si>
    <t>Biphtalote de Potassium</t>
  </si>
  <si>
    <t>Blain Yeast</t>
  </si>
  <si>
    <t>Bleu de bromol 25 gr</t>
  </si>
  <si>
    <t>Bleu de methylene</t>
  </si>
  <si>
    <t>Blood agar triptosam</t>
  </si>
  <si>
    <t>Borote de Sodium decahydrate</t>
  </si>
  <si>
    <t>Bouillon BLBVB</t>
  </si>
  <si>
    <t>Bouillon cœur- cervelle</t>
  </si>
  <si>
    <t>Bouillon lactosé au BCP</t>
  </si>
  <si>
    <t xml:space="preserve">bouillon Müller Hinton, </t>
  </si>
  <si>
    <t>bouillon Müller-kauffmann</t>
  </si>
  <si>
    <t>bouillon rappaport de Vassiliadis,</t>
  </si>
  <si>
    <t>bouillons au sélénite</t>
  </si>
  <si>
    <t xml:space="preserve">Brain Heart Infusion </t>
  </si>
  <si>
    <t xml:space="preserve">Brilliant green lactose bile (BGLB) broth                                                                             </t>
  </si>
  <si>
    <t>bromo 4 chloro -3 metoxyl  B-G 1 gr</t>
  </si>
  <si>
    <t>Bromofenol Azul, Sal Sodica $</t>
  </si>
  <si>
    <t xml:space="preserve">10 g </t>
  </si>
  <si>
    <t>Bromure d’Ammonium cetryl trinethyL  ( C T A B)</t>
  </si>
  <si>
    <t>Bromure d’éthyle (flacon de 500ml</t>
  </si>
  <si>
    <t>Brucella broth 500 gr</t>
  </si>
  <si>
    <t>Buffeed saline  100 tabs</t>
  </si>
  <si>
    <t>BUTHANOL</t>
  </si>
  <si>
    <t>C L E D Medium</t>
  </si>
  <si>
    <t>CaCo3 (500 g)</t>
  </si>
  <si>
    <t>Cadmium, Tnt+, (0.02-0.3 Mg/l) Pk/25</t>
  </si>
  <si>
    <t>Calceine</t>
  </si>
  <si>
    <t>Caldo Corazón</t>
  </si>
  <si>
    <t>Caldo lactosado</t>
  </si>
  <si>
    <t>Carmin d’indigo</t>
  </si>
  <si>
    <t xml:space="preserve">Cartridges Novobiocin Nv30 </t>
  </si>
  <si>
    <t xml:space="preserve">5x50 Di </t>
  </si>
  <si>
    <t xml:space="preserve">Cartridges Novobiocin Nv5 </t>
  </si>
  <si>
    <t xml:space="preserve">Cartridges Rifampicin Rd30 </t>
  </si>
  <si>
    <t>Catalase – Oxydase dicks stiks</t>
  </si>
  <si>
    <t xml:space="preserve">Cefarazone </t>
  </si>
  <si>
    <t>Cefasulodine 5 x 50 discs</t>
  </si>
  <si>
    <t>Ceftatizine v/50</t>
  </si>
  <si>
    <t>Charbon Actif (Poudre)</t>
  </si>
  <si>
    <t>Chlore (Jif ou autres)</t>
  </si>
  <si>
    <t>Chlorhydrate 2 naphtylamine</t>
  </si>
  <si>
    <t xml:space="preserve">Chlorine Pack of  100 Tests </t>
  </si>
  <si>
    <t xml:space="preserve">Chloro de sodium cristal </t>
  </si>
  <si>
    <t>Chloroforme</t>
  </si>
  <si>
    <t>Chlorure d’Amonium</t>
  </si>
  <si>
    <t>Chlorure de Barium</t>
  </si>
  <si>
    <t xml:space="preserve">Chlorure de calcium </t>
  </si>
  <si>
    <t>Chlorure de magnésium</t>
  </si>
  <si>
    <t>Chlorure ferrique</t>
  </si>
  <si>
    <t>Chlorydrate dep.rosaniline</t>
  </si>
  <si>
    <t xml:space="preserve">Chromate Pack  of  25 Tests </t>
  </si>
  <si>
    <t>Cianuro de K</t>
  </si>
  <si>
    <t>Cifixine v/50</t>
  </si>
  <si>
    <t xml:space="preserve">Citrate d'hydrogène disodique </t>
  </si>
  <si>
    <t>Citrato de sodio p.a. 500 g.</t>
  </si>
  <si>
    <t>Citricc feric 500 gr</t>
  </si>
  <si>
    <t xml:space="preserve">Citrique ferrique </t>
  </si>
  <si>
    <t>Cloche de Durham en vidrio</t>
  </si>
  <si>
    <t xml:space="preserve">Cloruro De Calcio Anhidrido, Perlas, 4-8 Mesh (m4225) $ </t>
  </si>
  <si>
    <t xml:space="preserve">Cloruro De Litio, =99% Acs </t>
  </si>
  <si>
    <t xml:space="preserve">Cloruro De Magnesio 6-hid. Cri (b2444) + </t>
  </si>
  <si>
    <t xml:space="preserve">Cloruro De Sodio Cristal Ra (b3624) </t>
  </si>
  <si>
    <t xml:space="preserve">Colilert Pack of  200 pieces </t>
  </si>
  <si>
    <t>Colistine v/50</t>
  </si>
  <si>
    <t xml:space="preserve">Columbia Agar Mlt 500gm </t>
  </si>
  <si>
    <t xml:space="preserve">Columbia Blood Agar Base </t>
  </si>
  <si>
    <t>Columbia brooth 500 gr</t>
  </si>
  <si>
    <t>Cooked meat medium</t>
  </si>
  <si>
    <t>Cromate de Potassium</t>
  </si>
  <si>
    <t>Cuchillo para Patología.</t>
  </si>
  <si>
    <t xml:space="preserve">Dalicine </t>
  </si>
  <si>
    <t>Deca hydro-naphtalène</t>
  </si>
  <si>
    <t>Desoxychocolate de sodium hemato</t>
  </si>
  <si>
    <t>Dextein</t>
  </si>
  <si>
    <t>Dextrosa. P.a. 1 frasco de 500 g.</t>
  </si>
  <si>
    <t>Dibromoquino achloramine(Réactif de Gibbs)</t>
  </si>
  <si>
    <t>Dicromate de Potassium</t>
  </si>
  <si>
    <t>Dicromate de Sodium</t>
  </si>
  <si>
    <t>Difco laftosa</t>
  </si>
  <si>
    <t>Dihydrosodium 500 gr</t>
  </si>
  <si>
    <t>Dihygenophos potassium 500 gr</t>
  </si>
  <si>
    <t xml:space="preserve">D-sorbitol, </t>
  </si>
  <si>
    <t xml:space="preserve">E.c. Broth (hajna) </t>
  </si>
  <si>
    <t>Eau de javel (12°chl</t>
  </si>
  <si>
    <t>Eau distillée stérile</t>
  </si>
  <si>
    <t>Eau peptonee 500 gr</t>
  </si>
  <si>
    <t xml:space="preserve">eau peptonée tamponnée ou le bouillon lactosé </t>
  </si>
  <si>
    <t xml:space="preserve">EC Broth                                                                                                                               </t>
  </si>
  <si>
    <t>EC-MUG médium</t>
  </si>
  <si>
    <t>EDTA 2K, 3K o 2Na</t>
  </si>
  <si>
    <t>ELISA TEST for Lesptopirosis</t>
  </si>
  <si>
    <t xml:space="preserve">EMB Agar 500 gr </t>
  </si>
  <si>
    <t xml:space="preserve">Enterolert Pack of  20 pieces </t>
  </si>
  <si>
    <t>Enterolert, 200/box</t>
  </si>
  <si>
    <t xml:space="preserve">Eosin Methylene Blue Agar </t>
  </si>
  <si>
    <t xml:space="preserve">Eosin Y (yellowish) $ </t>
  </si>
  <si>
    <t xml:space="preserve">100 g </t>
  </si>
  <si>
    <t>EPO plus saccharose</t>
  </si>
  <si>
    <t>Ethanol absolu 1000 ml</t>
  </si>
  <si>
    <t>Ether  de Petrol</t>
  </si>
  <si>
    <t>Ether Diethylique</t>
  </si>
  <si>
    <t>l</t>
  </si>
  <si>
    <t>Ether Ethylique</t>
  </si>
  <si>
    <t xml:space="preserve">Ethylene Glycol </t>
  </si>
  <si>
    <t>1000ml</t>
  </si>
  <si>
    <t>Extrait  de viande  500 g</t>
  </si>
  <si>
    <t>Extrait autolytique de levure 500 gr</t>
  </si>
  <si>
    <t>Extrait de levure 500 gr</t>
  </si>
  <si>
    <t>Extrait enzymatique de foie 250 gr</t>
  </si>
  <si>
    <t>Fenol reactivo  cristal.</t>
  </si>
  <si>
    <t>Feric amonium sulfate 500 gr</t>
  </si>
  <si>
    <t>Fletcher baso</t>
  </si>
  <si>
    <t>Fluorure for 866 Tests  Merck</t>
  </si>
  <si>
    <t>Formaldéhyde (ILT)</t>
  </si>
  <si>
    <t>Formol 37-41%.</t>
  </si>
  <si>
    <t xml:space="preserve">Fosfaste mono basica de sodio                                                                                             </t>
  </si>
  <si>
    <t>Fosfato De Sodio, Dibas, Anh, Granular (b3828) ---</t>
  </si>
  <si>
    <t>Fosfomicine v/50</t>
  </si>
  <si>
    <t>Fuchsine Phénique</t>
  </si>
  <si>
    <t xml:space="preserve">Fucsina Basica Hidroclorica $ </t>
  </si>
  <si>
    <t>Furasolidine ( patron)</t>
  </si>
  <si>
    <t>Fuschin basic 500 gr</t>
  </si>
  <si>
    <t>Fuschine acide 25 gr</t>
  </si>
  <si>
    <t>Fuschine de Ziehl dilué,</t>
  </si>
  <si>
    <t>Gaz Helium, Acetylene, Hydrogene</t>
  </si>
  <si>
    <t>Gel Mac Conkey 500 gr</t>
  </si>
  <si>
    <t xml:space="preserve">Gelatin Bacteriological </t>
  </si>
  <si>
    <t>Gelatine 1000 gr</t>
  </si>
  <si>
    <t>Gélose à l’ADN</t>
  </si>
  <si>
    <t>Gélose au sang</t>
  </si>
  <si>
    <t>gélose au sulfite de Bismuth.</t>
  </si>
  <si>
    <t>gélose au vert brillant et au rouge de phénol (VB-RP)</t>
  </si>
  <si>
    <t>Gelose columbia 500 g</t>
  </si>
  <si>
    <t>Gélose de Baird-parker (jaune d’œuf/ au Tellurite de potassium</t>
  </si>
  <si>
    <t xml:space="preserve">Gélose de Sabouraud </t>
  </si>
  <si>
    <t>gélose désoxycholate citrate lactose saccharose (DCLS)</t>
  </si>
  <si>
    <t>Gélose Drigalski</t>
  </si>
  <si>
    <t>Gelose Esculine agar</t>
  </si>
  <si>
    <t>Gélose lactosée au désoxycholate 0.1%</t>
  </si>
  <si>
    <t>Gélose Lowenstein-Jensen</t>
  </si>
  <si>
    <t>Gélose Mossel</t>
  </si>
  <si>
    <t>gélose Müller Hinton</t>
  </si>
  <si>
    <t>gélose nutritive (TCSA)</t>
  </si>
  <si>
    <t>Gélose nutritive ordinaire</t>
  </si>
  <si>
    <t>Gélose PCA</t>
  </si>
  <si>
    <t xml:space="preserve">Gélose Sabouraud </t>
  </si>
  <si>
    <t>Gélose SS</t>
  </si>
  <si>
    <t>Gélose TCBS</t>
  </si>
  <si>
    <t>Gélose TSN</t>
  </si>
  <si>
    <t>gélose Xylose Lysine désoxycholate (XLD)</t>
  </si>
  <si>
    <t>Gelose YCBS – 500 g</t>
  </si>
  <si>
    <t>Gentamicine tablet</t>
  </si>
  <si>
    <t>Giemsa galon</t>
  </si>
  <si>
    <t>Glucosa</t>
  </si>
  <si>
    <t>Glycérine(ILT)</t>
  </si>
  <si>
    <t xml:space="preserve">Glycine </t>
  </si>
  <si>
    <t>Gottsaker TB Medium</t>
  </si>
  <si>
    <t xml:space="preserve">Gram strain reagents                                                                                                               </t>
  </si>
  <si>
    <t xml:space="preserve">Hektoen Enteric Agar </t>
  </si>
  <si>
    <t>Hematine 1 gr</t>
  </si>
  <si>
    <t xml:space="preserve">Hematoxilina Harris </t>
  </si>
  <si>
    <t>Hemedival baso</t>
  </si>
  <si>
    <t>Hidróxido de sodio (pa)</t>
  </si>
  <si>
    <t>Higado descando</t>
  </si>
  <si>
    <t>HNO3</t>
  </si>
  <si>
    <t>Hodatina</t>
  </si>
  <si>
    <t>Hydrogeno carbonate de sodium</t>
  </si>
  <si>
    <t>Hydroxide d’Amonuim</t>
  </si>
  <si>
    <t>Hydroxyde de Potassium</t>
  </si>
  <si>
    <t>Hydroxyde de sodium</t>
  </si>
  <si>
    <t>Idexx AGU 030 Merck</t>
  </si>
  <si>
    <t xml:space="preserve">Idexx Quantitray Pack of  100 Tests </t>
  </si>
  <si>
    <t xml:space="preserve">Indol nitrite </t>
  </si>
  <si>
    <t>Iode Pc</t>
  </si>
  <si>
    <t>Iodure de Photassium</t>
  </si>
  <si>
    <t>K2HPO4 2 frascos de 500 g.</t>
  </si>
  <si>
    <t>KCL p.a.  2 frascos de 500 g.</t>
  </si>
  <si>
    <t xml:space="preserve">Kit Conjugado monoclonal inmunofluorescente </t>
  </si>
  <si>
    <t>Kit de PCR pour le diagnostic de l’influence aviaire (H5, H7)</t>
  </si>
  <si>
    <t>Kit diagnóstico para AGD para la determinación de anticuerpos contra la  Anemia Infecciosa Equina.</t>
  </si>
  <si>
    <t>Kit diagnóstico para IH o  de ELISA para la vigilancia de circµlación de anticuerpos o antígenos de los serotipos de Influenza H5, H7</t>
  </si>
  <si>
    <t>Kit diagnostico para la determinación de anticuerpos contra la  Anemia Infecciosa Equina.</t>
  </si>
  <si>
    <t>Kit Diagnostico para PCR de Encefalitis Equina Este, Oeste y Venezuela.</t>
  </si>
  <si>
    <t>Kit diagnóstico para PCR para la confirmación de circµlación viral de  Antígenos de los serotipos de Influenza H5, H7.</t>
  </si>
  <si>
    <t>Kit ELISA para Brucellas</t>
  </si>
  <si>
    <t>Kit para ELISA detección de  Anticuerpos del virus de enfermedad de Teschen para conocer circµlación viral e inmunoproteccion.</t>
  </si>
  <si>
    <t xml:space="preserve">Kit para PCR detección de  Ácidos nucleicos de virus de enfermedad de Teschen. </t>
  </si>
  <si>
    <t>Kit para serología de Leptospiras.</t>
  </si>
  <si>
    <t>Kits d'Aflatoxine (Tubes Test)</t>
  </si>
  <si>
    <t>Kits de Pesticides ELISA KIT de 3 pesticides</t>
  </si>
  <si>
    <t>Kits diagnóstico para ELISA de Enf. De New Castle.</t>
  </si>
  <si>
    <t xml:space="preserve">Kligler Iron Agar </t>
  </si>
  <si>
    <t>KOH</t>
  </si>
  <si>
    <t xml:space="preserve">Koser’s citrate broth                                                                                                             </t>
  </si>
  <si>
    <t xml:space="preserve">Kovacs’ reagent                                                                                                                      </t>
  </si>
  <si>
    <t xml:space="preserve">Lab-lemco Powder (beef Extract) </t>
  </si>
  <si>
    <t>Lactate trimetropine 50 mg</t>
  </si>
  <si>
    <t xml:space="preserve">Lactose Broth </t>
  </si>
  <si>
    <t>Lactose broth 500 gr</t>
  </si>
  <si>
    <t xml:space="preserve">Lauryl tryptose MUG (LST-MUG) broth                                                                              </t>
  </si>
  <si>
    <t xml:space="preserve">Lead  Pack of  50 Tests </t>
  </si>
  <si>
    <t>Leptospira medium</t>
  </si>
  <si>
    <t>Leptospirosis detection by real-time PCR</t>
  </si>
  <si>
    <t>Levine’s eosin- methylene bleu (L-EMB) agar</t>
  </si>
  <si>
    <t xml:space="preserve">l-Hematine /Hematine </t>
  </si>
  <si>
    <t>LiCl</t>
  </si>
  <si>
    <t>Licor de Hoffman.</t>
  </si>
  <si>
    <t xml:space="preserve">Listeria broth </t>
  </si>
  <si>
    <t xml:space="preserve">Listeria Enrichment Broth B. </t>
  </si>
  <si>
    <t xml:space="preserve">Listeria Selective Agar Base </t>
  </si>
  <si>
    <t>Lugol</t>
  </si>
  <si>
    <t>Lysine Iron Agar</t>
  </si>
  <si>
    <t xml:space="preserve">M.r.s.agar </t>
  </si>
  <si>
    <t xml:space="preserve">Mac Bide Gelose agar </t>
  </si>
  <si>
    <t xml:space="preserve">Mac-conkey Broth (purple) </t>
  </si>
  <si>
    <t>Magnésium (Mg)</t>
  </si>
  <si>
    <t>Malachite green 500 gr</t>
  </si>
  <si>
    <t>Malonate broth</t>
  </si>
  <si>
    <t xml:space="preserve">Manganese  Pack of  500 Tests </t>
  </si>
  <si>
    <t xml:space="preserve">Manitol agar </t>
  </si>
  <si>
    <t xml:space="preserve">Mannitol Salt Agar </t>
  </si>
  <si>
    <t>Mannitol-mobilité</t>
  </si>
  <si>
    <t>MARINE AGAR 2216 1X</t>
  </si>
  <si>
    <t>MB0266A Oxidase Strips</t>
  </si>
  <si>
    <t>Mcclunn agar</t>
  </si>
  <si>
    <t xml:space="preserve">Medio Caldo Cerebro Corazón </t>
  </si>
  <si>
    <t>Medio Voges poskauer</t>
  </si>
  <si>
    <t xml:space="preserve">Mercapto etanol, RFC </t>
  </si>
  <si>
    <t>Metaboate de Na</t>
  </si>
  <si>
    <t>Metanol, Anh. Ar (b9070) ---</t>
  </si>
  <si>
    <t xml:space="preserve">20 L </t>
  </si>
  <si>
    <t>Metavanadate d'amonium</t>
  </si>
  <si>
    <t>Methanol ACS grade</t>
  </si>
  <si>
    <t>Methyl-2- Propanol-1</t>
  </si>
  <si>
    <t xml:space="preserve">Méthylène blue </t>
  </si>
  <si>
    <t>Metyl red indicador</t>
  </si>
  <si>
    <t>Milieu au glycérol (Milieu liquide)</t>
  </si>
  <si>
    <t>Milieu Baird Parker</t>
  </si>
  <si>
    <t>Milieu BCP</t>
  </si>
  <si>
    <t>Milieu BEA</t>
  </si>
  <si>
    <t>Milieu Cétrimide</t>
  </si>
  <si>
    <t>Milieu citrate de Simmons</t>
  </si>
  <si>
    <t>Milieu Clark et Lubs</t>
  </si>
  <si>
    <t>Milieu CLED</t>
  </si>
  <si>
    <t>Milieu de Culture pour Leptospirose ( MAT)</t>
  </si>
  <si>
    <t>Milieu de Rambach</t>
  </si>
  <si>
    <t>Milieu EMB</t>
  </si>
  <si>
    <t>Milieu EPT</t>
  </si>
  <si>
    <t>Milieu glycérol</t>
  </si>
  <si>
    <t>Milieu Hektoen</t>
  </si>
  <si>
    <t>Milieu Hyperbilié</t>
  </si>
  <si>
    <t>Milieu Kliger-Hajna (Milieu solide)</t>
  </si>
  <si>
    <t>Milieu lysine de fer ou Milieu de Taylor</t>
  </si>
  <si>
    <t>Milieu lysine de fer ou Milieu de Taylor (couleur violet)</t>
  </si>
  <si>
    <t>Milieu Mac Conkey</t>
  </si>
  <si>
    <t>Milieu mannitol lysine cristal violet vert brillant</t>
  </si>
  <si>
    <t>Milieu mannitol mobilité nitrate.</t>
  </si>
  <si>
    <t>Milieu Muller Hinton</t>
  </si>
  <si>
    <t>Milieu PCB</t>
  </si>
  <si>
    <t>Milieu phénylalanine</t>
  </si>
  <si>
    <t>Milieu Rappaport</t>
  </si>
  <si>
    <t>Milieu Slanetz</t>
  </si>
  <si>
    <t>Milieu synthétique avec xylose</t>
  </si>
  <si>
    <t xml:space="preserve">Milieu urée-indole ou Milieu urée-tryptophane, </t>
  </si>
  <si>
    <t>Milieu urée-tryptophane</t>
  </si>
  <si>
    <t>Milieu viande-foie</t>
  </si>
  <si>
    <t>Milieu xylose-lysine-tergitol (XLT)</t>
  </si>
  <si>
    <t>Milieux Chapman</t>
  </si>
  <si>
    <t>Milk Ring Test (antibody detection in milk)</t>
  </si>
  <si>
    <t xml:space="preserve">MJG </t>
  </si>
  <si>
    <t>Molibdate d'ammonium</t>
  </si>
  <si>
    <t xml:space="preserve">MR- VP broth                                                                                                                       </t>
  </si>
  <si>
    <t xml:space="preserve">Mrvp Medium </t>
  </si>
  <si>
    <t xml:space="preserve">Mycoplasma Agar Base </t>
  </si>
  <si>
    <t>Myp Agar</t>
  </si>
  <si>
    <t xml:space="preserve">Na2HPO4 p.a. </t>
  </si>
  <si>
    <t>NaCl p.a. 2 frascos de 500 g.</t>
  </si>
  <si>
    <t xml:space="preserve">Nalidixic Acid, 250g </t>
  </si>
  <si>
    <t>NH dimethyle formamide</t>
  </si>
  <si>
    <t xml:space="preserve">Nitate d’argent 100 gr </t>
  </si>
  <si>
    <t>Nitrite de Sodium</t>
  </si>
  <si>
    <t xml:space="preserve">Nitrite Pack of  25 Tests </t>
  </si>
  <si>
    <t>Novomicine v/50</t>
  </si>
  <si>
    <t xml:space="preserve">Nutrient Agar </t>
  </si>
  <si>
    <t xml:space="preserve">Nutrient Gelatin </t>
  </si>
  <si>
    <t xml:space="preserve">Nutritive Gelose </t>
  </si>
  <si>
    <t>Ochratoxines A et B Kit</t>
  </si>
  <si>
    <t>Oxadato de amonio</t>
  </si>
  <si>
    <t xml:space="preserve">Oxalato de sodio                                                                                                                    </t>
  </si>
  <si>
    <t>Oxford Agar 500 gr</t>
  </si>
  <si>
    <t xml:space="preserve">Oxidase Strips </t>
  </si>
  <si>
    <t>Oxido de Mercurio rojo</t>
  </si>
  <si>
    <t>Pectona de sija</t>
  </si>
  <si>
    <t xml:space="preserve">Peptone Bacteriological Neutra500grams </t>
  </si>
  <si>
    <t>Peptone de hedatina</t>
  </si>
  <si>
    <t xml:space="preserve">Peptone diluents,0.1%                                                                                                            </t>
  </si>
  <si>
    <t xml:space="preserve">Peptone Water </t>
  </si>
  <si>
    <t xml:space="preserve">Permanganato De Potasio, Ar (m7068) $ </t>
  </si>
  <si>
    <t xml:space="preserve">Peróxido de Hidrogeno                                                                                                                       </t>
  </si>
  <si>
    <t>Phénol</t>
  </si>
  <si>
    <t>Phenol phtalein</t>
  </si>
  <si>
    <t xml:space="preserve">Phenol Red, 25g </t>
  </si>
  <si>
    <t xml:space="preserve">Phenylalanine Agr 11537 500g </t>
  </si>
  <si>
    <t>Ph-metre</t>
  </si>
  <si>
    <t>Phosphate de potassium monobasic</t>
  </si>
  <si>
    <t>Phosphate de sodium dibasic</t>
  </si>
  <si>
    <t xml:space="preserve">Phosphate dipo </t>
  </si>
  <si>
    <t xml:space="preserve">Phosphate monopotassium </t>
  </si>
  <si>
    <t xml:space="preserve">Photometer capable of reading 12mm tubes at 450nm.Clarkson </t>
  </si>
  <si>
    <t xml:space="preserve">Plasma de bovin  </t>
  </si>
  <si>
    <t>Plasma de lapin</t>
  </si>
  <si>
    <t xml:space="preserve">Polimixin B, Sal Sulfato </t>
  </si>
  <si>
    <t xml:space="preserve">5 MU </t>
  </si>
  <si>
    <t xml:space="preserve">Polisorbate 20, N.f. (tween 20) </t>
  </si>
  <si>
    <t xml:space="preserve">500 mL </t>
  </si>
  <si>
    <t xml:space="preserve">Potassium Tellurite 3.5% </t>
  </si>
  <si>
    <t xml:space="preserve">Propylene glicol </t>
  </si>
  <si>
    <t xml:space="preserve">Proteose peptone </t>
  </si>
  <si>
    <t>Pyruvate de sodium 100 gr</t>
  </si>
  <si>
    <t>Rapie test para Tuberculosis</t>
  </si>
  <si>
    <t xml:space="preserve">Rappaport                                                                                                                            </t>
  </si>
  <si>
    <t xml:space="preserve">Rappaport Broth </t>
  </si>
  <si>
    <t>Reactif de California</t>
  </si>
  <si>
    <t>Réactif de Kovacks.</t>
  </si>
  <si>
    <t>Reactif de schalm</t>
  </si>
  <si>
    <t>Reactivo de Shalm o de california.</t>
  </si>
  <si>
    <t xml:space="preserve">Reagent Set, Chromate F/dt Kit </t>
  </si>
  <si>
    <t xml:space="preserve">Rifampiciline </t>
  </si>
  <si>
    <t xml:space="preserve">RL – AcrFlavin/Acryflavin </t>
  </si>
  <si>
    <t xml:space="preserve">Rl – Brucellabou/Rl – Brucella Boutl </t>
  </si>
  <si>
    <t>RL - Catalaseoxyd</t>
  </si>
  <si>
    <t xml:space="preserve">RL - Ceforazone /Ceforazone  </t>
  </si>
  <si>
    <t>Rl – Listeris BR/RL- Listeria Broth</t>
  </si>
  <si>
    <t>RL – Sulfacolist/Sulfate Colistin DIS</t>
  </si>
  <si>
    <t xml:space="preserve">RL- ALUNFER  /Feric Amonium </t>
  </si>
  <si>
    <t>RL- BGlycerophos/Rl-Glycerophosphate</t>
  </si>
  <si>
    <t xml:space="preserve">RL Bufferedphos/Buffeed Salneph </t>
  </si>
  <si>
    <t>RL- Cefotetane/Cefotetane Dis</t>
  </si>
  <si>
    <t xml:space="preserve">RL- Gelose TCBS/RL- Gelose TCBS </t>
  </si>
  <si>
    <t>Rl- Macbridegel/ RL- Mac Bride Gel 500 G</t>
  </si>
  <si>
    <t>RL-Amphoteicin/Amphotericin B</t>
  </si>
  <si>
    <t>RL-Betapolymyxinedi</t>
  </si>
  <si>
    <t>RL-Extenzdefoie/Extrait enzyme de foie</t>
  </si>
  <si>
    <t xml:space="preserve">RL-Lactatedetri/Lactate de Trimetropine  </t>
  </si>
  <si>
    <t xml:space="preserve">Rl-Milieu  MRS/Milieu MS </t>
  </si>
  <si>
    <t xml:space="preserve">RL-MUG 10V/     MUG </t>
  </si>
  <si>
    <t xml:space="preserve">RL-Proteosepep/Proteose Peptone 500 </t>
  </si>
  <si>
    <t>Rojo de metilo</t>
  </si>
  <si>
    <t>Rouge de Methyl</t>
  </si>
  <si>
    <t xml:space="preserve">Rouge de phénol </t>
  </si>
  <si>
    <t>Rouge neutre 25  25 gr</t>
  </si>
  <si>
    <t xml:space="preserve">S I M Medium </t>
  </si>
  <si>
    <t xml:space="preserve">S S Agar </t>
  </si>
  <si>
    <t xml:space="preserve">Sµlfate de sodium et de potassium </t>
  </si>
  <si>
    <t>Sabouaud 500 g</t>
  </si>
  <si>
    <t xml:space="preserve">Saccharose </t>
  </si>
  <si>
    <t>Salicine</t>
  </si>
  <si>
    <t>Saomosa</t>
  </si>
  <si>
    <t xml:space="preserve">Selenite brooth </t>
  </si>
  <si>
    <t xml:space="preserve">Selenite Cyst.broth Base </t>
  </si>
  <si>
    <t>Sels biliaires</t>
  </si>
  <si>
    <t xml:space="preserve">Sels de citrate </t>
  </si>
  <si>
    <t>set de extracción de sangre para bacteriología.</t>
  </si>
  <si>
    <t>Sim Medium 500 gr</t>
  </si>
  <si>
    <t>Simmons citrate 500 gr</t>
  </si>
  <si>
    <t>Slanetz And Bartley Medium</t>
  </si>
  <si>
    <t>Sodio azide</t>
  </si>
  <si>
    <t xml:space="preserve">Sodium Biselenite (l121) </t>
  </si>
  <si>
    <t xml:space="preserve">Sodium chloride, Reagent grade. </t>
  </si>
  <si>
    <t xml:space="preserve">Solución Buffer </t>
  </si>
  <si>
    <t>Solución Salina Fisiológica</t>
  </si>
  <si>
    <t>Solution Crystal violet</t>
  </si>
  <si>
    <t xml:space="preserve">Solution de Ringer </t>
  </si>
  <si>
    <t>Solution Safranine</t>
  </si>
  <si>
    <t xml:space="preserve">Sorbitol </t>
  </si>
  <si>
    <t>Soxtec System</t>
  </si>
  <si>
    <t>SS Agar 500 gr</t>
  </si>
  <si>
    <t>Streptosel broth 500 gr</t>
  </si>
  <si>
    <t>Sulfate  de colistine 5 x 50 discs</t>
  </si>
  <si>
    <t>Sulfate  ferrique d’Amonium</t>
  </si>
  <si>
    <t>Sulfate d’Amonium</t>
  </si>
  <si>
    <t xml:space="preserve">Sulfate de cuivre </t>
  </si>
  <si>
    <t>Sulfate de cuivre pento hydrate</t>
  </si>
  <si>
    <t>Sulfate de magnésium 99+% ACS</t>
  </si>
  <si>
    <t>Sulfate de Sodium</t>
  </si>
  <si>
    <t>Sulfate ferrique</t>
  </si>
  <si>
    <t>Sulfate lauryl Sodique</t>
  </si>
  <si>
    <t xml:space="preserve">Sulfato De Aluminio Hidratado, Cristales, Ar $ </t>
  </si>
  <si>
    <t xml:space="preserve">Sulfato De Amonio Y Hierro, 12-hidrato, Cristales </t>
  </si>
  <si>
    <t>Sulfato De Cobre, Anhidro, Polvo ---</t>
  </si>
  <si>
    <t>Sulfite de Sodium</t>
  </si>
  <si>
    <t xml:space="preserve">T.c.b.s Cholera Medium </t>
  </si>
  <si>
    <t xml:space="preserve">Tellurite potassium </t>
  </si>
  <si>
    <t>termo tubos Ependorf de 0,200 ul.</t>
  </si>
  <si>
    <t>Tetra chlorure de Carbone</t>
  </si>
  <si>
    <t xml:space="preserve">Tetraciclyne </t>
  </si>
  <si>
    <t>Tetrathionate</t>
  </si>
  <si>
    <t>Thiocyanate de Pototassium</t>
  </si>
  <si>
    <t xml:space="preserve">Thioglicolate Md </t>
  </si>
  <si>
    <t xml:space="preserve">Thiosulphate de sodium </t>
  </si>
  <si>
    <t xml:space="preserve">Timol </t>
  </si>
  <si>
    <t xml:space="preserve">Tioglicolato De Sodio </t>
  </si>
  <si>
    <t xml:space="preserve">Tiosulfato De Sodio, Anhidro, Granular $ </t>
  </si>
  <si>
    <t>TNT852 Cadmium, Tnt+, (0.02-0.3 Mg/l) Pk/25</t>
  </si>
  <si>
    <t xml:space="preserve">Toluene </t>
  </si>
  <si>
    <t xml:space="preserve">Tomato Paste Agar </t>
  </si>
  <si>
    <t xml:space="preserve">Tregilot </t>
  </si>
  <si>
    <t>Trichlorure d’Iode</t>
  </si>
  <si>
    <t>Triple Sugar Iron Agar</t>
  </si>
  <si>
    <t>Tris (flacon de 500g)</t>
  </si>
  <si>
    <t xml:space="preserve">Tryptase brooth </t>
  </si>
  <si>
    <t xml:space="preserve">Tryptone </t>
  </si>
  <si>
    <t xml:space="preserve">Tryptone (Tryptophane) broth                                                                                             </t>
  </si>
  <si>
    <t xml:space="preserve">Tryptone Soya Broth </t>
  </si>
  <si>
    <t>Tryptone-sel</t>
  </si>
  <si>
    <t xml:space="preserve">Tryptose Blood Agar Base </t>
  </si>
  <si>
    <t xml:space="preserve">TSI </t>
  </si>
  <si>
    <t xml:space="preserve">Tubo,centrifuga,grad,de Rosca,15ml </t>
  </si>
  <si>
    <t xml:space="preserve">Tween 80    </t>
  </si>
  <si>
    <t>Tween 80    100  ml</t>
  </si>
  <si>
    <t>Urea Agar Base</t>
  </si>
  <si>
    <t xml:space="preserve">Urease test broth </t>
  </si>
  <si>
    <t xml:space="preserve">Uree agar  base </t>
  </si>
  <si>
    <t xml:space="preserve">Vanadate d’ammonium </t>
  </si>
  <si>
    <t xml:space="preserve">Vancomicine </t>
  </si>
  <si>
    <t>Veratox R Aflatoxine</t>
  </si>
  <si>
    <t>Vert Brillant 100 gr</t>
  </si>
  <si>
    <t>Vert de  Bromocresol</t>
  </si>
  <si>
    <t xml:space="preserve">Vessel Pack of  200 pieces </t>
  </si>
  <si>
    <t>Vial (Ependorf) stérile libre de nucléase de 1.5 ml pour la PCR</t>
  </si>
  <si>
    <t xml:space="preserve">violet de gentiane phéniqué, </t>
  </si>
  <si>
    <t xml:space="preserve">Violet red bile agar                                                                                                                </t>
  </si>
  <si>
    <t xml:space="preserve">Voges-proskauer (VP) reagents                                                                                              </t>
  </si>
  <si>
    <t xml:space="preserve">VRBA-MUG agar                                                                                                                  </t>
  </si>
  <si>
    <t>VRBG (gélose glucosée biliée ( cristal violet + rouge neutre)</t>
  </si>
  <si>
    <t xml:space="preserve">Xilol </t>
  </si>
  <si>
    <t xml:space="preserve">XLD </t>
  </si>
  <si>
    <t>Xld Medium</t>
  </si>
  <si>
    <t xml:space="preserve">Yeast autolysine </t>
  </si>
  <si>
    <t xml:space="preserve">Yeast Extract Agar </t>
  </si>
  <si>
    <t>Yeast extracto</t>
  </si>
  <si>
    <t>Zinc (Zn)</t>
  </si>
  <si>
    <t>Acetone Ar (b9006) ---</t>
  </si>
  <si>
    <r>
      <t>Acide Perchlorique70</t>
    </r>
    <r>
      <rPr>
        <vertAlign val="superscript"/>
        <sz val="9"/>
        <rFont val="Calibri"/>
        <family val="2"/>
        <scheme val="minor"/>
      </rPr>
      <t>o</t>
    </r>
  </si>
  <si>
    <r>
      <t>AL</t>
    </r>
    <r>
      <rPr>
        <vertAlign val="subscript"/>
        <sz val="9"/>
        <rFont val="Calibri"/>
        <family val="2"/>
        <scheme val="minor"/>
      </rPr>
      <t>2</t>
    </r>
    <r>
      <rPr>
        <sz val="9"/>
        <rFont val="Calibri"/>
        <family val="2"/>
        <scheme val="minor"/>
      </rPr>
      <t>(SO</t>
    </r>
    <r>
      <rPr>
        <vertAlign val="subscript"/>
        <sz val="9"/>
        <rFont val="Calibri"/>
        <family val="2"/>
        <scheme val="minor"/>
      </rPr>
      <t>4</t>
    </r>
    <r>
      <rPr>
        <sz val="9"/>
        <rFont val="Calibri"/>
        <family val="2"/>
        <scheme val="minor"/>
      </rPr>
      <t>)</t>
    </r>
    <r>
      <rPr>
        <vertAlign val="subscript"/>
        <sz val="9"/>
        <rFont val="Calibri"/>
        <family val="2"/>
        <scheme val="minor"/>
      </rPr>
      <t>3</t>
    </r>
  </si>
  <si>
    <t>Amidon s Soluble Papa, Polvo (m8188)</t>
  </si>
  <si>
    <r>
      <t>BA(OH)</t>
    </r>
    <r>
      <rPr>
        <vertAlign val="subscript"/>
        <sz val="9"/>
        <rFont val="Calibri"/>
        <family val="2"/>
        <scheme val="minor"/>
      </rPr>
      <t>2</t>
    </r>
  </si>
  <si>
    <r>
      <t>Compass</t>
    </r>
    <r>
      <rPr>
        <vertAlign val="superscript"/>
        <sz val="9"/>
        <rFont val="Calibri"/>
        <family val="2"/>
        <scheme val="minor"/>
      </rPr>
      <t>® </t>
    </r>
    <r>
      <rPr>
        <i/>
        <sz val="9"/>
        <rFont val="Calibri"/>
        <family val="2"/>
        <scheme val="minor"/>
      </rPr>
      <t>enterococcus </t>
    </r>
    <r>
      <rPr>
        <sz val="9"/>
        <rFont val="Calibri"/>
        <family val="2"/>
        <scheme val="minor"/>
      </rPr>
      <t xml:space="preserve">agar </t>
    </r>
  </si>
  <si>
    <r>
      <t>Dessicant ( gel de silice/CUSO</t>
    </r>
    <r>
      <rPr>
        <vertAlign val="subscript"/>
        <sz val="9"/>
        <rFont val="Calibri"/>
        <family val="2"/>
        <scheme val="minor"/>
      </rPr>
      <t>4</t>
    </r>
  </si>
  <si>
    <r>
      <t>gélose </t>
    </r>
    <r>
      <rPr>
        <i/>
        <sz val="9"/>
        <rFont val="Calibri"/>
        <family val="2"/>
        <scheme val="minor"/>
      </rPr>
      <t>Salmonella -Shigella</t>
    </r>
    <r>
      <rPr>
        <sz val="9"/>
        <rFont val="Calibri"/>
        <family val="2"/>
        <scheme val="minor"/>
      </rPr>
      <t> (gélose SS)</t>
    </r>
  </si>
  <si>
    <r>
      <t>KMNO</t>
    </r>
    <r>
      <rPr>
        <vertAlign val="subscript"/>
        <sz val="9"/>
        <rFont val="Calibri"/>
        <family val="2"/>
        <scheme val="minor"/>
      </rPr>
      <t>4</t>
    </r>
  </si>
  <si>
    <r>
      <t>Milieu Compass </t>
    </r>
    <r>
      <rPr>
        <i/>
        <sz val="9"/>
        <rFont val="Calibri"/>
        <family val="2"/>
        <scheme val="minor"/>
      </rPr>
      <t>Salmonella</t>
    </r>
  </si>
  <si>
    <r>
      <t>NAHCO</t>
    </r>
    <r>
      <rPr>
        <vertAlign val="subscript"/>
        <sz val="9"/>
        <rFont val="Calibri"/>
        <family val="2"/>
        <scheme val="minor"/>
      </rPr>
      <t>3</t>
    </r>
  </si>
  <si>
    <t>Litre</t>
  </si>
  <si>
    <t>Acidimètre </t>
  </si>
  <si>
    <t>Agitateur vortex</t>
  </si>
  <si>
    <t xml:space="preserve">Autoclaves de laboratoire </t>
  </si>
  <si>
    <t>Bain-marie</t>
  </si>
  <si>
    <t>Balance de precision Sartorius</t>
  </si>
  <si>
    <t>Bec bunsen avec vanne de sécurité et allumage piézoélectrique</t>
  </si>
  <si>
    <t xml:space="preserve">Centrifugeuse </t>
  </si>
  <si>
    <t xml:space="preserve">Chronomètre / Décompteur </t>
  </si>
  <si>
    <t>Colorimètre</t>
  </si>
  <si>
    <t>Conductimètre de paillasse</t>
  </si>
  <si>
    <t>Ballon sphérique tricol  droit rode</t>
  </si>
  <si>
    <t>Ballon Kjeldahl</t>
  </si>
  <si>
    <t>Ballon sphérique à fond rond</t>
  </si>
  <si>
    <t>Bécher en PTFE</t>
  </si>
  <si>
    <t>Bond-it Waterbath Adhesive</t>
  </si>
  <si>
    <t>Valet en liège pour ballon</t>
  </si>
  <si>
    <t>Chauffe ballon anti-déversement</t>
  </si>
  <si>
    <t xml:space="preserve">Cloche de Durham </t>
  </si>
  <si>
    <t>Cristallisoir à bec</t>
  </si>
  <si>
    <t>Colonne de Vigreux</t>
  </si>
  <si>
    <t>Cuve spectrophotomètre standard (macro) avec couvercle</t>
  </si>
  <si>
    <t>Direct-Q 5 UV-R Tap to Pure &amp; Ultrapure water purification system (Molecular grade Water</t>
  </si>
  <si>
    <t>Embedding Center Richard-Allan Microm EC351</t>
  </si>
  <si>
    <t>Etuves Universelles Ventilées</t>
  </si>
  <si>
    <t>Incubateur-agitateur de paillasse 35±10 C</t>
  </si>
  <si>
    <t>Microscope  binoculaire</t>
  </si>
  <si>
    <t>Micro centrifugeuse + tubes</t>
  </si>
  <si>
    <t xml:space="preserve">Erlenmeyer  flask </t>
  </si>
  <si>
    <t>Eprouvette graduée base hexagonale en polypropylène</t>
  </si>
  <si>
    <t>Entonnoir tige courte</t>
  </si>
  <si>
    <t>Fiole Erlenmeyer à col étroit, 50 ml, (lot de 8)</t>
  </si>
  <si>
    <t>Fiole Erlenmeyer à col large, 250 ml, lot de 8</t>
  </si>
  <si>
    <t xml:space="preserve">Creuset en porcelaine avec couvercle </t>
  </si>
  <si>
    <t>Fiole à vide à col rodé</t>
  </si>
  <si>
    <t>Fiole Erlenmeyers col rode</t>
  </si>
  <si>
    <t>Fisher Isotemp 500 Series Lab oven </t>
  </si>
  <si>
    <t>Flacon gradué ISO en verre borosilicaté 3.3</t>
  </si>
  <si>
    <t>Graisse silicone pour vide LBSiL 25</t>
  </si>
  <si>
    <t>Hotte à flux laminaire avec roulette</t>
  </si>
  <si>
    <t>Kit extracteur Soxhlet de 50 ml</t>
  </si>
  <si>
    <t>Kit extracteur Soxhlet de 125 ml</t>
  </si>
  <si>
    <t>Appareil complet d' Elisa (Lecteur ELISA)</t>
  </si>
  <si>
    <t>Lampes pour le Spectrophotomètre d’Absorption Atomique</t>
  </si>
  <si>
    <t>Lame avec bords bruts</t>
  </si>
  <si>
    <t>Lamelle (boite de 50)</t>
  </si>
  <si>
    <t xml:space="preserve">Microscope de biologie Microscopes normaux Binoculaire  </t>
  </si>
  <si>
    <t>Micro-titration</t>
  </si>
  <si>
    <t>Minuterie</t>
  </si>
  <si>
    <t>Mixeur</t>
  </si>
  <si>
    <t>Mortier à main en porcelaine</t>
  </si>
  <si>
    <t>Pince</t>
  </si>
  <si>
    <t xml:space="preserve">Pipette sérologique </t>
  </si>
  <si>
    <t>Ph mètre bench top (electrode compatible)</t>
  </si>
  <si>
    <t>Papier filtre qualitatif filtration lente Paquet de 100</t>
  </si>
  <si>
    <t>Pipette (Mini-micropipettes de volume fixe, EASY 10)</t>
  </si>
  <si>
    <t>Pipette (Micropipette de volume fixe EASY30+)</t>
  </si>
  <si>
    <t>Pipette (Micropipettes multicanaux de 12 packets)</t>
  </si>
  <si>
    <t>Pointes pour micropipettes de 0.5-10ml en pack économie, paquet de 10,000</t>
  </si>
  <si>
    <t xml:space="preserve">Réfractomètre </t>
  </si>
  <si>
    <t>Scintillateur  des liquides</t>
  </si>
  <si>
    <t>Solution étalon de pH 4, 7,10</t>
  </si>
  <si>
    <t>Réfractomètre portatif (Kit (jeu))</t>
  </si>
  <si>
    <t>Appareil à mesurer le point de fusion de Thièle et tube</t>
  </si>
  <si>
    <t xml:space="preserve">Turbidimètre </t>
  </si>
  <si>
    <t>Tablier de protection</t>
  </si>
  <si>
    <t>Thermomètre (boite de 100)</t>
  </si>
  <si>
    <t>Tube pour centrifuge  de paire avec le centrifugeuse</t>
  </si>
  <si>
    <t>Verre à expérience en polypropylène</t>
  </si>
  <si>
    <t>Vinomètre (Aréomètre à vin)</t>
  </si>
  <si>
    <t>Multi paramètre portable (kit)</t>
  </si>
  <si>
    <t>Chromatographe HPLC et accessoires (installation et formation 10 personnes)</t>
  </si>
  <si>
    <t xml:space="preserve">Loupe binoculaire </t>
  </si>
  <si>
    <t>Réunions</t>
  </si>
  <si>
    <t>Hardware spécifique et mise en réseau nécessaires pour le fonctionnement du SI</t>
  </si>
  <si>
    <t>FF annuel</t>
  </si>
  <si>
    <t>Pour 1 an. Avec le numéro correspondant à la boucle</t>
  </si>
  <si>
    <t>Frais de fonctionnement (carburant, per diem, etc)</t>
  </si>
  <si>
    <t>Manuel d'inventaire, de gestion des stocks de matériels et consommables, de prêt du matériel, de transfert de propriété ou délégation de gestion des biens du MARNDR, et plan de maintenance du matériel.</t>
  </si>
  <si>
    <t>Frais de fonctionnement divers</t>
  </si>
  <si>
    <t>Obligatoire pour obtenir l'accréditation.</t>
  </si>
  <si>
    <t>Campagne-ateliers d’information sur le système, les procédures, etc… dans tous les départements ;</t>
  </si>
  <si>
    <t>Frais de fonctionnement (nombreux déplacements de terrain)</t>
  </si>
  <si>
    <t>Définition des modalités de mise en place d’un système d’accréditation fonctionnel, dans le cadre des réalités haïtiennes, sur la base des systèmes existants ailleurs + appui à la création de l'Ordre National Vétérinaire</t>
  </si>
  <si>
    <t>Campagne-ateliers</t>
  </si>
  <si>
    <t>Total (hors salaires de fonctionnaires)</t>
  </si>
  <si>
    <t>FF annuel / véhicule</t>
  </si>
  <si>
    <t>FF annuel / moto</t>
  </si>
  <si>
    <t>FF annuel / génératrice</t>
  </si>
  <si>
    <t>FF annuel / incinérateur</t>
  </si>
  <si>
    <t>Frais de fonctionnement spécifiques du SI (coûts récurrents : abonnement internet, maintenance...)</t>
  </si>
  <si>
    <t>H/an</t>
  </si>
  <si>
    <t>Agents phytosanitaires</t>
  </si>
  <si>
    <t>Personnes</t>
  </si>
  <si>
    <t>1) Tirage aléatoire des GSBP qui seront formés la 1e, la 2e, la 3e année, pour permettre une bonne évaluation d'impact 2) objectif = 5% de femmes formées</t>
  </si>
  <si>
    <t>Contrôle</t>
  </si>
  <si>
    <t>Remarque = campagnes conjointes donc vaccination normalement simultanée - a priori, pas de problème d'incompatibilité - indicateur = nombre de porcs vaccinés contre les 2 maladies</t>
  </si>
  <si>
    <t>Surveillance active : Enquêtes épidémiologiques - renseigne sur la distribution spatiale et temporelle (taux de prévalence et d'incidence)</t>
  </si>
  <si>
    <t>Inclut enquêtes pour MdF, FF, etc.  Voir aussi enquêtes épidémiologiques (produit 3.2)</t>
  </si>
  <si>
    <t>Consultant individuel</t>
  </si>
  <si>
    <t>Formation Bénévoles de terrain</t>
  </si>
  <si>
    <t>Bureau central Port-au-Prince (dont LVCQAT)</t>
  </si>
  <si>
    <t>Réunions de coordination (frais de déplacement et de restauration)</t>
  </si>
  <si>
    <t>Dépenses prises en charge par la BID pendant la première année - en attendant que le mécanisme de recouvrement des coûts se mette en place. Les modalités d'achat et de distribution des consommables doivent être clarifiées (MARNDR ou entité non gouvernementale) et la synchronisation avec l'établissement d'un système de recouvrement des coûts doit être sérieusement réfléchie</t>
  </si>
  <si>
    <t>Solde disponible</t>
  </si>
  <si>
    <t>1.5. : Système d'information intégré (santé animale, protection végétale, quarantaine, laboratoire) accessible depuis le site internet du MARNDR</t>
  </si>
  <si>
    <t>Voir ligne budgétaire "Suivi-évaluation" et enquêtes épidémiologiques</t>
  </si>
  <si>
    <t>4.3. : Procédures du LVCQAT établies et en vigueur</t>
  </si>
  <si>
    <t>1.2. : Infrastructures centrale (bâtiment pour les services intégrés) et départementales (centres zoophytosanitaires polyvalents) équipées</t>
  </si>
  <si>
    <t>Trésor Public (contrepartie du projet)</t>
  </si>
  <si>
    <t>Cotations de prix pour travaux</t>
  </si>
  <si>
    <t>1.1. : Centres de protection sanitaire polyvalents départementaux construits</t>
  </si>
  <si>
    <t>80 par an, sur une durée de 4 ans</t>
  </si>
  <si>
    <t>Hommes/an</t>
  </si>
  <si>
    <t>22 piégeurs à Gros-Morne, 4 à Terre-Neuve, pendant 2 ans</t>
  </si>
  <si>
    <t>Pulvérisateurs</t>
  </si>
  <si>
    <t>Pièges artisanaux (pièges commerciaux beaucoup trop chers). 2 communes = Zabriko (108 Km2) et Moron (183 Km2). Il faut installer entre 500 et 1000 pièges par Km2 selon infestation (moyenne = 750). Superficie de la zone pilote = 291 Km2.</t>
  </si>
  <si>
    <t>Appât pour pièges</t>
  </si>
  <si>
    <t>Pour pulvérisateur - pour faire baisser la population avant d'installer les pièges.</t>
  </si>
  <si>
    <t>Alimentation des pièges assurée par les producteurs de mangue eux-mêmes + membres bénévoles du réseau d'épidémiosurveillance. Ligne budgétaire régulière assurée par le TP</t>
  </si>
  <si>
    <t>Alimentation des pièges assurée par les planteurs eux-mêmes + membres bénévoles du réseau d'épidémiosurveillance</t>
  </si>
  <si>
    <t>2 agents par section communale</t>
  </si>
  <si>
    <t>Agents de terrain</t>
  </si>
  <si>
    <t>Superviseurs de terrain</t>
  </si>
  <si>
    <t>1 superviseur par commune</t>
  </si>
  <si>
    <t>Forfait annuel</t>
  </si>
  <si>
    <t>Financement sur TP car consommable; de plus, un premier lot de départ rendu disponible en 2014 grâce au programme DEFI</t>
  </si>
  <si>
    <t>Matériel et coûts de prélèvement pour PPC, Teschen, Newcastle, Grippe Aviaire, Gumboro, Brucellose, Tuberculoses bovine et caprine</t>
  </si>
  <si>
    <t>Sachet plastique</t>
  </si>
  <si>
    <t>Grosses aiguilles</t>
  </si>
  <si>
    <t>Glace pour conservation</t>
  </si>
  <si>
    <t>Alcool et désinfectant</t>
  </si>
  <si>
    <t>Formulaires</t>
  </si>
  <si>
    <t>Transport des échantillons</t>
  </si>
  <si>
    <t>Toute prime éventuelle à des agents vétérinaires privés sera supporté par le TP étant entendu que les prélèvements seront de la responsabilité des agents vétérinaires publics communaux</t>
  </si>
  <si>
    <t>Financement sur TP car consommable, et un premier lot de départ rendu disponible en 2014 grâce au programme DEFI.</t>
  </si>
  <si>
    <t>Conception spots radio</t>
  </si>
  <si>
    <t>Contrats</t>
  </si>
  <si>
    <t>Diffusion : 4 radios nationales et 30 radios départementales ou communautaires</t>
  </si>
  <si>
    <t>Coûts récurrents divers (transport des vaccins vers les unités de froid communales)</t>
  </si>
  <si>
    <t>FF par département</t>
  </si>
  <si>
    <t>Description des Biens</t>
  </si>
  <si>
    <t xml:space="preserve">Quantité et nombre d’unités </t>
  </si>
  <si>
    <t>Bécher à anse en polypropylène 125 ml</t>
  </si>
  <si>
    <t>Bécher à anse en polypropylène 225 ml</t>
  </si>
  <si>
    <t>Bécher à anse en polypropylène 500ml</t>
  </si>
  <si>
    <t>Bécher en pyrex 250ml</t>
  </si>
  <si>
    <t>Bécher en pyrex 50ml</t>
  </si>
  <si>
    <t>Burette à robinet droit en PTFE, classe A 10ml</t>
  </si>
  <si>
    <t>Burette à robinet droit en PTFE, classe A 25 ml</t>
  </si>
  <si>
    <t>Burette à robinet droit, classe A 10 ml</t>
  </si>
  <si>
    <t>Burette à robinet droit, classe A 25 ml</t>
  </si>
  <si>
    <t>Cylindre gradué autoclavable 10 ml</t>
  </si>
  <si>
    <t>Cylindre gradué autoclavable 100 ml</t>
  </si>
  <si>
    <t>Cylindre gradué autoclavable 25ml</t>
  </si>
  <si>
    <t>Cylindre gradué autoclavable 50ml</t>
  </si>
  <si>
    <t>Fiole jaugée classe A avec bouchon en plastique 1000ml</t>
  </si>
  <si>
    <t>Fiole jaugée classe A avec bouchon en plastique 10ml</t>
  </si>
  <si>
    <t>Fiole jaugée classe A avec bouchon en plastique 250ml</t>
  </si>
  <si>
    <t>Fiole jaugée classe A avec bouchon en plastique 25ml</t>
  </si>
  <si>
    <t>Fiole jaugée classe A avec bouchon en plastique 500ml</t>
  </si>
  <si>
    <t>flacon de stockage de solution 1000ml</t>
  </si>
  <si>
    <t>flacon de stockage de solution 500 ml</t>
  </si>
  <si>
    <t>Incubateur, 45.5±0.20 C</t>
  </si>
  <si>
    <t>Moulin a moteur</t>
  </si>
  <si>
    <t>Kits Elisa pour bactéries</t>
  </si>
  <si>
    <t>Kits Elisat pour virus</t>
  </si>
  <si>
    <t>Filet à insecte</t>
  </si>
  <si>
    <t>Bocal à insecte</t>
  </si>
  <si>
    <t>Loupe</t>
  </si>
  <si>
    <t>Sécateur</t>
  </si>
  <si>
    <t>Calcul des besoins en levure de Torula pour la mise en oeuvre d'un programme pilote de 2 ans (20% des pièges)</t>
  </si>
  <si>
    <t>Superficie (km2)</t>
  </si>
  <si>
    <t>Pièges par M2</t>
  </si>
  <si>
    <t>Nb de réappâtage (tous les 15 jours pdt 6 mois) pdt 2 ans</t>
  </si>
  <si>
    <t>Contenance Mélasse (ML)</t>
  </si>
  <si>
    <t>Qté de pièges par Ha</t>
  </si>
  <si>
    <t>Qté totale de pièges</t>
  </si>
  <si>
    <t>1.4. : Fonctions du MARNDR pour lesquels un mécanisme de recouvrement des coûts est établi et officiellement entré en vigueur</t>
  </si>
  <si>
    <t>Bureau central construit par RESEPAG/BM</t>
  </si>
  <si>
    <t>Décaissement spécial à prévoir = pour accomplissement de ces 4 CP</t>
  </si>
  <si>
    <r>
      <t xml:space="preserve">La préparation/finalisation du manuel sera une condition au premier décaissement. Le manuel de gestion administrative, financière et comptable (fonds du TP et de la coopération internationale) du MARNDR est en cours d'élaboration dans le cadre de la réforme générale du ministère. Il suffira de recruter un consultant pour (i) l'adapter aux besoins spécifiques de l'UPS (ii) Accompagner l'UPS, et notamment son responsable admin-fin central + les gestionnaires de centres départementaux, dans la mise en application du manuel. </t>
    </r>
    <r>
      <rPr>
        <sz val="11"/>
        <color rgb="FFFF0000"/>
        <rFont val="Calibri"/>
        <family val="2"/>
        <scheme val="minor"/>
      </rPr>
      <t>Prévoir ajustements au manuel une fois que mécanismes de recouvrement des coûts établis (gestion des fonds générés)</t>
    </r>
  </si>
  <si>
    <t>Ziploc ®</t>
  </si>
  <si>
    <t>Boîte de 40</t>
  </si>
  <si>
    <t>Coût Total Mélasse</t>
  </si>
  <si>
    <t>Personne formée</t>
  </si>
  <si>
    <r>
      <t>Surveillance = on sait que la maladie est déjà présente en Haïti. Enquête</t>
    </r>
    <r>
      <rPr>
        <sz val="11"/>
        <rFont val="Calibri"/>
        <family val="2"/>
        <scheme val="minor"/>
      </rPr>
      <t xml:space="preserve">s = deux enquêtes épidémio (PPC + </t>
    </r>
    <r>
      <rPr>
        <sz val="11"/>
        <color theme="1"/>
        <rFont val="Calibri"/>
        <family val="2"/>
        <scheme val="minor"/>
      </rPr>
      <t>Teschen) avant la campagne de vaccination (permettra de préciser la Ligne de Base qui actuellement provient des résultats des échantillons obtenues de manière non aléatoire au LVCQAT), deux enquêtes (PPC + Teschen) de contrôle de la qualité de la vaccination après la campagne.</t>
    </r>
  </si>
  <si>
    <t>Agents vétérinaires privés (recyclage)</t>
  </si>
  <si>
    <t>Paraprofessionnels (agents vétérinaires) privés (formation)</t>
  </si>
  <si>
    <t>Equipement communal de collecte des déchets dangereux (drum)</t>
  </si>
  <si>
    <t>Formation continue des responsables + supervision + maintenance + réparation = coût récurrent</t>
  </si>
  <si>
    <t>Etablissement du plan comptable du projet + achat et installation d'ACCPAC et formation du personnel</t>
  </si>
  <si>
    <t>CP = regroupement temporaire de l'équipe admin</t>
  </si>
  <si>
    <t xml:space="preserve">Qté pièges à installer donc alimenter la 1e année (50% des pièges) </t>
  </si>
  <si>
    <t xml:space="preserve">Qté pièges à alimenter la 2e année (100% des pièges) </t>
  </si>
  <si>
    <t xml:space="preserve">Qté totale de pièges à alimenter pendant les 2 ans (150% du nombre total de pièges) </t>
  </si>
  <si>
    <t>% de pièges alimentés par Torula (en %)</t>
  </si>
  <si>
    <t>Qté de pièges à alimenter avec Torula pendant 2 ans</t>
  </si>
  <si>
    <t>Qté de granulé par piège par réappâtage</t>
  </si>
  <si>
    <t>Nombre de réappâtages pendant la saison de 6 mois (= chaque semaine)</t>
  </si>
  <si>
    <t>Qté totale de granulés requis pour tous les pièges pendant 2 ans</t>
  </si>
  <si>
    <t>Poids d'un granulé (en g)</t>
  </si>
  <si>
    <t>Contenance des bidons de granulés (50 livres) - en g</t>
  </si>
  <si>
    <t>Nombre de granulés par bidon</t>
  </si>
  <si>
    <t>Qté de bidons requis</t>
  </si>
  <si>
    <t>Coût du bidon</t>
  </si>
  <si>
    <t>Coût total du Torula</t>
  </si>
  <si>
    <t xml:space="preserve">Calcul des besoins en Mélasse pour la mise en oeuvre d'un programme pilote de 2 ans </t>
  </si>
  <si>
    <t>% de pièges alimentés par Mélasse (en %)</t>
  </si>
  <si>
    <t>Qté de Mélasse requise pour tous les pièges pdt 2 ans (en ML)</t>
  </si>
  <si>
    <t>Qté d'Unités de Mélasse requises</t>
  </si>
  <si>
    <t>Coût Mélasse (pour 3785 ML)</t>
  </si>
  <si>
    <t>FF (voir calculs dans feuille XL suivante)</t>
  </si>
  <si>
    <t xml:space="preserve">Qté de pièges à alimenter la 2e année (100%) </t>
  </si>
  <si>
    <t xml:space="preserve">Qté de pièges à installer et alimenter la 1e année (50%) </t>
  </si>
  <si>
    <t xml:space="preserve">Qté totale de pièges à alimenter sur 2 ans (150% du total installé) </t>
  </si>
  <si>
    <t>Superficie de la zone à équiper en pièges (Ha)</t>
  </si>
  <si>
    <t>Piégeage (mélasse + acide borique)</t>
  </si>
  <si>
    <t>Qté de mélasse par solution (en ML)</t>
  </si>
  <si>
    <t>Qté d'acide borique par solution (en Lb)</t>
  </si>
  <si>
    <t>Qté dans contenant de Mélasse (en ML)</t>
  </si>
  <si>
    <t>Coût du contenant de Mélasse (en USD)</t>
  </si>
  <si>
    <t>Qté de contenant de Mélasse requis par solution</t>
  </si>
  <si>
    <t>Coût de la Mélasse par solution (en USD)</t>
  </si>
  <si>
    <t>Qté dans contenant d'acide borique (en Lb)</t>
  </si>
  <si>
    <t>Qté de contenant d'acide borique requis par solution (en Lb)</t>
  </si>
  <si>
    <t>Coût du contenant d'acide borique (en USD)</t>
  </si>
  <si>
    <t>Coût de l'acide borique par solution (en USD)</t>
  </si>
  <si>
    <t>Coût total de la solution (en USD)</t>
  </si>
  <si>
    <t>Nb de pièges alimentés par la solution de 700 ML</t>
  </si>
  <si>
    <t>Nb de réappâtage (chaque semaine pendant 6 mois)</t>
  </si>
  <si>
    <t>Coût total pour tous les réappâtages (USD)</t>
  </si>
  <si>
    <t>Appât : solution de mélasse (200 ML) + eau (500 ML) + acide borique</t>
  </si>
  <si>
    <t>Coût pour 1 réappâtage de tous les pièges</t>
  </si>
  <si>
    <t>Coût pour 1 réappâtage d'1 piège</t>
  </si>
  <si>
    <t>Superficie (en Ha)</t>
  </si>
  <si>
    <t>Qté d'insecticide requise par Ha (en L)</t>
  </si>
  <si>
    <t>Pulvérisation par Insecticide (Taurus) avant installation des pièges</t>
  </si>
  <si>
    <t>Qté d'insecticide par contenant (en L)</t>
  </si>
  <si>
    <t>Qté de contenants requis</t>
  </si>
  <si>
    <t>Coût du contenant (en USD)</t>
  </si>
  <si>
    <t>Coût total de l'insecticide (en USD)</t>
  </si>
  <si>
    <t>Qté totale d'insecticide requise pour 1 traitement initial avant installation des pièges</t>
  </si>
  <si>
    <t>% du prix de la solution</t>
  </si>
  <si>
    <t>de mélasse</t>
  </si>
  <si>
    <t>d'acide borique</t>
  </si>
  <si>
    <t>dont :</t>
  </si>
  <si>
    <r>
      <t xml:space="preserve">10 pulvérisateurs par section communale, 7 sections communales. </t>
    </r>
    <r>
      <rPr>
        <sz val="11"/>
        <color rgb="FFFF0000"/>
        <rFont val="Calibri"/>
        <family val="2"/>
        <scheme val="minor"/>
      </rPr>
      <t>Pulvérisation par les agriculteurs eux-mêmes (prêt de matériel)</t>
    </r>
  </si>
  <si>
    <t>Officier de Projet / Chargé de Programmation-Suivi-Evaluation (PSE)</t>
  </si>
  <si>
    <t>Quantités totales pour 5 ans. Consommables, pris en charge par la BID les 2 premières années puis par le TP à partir de la 3e année. Prélèvements réalisés par agents vétérinaires PUBLICS (pas de budget pour des "primes")</t>
  </si>
  <si>
    <t>Condition préalable au premier décaissement</t>
  </si>
  <si>
    <t>Prévoir dans le plan de PDM l'échelonnement des achats d'équipements au bénéfice des centres au fur et à mesure de la construction des centres</t>
  </si>
  <si>
    <t>Consultant individuel national (statut agent public contractuel)</t>
  </si>
  <si>
    <t>Remplacer le Taurus par des anti-fourmis</t>
  </si>
  <si>
    <t>Qté de pièges à alimenter avec Mélasse pendant 2 ans</t>
  </si>
  <si>
    <t>Qté de Mélasse par réappâtage</t>
  </si>
  <si>
    <t>Insecticide anti-fourmi</t>
  </si>
  <si>
    <t>3.8. : Personnel de la cellule d’analyse de risques de la Santé Animale formé</t>
  </si>
  <si>
    <t>3.9. : Liste des professionnels et paraprofessionnels vétérinaires (i) recensés (ii) accrédités par le MARNDR (iii) membres de l'Ordre National Vétérinaire établie, actualisée annuellement, et publiée sur le site Web du MARNDR</t>
  </si>
  <si>
    <t>2.1. : Liste des pestes et maladies définie, actualisée, publiée</t>
  </si>
  <si>
    <t>2.9. : Personnel de la cellule d’analyse de risques de la Protection Végétale formé</t>
  </si>
  <si>
    <t>2.4. : Pièges pour le contrôle  de la mouche des fruits installés et réalimentés chaque semaine/quinzaine en appât, sans discontinuer pendant toute la campagne</t>
  </si>
  <si>
    <t>2.4b. : Calcul des besoins en appâts pour le contrôle  de la mouche des fruits dans la zone pilote de Gros-Morne / Terre Neuve</t>
  </si>
  <si>
    <t>2.5. : Pièges pour le contrôle  de la fourmi folle installés et réalimentés chaque semaine en appât, sans discontinuer pendant toute la campagne</t>
  </si>
  <si>
    <t>2.5b. : Pièges pour le contrôle  de la fourmi folle installés et réalimentés chaque semaine en appât, sans discontinuer pendant toute la campagne</t>
  </si>
  <si>
    <t>2.6. : Laboratoires de phytopathologie et virologie aménagés et équipés</t>
  </si>
  <si>
    <t>2.7. : Plan de biosécurité et qualité et protocoles de laboratoire élaborés et en vigueur</t>
  </si>
  <si>
    <t>2.8. : Personnel des laboratoires de la protection végétale formé</t>
  </si>
  <si>
    <t>3.7. : Service de maintenance des unités de froid à énergie solaire réalisé (150 par an, pendant 4 ans)</t>
  </si>
  <si>
    <t>2.2. : Planteurs membres bénévoles du réseau d'épidémiosurveillance végétale formés</t>
  </si>
  <si>
    <t>Techniciens de laboratoire (fonctionnaires)</t>
  </si>
  <si>
    <t>Homme/an</t>
  </si>
  <si>
    <t>(4 personnes, pendant 4 ans)</t>
  </si>
  <si>
    <t>3.4. : Bulletin mensuel d'épidémiosurveillance animale diffusé sur le terrain et publié sur le site Web du MARNDR</t>
  </si>
  <si>
    <t>3.1. : Membres bénévoles du réseau d'épidémiosurveillance animale formés</t>
  </si>
  <si>
    <t>3.2. : Echantillons animaux collectés et transmis au LVCQAT pour analyse</t>
  </si>
  <si>
    <t xml:space="preserve">3.3. : Enquêtes d'épidémiosurveillance (PPC et Teschen) réalisées </t>
  </si>
  <si>
    <t>3.6. : Porcs vaccinés contre la PPC et la maladie de Teschen (vaccination simultanée) et identifiés par une boucle d'oreille</t>
  </si>
  <si>
    <t>2.3. : Bulletin mensuel d'épidémiosurveillance végétale diffusé sur le terrain et publié sur le site Web du MARNDR</t>
  </si>
  <si>
    <t>3.5. : Professionnels/paraprofessionnels vétérinaires privés formés ou recyclés</t>
  </si>
  <si>
    <t>TOTAL par composante</t>
  </si>
  <si>
    <t>% par composante</t>
  </si>
  <si>
    <t>Budget BID par composante</t>
  </si>
  <si>
    <t>% du budget BID</t>
  </si>
  <si>
    <t>Pendant 4 ans (n'inclut pas les 6 mois de démarrage ni les 6 mois de clôture du projet)</t>
  </si>
  <si>
    <t>Consultant individuel international + consultant national</t>
  </si>
  <si>
    <t>Phases</t>
  </si>
  <si>
    <t xml:space="preserve">   *Sud et Centre (2/3e année)</t>
  </si>
  <si>
    <t xml:space="preserve">   *Nord'Ouest (3/4e année)</t>
  </si>
  <si>
    <t>4 lots par centre</t>
  </si>
  <si>
    <t>1 par centre</t>
  </si>
  <si>
    <t>IMPRÉVUS</t>
  </si>
  <si>
    <t>1.3. : Procédures, Plans, Manuels administratifs et financiers préparés, officiellement validé et publiés sur le site Internet du MARNDR (inclus : personnel formé)</t>
  </si>
  <si>
    <t>2 campagnes par département</t>
  </si>
  <si>
    <t>Dont éventuelles missions à l'étranger</t>
  </si>
  <si>
    <t>2 réunions par an dans chaque département pendant 3 ans (personnel du MARNDR)</t>
  </si>
  <si>
    <r>
      <t xml:space="preserve">Gain additionnel (pourra être affecté aux imprévus) associé à diminution des coûts de carburant et entretien des équipements  </t>
    </r>
    <r>
      <rPr>
        <b/>
        <u/>
        <sz val="9"/>
        <color rgb="FFFF0000"/>
        <rFont val="Calibri"/>
        <family val="2"/>
        <scheme val="minor"/>
      </rPr>
      <t>éventuellement</t>
    </r>
    <r>
      <rPr>
        <sz val="9"/>
        <color rgb="FFFF0000"/>
        <rFont val="Calibri"/>
        <family val="2"/>
        <scheme val="minor"/>
      </rPr>
      <t xml:space="preserve"> pris en charge par RESEPAG</t>
    </r>
  </si>
  <si>
    <t>Formation des agents et des agriculteurs (manipulation des pièges, pulvérisateurs, pesticide, appâts)</t>
  </si>
  <si>
    <t>Bottes nitrile</t>
  </si>
  <si>
    <t>Gants nitrile</t>
  </si>
  <si>
    <t>Lunette polycarbonate traite de type  (goggles)</t>
  </si>
  <si>
    <t>Combinaison avec capuche (jacket + pant)</t>
  </si>
  <si>
    <t>Lot de  paires</t>
  </si>
  <si>
    <t>2 sessions par personne</t>
  </si>
  <si>
    <t>Même ingénieur individuel que pour le design (gré-à-gré)</t>
  </si>
  <si>
    <r>
      <rPr>
        <b/>
        <sz val="11"/>
        <color theme="1"/>
        <rFont val="Calibri"/>
        <family val="2"/>
        <scheme val="minor"/>
      </rPr>
      <t>La signature du contrat sera une condition d'exécution au démarrage de toute activité associée aux 3 fonctions ciblées (PPC/Teschen, Mouche des Fruits, LVCQAT)</t>
    </r>
    <r>
      <rPr>
        <sz val="11"/>
        <color theme="1"/>
        <rFont val="Calibri"/>
        <family val="2"/>
        <scheme val="minor"/>
      </rPr>
      <t xml:space="preserve"> associées à un produit ou une composante financée par le Projet. Pour rappel, le système de recouvrement des coûts concernera 2 autres fonctions (programme d'identification des bovins et quarantaine) mais qui ne sont pas financés par le présent programme. </t>
    </r>
    <r>
      <rPr>
        <b/>
        <sz val="11"/>
        <color theme="1"/>
        <rFont val="Calibri"/>
        <family val="2"/>
        <scheme val="minor"/>
      </rPr>
      <t>Prévoir lancement anticipé du processus de PDM. Les TDRs préliminaires seront préparés par le consultant en "modélisation financière" puis devront être ajustés par le MARNDR. Devront aussi inclure la conception de la campagne de sensibilisation (laquelle sera exécutée par le MARNDR)</t>
    </r>
  </si>
  <si>
    <t>Elaboration du modèle conceptuel et développement du système d'information ; installation du logiciel sur le hardware et adaptation du logiciel ; formation initiale et continue des utilisateurs</t>
  </si>
  <si>
    <t>Voir détails ci-dessous (idées pour élaborer les TDRs)</t>
  </si>
  <si>
    <t>Le mandat "Elaboration du modèle conceptuel et développement du système d'information ; installation du logiciel sur le hardware et adaptation du logiciel ; formation initiale et continue des utilisateurs" inclut :</t>
  </si>
  <si>
    <t xml:space="preserve">   Préparation du modèle conceptuel du système d'information intégré des services PSIA</t>
  </si>
  <si>
    <t xml:space="preserve">   Identification des besoins d'information dans le domaine de la protection/quarantaine végétale et élaboration des spécifications techniques pour le développement du système d'information de protection végétale en tant que partie intégrante du SI intégré</t>
  </si>
  <si>
    <t xml:space="preserve">   Identification des besoins d'information dans le domaine de la santé/quarantaine animale et élaboration des spécifications techniques pour le développement du système d'information de santé animale en tant que partie intégrante du SI intégré</t>
  </si>
  <si>
    <t xml:space="preserve">   Identification des besoins d'information au niveau des laboratoires et élaboration des spécifications techniques pour le développement du système d'information du laboratoire en tant que partie intégrante du SI intégré</t>
  </si>
  <si>
    <t xml:space="preserve">   Identification des besoins d'information au niveau de l'innocuité des aliments et élaboration des spécifications techniques pour le développement du système d'information en matière d'innocuité des aliments en tant que partie intégrante du SI intégré</t>
  </si>
  <si>
    <t>(la quantité de mélasse inclut les besoins pour les pièges à monitoring, qui sont réallimentés chaque quinzaine)</t>
  </si>
  <si>
    <t xml:space="preserve"> Pièges (contrôle)</t>
  </si>
  <si>
    <t xml:space="preserve"> Pièges (monitoring)</t>
  </si>
  <si>
    <t>Pièges industriels - 4 pièges par Km2</t>
  </si>
  <si>
    <t>10 personnes par section communale/GSB (550), 1  formation par an pendant 4 ans, formations d'une journée</t>
  </si>
  <si>
    <t>10 personnes par section communale, 1formation par an pendant 4 ans, formations d'une journée</t>
  </si>
  <si>
    <t>Local "zoonoses" ou "toxicologie", à définir. Besoin de 2 pièces minimum: phytopathologie (bactériologie, virologie, mycologie) et  entomologie. Visite à effectuer par la DPV.</t>
  </si>
  <si>
    <t>A PRIORI, l'aménagement du local est déjà prévu dans composante 4</t>
  </si>
  <si>
    <t>1 semaine de recyclage. Inclure dans le recyclage les nouvelles procédures de gestion des déchets (aiguilles et seringues usagées, flacons de vaccins vides)</t>
  </si>
  <si>
    <t>Homme</t>
  </si>
  <si>
    <t xml:space="preserve">8 semaines de formations. Inclure dans la formation les nouvelles procédures de gestion des déchets (aiguilles et seringues usagées, flacons de vaccins vides). </t>
  </si>
  <si>
    <t>N/A - Frais opérationnels</t>
  </si>
  <si>
    <t>Inclus la réhabilitation du laboratoire de la DPV (phytopathologie et virologie)</t>
  </si>
  <si>
    <t>Unité de traitement des effluents (150 L par jour) - achat, installation, formation des utilisateurs</t>
  </si>
  <si>
    <t>Voir composante 4</t>
  </si>
  <si>
    <t>Incinérateur</t>
  </si>
  <si>
    <t>Plan de Gestion Environnementale et Sociale et Procédures de gestion des matériels et déchets dangereux</t>
  </si>
  <si>
    <t>La validation officielle, entrée en vigueur et publication sur le site Web du PGES sera une condition préalable au 1er décaissement. La mise en application des procédures (incluant les investissements associés) sera une condition d'exécution aux activités associées à l'épidémiosurveillance animale, aux campagnes de vaccination et au programme de lutte contre la fourmi folle. Inclut la formation de personnel.</t>
  </si>
  <si>
    <t>Evaluation finale indépendante + préparation du Project Completion Report + animation de l'atelier de clôture</t>
  </si>
  <si>
    <t>Equipe de consultants individuels internationaux/nationaux ou firme</t>
  </si>
  <si>
    <t>Inclue (i) évaluation économique ex-post réalisée suivant la même méthodologie que l'analyse ex-ante mais avec les vraies données (ii) audit social et environnemental (évaluation de l'application du PGES)</t>
  </si>
  <si>
    <r>
      <t xml:space="preserve">Gain additionnel d'environ 200 000 USD (qui pourront être affectés aux Imprévus) </t>
    </r>
    <r>
      <rPr>
        <b/>
        <u/>
        <sz val="9"/>
        <color rgb="FFFF0000"/>
        <rFont val="Calibri"/>
        <family val="2"/>
        <scheme val="minor"/>
      </rPr>
      <t>si</t>
    </r>
    <r>
      <rPr>
        <sz val="9"/>
        <color rgb="FFFF0000"/>
        <rFont val="Calibri"/>
        <family val="2"/>
        <scheme val="minor"/>
      </rPr>
      <t xml:space="preserve"> RESEPAG prend en charge les équipements pour bureau central</t>
    </r>
  </si>
  <si>
    <t>Une 1e CP pour 25% de la quantité totale, suivie de 3 GG successifs pour les 3 x 25% restants (harmonisation du parc d'équipements) - Achats échelonnés dans le temps en fonction de l'entrée en poste du personnel de terrain</t>
  </si>
  <si>
    <t>Consultant individuel (logistique) (conception et accompagnement/formation). 2 jours par mois pendant 1 an</t>
  </si>
  <si>
    <t>Consultant individuel (logistique)(conception et accompagnement/formation). 5 jours par mois pendant 1 an</t>
  </si>
  <si>
    <t>AOI pour biens + quelques petites PDM locales</t>
  </si>
  <si>
    <t>AOI international avec livraison en 2 fois</t>
  </si>
  <si>
    <t>CP locale / contrat-cadre d'un an. A refaire la 2e année.</t>
  </si>
  <si>
    <t>1 CP - PGES --&gt; conditionne achat pulvérisateur + insecticide</t>
  </si>
  <si>
    <t>PGES --&gt; conditionne achat pulvérisateur + insecticide</t>
  </si>
  <si>
    <t>Agents publics contractuels</t>
  </si>
  <si>
    <t>1 CP chaque année - attention, conditionné à PGES</t>
  </si>
  <si>
    <t>AOI pour biens, par lots, groupé avec LVCQAT</t>
  </si>
  <si>
    <t>Quelques CP de biens</t>
  </si>
  <si>
    <t>GG</t>
  </si>
  <si>
    <t>AOI ou CP</t>
  </si>
  <si>
    <t>CP pour biens (contrat avec imprimerie)</t>
  </si>
  <si>
    <t>CP</t>
  </si>
  <si>
    <t>CP pour biens. Un seul marché mais livraison échelonnée.</t>
  </si>
  <si>
    <t>CP internationale pour biens importés, livraison en une seule fois</t>
  </si>
  <si>
    <t>CP locale. A refaire la 2e année.</t>
  </si>
  <si>
    <t>Inclus dans le marché de supervision des travaux de réhab du LVCQAT</t>
  </si>
  <si>
    <t>Inclus dans le marché de travaux pour réhab du LVCQAT. Penser simplement à réajuster le dossier technique préparé par GB Design pour prendre en compte d'éventuels besoins spécifiques de la DPV</t>
  </si>
  <si>
    <t>Budget administratif à préparer (frais d'inscription, billet d'avion, per diem)</t>
  </si>
  <si>
    <t>Consultant international</t>
  </si>
  <si>
    <t>Gré-à-gré / biens</t>
  </si>
  <si>
    <t>Frais opérationnels + matériel de prélèvemetn et conditionnement + REACTIFS (seront achetés dans le cadre d'un achat groupé avec les matériels et autres réactifs destinés à être utilisés pour l'épidémio passive [produit 3.3], le LVCQAT, etc)</t>
  </si>
  <si>
    <t>CP pour biens (imprimerie)</t>
  </si>
  <si>
    <t>Environ 800 000 porcs en Haïti = 800 000 de doses par an, pendant 1 an - ensuite, le système de recouvrement devra prendre le relai.</t>
  </si>
  <si>
    <t>CP (achat groupé avec autres matériels utilisés dans le cadre de l'épidémiosurveillance - produits 3.2. et 3.3)</t>
  </si>
  <si>
    <t>CP (achat groupé avec autres glacières / épidémio)</t>
  </si>
  <si>
    <t>AOI pour biens et services connexes - en 2 fois</t>
  </si>
  <si>
    <t>Consultant individuel national + CP pour le logiciel</t>
  </si>
  <si>
    <t>L'UPMP utilisera à sa discrétion ce montant total de 292 500 USD pour recruter des RH temporaires de façon à faire face aux pics de travail</t>
  </si>
  <si>
    <t>Remarque = la formation ne devrait se faire que lorsque les infrastructures seront réhabilitées, les équipements installées et les procédures définies/actualisées</t>
  </si>
  <si>
    <t>1 feuille (impression couleur) par membre du réseau (5500) chaque mois pendant 3 ans (à partir de la 3e année)</t>
  </si>
  <si>
    <t>1 feuille (impression couleur) par membre du réseau (5500) pendant 12 mois pendant 2 ans (4e et 5e années)</t>
  </si>
  <si>
    <t>75 agents recyclés, 1 semaine par an, pendant 3 ans</t>
  </si>
  <si>
    <t>Recyclage agents vétérinaires publics</t>
  </si>
  <si>
    <t>Agents vétérinaires publics</t>
  </si>
  <si>
    <t>Nb maximum d'analyses par jour réalisable à  LVCQAT</t>
  </si>
  <si>
    <t>Nb maximum d'analyses réalisable à  LVCQAT en 3 mois</t>
  </si>
  <si>
    <t>Nombre de porcs échantillonné (chaque échantillon est analysé 2 fois : PPC et Teschen)</t>
  </si>
  <si>
    <t>Pourcentage de porcs échantillonnés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</si>
</sst>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33"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i/>
      <sz val="10"/>
      <color rgb="FF000000"/>
      <name val="Calibri"/>
      <family val="2"/>
      <scheme val="minor"/>
    </font>
    <font>
      <b/>
      <sz val="9"/>
      <color indexed="81"/>
      <name val="Tahoma"/>
      <family val="2"/>
    </font>
    <font>
      <sz val="10"/>
      <color rgb="FFFF0000"/>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b/>
      <sz val="11"/>
      <color rgb="FFFF0000"/>
      <name val="Calibri"/>
      <family val="2"/>
      <scheme val="minor"/>
    </font>
    <font>
      <b/>
      <sz val="12"/>
      <color rgb="FF0070C0"/>
      <name val="Calibri"/>
      <family val="2"/>
      <scheme val="minor"/>
    </font>
    <font>
      <sz val="11"/>
      <name val="Calibri"/>
      <family val="2"/>
      <scheme val="minor"/>
    </font>
    <font>
      <b/>
      <i/>
      <sz val="11"/>
      <color theme="1"/>
      <name val="Calibri"/>
      <family val="2"/>
      <scheme val="minor"/>
    </font>
    <font>
      <i/>
      <sz val="11"/>
      <color rgb="FFFF0000"/>
      <name val="Calibri"/>
      <family val="2"/>
      <scheme val="minor"/>
    </font>
    <font>
      <sz val="12"/>
      <color rgb="FF000000"/>
      <name val="Wingdings"/>
      <charset val="2"/>
    </font>
    <font>
      <i/>
      <sz val="11"/>
      <name val="Calibri"/>
      <family val="2"/>
      <scheme val="minor"/>
    </font>
    <font>
      <b/>
      <sz val="11"/>
      <name val="Calibri"/>
      <family val="2"/>
      <scheme val="minor"/>
    </font>
    <font>
      <b/>
      <sz val="9"/>
      <color theme="1"/>
      <name val="Calibri"/>
      <family val="2"/>
      <scheme val="minor"/>
    </font>
    <font>
      <sz val="9"/>
      <color theme="1"/>
      <name val="Calibri"/>
      <family val="2"/>
      <scheme val="minor"/>
    </font>
    <font>
      <sz val="9"/>
      <color rgb="FF666666"/>
      <name val="Calibri"/>
      <family val="2"/>
      <scheme val="minor"/>
    </font>
    <font>
      <b/>
      <sz val="9"/>
      <color rgb="FF000000"/>
      <name val="Calibri"/>
      <family val="2"/>
      <scheme val="minor"/>
    </font>
    <font>
      <sz val="9"/>
      <color rgb="FF000000"/>
      <name val="Calibri"/>
      <family val="2"/>
      <scheme val="minor"/>
    </font>
    <font>
      <vertAlign val="subscript"/>
      <sz val="9"/>
      <color theme="1"/>
      <name val="Calibri"/>
      <family val="2"/>
      <scheme val="minor"/>
    </font>
    <font>
      <sz val="9"/>
      <name val="Calibri"/>
      <family val="2"/>
      <scheme val="minor"/>
    </font>
    <font>
      <vertAlign val="superscript"/>
      <sz val="9"/>
      <name val="Calibri"/>
      <family val="2"/>
      <scheme val="minor"/>
    </font>
    <font>
      <vertAlign val="subscript"/>
      <sz val="9"/>
      <name val="Calibri"/>
      <family val="2"/>
      <scheme val="minor"/>
    </font>
    <font>
      <i/>
      <sz val="9"/>
      <name val="Calibri"/>
      <family val="2"/>
      <scheme val="minor"/>
    </font>
    <font>
      <b/>
      <sz val="12"/>
      <name val="Calibri"/>
      <family val="2"/>
      <scheme val="minor"/>
    </font>
    <font>
      <b/>
      <sz val="8"/>
      <color indexed="8"/>
      <name val="Calibri"/>
      <family val="2"/>
      <scheme val="minor"/>
    </font>
    <font>
      <sz val="9"/>
      <color rgb="FFFF0000"/>
      <name val="Calibri"/>
      <family val="2"/>
      <scheme val="minor"/>
    </font>
    <font>
      <b/>
      <u/>
      <sz val="9"/>
      <color rgb="FFFF0000"/>
      <name val="Calibri"/>
      <family val="2"/>
      <scheme val="minor"/>
    </font>
    <font>
      <b/>
      <i/>
      <sz val="11"/>
      <color rgb="FFFF0000"/>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indexed="26"/>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61">
    <xf numFmtId="0" fontId="0" fillId="0" borderId="0" xfId="0"/>
    <xf numFmtId="0" fontId="0" fillId="0" borderId="0" xfId="0" applyAlignment="1">
      <alignment wrapText="1"/>
    </xf>
    <xf numFmtId="0" fontId="2" fillId="0" borderId="0" xfId="0" applyFont="1" applyAlignment="1">
      <alignment wrapText="1"/>
    </xf>
    <xf numFmtId="0" fontId="2" fillId="0" borderId="1" xfId="0" applyFont="1" applyBorder="1" applyAlignment="1">
      <alignment horizontal="center" wrapText="1"/>
    </xf>
    <xf numFmtId="0" fontId="0" fillId="0" borderId="1" xfId="0" applyBorder="1" applyAlignment="1">
      <alignment wrapText="1"/>
    </xf>
    <xf numFmtId="0" fontId="3" fillId="0" borderId="1" xfId="0" applyFont="1" applyBorder="1" applyAlignment="1">
      <alignment horizontal="right" wrapText="1"/>
    </xf>
    <xf numFmtId="0" fontId="4" fillId="0" borderId="1" xfId="0" applyFont="1" applyBorder="1" applyAlignment="1">
      <alignment horizontal="right" vertical="center" wrapText="1"/>
    </xf>
    <xf numFmtId="0" fontId="4" fillId="0" borderId="1" xfId="0" applyFont="1" applyBorder="1" applyAlignment="1">
      <alignment horizontal="right" wrapText="1"/>
    </xf>
    <xf numFmtId="0" fontId="6" fillId="0" borderId="1" xfId="0" applyFont="1" applyBorder="1" applyAlignment="1">
      <alignment wrapText="1"/>
    </xf>
    <xf numFmtId="0" fontId="2" fillId="3" borderId="1" xfId="0" applyFont="1" applyFill="1" applyBorder="1" applyAlignment="1">
      <alignment horizontal="center" wrapText="1"/>
    </xf>
    <xf numFmtId="0" fontId="0" fillId="3" borderId="1" xfId="0" applyFill="1" applyBorder="1" applyAlignment="1">
      <alignment wrapText="1"/>
    </xf>
    <xf numFmtId="0" fontId="2" fillId="4" borderId="1" xfId="0" applyFont="1" applyFill="1" applyBorder="1" applyAlignment="1">
      <alignment horizontal="center" wrapText="1"/>
    </xf>
    <xf numFmtId="0" fontId="0" fillId="4" borderId="1" xfId="0" applyFill="1" applyBorder="1" applyAlignment="1">
      <alignment horizontal="center" wrapText="1"/>
    </xf>
    <xf numFmtId="0" fontId="0" fillId="0" borderId="0" xfId="0" applyAlignment="1">
      <alignment horizontal="center" wrapText="1"/>
    </xf>
    <xf numFmtId="3" fontId="2" fillId="4" borderId="1" xfId="0" applyNumberFormat="1" applyFont="1" applyFill="1" applyBorder="1" applyAlignment="1">
      <alignment horizontal="center" wrapText="1"/>
    </xf>
    <xf numFmtId="3" fontId="2" fillId="2" borderId="1" xfId="0" applyNumberFormat="1" applyFont="1" applyFill="1" applyBorder="1" applyAlignment="1">
      <alignment horizontal="center" wrapText="1"/>
    </xf>
    <xf numFmtId="3" fontId="0" fillId="4" borderId="1" xfId="0" applyNumberFormat="1" applyFill="1" applyBorder="1" applyAlignment="1">
      <alignment horizontal="center" wrapText="1"/>
    </xf>
    <xf numFmtId="3" fontId="0" fillId="2" borderId="1" xfId="0" applyNumberFormat="1" applyFill="1" applyBorder="1" applyAlignment="1">
      <alignment horizontal="center" wrapText="1"/>
    </xf>
    <xf numFmtId="3" fontId="1" fillId="4" borderId="1" xfId="0" applyNumberFormat="1" applyFont="1" applyFill="1" applyBorder="1" applyAlignment="1">
      <alignment horizontal="center" wrapText="1"/>
    </xf>
    <xf numFmtId="3" fontId="0" fillId="0" borderId="0" xfId="0" applyNumberFormat="1" applyAlignment="1">
      <alignment horizontal="center" wrapText="1"/>
    </xf>
    <xf numFmtId="0" fontId="0" fillId="0" borderId="0" xfId="0" applyBorder="1"/>
    <xf numFmtId="0" fontId="0" fillId="0" borderId="0" xfId="0" applyAlignment="1"/>
    <xf numFmtId="0" fontId="2" fillId="0" borderId="0" xfId="0" applyFont="1" applyAlignment="1"/>
    <xf numFmtId="3" fontId="2" fillId="0" borderId="1" xfId="0" applyNumberFormat="1" applyFont="1" applyBorder="1" applyAlignment="1">
      <alignment horizontal="center" wrapText="1"/>
    </xf>
    <xf numFmtId="0" fontId="2" fillId="0" borderId="0" xfId="0" applyFont="1" applyAlignment="1">
      <alignment horizontal="center"/>
    </xf>
    <xf numFmtId="0" fontId="8" fillId="0" borderId="0" xfId="0" applyFont="1" applyBorder="1" applyAlignment="1">
      <alignment vertical="center"/>
    </xf>
    <xf numFmtId="3" fontId="0" fillId="0" borderId="0" xfId="0" applyNumberFormat="1" applyAlignment="1">
      <alignment horizontal="center"/>
    </xf>
    <xf numFmtId="0" fontId="0" fillId="0" borderId="0" xfId="0" applyAlignment="1">
      <alignment horizontal="left"/>
    </xf>
    <xf numFmtId="0" fontId="1" fillId="0" borderId="0" xfId="0" applyFont="1" applyAlignment="1"/>
    <xf numFmtId="0" fontId="2" fillId="4" borderId="1" xfId="0" applyFont="1" applyFill="1" applyBorder="1" applyAlignment="1">
      <alignment horizontal="center" vertical="center" wrapText="1"/>
    </xf>
    <xf numFmtId="3" fontId="2" fillId="4"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0" fillId="4" borderId="1" xfId="0" applyFill="1" applyBorder="1" applyAlignment="1">
      <alignment horizontal="center" vertical="center" wrapText="1"/>
    </xf>
    <xf numFmtId="3" fontId="0" fillId="4" borderId="1" xfId="0" applyNumberFormat="1" applyFill="1" applyBorder="1" applyAlignment="1">
      <alignment horizontal="center" vertical="center" wrapText="1"/>
    </xf>
    <xf numFmtId="3" fontId="0" fillId="2" borderId="1" xfId="0" applyNumberFormat="1" applyFill="1" applyBorder="1" applyAlignment="1">
      <alignment horizontal="center"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0" fillId="3" borderId="1" xfId="0" applyFill="1" applyBorder="1" applyAlignment="1">
      <alignment horizontal="left" vertical="center" wrapText="1"/>
    </xf>
    <xf numFmtId="3" fontId="0" fillId="0" borderId="0" xfId="0" applyNumberFormat="1" applyAlignment="1">
      <alignment horizontal="right" wrapText="1"/>
    </xf>
    <xf numFmtId="3" fontId="2" fillId="0" borderId="1" xfId="0" applyNumberFormat="1" applyFont="1" applyBorder="1" applyAlignment="1">
      <alignment horizontal="right" wrapText="1"/>
    </xf>
    <xf numFmtId="3" fontId="0" fillId="0" borderId="1" xfId="0" applyNumberFormat="1" applyBorder="1" applyAlignment="1">
      <alignment horizontal="right" wrapText="1"/>
    </xf>
    <xf numFmtId="0" fontId="2" fillId="5" borderId="1" xfId="0" applyFont="1" applyFill="1" applyBorder="1" applyAlignment="1">
      <alignment wrapText="1"/>
    </xf>
    <xf numFmtId="3" fontId="2" fillId="5" borderId="1" xfId="0" applyNumberFormat="1" applyFont="1" applyFill="1" applyBorder="1" applyAlignment="1">
      <alignment horizontal="right" wrapText="1"/>
    </xf>
    <xf numFmtId="0" fontId="10" fillId="0" borderId="0" xfId="0" applyFont="1" applyAlignment="1">
      <alignment wrapText="1"/>
    </xf>
    <xf numFmtId="0" fontId="11" fillId="0" borderId="0" xfId="0" applyFont="1"/>
    <xf numFmtId="0" fontId="12" fillId="6" borderId="1" xfId="0" applyFont="1" applyFill="1" applyBorder="1" applyAlignment="1">
      <alignment horizontal="left" vertical="center" wrapText="1"/>
    </xf>
    <xf numFmtId="0" fontId="12" fillId="6" borderId="1" xfId="0" applyFont="1" applyFill="1" applyBorder="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3" borderId="1" xfId="0" applyFill="1" applyBorder="1" applyAlignment="1">
      <alignment vertical="center" wrapText="1"/>
    </xf>
    <xf numFmtId="3" fontId="1" fillId="4" borderId="1" xfId="0" applyNumberFormat="1" applyFont="1" applyFill="1" applyBorder="1" applyAlignment="1">
      <alignment horizontal="center" vertical="center" wrapText="1"/>
    </xf>
    <xf numFmtId="0" fontId="12" fillId="6" borderId="1" xfId="0" applyNumberFormat="1" applyFont="1" applyFill="1" applyBorder="1" applyAlignment="1">
      <alignment vertical="center" wrapText="1"/>
    </xf>
    <xf numFmtId="0" fontId="3" fillId="0" borderId="0" xfId="0" applyFont="1"/>
    <xf numFmtId="0" fontId="1" fillId="3" borderId="1" xfId="0" applyFont="1" applyFill="1" applyBorder="1" applyAlignment="1">
      <alignment horizontal="left" vertical="center" wrapText="1"/>
    </xf>
    <xf numFmtId="3" fontId="12" fillId="4" borderId="1" xfId="0" applyNumberFormat="1" applyFont="1" applyFill="1" applyBorder="1" applyAlignment="1">
      <alignment horizontal="center" vertical="center" wrapText="1"/>
    </xf>
    <xf numFmtId="0" fontId="0" fillId="4" borderId="1" xfId="0" applyFont="1" applyFill="1" applyBorder="1" applyAlignment="1">
      <alignment horizontal="center" vertical="center" wrapText="1"/>
    </xf>
    <xf numFmtId="3" fontId="0" fillId="4" borderId="1" xfId="0" applyNumberFormat="1" applyFont="1" applyFill="1" applyBorder="1" applyAlignment="1">
      <alignment horizontal="center" vertical="center" wrapText="1"/>
    </xf>
    <xf numFmtId="3" fontId="0" fillId="2" borderId="1" xfId="0" applyNumberFormat="1" applyFont="1" applyFill="1" applyBorder="1" applyAlignment="1">
      <alignment horizontal="center" vertical="center" wrapText="1"/>
    </xf>
    <xf numFmtId="0" fontId="0" fillId="3" borderId="1" xfId="0" applyFont="1" applyFill="1" applyBorder="1" applyAlignment="1">
      <alignment vertical="center" wrapText="1"/>
    </xf>
    <xf numFmtId="0" fontId="0" fillId="3"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3" fillId="4" borderId="1"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3" fontId="14" fillId="4"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3" fontId="13" fillId="4" borderId="1" xfId="0" applyNumberFormat="1" applyFont="1" applyFill="1" applyBorder="1" applyAlignment="1">
      <alignment horizontal="center" vertical="center" wrapText="1"/>
    </xf>
    <xf numFmtId="3" fontId="10" fillId="4" borderId="1" xfId="0" applyNumberFormat="1"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0" fontId="13" fillId="3" borderId="1" xfId="0" applyFont="1" applyFill="1" applyBorder="1" applyAlignment="1">
      <alignment vertical="center" wrapText="1"/>
    </xf>
    <xf numFmtId="0" fontId="13" fillId="0" borderId="0" xfId="0" applyFont="1"/>
    <xf numFmtId="0" fontId="2" fillId="3" borderId="1" xfId="0" applyFont="1" applyFill="1" applyBorder="1" applyAlignment="1">
      <alignment vertical="center" wrapText="1"/>
    </xf>
    <xf numFmtId="0" fontId="2" fillId="0" borderId="0" xfId="0" applyFont="1"/>
    <xf numFmtId="3" fontId="0" fillId="0" borderId="1" xfId="0" applyNumberFormat="1" applyFill="1" applyBorder="1" applyAlignment="1">
      <alignment horizontal="right" wrapText="1"/>
    </xf>
    <xf numFmtId="0" fontId="9" fillId="0" borderId="0" xfId="0" applyFont="1" applyAlignment="1">
      <alignment horizontal="left" vertical="center" indent="5"/>
    </xf>
    <xf numFmtId="0" fontId="15" fillId="0" borderId="0" xfId="0" applyFont="1" applyAlignment="1">
      <alignment horizontal="left" vertical="center" indent="5"/>
    </xf>
    <xf numFmtId="0" fontId="0" fillId="0" borderId="0" xfId="0" applyFont="1"/>
    <xf numFmtId="0" fontId="0" fillId="3" borderId="1" xfId="0" applyFont="1" applyFill="1" applyBorder="1" applyAlignment="1">
      <alignment horizontal="left" vertical="center" wrapText="1"/>
    </xf>
    <xf numFmtId="0" fontId="0" fillId="0" borderId="0" xfId="0" applyFont="1" applyAlignment="1">
      <alignment wrapText="1"/>
    </xf>
    <xf numFmtId="0" fontId="12" fillId="4" borderId="1" xfId="0" applyFont="1" applyFill="1" applyBorder="1" applyAlignment="1">
      <alignment horizontal="center" vertical="center" wrapText="1"/>
    </xf>
    <xf numFmtId="3" fontId="16" fillId="4" borderId="1" xfId="0" applyNumberFormat="1" applyFont="1" applyFill="1" applyBorder="1" applyAlignment="1">
      <alignment horizontal="center" vertical="center" wrapText="1"/>
    </xf>
    <xf numFmtId="4" fontId="16" fillId="4" borderId="1" xfId="0" applyNumberFormat="1"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2" fillId="0" borderId="1" xfId="0" applyFont="1" applyBorder="1" applyAlignment="1">
      <alignment vertical="center" wrapText="1"/>
    </xf>
    <xf numFmtId="0" fontId="0" fillId="0" borderId="1" xfId="0" applyBorder="1" applyAlignment="1">
      <alignment vertical="center" wrapText="1"/>
    </xf>
    <xf numFmtId="0" fontId="0" fillId="0" borderId="1" xfId="0" applyFont="1" applyBorder="1" applyAlignment="1">
      <alignment horizontal="left" vertical="center" wrapText="1"/>
    </xf>
    <xf numFmtId="0" fontId="12" fillId="0" borderId="0" xfId="0" applyFont="1" applyAlignment="1"/>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21" fillId="8" borderId="1" xfId="0" applyFont="1" applyFill="1" applyBorder="1" applyAlignment="1">
      <alignment horizontal="left" vertical="center" wrapText="1"/>
    </xf>
    <xf numFmtId="0" fontId="19" fillId="8" borderId="1" xfId="0" applyFont="1" applyFill="1" applyBorder="1" applyAlignment="1">
      <alignment horizontal="left" vertical="center" wrapText="1"/>
    </xf>
    <xf numFmtId="0" fontId="22" fillId="8" borderId="1" xfId="0" applyFont="1" applyFill="1" applyBorder="1" applyAlignment="1">
      <alignment horizontal="left" vertical="center" wrapText="1"/>
    </xf>
    <xf numFmtId="0" fontId="24" fillId="0" borderId="1" xfId="0" applyFont="1" applyBorder="1" applyAlignment="1">
      <alignment horizontal="justify" vertical="top" wrapText="1"/>
    </xf>
    <xf numFmtId="0" fontId="24" fillId="0" borderId="1" xfId="0" applyFont="1" applyBorder="1" applyAlignment="1">
      <alignment horizontal="left" vertical="top" wrapText="1"/>
    </xf>
    <xf numFmtId="0" fontId="24" fillId="0" borderId="1" xfId="0" applyFont="1" applyBorder="1" applyAlignment="1">
      <alignment horizontal="right" vertical="top" wrapText="1"/>
    </xf>
    <xf numFmtId="0" fontId="24" fillId="0" borderId="1" xfId="0" applyFont="1" applyBorder="1" applyAlignment="1">
      <alignment horizontal="justify" wrapText="1"/>
    </xf>
    <xf numFmtId="0" fontId="24" fillId="0" borderId="1" xfId="0" applyFont="1" applyBorder="1" applyAlignment="1">
      <alignment horizontal="left" wrapText="1"/>
    </xf>
    <xf numFmtId="0" fontId="24" fillId="0" borderId="1" xfId="0" applyFont="1" applyBorder="1" applyAlignment="1">
      <alignment vertical="top" wrapText="1"/>
    </xf>
    <xf numFmtId="0" fontId="24" fillId="0" borderId="1" xfId="0" applyFont="1" applyBorder="1" applyAlignment="1">
      <alignment wrapText="1"/>
    </xf>
    <xf numFmtId="3" fontId="1" fillId="0" borderId="0" xfId="0" applyNumberFormat="1" applyFont="1" applyAlignment="1">
      <alignment horizontal="center" wrapText="1"/>
    </xf>
    <xf numFmtId="0" fontId="1" fillId="0" borderId="0" xfId="0" applyFont="1" applyAlignment="1">
      <alignment wrapText="1"/>
    </xf>
    <xf numFmtId="0" fontId="1" fillId="0" borderId="0" xfId="0" applyFont="1"/>
    <xf numFmtId="3" fontId="12" fillId="0" borderId="1" xfId="0" applyNumberFormat="1" applyFont="1" applyBorder="1" applyAlignment="1">
      <alignment horizontal="right" wrapText="1"/>
    </xf>
    <xf numFmtId="0" fontId="1" fillId="3" borderId="1" xfId="0" applyFont="1" applyFill="1" applyBorder="1" applyAlignment="1">
      <alignment vertical="center" wrapText="1"/>
    </xf>
    <xf numFmtId="0" fontId="16" fillId="4" borderId="1" xfId="0"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0" fontId="7" fillId="0" borderId="0" xfId="0" applyFont="1"/>
    <xf numFmtId="0" fontId="7" fillId="0" borderId="0" xfId="0" applyFont="1" applyAlignment="1">
      <alignment horizontal="left" vertical="center" indent="5"/>
    </xf>
    <xf numFmtId="0" fontId="13" fillId="0" borderId="1" xfId="0" applyFont="1" applyBorder="1" applyAlignment="1">
      <alignment horizontal="left" vertical="center" wrapText="1"/>
    </xf>
    <xf numFmtId="3" fontId="12" fillId="2" borderId="1" xfId="0" applyNumberFormat="1" applyFont="1" applyFill="1" applyBorder="1" applyAlignment="1">
      <alignment horizontal="center" vertical="center" wrapText="1"/>
    </xf>
    <xf numFmtId="0" fontId="12" fillId="3" borderId="1" xfId="0" applyFont="1" applyFill="1" applyBorder="1" applyAlignment="1">
      <alignment vertical="center" wrapText="1"/>
    </xf>
    <xf numFmtId="164" fontId="0" fillId="4" borderId="1" xfId="0" applyNumberFormat="1" applyFill="1" applyBorder="1" applyAlignment="1">
      <alignment horizontal="center" vertical="center" wrapText="1"/>
    </xf>
    <xf numFmtId="4" fontId="0" fillId="4" borderId="1" xfId="0" applyNumberForma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0" fillId="0" borderId="1" xfId="0" applyFont="1" applyBorder="1" applyAlignment="1">
      <alignment vertical="center" wrapText="1"/>
    </xf>
    <xf numFmtId="3" fontId="3" fillId="0" borderId="0" xfId="0" applyNumberFormat="1" applyFont="1"/>
    <xf numFmtId="0" fontId="0" fillId="0" borderId="0" xfId="0" applyFont="1" applyAlignment="1"/>
    <xf numFmtId="0" fontId="12" fillId="3" borderId="1" xfId="0" applyFont="1" applyFill="1" applyBorder="1" applyAlignment="1">
      <alignment horizontal="left" vertical="center" wrapText="1"/>
    </xf>
    <xf numFmtId="0" fontId="0" fillId="0" borderId="0" xfId="0" applyAlignment="1">
      <alignment horizontal="right" wrapText="1"/>
    </xf>
    <xf numFmtId="38" fontId="0" fillId="0" borderId="0" xfId="0" applyNumberFormat="1" applyAlignment="1">
      <alignment horizontal="right" wrapText="1"/>
    </xf>
    <xf numFmtId="0" fontId="12" fillId="0" borderId="1" xfId="0" applyFont="1" applyFill="1" applyBorder="1" applyAlignment="1">
      <alignment vertical="center" wrapText="1"/>
    </xf>
    <xf numFmtId="3" fontId="1" fillId="0" borderId="0" xfId="0" applyNumberFormat="1" applyFont="1" applyAlignment="1">
      <alignment horizontal="left"/>
    </xf>
    <xf numFmtId="0" fontId="28" fillId="0" borderId="0" xfId="0" applyFont="1"/>
    <xf numFmtId="4" fontId="12" fillId="4" borderId="1" xfId="0" applyNumberFormat="1" applyFont="1" applyFill="1" applyBorder="1" applyAlignment="1">
      <alignment horizontal="center" vertical="center" wrapText="1"/>
    </xf>
    <xf numFmtId="164" fontId="16" fillId="4" borderId="1" xfId="0" applyNumberFormat="1" applyFont="1" applyFill="1" applyBorder="1" applyAlignment="1">
      <alignment horizontal="center" vertical="center" wrapText="1"/>
    </xf>
    <xf numFmtId="0" fontId="29" fillId="9" borderId="1" xfId="0" applyFont="1" applyFill="1" applyBorder="1" applyAlignment="1">
      <alignment horizontal="center" vertical="top" wrapText="1"/>
    </xf>
    <xf numFmtId="0" fontId="24" fillId="10" borderId="1" xfId="0" applyFont="1" applyFill="1" applyBorder="1" applyAlignment="1">
      <alignment horizontal="left" vertical="center" wrapText="1"/>
    </xf>
    <xf numFmtId="0" fontId="19" fillId="10" borderId="1" xfId="0" applyFont="1" applyFill="1" applyBorder="1" applyAlignment="1">
      <alignment horizontal="center" vertical="top" wrapText="1"/>
    </xf>
    <xf numFmtId="4" fontId="0" fillId="0" borderId="0" xfId="0" applyNumberFormat="1" applyAlignment="1">
      <alignment horizontal="center" wrapText="1"/>
    </xf>
    <xf numFmtId="3" fontId="0" fillId="0" borderId="0" xfId="0" applyNumberFormat="1" applyAlignment="1">
      <alignment horizontal="left"/>
    </xf>
    <xf numFmtId="0" fontId="12" fillId="0" borderId="0" xfId="0" applyFont="1" applyAlignment="1">
      <alignment wrapText="1"/>
    </xf>
    <xf numFmtId="0" fontId="0" fillId="0" borderId="0" xfId="0" applyFill="1" applyBorder="1" applyAlignment="1">
      <alignment vertical="center"/>
    </xf>
    <xf numFmtId="4" fontId="1" fillId="0" borderId="0" xfId="0" applyNumberFormat="1" applyFont="1" applyAlignment="1">
      <alignment horizontal="center" wrapText="1"/>
    </xf>
    <xf numFmtId="4" fontId="0" fillId="0" borderId="0" xfId="0" applyNumberFormat="1" applyFill="1" applyAlignment="1">
      <alignment horizontal="center" wrapText="1"/>
    </xf>
    <xf numFmtId="3" fontId="0" fillId="7" borderId="0" xfId="0" applyNumberFormat="1" applyFill="1" applyAlignment="1">
      <alignment horizontal="center" wrapText="1"/>
    </xf>
    <xf numFmtId="0" fontId="0" fillId="7" borderId="0" xfId="0" applyFill="1" applyAlignment="1">
      <alignment wrapText="1"/>
    </xf>
    <xf numFmtId="0" fontId="0" fillId="7" borderId="0" xfId="0" applyFill="1"/>
    <xf numFmtId="4" fontId="0" fillId="0" borderId="0" xfId="0" applyNumberFormat="1" applyAlignment="1">
      <alignment horizontal="center"/>
    </xf>
    <xf numFmtId="0" fontId="0" fillId="0" borderId="0" xfId="0" applyFill="1" applyAlignment="1"/>
    <xf numFmtId="0" fontId="0" fillId="0" borderId="0" xfId="0" applyFill="1" applyAlignment="1">
      <alignment horizontal="center"/>
    </xf>
    <xf numFmtId="3" fontId="0" fillId="0" borderId="0" xfId="0" applyNumberFormat="1" applyFill="1" applyAlignment="1">
      <alignment horizontal="center"/>
    </xf>
    <xf numFmtId="3" fontId="0" fillId="0" borderId="0" xfId="0" applyNumberFormat="1" applyFill="1" applyAlignment="1">
      <alignment horizontal="center" wrapText="1"/>
    </xf>
    <xf numFmtId="0" fontId="0" fillId="0" borderId="0" xfId="0" applyFill="1" applyAlignment="1">
      <alignment wrapText="1"/>
    </xf>
    <xf numFmtId="0" fontId="0" fillId="0" borderId="0" xfId="0" applyFill="1"/>
    <xf numFmtId="0" fontId="2" fillId="0" borderId="0" xfId="0" applyFont="1" applyFill="1" applyAlignment="1">
      <alignment wrapText="1"/>
    </xf>
    <xf numFmtId="0" fontId="12" fillId="0" borderId="0" xfId="0" applyFont="1" applyFill="1" applyAlignment="1">
      <alignment wrapText="1"/>
    </xf>
    <xf numFmtId="4" fontId="1" fillId="0" borderId="0" xfId="0" applyNumberFormat="1" applyFont="1" applyFill="1" applyAlignment="1">
      <alignment horizontal="center" wrapText="1"/>
    </xf>
    <xf numFmtId="0" fontId="12" fillId="0" borderId="1" xfId="0" applyFont="1" applyBorder="1" applyAlignment="1"/>
    <xf numFmtId="0" fontId="12" fillId="0" borderId="1" xfId="0" applyFont="1" applyBorder="1" applyAlignment="1">
      <alignment wrapText="1"/>
    </xf>
    <xf numFmtId="0" fontId="1" fillId="0" borderId="1" xfId="0" applyFont="1" applyBorder="1" applyAlignment="1">
      <alignment wrapText="1"/>
    </xf>
    <xf numFmtId="0" fontId="17" fillId="0" borderId="0" xfId="0" applyFont="1" applyAlignment="1"/>
    <xf numFmtId="0" fontId="12" fillId="0" borderId="0" xfId="0" applyFont="1" applyAlignment="1">
      <alignment horizontal="center" wrapText="1"/>
    </xf>
    <xf numFmtId="3" fontId="12" fillId="0" borderId="0" xfId="0" applyNumberFormat="1" applyFont="1" applyAlignment="1">
      <alignment horizontal="center" wrapText="1"/>
    </xf>
    <xf numFmtId="0" fontId="12" fillId="0" borderId="1" xfId="0" applyFont="1" applyFill="1" applyBorder="1" applyAlignment="1">
      <alignment wrapText="1"/>
    </xf>
    <xf numFmtId="4" fontId="12" fillId="0" borderId="1" xfId="0" applyNumberFormat="1" applyFont="1" applyFill="1" applyBorder="1" applyAlignment="1">
      <alignment horizontal="center" wrapText="1"/>
    </xf>
    <xf numFmtId="3" fontId="12" fillId="0" borderId="0" xfId="0" applyNumberFormat="1" applyFont="1" applyFill="1" applyAlignment="1">
      <alignment horizontal="center" wrapText="1"/>
    </xf>
    <xf numFmtId="4" fontId="12" fillId="0" borderId="1" xfId="0" applyNumberFormat="1" applyFont="1" applyBorder="1" applyAlignment="1">
      <alignment horizontal="center" wrapText="1"/>
    </xf>
    <xf numFmtId="3" fontId="12" fillId="0" borderId="0" xfId="0" applyNumberFormat="1" applyFont="1" applyAlignment="1">
      <alignment horizontal="center"/>
    </xf>
    <xf numFmtId="4" fontId="12" fillId="0" borderId="0" xfId="0" applyNumberFormat="1" applyFont="1" applyFill="1" applyAlignment="1">
      <alignment horizontal="center" wrapText="1"/>
    </xf>
    <xf numFmtId="0" fontId="12" fillId="0" borderId="0" xfId="0" applyFont="1" applyFill="1" applyAlignment="1">
      <alignment horizontal="center" wrapText="1"/>
    </xf>
    <xf numFmtId="0" fontId="12" fillId="7" borderId="0" xfId="0" applyFont="1" applyFill="1" applyAlignment="1"/>
    <xf numFmtId="0" fontId="12" fillId="7" borderId="0" xfId="0" applyFont="1" applyFill="1" applyAlignment="1">
      <alignment horizontal="center" wrapText="1"/>
    </xf>
    <xf numFmtId="3" fontId="12" fillId="7" borderId="0" xfId="0" applyNumberFormat="1" applyFont="1" applyFill="1" applyAlignment="1">
      <alignment horizontal="center"/>
    </xf>
    <xf numFmtId="0" fontId="12" fillId="0" borderId="1" xfId="0" applyFont="1" applyBorder="1" applyAlignment="1">
      <alignment horizontal="center"/>
    </xf>
    <xf numFmtId="2" fontId="12" fillId="0" borderId="1" xfId="0" applyNumberFormat="1" applyFont="1" applyBorder="1" applyAlignment="1">
      <alignment horizontal="center"/>
    </xf>
    <xf numFmtId="0" fontId="10" fillId="0" borderId="1" xfId="0" applyFont="1" applyBorder="1" applyAlignment="1"/>
    <xf numFmtId="2" fontId="10" fillId="0" borderId="1" xfId="0" applyNumberFormat="1" applyFont="1" applyBorder="1" applyAlignment="1">
      <alignment horizontal="center"/>
    </xf>
    <xf numFmtId="0" fontId="10" fillId="0" borderId="1" xfId="0" applyFont="1" applyBorder="1" applyAlignment="1">
      <alignment wrapText="1"/>
    </xf>
    <xf numFmtId="4" fontId="10" fillId="0" borderId="1" xfId="0" applyNumberFormat="1" applyFont="1" applyBorder="1" applyAlignment="1">
      <alignment horizontal="center" wrapText="1"/>
    </xf>
    <xf numFmtId="4" fontId="0" fillId="0" borderId="1" xfId="0" applyNumberFormat="1" applyBorder="1" applyAlignment="1">
      <alignment horizontal="center"/>
    </xf>
    <xf numFmtId="0" fontId="0" fillId="0" borderId="0" xfId="0" applyBorder="1" applyAlignment="1">
      <alignment wrapText="1"/>
    </xf>
    <xf numFmtId="4" fontId="0" fillId="0" borderId="0" xfId="0" applyNumberFormat="1" applyBorder="1" applyAlignment="1">
      <alignment horizontal="center"/>
    </xf>
    <xf numFmtId="0" fontId="0" fillId="7" borderId="0" xfId="0" applyFill="1" applyBorder="1" applyAlignment="1">
      <alignment wrapText="1"/>
    </xf>
    <xf numFmtId="165" fontId="0" fillId="0" borderId="1" xfId="0" applyNumberFormat="1" applyBorder="1" applyAlignment="1">
      <alignment horizontal="center"/>
    </xf>
    <xf numFmtId="165" fontId="1" fillId="0" borderId="1" xfId="0" applyNumberFormat="1" applyFont="1" applyBorder="1" applyAlignment="1">
      <alignment horizontal="center"/>
    </xf>
    <xf numFmtId="4" fontId="1" fillId="0" borderId="1" xfId="0" applyNumberFormat="1" applyFont="1" applyBorder="1" applyAlignment="1">
      <alignment horizontal="center"/>
    </xf>
    <xf numFmtId="4" fontId="12" fillId="0" borderId="1" xfId="0" applyNumberFormat="1" applyFont="1" applyBorder="1" applyAlignment="1">
      <alignment horizontal="center"/>
    </xf>
    <xf numFmtId="4" fontId="10" fillId="0" borderId="1" xfId="0" applyNumberFormat="1" applyFont="1" applyBorder="1" applyAlignment="1">
      <alignment horizontal="center"/>
    </xf>
    <xf numFmtId="3" fontId="0" fillId="0" borderId="0" xfId="0" applyNumberFormat="1" applyAlignment="1">
      <alignment horizontal="right"/>
    </xf>
    <xf numFmtId="3" fontId="2" fillId="3" borderId="1" xfId="0" applyNumberFormat="1" applyFont="1" applyFill="1" applyBorder="1" applyAlignment="1">
      <alignment horizontal="center" vertical="center" wrapText="1"/>
    </xf>
    <xf numFmtId="0" fontId="14" fillId="0" borderId="0" xfId="0" applyFont="1" applyFill="1" applyBorder="1" applyAlignment="1">
      <alignment horizontal="left" vertical="center"/>
    </xf>
    <xf numFmtId="3" fontId="1" fillId="0" borderId="1" xfId="0" applyNumberFormat="1" applyFont="1" applyBorder="1" applyAlignment="1">
      <alignment horizontal="right" wrapText="1"/>
    </xf>
    <xf numFmtId="0" fontId="12" fillId="0" borderId="1" xfId="0" applyFont="1" applyBorder="1" applyAlignment="1">
      <alignment horizontal="left" vertical="center" wrapText="1"/>
    </xf>
    <xf numFmtId="0" fontId="16" fillId="0" borderId="1" xfId="0" applyFont="1" applyFill="1" applyBorder="1" applyAlignment="1">
      <alignment horizontal="right" vertical="center" wrapText="1"/>
    </xf>
    <xf numFmtId="0" fontId="0" fillId="0" borderId="1" xfId="0" applyFill="1" applyBorder="1" applyAlignment="1">
      <alignment vertical="center" wrapText="1"/>
    </xf>
    <xf numFmtId="0" fontId="4" fillId="0" borderId="1" xfId="0" applyFont="1" applyFill="1" applyBorder="1" applyAlignment="1">
      <alignment horizontal="right" vertical="center" wrapText="1"/>
    </xf>
    <xf numFmtId="0" fontId="0" fillId="0" borderId="1" xfId="0" applyFill="1" applyBorder="1" applyAlignment="1">
      <alignment horizontal="left" vertical="center" wrapText="1"/>
    </xf>
    <xf numFmtId="0" fontId="9"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0" xfId="0" applyFont="1" applyFill="1" applyAlignment="1"/>
    <xf numFmtId="0" fontId="12" fillId="0" borderId="0" xfId="0" applyFont="1" applyFill="1" applyAlignment="1"/>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3" fontId="2" fillId="0" borderId="2" xfId="0" applyNumberFormat="1" applyFont="1" applyBorder="1" applyAlignment="1">
      <alignment horizontal="center" wrapText="1"/>
    </xf>
    <xf numFmtId="0" fontId="3" fillId="0" borderId="0" xfId="0" applyFont="1" applyBorder="1" applyAlignment="1">
      <alignment horizontal="right"/>
    </xf>
    <xf numFmtId="2" fontId="0" fillId="0" borderId="0" xfId="0" applyNumberFormat="1"/>
    <xf numFmtId="3" fontId="10" fillId="0" borderId="1" xfId="0" applyNumberFormat="1" applyFont="1" applyBorder="1" applyAlignment="1">
      <alignment horizontal="center" wrapText="1"/>
    </xf>
    <xf numFmtId="3" fontId="1" fillId="0" borderId="1" xfId="0" applyNumberFormat="1" applyFont="1" applyBorder="1"/>
    <xf numFmtId="0" fontId="1" fillId="0" borderId="1" xfId="0" applyFont="1" applyBorder="1"/>
    <xf numFmtId="2" fontId="2" fillId="0" borderId="1" xfId="0" applyNumberFormat="1" applyFont="1" applyBorder="1" applyAlignment="1">
      <alignment horizontal="center" wrapText="1"/>
    </xf>
    <xf numFmtId="2" fontId="0" fillId="0" borderId="1" xfId="0" applyNumberFormat="1" applyBorder="1"/>
    <xf numFmtId="3" fontId="2" fillId="0" borderId="1" xfId="0" applyNumberFormat="1" applyFont="1" applyFill="1" applyBorder="1" applyAlignment="1">
      <alignment horizontal="center" wrapText="1"/>
    </xf>
    <xf numFmtId="3" fontId="0" fillId="0" borderId="1" xfId="0" applyNumberFormat="1" applyBorder="1"/>
    <xf numFmtId="0" fontId="0" fillId="0" borderId="1" xfId="0" applyBorder="1"/>
    <xf numFmtId="0" fontId="10" fillId="0" borderId="1" xfId="0" applyFont="1" applyBorder="1" applyAlignment="1">
      <alignment horizontal="left" wrapText="1"/>
    </xf>
    <xf numFmtId="0" fontId="0" fillId="0" borderId="0" xfId="0" applyFont="1" applyBorder="1"/>
    <xf numFmtId="3" fontId="30" fillId="0" borderId="0" xfId="0" applyNumberFormat="1" applyFont="1" applyAlignment="1">
      <alignment horizontal="left" vertical="top" wrapText="1"/>
    </xf>
    <xf numFmtId="3" fontId="12" fillId="0" borderId="1" xfId="0" applyNumberFormat="1" applyFont="1" applyBorder="1"/>
    <xf numFmtId="3" fontId="0" fillId="7" borderId="1" xfId="0" applyNumberFormat="1" applyFill="1" applyBorder="1"/>
    <xf numFmtId="2" fontId="0" fillId="7" borderId="1" xfId="0" applyNumberFormat="1" applyFill="1" applyBorder="1"/>
    <xf numFmtId="0" fontId="12" fillId="6" borderId="0" xfId="0" applyNumberFormat="1" applyFont="1" applyFill="1" applyBorder="1" applyAlignment="1">
      <alignment vertical="center"/>
    </xf>
    <xf numFmtId="0" fontId="12" fillId="6" borderId="0" xfId="0" applyFont="1" applyFill="1" applyBorder="1" applyAlignment="1">
      <alignment vertical="center"/>
    </xf>
    <xf numFmtId="4" fontId="0" fillId="0" borderId="0" xfId="0" applyNumberFormat="1" applyBorder="1" applyAlignment="1">
      <alignment horizontal="left"/>
    </xf>
    <xf numFmtId="0" fontId="1" fillId="0" borderId="1" xfId="0" applyFont="1" applyFill="1" applyBorder="1" applyAlignment="1">
      <alignment horizontal="left" vertical="center" wrapText="1"/>
    </xf>
    <xf numFmtId="0" fontId="13" fillId="0" borderId="1" xfId="0" applyFont="1" applyBorder="1"/>
    <xf numFmtId="0" fontId="3" fillId="0" borderId="1" xfId="0" applyFont="1" applyBorder="1"/>
    <xf numFmtId="0" fontId="0" fillId="0" borderId="1" xfId="0" applyFont="1" applyBorder="1"/>
    <xf numFmtId="0" fontId="32" fillId="0" borderId="1" xfId="0" applyFont="1" applyBorder="1"/>
    <xf numFmtId="0" fontId="14" fillId="0" borderId="1" xfId="0" applyFont="1" applyBorder="1"/>
    <xf numFmtId="0" fontId="2" fillId="0" borderId="1" xfId="0" applyFont="1" applyBorder="1"/>
    <xf numFmtId="3" fontId="3" fillId="0" borderId="1" xfId="0" applyNumberFormat="1" applyFont="1" applyBorder="1"/>
    <xf numFmtId="0" fontId="10" fillId="0" borderId="1" xfId="0" applyFont="1" applyBorder="1"/>
    <xf numFmtId="0" fontId="0" fillId="0" borderId="1" xfId="0" applyBorder="1" applyAlignment="1">
      <alignment vertical="center"/>
    </xf>
    <xf numFmtId="0" fontId="1" fillId="0" borderId="1" xfId="0" applyFont="1" applyBorder="1" applyAlignment="1">
      <alignment vertical="center"/>
    </xf>
    <xf numFmtId="0" fontId="0" fillId="0" borderId="1" xfId="0" applyBorder="1" applyAlignment="1">
      <alignment horizontal="center" vertical="center"/>
    </xf>
    <xf numFmtId="1" fontId="0" fillId="0" borderId="1" xfId="0" applyNumberFormat="1" applyBorder="1"/>
    <xf numFmtId="0" fontId="0" fillId="0" borderId="0" xfId="0"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0" fillId="0" borderId="0" xfId="0" applyBorder="1" applyAlignment="1">
      <alignment horizontal="center" vertical="center"/>
    </xf>
    <xf numFmtId="3" fontId="0" fillId="0" borderId="1" xfId="0" applyNumberFormat="1" applyBorder="1" applyAlignment="1">
      <alignment horizontal="center" vertical="center"/>
    </xf>
    <xf numFmtId="0" fontId="3" fillId="0" borderId="1" xfId="0" applyFont="1" applyBorder="1" applyAlignment="1">
      <alignment horizontal="center" vertical="center"/>
    </xf>
    <xf numFmtId="0" fontId="1" fillId="0" borderId="0" xfId="0" applyFont="1" applyBorder="1" applyAlignment="1">
      <alignment horizontal="center" vertical="center"/>
    </xf>
    <xf numFmtId="3" fontId="1" fillId="0" borderId="1" xfId="0" applyNumberFormat="1" applyFont="1" applyBorder="1" applyAlignment="1">
      <alignment horizontal="center" vertical="center"/>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3" borderId="5" xfId="0" applyFill="1" applyBorder="1" applyAlignment="1">
      <alignment horizontal="left" vertical="center" wrapText="1"/>
    </xf>
    <xf numFmtId="0" fontId="0" fillId="0" borderId="1" xfId="0" applyBorder="1" applyAlignment="1">
      <alignment horizontal="center" vertical="center"/>
    </xf>
    <xf numFmtId="0" fontId="19" fillId="0" borderId="1" xfId="0" applyFont="1" applyBorder="1" applyAlignment="1">
      <alignment horizontal="left" vertical="center" wrapText="1"/>
    </xf>
    <xf numFmtId="0" fontId="0" fillId="3" borderId="3" xfId="0" applyFill="1" applyBorder="1" applyAlignment="1">
      <alignment horizontal="center" vertical="center" wrapText="1"/>
    </xf>
    <xf numFmtId="0" fontId="0" fillId="3" borderId="5" xfId="0" applyFill="1" applyBorder="1" applyAlignment="1">
      <alignment horizontal="center" vertical="center" wrapText="1"/>
    </xf>
    <xf numFmtId="0" fontId="18" fillId="0" borderId="1" xfId="0" applyFont="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1" fillId="0" borderId="1" xfId="0" applyFont="1" applyBorder="1" applyAlignment="1">
      <alignment horizontal="center" vertical="center"/>
    </xf>
    <xf numFmtId="0" fontId="1" fillId="0" borderId="3" xfId="0" applyFont="1" applyBorder="1" applyAlignment="1">
      <alignment horizontal="center"/>
    </xf>
    <xf numFmtId="0" fontId="1" fillId="0" borderId="5" xfId="0" applyFont="1" applyBorder="1" applyAlignment="1">
      <alignment horizontal="center"/>
    </xf>
    <xf numFmtId="0" fontId="0" fillId="0" borderId="3" xfId="0" applyBorder="1" applyAlignment="1">
      <alignment horizontal="center"/>
    </xf>
    <xf numFmtId="0" fontId="0" fillId="0" borderId="5"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42" Type="http://schemas.openxmlformats.org/officeDocument/2006/relationships/customXml" Target="../customXml/item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42"/>
  <sheetViews>
    <sheetView tabSelected="1" topLeftCell="B17" zoomScale="90" zoomScaleNormal="90" workbookViewId="0">
      <selection activeCell="D36" sqref="D36"/>
    </sheetView>
  </sheetViews>
  <sheetFormatPr defaultRowHeight="15" x14ac:dyDescent="0.25"/>
  <cols>
    <col min="1" max="1" width="4.85546875" customWidth="1"/>
    <col min="2" max="2" width="105.140625" style="1" customWidth="1"/>
    <col min="3" max="5" width="13.28515625" style="38" customWidth="1"/>
    <col min="6" max="6" width="13" hidden="1" customWidth="1"/>
    <col min="7" max="7" width="12.28515625" style="53" customWidth="1"/>
    <col min="8" max="8" width="13.42578125" style="109" customWidth="1"/>
    <col min="9" max="9" width="14.28515625" style="203" customWidth="1"/>
    <col min="10" max="10" width="13.42578125" customWidth="1"/>
    <col min="11" max="11" width="12.5703125" customWidth="1"/>
  </cols>
  <sheetData>
    <row r="2" spans="2:11" x14ac:dyDescent="0.25">
      <c r="B2" s="2" t="s">
        <v>0</v>
      </c>
    </row>
    <row r="4" spans="2:11" ht="45" x14ac:dyDescent="0.25">
      <c r="B4" s="3" t="s">
        <v>29</v>
      </c>
      <c r="C4" s="23" t="s">
        <v>30</v>
      </c>
      <c r="D4" s="23" t="s">
        <v>6</v>
      </c>
      <c r="E4" s="23" t="s">
        <v>171</v>
      </c>
      <c r="F4" s="201" t="s">
        <v>170</v>
      </c>
      <c r="G4" s="202" t="s">
        <v>927</v>
      </c>
      <c r="H4" s="204" t="s">
        <v>1112</v>
      </c>
      <c r="I4" s="207" t="s">
        <v>1113</v>
      </c>
      <c r="J4" s="23" t="s">
        <v>1114</v>
      </c>
      <c r="K4" s="209" t="s">
        <v>1115</v>
      </c>
    </row>
    <row r="5" spans="2:11" x14ac:dyDescent="0.25">
      <c r="B5" s="212" t="s">
        <v>31</v>
      </c>
      <c r="C5" s="39"/>
      <c r="D5" s="39"/>
      <c r="E5" s="39"/>
      <c r="F5" s="39"/>
      <c r="H5" s="205">
        <f>SUM(C6:C10)</f>
        <v>5386400</v>
      </c>
      <c r="I5" s="208">
        <f>H5/C39*100</f>
        <v>33.664999999999999</v>
      </c>
      <c r="J5" s="216">
        <f>SUM(D6:D10)</f>
        <v>4430800</v>
      </c>
      <c r="K5" s="217">
        <f>J5/D39*100</f>
        <v>31.648571428571426</v>
      </c>
    </row>
    <row r="6" spans="2:11" x14ac:dyDescent="0.25">
      <c r="B6" s="4" t="str">
        <f>'1.1. Infrastruct. construites'!$B$2</f>
        <v>1.1. : Centres de protection sanitaire polyvalents départementaux construits</v>
      </c>
      <c r="C6" s="40">
        <f>'1.1. Infrastruct. construites'!F5</f>
        <v>1915000</v>
      </c>
      <c r="D6" s="40">
        <f>'1.1. Infrastruct. construites'!G5</f>
        <v>1915000</v>
      </c>
      <c r="E6" s="40">
        <f>'1.1. Infrastruct. construites'!H5</f>
        <v>0</v>
      </c>
      <c r="F6" s="40">
        <f>'1.1. Infrastruct. construites'!I5</f>
        <v>0</v>
      </c>
      <c r="G6" s="123">
        <f>D6+E6-C6</f>
        <v>0</v>
      </c>
      <c r="H6" s="206"/>
      <c r="I6" s="208"/>
      <c r="J6" s="211"/>
      <c r="K6" s="211"/>
    </row>
    <row r="7" spans="2:11" ht="30" customHeight="1" x14ac:dyDescent="0.25">
      <c r="B7" s="4" t="str">
        <f>'1.2. Infrastruct. équipées'!B2</f>
        <v>1.2. : Infrastructures centrale (bâtiment pour les services intégrés) et départementales (centres zoophytosanitaires polyvalents) équipées</v>
      </c>
      <c r="C7" s="40">
        <f>'1.2. Infrastruct. équipées'!F5</f>
        <v>2341200</v>
      </c>
      <c r="D7" s="110">
        <f>'1.2. Infrastruct. équipées'!G5</f>
        <v>1415600</v>
      </c>
      <c r="E7" s="40">
        <f>'1.2. Infrastruct. équipées'!H5</f>
        <v>925600</v>
      </c>
      <c r="F7" s="40">
        <f>'1.2. Infrastruct. équipées'!J5</f>
        <v>0</v>
      </c>
      <c r="G7" s="123">
        <f t="shared" ref="G7:G39" si="0">D7+E7-C7</f>
        <v>0</v>
      </c>
      <c r="H7" s="206"/>
      <c r="I7" s="208"/>
      <c r="J7" s="211"/>
      <c r="K7" s="211"/>
    </row>
    <row r="8" spans="2:11" ht="30" x14ac:dyDescent="0.25">
      <c r="B8" s="4" t="str">
        <f>'1.3. Procédures-Manuels-Plans'!B2</f>
        <v>1.3. : Procédures, Plans, Manuels administratifs et financiers préparés, officiellement validé et publiés sur le site Internet du MARNDR (inclus : personnel formé)</v>
      </c>
      <c r="C8" s="40">
        <f>'1.3. Procédures-Manuels-Plans'!F5</f>
        <v>140200</v>
      </c>
      <c r="D8" s="79">
        <f>'1.3. Procédures-Manuels-Plans'!G5</f>
        <v>140200</v>
      </c>
      <c r="E8" s="40">
        <f>'1.3. Procédures-Manuels-Plans'!H5</f>
        <v>0</v>
      </c>
      <c r="F8" s="40">
        <f>'1.3. Procédures-Manuels-Plans'!J5</f>
        <v>0</v>
      </c>
      <c r="G8" s="123">
        <f t="shared" si="0"/>
        <v>0</v>
      </c>
      <c r="H8" s="206"/>
      <c r="I8" s="208"/>
      <c r="J8" s="211"/>
      <c r="K8" s="211"/>
    </row>
    <row r="9" spans="2:11" ht="30" customHeight="1" x14ac:dyDescent="0.25">
      <c r="B9" s="4" t="str">
        <f>'1.4. Recouvrement coûts '!B2</f>
        <v>1.4. : Fonctions du MARNDR pour lesquels un mécanisme de recouvrement des coûts est établi et officiellement entré en vigueur</v>
      </c>
      <c r="C9" s="40">
        <f>'1.4. Recouvrement coûts '!F5</f>
        <v>340000</v>
      </c>
      <c r="D9" s="40">
        <f>'1.4. Recouvrement coûts '!G5</f>
        <v>340000</v>
      </c>
      <c r="E9" s="40">
        <f>'1.4. Recouvrement coûts '!H5</f>
        <v>0</v>
      </c>
      <c r="F9" s="40">
        <f>'1.4. Recouvrement coûts '!J5</f>
        <v>0</v>
      </c>
      <c r="G9" s="123">
        <f t="shared" si="0"/>
        <v>0</v>
      </c>
      <c r="H9" s="206"/>
      <c r="I9" s="208"/>
      <c r="J9" s="211"/>
      <c r="K9" s="211"/>
    </row>
    <row r="10" spans="2:11" ht="30" x14ac:dyDescent="0.25">
      <c r="B10" s="4" t="str">
        <f>'1.5. Système d''information'!B2</f>
        <v>1.5. : Système d'information intégré (santé animale, protection végétale, quarantaine, laboratoire) accessible depuis le site internet du MARNDR</v>
      </c>
      <c r="C10" s="40">
        <f>'1.5. Système d''information'!F5</f>
        <v>650000</v>
      </c>
      <c r="D10" s="40">
        <f>'1.5. Système d''information'!G5</f>
        <v>620000</v>
      </c>
      <c r="E10" s="40">
        <f>'1.5. Système d''information'!H5</f>
        <v>30000</v>
      </c>
      <c r="F10" s="40">
        <f>'1.5. Système d''information'!J5</f>
        <v>0</v>
      </c>
      <c r="G10" s="123">
        <f t="shared" si="0"/>
        <v>0</v>
      </c>
      <c r="H10" s="206"/>
      <c r="I10" s="208"/>
      <c r="J10" s="211"/>
      <c r="K10" s="211"/>
    </row>
    <row r="11" spans="2:11" x14ac:dyDescent="0.25">
      <c r="B11" s="175" t="s">
        <v>32</v>
      </c>
      <c r="C11" s="40"/>
      <c r="D11" s="40"/>
      <c r="E11" s="40"/>
      <c r="F11" s="40"/>
      <c r="G11" s="123">
        <f t="shared" si="0"/>
        <v>0</v>
      </c>
      <c r="H11" s="205">
        <f>SUM(C12:C20)</f>
        <v>2808845.4545454546</v>
      </c>
      <c r="I11" s="208">
        <f>H11/C39*100</f>
        <v>17.55528409090909</v>
      </c>
      <c r="J11" s="216">
        <f>SUM(D12:D20)</f>
        <v>2603845.4545454546</v>
      </c>
      <c r="K11" s="217">
        <f>J11*100/D39</f>
        <v>18.598896103896106</v>
      </c>
    </row>
    <row r="12" spans="2:11" ht="17.25" customHeight="1" x14ac:dyDescent="0.25">
      <c r="B12" s="4" t="str">
        <f>'2.1. Liste pestes et maladies'!B2</f>
        <v>2.1. : Liste des pestes et maladies définie, actualisée, publiée</v>
      </c>
      <c r="C12" s="40">
        <f>'2.1. Liste pestes et maladies'!F5</f>
        <v>440550</v>
      </c>
      <c r="D12" s="40">
        <f>'2.1. Liste pestes et maladies'!G5</f>
        <v>400550</v>
      </c>
      <c r="E12" s="40">
        <f>'2.1. Liste pestes et maladies'!H5</f>
        <v>40000</v>
      </c>
      <c r="F12" s="40"/>
      <c r="G12" s="123"/>
      <c r="H12" s="206"/>
      <c r="I12" s="208"/>
      <c r="J12" s="211"/>
      <c r="K12" s="211"/>
    </row>
    <row r="13" spans="2:11" x14ac:dyDescent="0.25">
      <c r="B13" s="4" t="str">
        <f>'2.2. Réseau GSBP formés'!B2</f>
        <v>2.2. : Planteurs membres bénévoles du réseau d'épidémiosurveillance végétale formés</v>
      </c>
      <c r="C13" s="40">
        <f>'2.2. Réseau GSBP formés'!F5</f>
        <v>294200</v>
      </c>
      <c r="D13" s="40">
        <f>'2.2. Réseau GSBP formés'!G5</f>
        <v>294200</v>
      </c>
      <c r="E13" s="40">
        <f>'2.2. Réseau GSBP formés'!H5</f>
        <v>0</v>
      </c>
      <c r="F13" s="40"/>
      <c r="G13" s="123"/>
      <c r="H13" s="206"/>
      <c r="I13" s="208"/>
      <c r="J13" s="211"/>
      <c r="K13" s="211"/>
    </row>
    <row r="14" spans="2:11" x14ac:dyDescent="0.25">
      <c r="B14" s="4" t="str">
        <f>'2.3. Bulletin épidémio vég'!B2</f>
        <v>2.3. : Bulletin mensuel d'épidémiosurveillance végétale diffusé sur le terrain et publié sur le site Web du MARNDR</v>
      </c>
      <c r="C14" s="40">
        <f>'2.3. Bulletin épidémio vég'!F5</f>
        <v>125000</v>
      </c>
      <c r="D14" s="40">
        <f>'2.3. Bulletin épidémio vég'!G5</f>
        <v>50000</v>
      </c>
      <c r="E14" s="40">
        <f>'2.3. Bulletin épidémio vég'!H5</f>
        <v>75000</v>
      </c>
      <c r="F14" s="40"/>
      <c r="G14" s="123"/>
      <c r="H14" s="206"/>
      <c r="I14" s="208"/>
      <c r="J14" s="211"/>
      <c r="K14" s="211"/>
    </row>
    <row r="15" spans="2:11" ht="33" customHeight="1" x14ac:dyDescent="0.25">
      <c r="B15" s="4" t="str">
        <f>'2.4. Mouche des Fruits'!B2</f>
        <v>2.4. : Pièges pour le contrôle  de la mouche des fruits installés et réalimentés chaque semaine/quinzaine en appât, sans discontinuer pendant toute la campagne</v>
      </c>
      <c r="C15" s="40">
        <f>'2.4. Mouche des Fruits'!F5</f>
        <v>710390.90909090906</v>
      </c>
      <c r="D15" s="110">
        <f>'2.4. Mouche des Fruits'!G5</f>
        <v>710390.90909090906</v>
      </c>
      <c r="E15" s="40">
        <f>'2.4. Mouche des Fruits'!H5</f>
        <v>0</v>
      </c>
      <c r="F15" s="40">
        <f>'2.4. Mouche des Fruits'!I5</f>
        <v>235200</v>
      </c>
      <c r="G15" s="123">
        <f t="shared" si="0"/>
        <v>0</v>
      </c>
      <c r="H15" s="206"/>
      <c r="I15" s="208"/>
      <c r="J15" s="211"/>
      <c r="K15" s="211"/>
    </row>
    <row r="16" spans="2:11" ht="30.75" customHeight="1" x14ac:dyDescent="0.25">
      <c r="B16" s="4" t="str">
        <f>'2.5. Fourmi folle'!B2</f>
        <v>2.5. : Pièges pour le contrôle  de la fourmi folle installés et réalimentés chaque semaine en appât, sans discontinuer pendant toute la campagne</v>
      </c>
      <c r="C16" s="79">
        <f>'2.5. Fourmi folle'!F5</f>
        <v>558704.54545454541</v>
      </c>
      <c r="D16" s="79">
        <f>'2.5. Fourmi folle'!G5</f>
        <v>558704.54545454541</v>
      </c>
      <c r="E16" s="79">
        <f>'2.5. Fourmi folle'!H5</f>
        <v>0</v>
      </c>
      <c r="F16" s="40">
        <f>'2.5. Fourmi folle'!J5</f>
        <v>0</v>
      </c>
      <c r="G16" s="123">
        <f t="shared" si="0"/>
        <v>0</v>
      </c>
      <c r="H16" s="206"/>
      <c r="I16" s="208"/>
      <c r="J16" s="211"/>
      <c r="K16" s="211"/>
    </row>
    <row r="17" spans="2:11" x14ac:dyDescent="0.25">
      <c r="B17" s="4" t="str">
        <f>'2.6. Labo DPV construit-équipé'!B2</f>
        <v>2.6. : Laboratoires de phytopathologie et virologie aménagés et équipés</v>
      </c>
      <c r="C17" s="40">
        <f>'2.6. Labo DPV construit-équipé'!F5</f>
        <v>190000</v>
      </c>
      <c r="D17" s="40">
        <f>'2.6. Labo DPV construit-équipé'!G5</f>
        <v>130000</v>
      </c>
      <c r="E17" s="40">
        <f>'2.6. Labo DPV construit-équipé'!H5</f>
        <v>60000</v>
      </c>
      <c r="F17" s="40"/>
      <c r="G17" s="123"/>
      <c r="H17" s="206"/>
      <c r="I17" s="208"/>
      <c r="J17" s="211"/>
      <c r="K17" s="211"/>
    </row>
    <row r="18" spans="2:11" x14ac:dyDescent="0.25">
      <c r="B18" s="4" t="str">
        <f>'2.7. Plans-Protoc labo DPV'!B2</f>
        <v>2.7. : Plan de biosécurité et qualité et protocoles de laboratoire élaborés et en vigueur</v>
      </c>
      <c r="C18" s="40">
        <f>'2.7. Plans-Protoc labo DPV'!F5</f>
        <v>80000</v>
      </c>
      <c r="D18" s="40">
        <f>'2.7. Plans-Protoc labo DPV'!G5</f>
        <v>80000</v>
      </c>
      <c r="E18" s="40">
        <f>'2.7. Plans-Protoc labo DPV'!H5</f>
        <v>0</v>
      </c>
      <c r="F18" s="40"/>
      <c r="G18" s="123"/>
      <c r="H18" s="206"/>
      <c r="I18" s="208"/>
      <c r="J18" s="211"/>
      <c r="K18" s="211"/>
    </row>
    <row r="19" spans="2:11" x14ac:dyDescent="0.25">
      <c r="B19" s="4" t="str">
        <f>'2.8. Personnel labo DPV formé'!B2</f>
        <v>2.8. : Personnel des laboratoires de la protection végétale formé</v>
      </c>
      <c r="C19" s="40">
        <f>'2.8. Personnel labo DPV formé'!F5</f>
        <v>100000</v>
      </c>
      <c r="D19" s="40">
        <f>'2.8. Personnel labo DPV formé'!G5</f>
        <v>100000</v>
      </c>
      <c r="E19" s="40">
        <f>'2.8. Personnel labo DPV formé'!H5</f>
        <v>0</v>
      </c>
      <c r="F19" s="40"/>
      <c r="G19" s="123"/>
      <c r="H19" s="206"/>
      <c r="I19" s="208"/>
      <c r="J19" s="211"/>
      <c r="K19" s="211"/>
    </row>
    <row r="20" spans="2:11" x14ac:dyDescent="0.25">
      <c r="B20" s="4" t="str">
        <f>'2.9. Analyse de risques'!B2</f>
        <v>2.9. : Personnel de la cellule d’analyse de risques de la Protection Végétale formé</v>
      </c>
      <c r="C20" s="40">
        <f>'2.9. Analyse de risques'!F5</f>
        <v>310000</v>
      </c>
      <c r="D20" s="79">
        <f>'2.9. Analyse de risques'!G5</f>
        <v>280000</v>
      </c>
      <c r="E20" s="40">
        <f>'2.9. Analyse de risques'!H5</f>
        <v>30000</v>
      </c>
      <c r="F20" s="40">
        <f>'2.9. Analyse de risques'!J5</f>
        <v>0</v>
      </c>
      <c r="G20" s="123">
        <f t="shared" si="0"/>
        <v>0</v>
      </c>
      <c r="H20" s="206"/>
      <c r="I20" s="208"/>
      <c r="J20" s="211"/>
      <c r="K20" s="211"/>
    </row>
    <row r="21" spans="2:11" x14ac:dyDescent="0.25">
      <c r="B21" s="175" t="s">
        <v>33</v>
      </c>
      <c r="C21" s="40"/>
      <c r="D21" s="40"/>
      <c r="E21" s="40"/>
      <c r="F21" s="40"/>
      <c r="G21" s="123">
        <f t="shared" si="0"/>
        <v>0</v>
      </c>
      <c r="H21" s="205">
        <f>SUM(C22:C30)</f>
        <v>3081900</v>
      </c>
      <c r="I21" s="208">
        <f>H21/C39*100</f>
        <v>19.261875</v>
      </c>
      <c r="J21" s="216">
        <f>SUM(D22:D30)</f>
        <v>2485610</v>
      </c>
      <c r="K21" s="217">
        <f>J21*100/D39</f>
        <v>17.754357142857142</v>
      </c>
    </row>
    <row r="22" spans="2:11" x14ac:dyDescent="0.25">
      <c r="B22" s="4" t="str">
        <f>'3.1. GSB formés'!B2</f>
        <v>3.1. : Membres bénévoles du réseau d'épidémiosurveillance animale formés</v>
      </c>
      <c r="C22" s="40">
        <f>'3.1. GSB formés'!F5</f>
        <v>287500</v>
      </c>
      <c r="D22" s="40">
        <f>'3.1. GSB formés'!G5</f>
        <v>247500</v>
      </c>
      <c r="E22" s="40">
        <f>'3.1. GSB formés'!H5</f>
        <v>40000</v>
      </c>
      <c r="F22" s="40"/>
      <c r="G22" s="123"/>
      <c r="H22" s="206"/>
      <c r="I22" s="208"/>
      <c r="J22" s="211"/>
      <c r="K22" s="211"/>
    </row>
    <row r="23" spans="2:11" x14ac:dyDescent="0.25">
      <c r="B23" s="4" t="str">
        <f>'3.2. Echantillons collectés'!B2</f>
        <v>3.2. : Echantillons animaux collectés et transmis au LVCQAT pour analyse</v>
      </c>
      <c r="C23" s="40">
        <f>'3.2. Echantillons collectés'!F5</f>
        <v>279650</v>
      </c>
      <c r="D23" s="40">
        <f>'3.2. Echantillons collectés'!G5</f>
        <v>90860</v>
      </c>
      <c r="E23" s="40">
        <f>'3.2. Echantillons collectés'!H5</f>
        <v>188790</v>
      </c>
      <c r="F23" s="40"/>
      <c r="G23" s="123"/>
      <c r="H23" s="206"/>
      <c r="I23" s="208"/>
      <c r="J23" s="211"/>
      <c r="K23" s="211"/>
    </row>
    <row r="24" spans="2:11" x14ac:dyDescent="0.25">
      <c r="B24" s="4" t="str">
        <f>'3.3. Enquêtes épidémio'!B2</f>
        <v xml:space="preserve">3.3. : Enquêtes d'épidémiosurveillance (PPC et Teschen) réalisées </v>
      </c>
      <c r="C24" s="40">
        <f>'3.3. Enquêtes épidémio'!F5</f>
        <v>160000</v>
      </c>
      <c r="D24" s="40">
        <f>'3.3. Enquêtes épidémio'!G5</f>
        <v>160000</v>
      </c>
      <c r="E24" s="40">
        <f>'3.3. Enquêtes épidémio'!H5</f>
        <v>0</v>
      </c>
      <c r="F24" s="40"/>
      <c r="G24" s="123"/>
      <c r="H24" s="206"/>
      <c r="I24" s="208"/>
      <c r="J24" s="211"/>
      <c r="K24" s="211"/>
    </row>
    <row r="25" spans="2:11" x14ac:dyDescent="0.25">
      <c r="B25" s="4" t="str">
        <f>'3.4. Bulletins épidémio'!B2</f>
        <v>3.4. : Bulletin mensuel d'épidémiosurveillance animale diffusé sur le terrain et publié sur le site Web du MARNDR</v>
      </c>
      <c r="C25" s="40">
        <f>'3.4. Bulletins épidémio'!F5</f>
        <v>112500.00000000001</v>
      </c>
      <c r="D25" s="40">
        <f>'3.4. Bulletins épidémio'!G5</f>
        <v>0</v>
      </c>
      <c r="E25" s="40">
        <f>'3.4. Bulletins épidémio'!H5</f>
        <v>112500.00000000001</v>
      </c>
      <c r="F25" s="40"/>
      <c r="G25" s="123"/>
      <c r="H25" s="206"/>
      <c r="I25" s="208"/>
      <c r="J25" s="211"/>
      <c r="K25" s="211"/>
    </row>
    <row r="26" spans="2:11" ht="17.25" customHeight="1" x14ac:dyDescent="0.25">
      <c r="B26" s="4" t="str">
        <f>'3.5. Paraprof privés formés'!B2</f>
        <v>3.5. : Professionnels/paraprofessionnels vétérinaires privés formés ou recyclés</v>
      </c>
      <c r="C26" s="40">
        <f>'3.5. Paraprof privés formés'!F5</f>
        <v>480000</v>
      </c>
      <c r="D26" s="40">
        <f>'3.5. Paraprof privés formés'!G5</f>
        <v>480000</v>
      </c>
      <c r="E26" s="40">
        <f>'3.5. Paraprof privés formés'!H5</f>
        <v>0</v>
      </c>
      <c r="F26" s="40">
        <f>'3.5. Paraprof privés formés'!J5</f>
        <v>0</v>
      </c>
      <c r="G26" s="123">
        <f t="shared" si="0"/>
        <v>0</v>
      </c>
      <c r="H26" s="206"/>
      <c r="I26" s="208"/>
      <c r="J26" s="211"/>
      <c r="K26" s="211"/>
    </row>
    <row r="27" spans="2:11" ht="30" x14ac:dyDescent="0.25">
      <c r="B27" s="4" t="str">
        <f>'3.6. Anx vaccinés PPC-Teschen'!B2</f>
        <v>3.6. : Porcs vaccinés contre la PPC et la maladie de Teschen (vaccination simultanée) et identifiés par une boucle d'oreille</v>
      </c>
      <c r="C27" s="40">
        <f>'3.6. Anx vaccinés PPC-Teschen'!F5</f>
        <v>1142250</v>
      </c>
      <c r="D27" s="40">
        <f>'3.6. Anx vaccinés PPC-Teschen'!G5</f>
        <v>1082250</v>
      </c>
      <c r="E27" s="40">
        <f>'3.6. Anx vaccinés PPC-Teschen'!H5</f>
        <v>60000</v>
      </c>
      <c r="F27" s="40"/>
      <c r="G27" s="123"/>
      <c r="H27" s="206"/>
      <c r="I27" s="208"/>
      <c r="J27" s="211"/>
      <c r="K27" s="211"/>
    </row>
    <row r="28" spans="2:11" x14ac:dyDescent="0.25">
      <c r="B28" s="4" t="str">
        <f>'3.7. Services - Unités Froid'!B2</f>
        <v>3.7. : Service de maintenance des unités de froid à énergie solaire réalisé (150 par an, pendant 4 ans)</v>
      </c>
      <c r="C28" s="40">
        <f>'3.7. Services - Unités Froid'!F5</f>
        <v>150000</v>
      </c>
      <c r="D28" s="40">
        <f>'3.7. Services - Unités Froid'!G5</f>
        <v>0</v>
      </c>
      <c r="E28" s="40">
        <f>'3.7. Services - Unités Froid'!H5</f>
        <v>150000</v>
      </c>
      <c r="F28" s="40"/>
      <c r="G28" s="123"/>
      <c r="H28" s="206"/>
      <c r="I28" s="208"/>
      <c r="J28" s="211"/>
      <c r="K28" s="211"/>
    </row>
    <row r="29" spans="2:11" x14ac:dyDescent="0.25">
      <c r="B29" s="4" t="str">
        <f>'3.8. Analyse Risques'!B2</f>
        <v>3.8. : Personnel de la cellule d’analyse de risques de la Santé Animale formé</v>
      </c>
      <c r="C29" s="40">
        <f>'3.8. Analyse Risques'!F5</f>
        <v>305000</v>
      </c>
      <c r="D29" s="40">
        <f>'3.8. Analyse Risques'!G5</f>
        <v>275000</v>
      </c>
      <c r="E29" s="40">
        <f>'3.8. Analyse Risques'!H5</f>
        <v>30000</v>
      </c>
      <c r="F29" s="40">
        <f>'3.8. Analyse Risques'!I5</f>
        <v>104000</v>
      </c>
      <c r="G29" s="123">
        <f t="shared" si="0"/>
        <v>0</v>
      </c>
      <c r="H29" s="206"/>
      <c r="I29" s="208"/>
      <c r="J29" s="211"/>
      <c r="K29" s="211"/>
    </row>
    <row r="30" spans="2:11" ht="32.25" customHeight="1" x14ac:dyDescent="0.25">
      <c r="B30" s="4" t="str">
        <f>'3.9. Système Acrréditation'!B2</f>
        <v>3.9. : Liste des professionnels et paraprofessionnels vétérinaires (i) recensés (ii) accrédités par le MARNDR (iii) membres de l'Ordre National Vétérinaire établie, actualisée annuellement, et publiée sur le site Web du MARNDR</v>
      </c>
      <c r="C30" s="40">
        <f>'3.9. Système Acrréditation'!F5</f>
        <v>165000</v>
      </c>
      <c r="D30" s="40">
        <f>'3.9. Système Acrréditation'!G5</f>
        <v>150000</v>
      </c>
      <c r="E30" s="40">
        <f>'3.9. Système Acrréditation'!H5</f>
        <v>15000</v>
      </c>
      <c r="F30" s="40" t="e">
        <f>'3.9. Système Acrréditation'!I5</f>
        <v>#REF!</v>
      </c>
      <c r="G30" s="123">
        <f t="shared" si="0"/>
        <v>0</v>
      </c>
      <c r="H30" s="206"/>
      <c r="I30" s="208"/>
      <c r="J30" s="211"/>
      <c r="K30" s="211"/>
    </row>
    <row r="31" spans="2:11" x14ac:dyDescent="0.25">
      <c r="B31" s="175" t="s">
        <v>34</v>
      </c>
      <c r="C31" s="40"/>
      <c r="D31" s="40"/>
      <c r="E31" s="40"/>
      <c r="F31" s="40"/>
      <c r="G31" s="123">
        <f t="shared" si="0"/>
        <v>0</v>
      </c>
      <c r="H31" s="205">
        <f>SUM(C32:C35)</f>
        <v>2678500</v>
      </c>
      <c r="I31" s="208">
        <f>H31/C39*100</f>
        <v>16.740625000000001</v>
      </c>
      <c r="J31" s="216">
        <f>SUM(D32:D35)</f>
        <v>2558500</v>
      </c>
      <c r="K31" s="217">
        <f>J31*100/D39</f>
        <v>18.274999999999999</v>
      </c>
    </row>
    <row r="32" spans="2:11" x14ac:dyDescent="0.25">
      <c r="B32" s="4" t="str">
        <f>'4.1. Infrastructure LVCQAT'!B2</f>
        <v>4.1. : Infrastructure du LVCQAT réhabilitée/complétée</v>
      </c>
      <c r="C32" s="40">
        <f>'4.1. Infrastructure LVCQAT'!F5</f>
        <v>1512000</v>
      </c>
      <c r="D32" s="40">
        <f>'4.1. Infrastructure LVCQAT'!G5</f>
        <v>1512000</v>
      </c>
      <c r="E32" s="40">
        <f>'4.1. Infrastructure LVCQAT'!H5</f>
        <v>0</v>
      </c>
      <c r="F32" s="40">
        <f>'4.1. Infrastructure LVCQAT'!J5</f>
        <v>0</v>
      </c>
      <c r="G32" s="123">
        <f t="shared" si="0"/>
        <v>0</v>
      </c>
      <c r="H32" s="206"/>
      <c r="I32" s="208"/>
      <c r="J32" s="211"/>
      <c r="K32" s="208"/>
    </row>
    <row r="33" spans="2:11" x14ac:dyDescent="0.25">
      <c r="B33" s="4" t="str">
        <f>'4.2. LVCQAT équipé'!B2</f>
        <v>4.2. : LVCQAT équipé</v>
      </c>
      <c r="C33" s="40">
        <f>'4.2. LVCQAT équipé'!F5</f>
        <v>695000</v>
      </c>
      <c r="D33" s="40">
        <f>'4.2. LVCQAT équipé'!G5</f>
        <v>575000</v>
      </c>
      <c r="E33" s="40">
        <f>'4.2. LVCQAT équipé'!H5</f>
        <v>120000</v>
      </c>
      <c r="F33" s="40">
        <f>'4.2. LVCQAT équipé'!J5</f>
        <v>0</v>
      </c>
      <c r="G33" s="123">
        <f t="shared" si="0"/>
        <v>0</v>
      </c>
      <c r="H33" s="206"/>
      <c r="I33" s="208"/>
      <c r="J33" s="211"/>
      <c r="K33" s="208"/>
    </row>
    <row r="34" spans="2:11" x14ac:dyDescent="0.25">
      <c r="B34" s="4" t="str">
        <f>'4.3. Procédures LVCQAT'!B2</f>
        <v>4.3. : Procédures du LVCQAT établies et en vigueur</v>
      </c>
      <c r="C34" s="40">
        <f>'4.3. Procédures LVCQAT'!F5</f>
        <v>166500</v>
      </c>
      <c r="D34" s="79">
        <f>'4.3. Procédures LVCQAT'!G5</f>
        <v>166500</v>
      </c>
      <c r="E34" s="40">
        <f>'4.3. Procédures LVCQAT'!H5</f>
        <v>0</v>
      </c>
      <c r="F34" s="40">
        <f>'4.3. Procédures LVCQAT'!J5</f>
        <v>0</v>
      </c>
      <c r="G34" s="123">
        <f t="shared" si="0"/>
        <v>0</v>
      </c>
      <c r="H34" s="206"/>
      <c r="I34" s="208"/>
      <c r="J34" s="211"/>
      <c r="K34" s="208"/>
    </row>
    <row r="35" spans="2:11" x14ac:dyDescent="0.25">
      <c r="B35" s="4" t="str">
        <f>'4.4. Personnel LVCQAT formé'!B2</f>
        <v>4.4. : Personnel du LVCQAT formé</v>
      </c>
      <c r="C35" s="40">
        <f>'4.4. Personnel LVCQAT formé'!F5</f>
        <v>305000</v>
      </c>
      <c r="D35" s="40">
        <f>'4.4. Personnel LVCQAT formé'!G5</f>
        <v>305000</v>
      </c>
      <c r="E35" s="40">
        <f>'4.4. Personnel LVCQAT formé'!H5</f>
        <v>0</v>
      </c>
      <c r="F35" s="40">
        <f>'4.4. Personnel LVCQAT formé'!J5</f>
        <v>0</v>
      </c>
      <c r="G35" s="123">
        <f t="shared" si="0"/>
        <v>0</v>
      </c>
      <c r="H35" s="206"/>
      <c r="I35" s="208"/>
      <c r="J35" s="211"/>
      <c r="K35" s="208"/>
    </row>
    <row r="36" spans="2:11" x14ac:dyDescent="0.25">
      <c r="B36" s="175" t="s">
        <v>172</v>
      </c>
      <c r="C36" s="40">
        <f>'Suivi-Evaluation-Audit'!F5</f>
        <v>820000</v>
      </c>
      <c r="D36" s="79">
        <f>'Suivi-Evaluation-Audit'!G5</f>
        <v>820000</v>
      </c>
      <c r="E36" s="40">
        <f>'Suivi-Evaluation-Audit'!H5</f>
        <v>0</v>
      </c>
      <c r="F36" s="40">
        <f>'Suivi-Evaluation-Audit'!J5</f>
        <v>0</v>
      </c>
      <c r="G36" s="123">
        <f t="shared" si="0"/>
        <v>0</v>
      </c>
      <c r="H36" s="205">
        <f>C36</f>
        <v>820000</v>
      </c>
      <c r="I36" s="208">
        <f>H36/C39*100</f>
        <v>5.125</v>
      </c>
      <c r="J36" s="210">
        <f>D36</f>
        <v>820000</v>
      </c>
      <c r="K36" s="208">
        <f>J36*100/D39</f>
        <v>5.8571428571428568</v>
      </c>
    </row>
    <row r="37" spans="2:11" x14ac:dyDescent="0.25">
      <c r="B37" s="175" t="s">
        <v>173</v>
      </c>
      <c r="C37" s="40">
        <f>Administration!F5</f>
        <v>1057500</v>
      </c>
      <c r="D37" s="79">
        <f>Administration!G5</f>
        <v>982500</v>
      </c>
      <c r="E37" s="40">
        <f>Administration!H5</f>
        <v>75000</v>
      </c>
      <c r="F37" s="40">
        <f>Administration!J5</f>
        <v>0</v>
      </c>
      <c r="G37" s="123">
        <f t="shared" si="0"/>
        <v>0</v>
      </c>
      <c r="H37" s="205">
        <f>C37</f>
        <v>1057500</v>
      </c>
      <c r="I37" s="208">
        <f>H37/C39*100</f>
        <v>6.6093750000000009</v>
      </c>
      <c r="J37" s="210">
        <f>D37</f>
        <v>982500</v>
      </c>
      <c r="K37" s="208">
        <f>J37*100/D39</f>
        <v>7.0178571428571432</v>
      </c>
    </row>
    <row r="38" spans="2:11" x14ac:dyDescent="0.25">
      <c r="B38" s="175" t="s">
        <v>1123</v>
      </c>
      <c r="C38" s="189">
        <f>16000000-SUM(C6:C37)</f>
        <v>166854.54545454495</v>
      </c>
      <c r="D38" s="189">
        <f>14000000-SUM(D6:D37)</f>
        <v>118744.54545454495</v>
      </c>
      <c r="E38" s="189">
        <f>2000000-SUM(E6:E37)</f>
        <v>48110</v>
      </c>
      <c r="F38" s="40"/>
      <c r="G38" s="123"/>
      <c r="H38" s="205">
        <f>C38</f>
        <v>166854.54545454495</v>
      </c>
      <c r="I38" s="208">
        <f>H38*100/C39</f>
        <v>1.0428409090909059</v>
      </c>
      <c r="J38" s="210">
        <f>D38</f>
        <v>118744.54545454495</v>
      </c>
      <c r="K38" s="208">
        <f>J38*100/D39</f>
        <v>0.84817532467532109</v>
      </c>
    </row>
    <row r="39" spans="2:11" x14ac:dyDescent="0.25">
      <c r="B39" s="41" t="s">
        <v>28</v>
      </c>
      <c r="C39" s="42">
        <f>SUM(C6:C38)</f>
        <v>16000000</v>
      </c>
      <c r="D39" s="42">
        <f t="shared" ref="D39:E39" si="1">SUM(D6:D38)</f>
        <v>14000000</v>
      </c>
      <c r="E39" s="42">
        <f t="shared" si="1"/>
        <v>2000000</v>
      </c>
      <c r="F39" s="42" t="e">
        <f t="shared" ref="F39" si="2">SUM(F6:F37)</f>
        <v>#REF!</v>
      </c>
      <c r="G39" s="123">
        <f t="shared" si="0"/>
        <v>0</v>
      </c>
      <c r="H39" s="205">
        <f>SUM(H5:H38)</f>
        <v>16000000</v>
      </c>
      <c r="I39" s="215">
        <f t="shared" ref="I39:K39" si="3">SUM(I5:I38)</f>
        <v>100.00000000000001</v>
      </c>
      <c r="J39" s="215">
        <f t="shared" si="3"/>
        <v>14000000</v>
      </c>
      <c r="K39" s="215">
        <f t="shared" si="3"/>
        <v>99.999999999999986</v>
      </c>
    </row>
    <row r="41" spans="2:11" x14ac:dyDescent="0.25">
      <c r="B41" s="126" t="s">
        <v>936</v>
      </c>
      <c r="C41" s="127">
        <f>16000000-C39</f>
        <v>0</v>
      </c>
      <c r="D41" s="127">
        <f>14000000-D39</f>
        <v>0</v>
      </c>
      <c r="E41" s="127">
        <f>2000000-E39</f>
        <v>0</v>
      </c>
    </row>
    <row r="42" spans="2:11" ht="163.5" customHeight="1" x14ac:dyDescent="0.25">
      <c r="D42" s="214" t="s">
        <v>1167</v>
      </c>
      <c r="E42" s="214" t="s">
        <v>1128</v>
      </c>
    </row>
  </sheetData>
  <pageMargins left="0.2" right="0.2" top="0.25" bottom="0.25" header="0.3" footer="0.3"/>
  <pageSetup paperSize="5" scale="80" fitToHeight="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36"/>
  <sheetViews>
    <sheetView topLeftCell="B2" zoomScale="80" zoomScaleNormal="80" workbookViewId="0">
      <selection activeCell="B42" sqref="B42"/>
    </sheetView>
  </sheetViews>
  <sheetFormatPr defaultRowHeight="15" x14ac:dyDescent="0.25"/>
  <cols>
    <col min="1" max="1" width="3" customWidth="1"/>
    <col min="2" max="2" width="21.28515625" style="1" customWidth="1"/>
    <col min="3" max="3" width="13.85546875" style="13" customWidth="1"/>
    <col min="4" max="4" width="9.5703125" style="19" customWidth="1"/>
    <col min="5" max="5" width="9.140625" style="19" customWidth="1"/>
    <col min="6" max="6" width="14.5703125" style="19" customWidth="1"/>
    <col min="7" max="7" width="11.7109375" style="19" customWidth="1"/>
    <col min="8" max="9" width="15.42578125" style="19" customWidth="1"/>
    <col min="10" max="10" width="22" style="1" customWidth="1"/>
    <col min="11" max="11" width="39.7109375" customWidth="1"/>
    <col min="12" max="12" width="5.7109375" customWidth="1"/>
    <col min="13" max="13" width="12" bestFit="1" customWidth="1"/>
  </cols>
  <sheetData>
    <row r="2" spans="2:18" x14ac:dyDescent="0.25">
      <c r="B2" s="22" t="s">
        <v>1093</v>
      </c>
    </row>
    <row r="4" spans="2:18" ht="6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SUM(F7:F9)</f>
        <v>710390.90909090906</v>
      </c>
      <c r="G5" s="31">
        <f>SUM(G7:G11)</f>
        <v>710390.90909090906</v>
      </c>
      <c r="H5" s="31">
        <f>SUM(H7:H11)</f>
        <v>0</v>
      </c>
      <c r="I5" s="31">
        <f>SUM(I6:I11)</f>
        <v>235200</v>
      </c>
      <c r="J5" s="49"/>
      <c r="K5" s="49">
        <f>G5+H5</f>
        <v>710390.90909090906</v>
      </c>
      <c r="M5" s="230"/>
      <c r="N5" s="211"/>
      <c r="O5" s="211"/>
      <c r="P5" s="211"/>
      <c r="Q5" s="211"/>
      <c r="R5" s="211"/>
    </row>
    <row r="6" spans="2:18" ht="46.5" customHeight="1" x14ac:dyDescent="0.25">
      <c r="B6" s="91" t="s">
        <v>74</v>
      </c>
      <c r="C6" s="32" t="s">
        <v>945</v>
      </c>
      <c r="D6" s="55">
        <f>26*2</f>
        <v>52</v>
      </c>
      <c r="E6" s="55">
        <f>200*13</f>
        <v>2600</v>
      </c>
      <c r="F6" s="55">
        <f>D6*E6</f>
        <v>135200</v>
      </c>
      <c r="G6" s="34"/>
      <c r="H6" s="121"/>
      <c r="I6" s="117">
        <f>F6</f>
        <v>135200</v>
      </c>
      <c r="J6" s="50"/>
      <c r="K6" s="50" t="s">
        <v>946</v>
      </c>
      <c r="M6" s="211"/>
      <c r="N6" s="211"/>
      <c r="O6" s="211"/>
      <c r="P6" s="211"/>
      <c r="Q6" s="211"/>
      <c r="R6" s="211"/>
    </row>
    <row r="7" spans="2:18" ht="75" x14ac:dyDescent="0.25">
      <c r="B7" s="91" t="s">
        <v>13</v>
      </c>
      <c r="C7" s="32" t="s">
        <v>2</v>
      </c>
      <c r="D7" s="32">
        <f>(326+66)*500</f>
        <v>196000</v>
      </c>
      <c r="E7" s="120">
        <f>20/44</f>
        <v>0.45454545454545453</v>
      </c>
      <c r="F7" s="33">
        <f>D7*E7</f>
        <v>89090.909090909088</v>
      </c>
      <c r="G7" s="34">
        <f>F7</f>
        <v>89090.909090909088</v>
      </c>
      <c r="H7" s="34"/>
      <c r="I7" s="34"/>
      <c r="J7" s="50" t="s">
        <v>1184</v>
      </c>
      <c r="K7" s="50" t="s">
        <v>166</v>
      </c>
      <c r="M7" s="210">
        <f>G7</f>
        <v>89090.909090909088</v>
      </c>
      <c r="N7" s="211"/>
      <c r="O7" s="211"/>
      <c r="P7" s="211"/>
      <c r="Q7" s="211"/>
      <c r="R7" s="205">
        <f>SUM(M7:Q7)</f>
        <v>89090.909090909088</v>
      </c>
    </row>
    <row r="8" spans="2:18" ht="65.25" customHeight="1" x14ac:dyDescent="0.25">
      <c r="B8" s="91" t="s">
        <v>69</v>
      </c>
      <c r="C8" s="32" t="s">
        <v>73</v>
      </c>
      <c r="D8" s="33">
        <v>679</v>
      </c>
      <c r="E8" s="33">
        <v>700</v>
      </c>
      <c r="F8" s="33">
        <f>D8*E8</f>
        <v>475300</v>
      </c>
      <c r="G8" s="34">
        <f>F8</f>
        <v>475300</v>
      </c>
      <c r="H8" s="34"/>
      <c r="I8" s="34"/>
      <c r="J8" s="50" t="s">
        <v>1172</v>
      </c>
      <c r="K8" s="50" t="s">
        <v>72</v>
      </c>
      <c r="M8" s="233">
        <f>0.5*(G8/3)</f>
        <v>79216.666666666672</v>
      </c>
      <c r="N8" s="233">
        <f>M8+O8</f>
        <v>237650</v>
      </c>
      <c r="O8" s="233">
        <f>0.5*(G8/3*2)</f>
        <v>158433.33333333334</v>
      </c>
      <c r="P8" s="211"/>
      <c r="Q8" s="211"/>
      <c r="R8" s="205">
        <f t="shared" ref="R8:R9" si="0">SUM(M8:Q8)</f>
        <v>475300</v>
      </c>
    </row>
    <row r="9" spans="2:18" ht="60" x14ac:dyDescent="0.25">
      <c r="B9" s="91" t="s">
        <v>70</v>
      </c>
      <c r="C9" s="32" t="s">
        <v>1044</v>
      </c>
      <c r="D9" s="55">
        <v>1</v>
      </c>
      <c r="E9" s="55">
        <v>145000</v>
      </c>
      <c r="F9" s="55">
        <v>146000</v>
      </c>
      <c r="G9" s="117">
        <f>F9</f>
        <v>146000</v>
      </c>
      <c r="H9" s="34"/>
      <c r="I9" s="34"/>
      <c r="J9" s="50" t="s">
        <v>1173</v>
      </c>
      <c r="K9" s="118" t="s">
        <v>71</v>
      </c>
      <c r="M9" s="233">
        <f>0.5*(G9/3)</f>
        <v>24333.333333333332</v>
      </c>
      <c r="N9" s="233">
        <f>M9+O9</f>
        <v>73000</v>
      </c>
      <c r="O9" s="233">
        <f>0.5*(G9/3*2)</f>
        <v>48666.666666666664</v>
      </c>
      <c r="P9" s="211"/>
      <c r="Q9" s="211"/>
      <c r="R9" s="205">
        <f t="shared" si="0"/>
        <v>146000</v>
      </c>
    </row>
    <row r="10" spans="2:18" ht="75" x14ac:dyDescent="0.25">
      <c r="B10" s="91" t="s">
        <v>75</v>
      </c>
      <c r="C10" s="32" t="s">
        <v>19</v>
      </c>
      <c r="D10" s="55">
        <v>1</v>
      </c>
      <c r="E10" s="55">
        <v>100000</v>
      </c>
      <c r="F10" s="55">
        <v>100000</v>
      </c>
      <c r="G10" s="117"/>
      <c r="H10" s="117"/>
      <c r="I10" s="117">
        <f>F10</f>
        <v>100000</v>
      </c>
      <c r="J10" s="50"/>
      <c r="K10" s="50" t="s">
        <v>951</v>
      </c>
      <c r="M10" s="211"/>
      <c r="N10" s="211"/>
      <c r="O10" s="211"/>
      <c r="P10" s="211"/>
      <c r="Q10" s="211"/>
      <c r="R10" s="211"/>
    </row>
    <row r="11" spans="2:18" x14ac:dyDescent="0.25">
      <c r="B11" s="92" t="s">
        <v>76</v>
      </c>
      <c r="C11" s="32"/>
      <c r="D11" s="33"/>
      <c r="E11" s="33"/>
      <c r="F11" s="33"/>
      <c r="G11" s="34"/>
      <c r="H11" s="34"/>
      <c r="I11" s="34"/>
      <c r="J11" s="50"/>
      <c r="K11" s="50"/>
    </row>
    <row r="14" spans="2:18" x14ac:dyDescent="0.25">
      <c r="B14" s="146"/>
      <c r="C14" s="147"/>
      <c r="D14" s="148"/>
      <c r="E14" s="149"/>
      <c r="F14" s="149"/>
      <c r="G14" s="149"/>
      <c r="H14" s="149"/>
      <c r="I14" s="149"/>
      <c r="J14" s="150"/>
      <c r="K14" s="151"/>
      <c r="L14" s="151"/>
      <c r="M14" s="151"/>
      <c r="N14" s="151"/>
      <c r="O14" s="151"/>
    </row>
    <row r="15" spans="2:18" x14ac:dyDescent="0.25">
      <c r="B15" s="146"/>
      <c r="C15" s="147"/>
      <c r="D15" s="148"/>
      <c r="E15" s="149"/>
      <c r="F15" s="149"/>
      <c r="G15" s="149"/>
      <c r="H15" s="149"/>
      <c r="I15" s="149"/>
      <c r="J15" s="150"/>
      <c r="K15" s="151"/>
      <c r="L15" s="151"/>
      <c r="M15" s="151"/>
      <c r="N15" s="151"/>
      <c r="O15" s="151"/>
    </row>
    <row r="16" spans="2:18" x14ac:dyDescent="0.25">
      <c r="B16" s="146"/>
      <c r="C16" s="147"/>
      <c r="D16" s="148"/>
      <c r="E16" s="149"/>
      <c r="F16" s="149"/>
      <c r="G16" s="149"/>
      <c r="H16" s="149"/>
      <c r="I16" s="149"/>
      <c r="J16" s="150"/>
      <c r="K16" s="151"/>
      <c r="L16" s="151"/>
      <c r="M16" s="151"/>
      <c r="N16" s="151"/>
      <c r="O16" s="151"/>
    </row>
    <row r="17" spans="1:15" x14ac:dyDescent="0.25">
      <c r="A17" s="146"/>
      <c r="B17" s="146"/>
      <c r="C17" s="146"/>
      <c r="D17" s="146"/>
      <c r="E17" s="146"/>
      <c r="F17" s="146"/>
      <c r="G17" s="146"/>
      <c r="H17" s="146"/>
      <c r="I17" s="146"/>
      <c r="J17" s="150"/>
      <c r="K17" s="151"/>
      <c r="L17" s="151"/>
      <c r="M17" s="151"/>
      <c r="N17" s="151"/>
      <c r="O17" s="151"/>
    </row>
    <row r="18" spans="1:15" x14ac:dyDescent="0.25">
      <c r="A18" s="146"/>
      <c r="B18" s="146"/>
      <c r="C18" s="146"/>
      <c r="D18" s="146"/>
      <c r="E18" s="146"/>
      <c r="F18" s="146"/>
      <c r="G18" s="146"/>
      <c r="H18" s="146"/>
      <c r="I18" s="146"/>
      <c r="J18" s="150"/>
      <c r="K18" s="151"/>
      <c r="L18" s="151"/>
      <c r="M18" s="151"/>
      <c r="N18" s="151"/>
      <c r="O18" s="151"/>
    </row>
    <row r="19" spans="1:15" x14ac:dyDescent="0.25">
      <c r="A19" s="146"/>
      <c r="B19" s="146"/>
      <c r="C19" s="146"/>
      <c r="D19" s="146"/>
      <c r="E19" s="146"/>
      <c r="F19" s="146"/>
      <c r="G19" s="146"/>
      <c r="H19" s="146"/>
      <c r="I19" s="146"/>
      <c r="J19" s="150"/>
      <c r="K19" s="151"/>
      <c r="L19" s="151"/>
      <c r="M19" s="151"/>
      <c r="N19" s="151"/>
      <c r="O19" s="151"/>
    </row>
    <row r="20" spans="1:15" x14ac:dyDescent="0.25">
      <c r="A20" s="146"/>
      <c r="B20" s="146"/>
      <c r="C20" s="146"/>
      <c r="D20" s="146"/>
      <c r="E20" s="146"/>
      <c r="F20" s="146"/>
      <c r="G20" s="146"/>
      <c r="H20" s="146"/>
      <c r="I20" s="146"/>
      <c r="J20" s="150"/>
      <c r="K20" s="151"/>
      <c r="L20" s="151"/>
      <c r="M20" s="151"/>
      <c r="N20" s="151"/>
      <c r="O20" s="151"/>
    </row>
    <row r="21" spans="1:15" x14ac:dyDescent="0.25">
      <c r="A21" s="146"/>
      <c r="B21" s="146"/>
      <c r="C21" s="146"/>
      <c r="D21" s="146"/>
      <c r="E21" s="146"/>
      <c r="F21" s="146"/>
      <c r="G21" s="146"/>
      <c r="H21" s="146"/>
      <c r="I21" s="146"/>
      <c r="J21" s="150"/>
      <c r="K21" s="151"/>
      <c r="L21" s="151"/>
      <c r="M21" s="151"/>
      <c r="N21" s="151"/>
      <c r="O21" s="151"/>
    </row>
    <row r="22" spans="1:15" x14ac:dyDescent="0.25">
      <c r="A22" s="146"/>
      <c r="B22" s="146"/>
      <c r="C22" s="146"/>
      <c r="D22" s="146"/>
      <c r="E22" s="146"/>
      <c r="F22" s="146"/>
      <c r="G22" s="146"/>
      <c r="H22" s="146"/>
      <c r="I22" s="146"/>
      <c r="J22" s="150"/>
      <c r="K22" s="151"/>
      <c r="L22" s="151"/>
      <c r="M22" s="151"/>
      <c r="N22" s="151"/>
      <c r="O22" s="151"/>
    </row>
    <row r="23" spans="1:15" x14ac:dyDescent="0.25">
      <c r="A23" s="146"/>
      <c r="B23" s="146"/>
      <c r="C23" s="146"/>
      <c r="D23" s="146"/>
      <c r="E23" s="146"/>
      <c r="F23" s="146"/>
      <c r="G23" s="146"/>
      <c r="H23" s="146"/>
      <c r="I23" s="146"/>
      <c r="J23" s="150"/>
      <c r="K23" s="151"/>
      <c r="L23" s="151"/>
      <c r="M23" s="151"/>
      <c r="N23" s="151"/>
      <c r="O23" s="151"/>
    </row>
    <row r="24" spans="1:15" s="144" customFormat="1" x14ac:dyDescent="0.25">
      <c r="A24" s="146"/>
      <c r="B24" s="146"/>
      <c r="C24" s="146"/>
      <c r="D24" s="146"/>
      <c r="E24" s="146"/>
      <c r="F24" s="146"/>
      <c r="G24" s="146"/>
      <c r="H24" s="146"/>
      <c r="I24" s="146"/>
      <c r="J24" s="150"/>
      <c r="K24" s="151"/>
      <c r="L24" s="151"/>
      <c r="M24" s="151"/>
      <c r="N24" s="151"/>
      <c r="O24" s="151"/>
    </row>
    <row r="25" spans="1:15" x14ac:dyDescent="0.25">
      <c r="A25" s="146"/>
      <c r="B25" s="146"/>
      <c r="C25" s="146"/>
      <c r="D25" s="146"/>
      <c r="E25" s="146"/>
      <c r="F25" s="146"/>
      <c r="G25" s="146"/>
      <c r="H25" s="146"/>
      <c r="I25" s="146"/>
      <c r="J25" s="150"/>
      <c r="K25" s="151"/>
      <c r="L25" s="151"/>
      <c r="M25" s="151"/>
      <c r="N25" s="151"/>
      <c r="O25" s="151"/>
    </row>
    <row r="26" spans="1:15" x14ac:dyDescent="0.25">
      <c r="A26" s="146"/>
      <c r="B26" s="146"/>
      <c r="C26" s="146"/>
      <c r="D26" s="146"/>
      <c r="E26" s="146"/>
      <c r="F26" s="146"/>
      <c r="G26" s="146"/>
      <c r="H26" s="146"/>
      <c r="I26" s="146"/>
      <c r="J26" s="141"/>
      <c r="K26" s="152"/>
      <c r="L26" s="141"/>
      <c r="M26" s="151"/>
      <c r="N26" s="151"/>
      <c r="O26" s="151"/>
    </row>
    <row r="27" spans="1:15" x14ac:dyDescent="0.25">
      <c r="A27" s="146"/>
      <c r="B27" s="146"/>
      <c r="C27" s="146"/>
      <c r="D27" s="146"/>
      <c r="E27" s="146"/>
      <c r="F27" s="146"/>
      <c r="G27" s="146"/>
      <c r="H27" s="146"/>
      <c r="I27" s="146"/>
      <c r="J27" s="141"/>
      <c r="K27" s="150"/>
      <c r="L27" s="141"/>
      <c r="M27" s="151"/>
      <c r="N27" s="151"/>
      <c r="O27" s="151"/>
    </row>
    <row r="28" spans="1:15" x14ac:dyDescent="0.25">
      <c r="A28" s="146"/>
      <c r="B28" s="146"/>
      <c r="C28" s="146"/>
      <c r="D28" s="146"/>
      <c r="E28" s="146"/>
      <c r="F28" s="146"/>
      <c r="G28" s="146"/>
      <c r="H28" s="146"/>
      <c r="I28" s="146"/>
      <c r="J28" s="141"/>
      <c r="K28" s="150"/>
      <c r="L28" s="141"/>
      <c r="M28" s="151"/>
      <c r="N28" s="151"/>
      <c r="O28" s="151"/>
    </row>
    <row r="29" spans="1:15" x14ac:dyDescent="0.25">
      <c r="A29" s="146"/>
      <c r="B29" s="146"/>
      <c r="C29" s="146"/>
      <c r="D29" s="146"/>
      <c r="E29" s="146"/>
      <c r="F29" s="146"/>
      <c r="G29" s="146"/>
      <c r="H29" s="146"/>
      <c r="I29" s="146"/>
      <c r="J29" s="141"/>
      <c r="K29" s="153"/>
      <c r="L29" s="141"/>
      <c r="M29" s="151"/>
      <c r="N29" s="151"/>
      <c r="O29" s="151"/>
    </row>
    <row r="30" spans="1:15" x14ac:dyDescent="0.25">
      <c r="A30" s="146"/>
      <c r="B30" s="146"/>
      <c r="C30" s="146"/>
      <c r="D30" s="146"/>
      <c r="E30" s="146"/>
      <c r="F30" s="146"/>
      <c r="G30" s="146"/>
      <c r="H30" s="146"/>
      <c r="I30" s="146"/>
      <c r="J30" s="141"/>
      <c r="K30" s="150"/>
      <c r="L30" s="141"/>
      <c r="M30" s="151"/>
      <c r="N30" s="151"/>
      <c r="O30" s="151"/>
    </row>
    <row r="31" spans="1:15" x14ac:dyDescent="0.25">
      <c r="A31" s="146"/>
      <c r="B31" s="146"/>
      <c r="C31" s="146"/>
      <c r="D31" s="146"/>
      <c r="E31" s="146"/>
      <c r="F31" s="146"/>
      <c r="G31" s="146"/>
      <c r="H31" s="146"/>
      <c r="I31" s="146"/>
      <c r="J31" s="141"/>
      <c r="K31" s="150"/>
      <c r="L31" s="141"/>
      <c r="M31" s="151"/>
      <c r="N31" s="151"/>
      <c r="O31" s="151"/>
    </row>
    <row r="32" spans="1:15" x14ac:dyDescent="0.25">
      <c r="A32" s="146"/>
      <c r="B32" s="146"/>
      <c r="C32" s="146"/>
      <c r="D32" s="146"/>
      <c r="E32" s="146"/>
      <c r="F32" s="146"/>
      <c r="G32" s="146"/>
      <c r="H32" s="146"/>
      <c r="I32" s="146"/>
      <c r="J32" s="154"/>
      <c r="K32" s="150"/>
      <c r="L32" s="154"/>
      <c r="M32" s="151"/>
      <c r="N32" s="151"/>
      <c r="O32" s="151"/>
    </row>
    <row r="33" spans="1:15" x14ac:dyDescent="0.25">
      <c r="A33" s="146"/>
      <c r="B33" s="146"/>
      <c r="C33" s="146"/>
      <c r="D33" s="146"/>
      <c r="E33" s="146"/>
      <c r="F33" s="146"/>
      <c r="G33" s="146"/>
      <c r="H33" s="146"/>
      <c r="I33" s="146"/>
      <c r="J33" s="150"/>
      <c r="K33" s="151"/>
      <c r="L33" s="151"/>
      <c r="M33" s="151"/>
      <c r="N33" s="151"/>
      <c r="O33" s="151"/>
    </row>
    <row r="34" spans="1:15" x14ac:dyDescent="0.25">
      <c r="A34" s="146"/>
      <c r="B34" s="146"/>
      <c r="C34" s="146"/>
      <c r="D34" s="146"/>
      <c r="E34" s="146"/>
      <c r="F34" s="146"/>
      <c r="G34" s="146"/>
      <c r="H34" s="146"/>
      <c r="I34" s="146"/>
      <c r="J34" s="150"/>
      <c r="K34" s="151"/>
      <c r="L34" s="151"/>
      <c r="M34" s="151"/>
      <c r="N34" s="151"/>
      <c r="O34" s="151"/>
    </row>
    <row r="35" spans="1:15" x14ac:dyDescent="0.25">
      <c r="A35" s="146"/>
      <c r="B35" s="146"/>
      <c r="C35" s="146"/>
      <c r="D35" s="146"/>
      <c r="E35" s="146"/>
      <c r="F35" s="146"/>
      <c r="G35" s="146"/>
      <c r="H35" s="146"/>
      <c r="I35" s="146"/>
      <c r="J35" s="150"/>
      <c r="K35" s="151"/>
      <c r="L35" s="151"/>
      <c r="M35" s="151"/>
      <c r="N35" s="151"/>
      <c r="O35" s="151"/>
    </row>
    <row r="36" spans="1:15" x14ac:dyDescent="0.25">
      <c r="A36" s="146"/>
      <c r="B36" s="146"/>
      <c r="C36" s="146"/>
      <c r="D36" s="146"/>
      <c r="E36" s="146"/>
      <c r="F36" s="146"/>
      <c r="G36" s="146"/>
      <c r="H36" s="146"/>
      <c r="I36" s="146"/>
      <c r="J36" s="150"/>
      <c r="K36" s="151"/>
      <c r="L36" s="151"/>
      <c r="M36" s="151"/>
      <c r="N36" s="151"/>
      <c r="O36" s="151"/>
    </row>
  </sheetData>
  <pageMargins left="0.2" right="0.2" top="0.25" bottom="0.25" header="0.3" footer="0.3"/>
  <pageSetup paperSize="5" scale="72"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39"/>
  <sheetViews>
    <sheetView topLeftCell="A15" workbookViewId="0">
      <selection activeCell="B42" sqref="B42"/>
    </sheetView>
  </sheetViews>
  <sheetFormatPr defaultRowHeight="15" x14ac:dyDescent="0.25"/>
  <cols>
    <col min="1" max="1" width="3" customWidth="1"/>
    <col min="2" max="2" width="60.42578125" style="138" customWidth="1"/>
    <col min="3" max="3" width="13.85546875" style="159" customWidth="1"/>
    <col min="4" max="4" width="35.42578125" style="160" customWidth="1"/>
    <col min="5" max="5" width="9.140625" style="19" customWidth="1"/>
    <col min="6" max="6" width="14.5703125" style="19" customWidth="1"/>
    <col min="7" max="7" width="11.7109375" style="19" customWidth="1"/>
    <col min="8" max="9" width="15.42578125" style="19" customWidth="1"/>
    <col min="10" max="10" width="22" style="1" customWidth="1"/>
    <col min="11" max="11" width="39.7109375" customWidth="1"/>
    <col min="12" max="12" width="18.7109375" customWidth="1"/>
    <col min="13" max="13" width="12" bestFit="1" customWidth="1"/>
  </cols>
  <sheetData>
    <row r="2" spans="1:10" x14ac:dyDescent="0.25">
      <c r="B2" s="158" t="s">
        <v>1094</v>
      </c>
    </row>
    <row r="3" spans="1:10" x14ac:dyDescent="0.25">
      <c r="B3" s="158"/>
    </row>
    <row r="4" spans="1:10" s="151" customFormat="1" x14ac:dyDescent="0.25">
      <c r="B4" s="161" t="s">
        <v>1004</v>
      </c>
      <c r="C4" s="162">
        <f>326+66</f>
        <v>392</v>
      </c>
      <c r="D4" s="163"/>
      <c r="E4" s="149"/>
      <c r="F4" s="149"/>
      <c r="G4" s="149"/>
      <c r="H4" s="149"/>
      <c r="I4" s="149"/>
      <c r="J4" s="150"/>
    </row>
    <row r="5" spans="1:10" s="151" customFormat="1" x14ac:dyDescent="0.25">
      <c r="A5" s="150"/>
      <c r="B5" s="161" t="s">
        <v>1005</v>
      </c>
      <c r="C5" s="162">
        <v>500</v>
      </c>
      <c r="D5" s="163"/>
      <c r="E5" s="149"/>
      <c r="F5" s="149"/>
      <c r="G5" s="149"/>
      <c r="H5" s="149"/>
      <c r="I5" s="149"/>
      <c r="J5" s="150"/>
    </row>
    <row r="6" spans="1:10" s="151" customFormat="1" x14ac:dyDescent="0.25">
      <c r="A6" s="150"/>
      <c r="B6" s="161" t="s">
        <v>1009</v>
      </c>
      <c r="C6" s="162">
        <f>C4*C5</f>
        <v>196000</v>
      </c>
      <c r="D6" s="163"/>
      <c r="E6" s="149"/>
      <c r="F6" s="149"/>
      <c r="G6" s="149"/>
      <c r="H6" s="149"/>
      <c r="I6" s="149"/>
      <c r="J6" s="150"/>
    </row>
    <row r="7" spans="1:10" s="151" customFormat="1" ht="30" x14ac:dyDescent="0.25">
      <c r="A7" s="150"/>
      <c r="B7" s="156" t="s">
        <v>1025</v>
      </c>
      <c r="C7" s="164">
        <f>C6/2</f>
        <v>98000</v>
      </c>
      <c r="D7" s="163"/>
      <c r="E7" s="149"/>
      <c r="F7" s="149"/>
      <c r="G7" s="149"/>
      <c r="H7" s="149"/>
      <c r="I7" s="149"/>
      <c r="J7" s="150"/>
    </row>
    <row r="8" spans="1:10" s="151" customFormat="1" x14ac:dyDescent="0.25">
      <c r="B8" s="156" t="s">
        <v>1026</v>
      </c>
      <c r="C8" s="164">
        <f>C6</f>
        <v>196000</v>
      </c>
      <c r="D8" s="163"/>
      <c r="E8" s="149"/>
      <c r="F8" s="149"/>
      <c r="G8" s="149"/>
      <c r="H8" s="149"/>
      <c r="I8" s="149"/>
      <c r="J8" s="150"/>
    </row>
    <row r="9" spans="1:10" ht="31.5" customHeight="1" x14ac:dyDescent="0.25">
      <c r="B9" s="161" t="s">
        <v>1027</v>
      </c>
      <c r="C9" s="162">
        <f>C7+C8</f>
        <v>294000</v>
      </c>
      <c r="D9" s="165"/>
    </row>
    <row r="10" spans="1:10" x14ac:dyDescent="0.25">
      <c r="B10" s="153"/>
      <c r="C10" s="166"/>
      <c r="D10" s="165"/>
    </row>
    <row r="11" spans="1:10" x14ac:dyDescent="0.25">
      <c r="B11" s="153"/>
      <c r="C11" s="167"/>
      <c r="D11" s="165"/>
    </row>
    <row r="12" spans="1:10" x14ac:dyDescent="0.25">
      <c r="B12" s="168" t="s">
        <v>1003</v>
      </c>
      <c r="C12" s="169"/>
      <c r="D12" s="170"/>
      <c r="E12" s="142"/>
      <c r="F12" s="142"/>
      <c r="G12" s="142"/>
    </row>
    <row r="13" spans="1:10" x14ac:dyDescent="0.25">
      <c r="D13" s="165"/>
    </row>
    <row r="14" spans="1:10" x14ac:dyDescent="0.25">
      <c r="B14" s="156" t="s">
        <v>1028</v>
      </c>
      <c r="C14" s="171">
        <v>20</v>
      </c>
      <c r="D14" s="165"/>
    </row>
    <row r="15" spans="1:10" x14ac:dyDescent="0.25">
      <c r="B15" s="156" t="s">
        <v>1029</v>
      </c>
      <c r="C15" s="171">
        <f>C9*C14/100</f>
        <v>58800</v>
      </c>
      <c r="D15" s="165"/>
    </row>
    <row r="16" spans="1:10" x14ac:dyDescent="0.25">
      <c r="B16" s="156" t="s">
        <v>1030</v>
      </c>
      <c r="C16" s="171">
        <v>2</v>
      </c>
      <c r="D16" s="165"/>
    </row>
    <row r="17" spans="2:4" ht="30" x14ac:dyDescent="0.25">
      <c r="B17" s="156" t="s">
        <v>1031</v>
      </c>
      <c r="C17" s="171">
        <v>26</v>
      </c>
      <c r="D17" s="165"/>
    </row>
    <row r="18" spans="2:4" x14ac:dyDescent="0.25">
      <c r="B18" s="156" t="s">
        <v>1032</v>
      </c>
      <c r="C18" s="171">
        <f>C15*C16*C17</f>
        <v>3057600</v>
      </c>
      <c r="D18" s="165"/>
    </row>
    <row r="19" spans="2:4" x14ac:dyDescent="0.25">
      <c r="B19" s="156" t="s">
        <v>1033</v>
      </c>
      <c r="C19" s="171">
        <v>5</v>
      </c>
      <c r="D19" s="165"/>
    </row>
    <row r="20" spans="2:4" x14ac:dyDescent="0.25">
      <c r="B20" s="155" t="s">
        <v>1034</v>
      </c>
      <c r="C20" s="171">
        <v>22500</v>
      </c>
      <c r="D20" s="165"/>
    </row>
    <row r="21" spans="2:4" x14ac:dyDescent="0.25">
      <c r="B21" s="155" t="s">
        <v>1035</v>
      </c>
      <c r="C21" s="171">
        <f>C20/C19</f>
        <v>4500</v>
      </c>
      <c r="D21" s="165"/>
    </row>
    <row r="22" spans="2:4" x14ac:dyDescent="0.25">
      <c r="B22" s="155" t="s">
        <v>1036</v>
      </c>
      <c r="C22" s="172">
        <f>C18/C21</f>
        <v>679.4666666666667</v>
      </c>
      <c r="D22" s="165"/>
    </row>
    <row r="23" spans="2:4" x14ac:dyDescent="0.25">
      <c r="B23" s="156" t="s">
        <v>1037</v>
      </c>
      <c r="C23" s="171">
        <v>700</v>
      </c>
    </row>
    <row r="24" spans="2:4" x14ac:dyDescent="0.25">
      <c r="B24" s="173" t="s">
        <v>1038</v>
      </c>
      <c r="C24" s="174">
        <f>C22*C23</f>
        <v>475626.66666666669</v>
      </c>
    </row>
    <row r="25" spans="2:4" x14ac:dyDescent="0.25">
      <c r="B25" s="93"/>
      <c r="C25" s="173"/>
      <c r="D25" s="174"/>
    </row>
    <row r="27" spans="2:4" x14ac:dyDescent="0.25">
      <c r="B27" s="168" t="s">
        <v>1039</v>
      </c>
      <c r="C27" s="169"/>
    </row>
    <row r="29" spans="2:4" x14ac:dyDescent="0.25">
      <c r="B29" s="156" t="s">
        <v>1040</v>
      </c>
      <c r="C29" s="171">
        <v>80</v>
      </c>
    </row>
    <row r="30" spans="2:4" x14ac:dyDescent="0.25">
      <c r="B30" s="156" t="s">
        <v>1086</v>
      </c>
      <c r="C30" s="171">
        <f>C9*C29/100</f>
        <v>235200</v>
      </c>
    </row>
    <row r="31" spans="2:4" x14ac:dyDescent="0.25">
      <c r="B31" s="156" t="s">
        <v>1087</v>
      </c>
      <c r="C31" s="171">
        <v>15</v>
      </c>
    </row>
    <row r="32" spans="2:4" x14ac:dyDescent="0.25">
      <c r="B32" s="156" t="s">
        <v>1006</v>
      </c>
      <c r="C32" s="164">
        <f>52/2</f>
        <v>26</v>
      </c>
    </row>
    <row r="33" spans="2:5" x14ac:dyDescent="0.25">
      <c r="B33" s="156" t="s">
        <v>1041</v>
      </c>
      <c r="C33" s="164">
        <f>C30*C31*C32</f>
        <v>91728000</v>
      </c>
      <c r="E33" s="136"/>
    </row>
    <row r="34" spans="2:5" x14ac:dyDescent="0.25">
      <c r="B34" s="156" t="s">
        <v>1007</v>
      </c>
      <c r="C34" s="164">
        <v>3785</v>
      </c>
      <c r="D34" s="138"/>
      <c r="E34" s="136"/>
    </row>
    <row r="35" spans="2:5" x14ac:dyDescent="0.25">
      <c r="B35" s="156" t="s">
        <v>1042</v>
      </c>
      <c r="C35" s="164">
        <f>C33/C34</f>
        <v>24234.610303830912</v>
      </c>
      <c r="D35" s="138"/>
      <c r="E35" s="136"/>
    </row>
    <row r="36" spans="2:5" x14ac:dyDescent="0.25">
      <c r="B36" s="156" t="s">
        <v>1043</v>
      </c>
      <c r="C36" s="164">
        <v>6</v>
      </c>
      <c r="D36" s="138"/>
      <c r="E36" s="136"/>
    </row>
    <row r="37" spans="2:5" x14ac:dyDescent="0.25">
      <c r="B37" s="175" t="s">
        <v>1016</v>
      </c>
      <c r="C37" s="176">
        <f>C35*C36</f>
        <v>145407.66182298548</v>
      </c>
      <c r="D37" s="138"/>
      <c r="E37" s="136"/>
    </row>
    <row r="38" spans="2:5" x14ac:dyDescent="0.25">
      <c r="D38" s="138"/>
      <c r="E38" s="136"/>
    </row>
    <row r="39" spans="2:5" x14ac:dyDescent="0.25">
      <c r="D39" s="138"/>
      <c r="E39" s="140"/>
    </row>
  </sheetData>
  <pageMargins left="0.2" right="0.2" top="0.25" bottom="0.25" header="0.3" footer="0.3"/>
  <pageSetup paperSize="5"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6"/>
  <sheetViews>
    <sheetView topLeftCell="A4" zoomScale="70" zoomScaleNormal="70" workbookViewId="0">
      <selection activeCell="B42" sqref="B42"/>
    </sheetView>
  </sheetViews>
  <sheetFormatPr defaultRowHeight="15" x14ac:dyDescent="0.25"/>
  <cols>
    <col min="1" max="1" width="3" customWidth="1"/>
    <col min="2" max="2" width="21.28515625" style="1" customWidth="1"/>
    <col min="3" max="3" width="15.4257812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54.140625" customWidth="1"/>
  </cols>
  <sheetData>
    <row r="2" spans="2:18" x14ac:dyDescent="0.25">
      <c r="B2" s="22" t="s">
        <v>1095</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SUM(F6:F20)</f>
        <v>558704.54545454541</v>
      </c>
      <c r="G5" s="31">
        <f>SUM(G6:G20)</f>
        <v>558704.54545454541</v>
      </c>
      <c r="H5" s="31">
        <f>SUM(H6:H20)</f>
        <v>0</v>
      </c>
      <c r="I5" s="31"/>
      <c r="J5" s="49"/>
      <c r="K5" s="49">
        <f>G5+H5</f>
        <v>558704.54545454541</v>
      </c>
      <c r="M5" s="230"/>
      <c r="N5" s="211"/>
      <c r="O5" s="211"/>
      <c r="P5" s="211"/>
      <c r="Q5" s="211"/>
      <c r="R5" s="211"/>
    </row>
    <row r="6" spans="2:18" ht="75" x14ac:dyDescent="0.25">
      <c r="B6" s="91" t="s">
        <v>1147</v>
      </c>
      <c r="C6" s="32" t="s">
        <v>2</v>
      </c>
      <c r="D6" s="85">
        <f>291*750</f>
        <v>218250</v>
      </c>
      <c r="E6" s="131">
        <f>20/44</f>
        <v>0.45454545454545453</v>
      </c>
      <c r="F6" s="33">
        <f>D6*E6</f>
        <v>99204.545454545456</v>
      </c>
      <c r="G6" s="34">
        <f>F6</f>
        <v>99204.545454545456</v>
      </c>
      <c r="H6" s="34"/>
      <c r="I6" s="34"/>
      <c r="J6" s="50" t="s">
        <v>1184</v>
      </c>
      <c r="K6" s="118" t="s">
        <v>948</v>
      </c>
      <c r="M6" s="211">
        <f>G6/2</f>
        <v>49602.272727272728</v>
      </c>
      <c r="N6" s="211">
        <f>G6/2</f>
        <v>49602.272727272728</v>
      </c>
      <c r="O6" s="211"/>
      <c r="P6" s="211"/>
      <c r="Q6" s="211"/>
      <c r="R6" s="206">
        <f>SUM(M6:Q6)</f>
        <v>99204.545454545456</v>
      </c>
    </row>
    <row r="7" spans="2:18" ht="60" x14ac:dyDescent="0.25">
      <c r="B7" s="91" t="s">
        <v>1148</v>
      </c>
      <c r="C7" s="32" t="s">
        <v>2</v>
      </c>
      <c r="D7" s="85">
        <f>(108+183)*4</f>
        <v>1164</v>
      </c>
      <c r="E7" s="131">
        <v>50</v>
      </c>
      <c r="F7" s="33">
        <f>D7*E7</f>
        <v>58200</v>
      </c>
      <c r="G7" s="34">
        <f>F7</f>
        <v>58200</v>
      </c>
      <c r="H7" s="34"/>
      <c r="I7" s="34"/>
      <c r="J7" s="50" t="s">
        <v>1185</v>
      </c>
      <c r="K7" s="118" t="s">
        <v>1149</v>
      </c>
      <c r="M7" s="210">
        <f>G7</f>
        <v>58200</v>
      </c>
      <c r="N7" s="211"/>
      <c r="O7" s="211"/>
      <c r="P7" s="211"/>
      <c r="Q7" s="211"/>
      <c r="R7" s="206">
        <f t="shared" ref="R7:R19" si="0">SUM(M7:Q7)</f>
        <v>58200</v>
      </c>
    </row>
    <row r="8" spans="2:18" ht="51.75" customHeight="1" x14ac:dyDescent="0.25">
      <c r="B8" s="90" t="s">
        <v>70</v>
      </c>
      <c r="C8" s="55" t="s">
        <v>1044</v>
      </c>
      <c r="D8" s="55">
        <v>1</v>
      </c>
      <c r="E8" s="55">
        <v>135000</v>
      </c>
      <c r="F8" s="55">
        <f t="shared" ref="F8:F19" si="1">D8*E8</f>
        <v>135000</v>
      </c>
      <c r="G8" s="117">
        <f t="shared" ref="G8:G19" si="2">F8</f>
        <v>135000</v>
      </c>
      <c r="H8" s="34"/>
      <c r="I8" s="34"/>
      <c r="J8" s="50" t="s">
        <v>1173</v>
      </c>
      <c r="K8" s="118" t="s">
        <v>949</v>
      </c>
      <c r="M8" s="211"/>
      <c r="N8" s="211">
        <f>G8/3</f>
        <v>45000</v>
      </c>
      <c r="O8" s="211">
        <f>G8*2/3</f>
        <v>90000</v>
      </c>
      <c r="P8" s="211"/>
      <c r="Q8" s="211"/>
      <c r="R8" s="206">
        <f t="shared" si="0"/>
        <v>135000</v>
      </c>
    </row>
    <row r="9" spans="2:18" ht="45" x14ac:dyDescent="0.25">
      <c r="B9" s="90" t="s">
        <v>269</v>
      </c>
      <c r="C9" s="55" t="s">
        <v>1044</v>
      </c>
      <c r="D9" s="55">
        <v>1</v>
      </c>
      <c r="E9" s="55">
        <v>40000</v>
      </c>
      <c r="F9" s="55">
        <f t="shared" si="1"/>
        <v>40000</v>
      </c>
      <c r="G9" s="117">
        <f t="shared" si="2"/>
        <v>40000</v>
      </c>
      <c r="H9" s="34"/>
      <c r="I9" s="34"/>
      <c r="J9" s="50" t="s">
        <v>1186</v>
      </c>
      <c r="K9" s="118" t="s">
        <v>949</v>
      </c>
      <c r="M9" s="211"/>
      <c r="N9" s="211">
        <f>G9/3</f>
        <v>13333.333333333334</v>
      </c>
      <c r="O9" s="211">
        <f>G9*2/3</f>
        <v>26666.666666666668</v>
      </c>
      <c r="P9" s="211"/>
      <c r="Q9" s="211"/>
      <c r="R9" s="206">
        <f t="shared" si="0"/>
        <v>40000</v>
      </c>
    </row>
    <row r="10" spans="2:18" ht="45" x14ac:dyDescent="0.25">
      <c r="B10" s="90" t="s">
        <v>1088</v>
      </c>
      <c r="C10" s="55" t="s">
        <v>1044</v>
      </c>
      <c r="D10" s="55">
        <v>1</v>
      </c>
      <c r="E10" s="55">
        <v>68000</v>
      </c>
      <c r="F10" s="55">
        <f t="shared" si="1"/>
        <v>68000</v>
      </c>
      <c r="G10" s="117">
        <f>F10</f>
        <v>68000</v>
      </c>
      <c r="H10" s="34"/>
      <c r="I10" s="34"/>
      <c r="J10" s="50" t="s">
        <v>1177</v>
      </c>
      <c r="K10" s="118" t="s">
        <v>950</v>
      </c>
      <c r="M10" s="211">
        <f>G10/2</f>
        <v>34000</v>
      </c>
      <c r="N10" s="211">
        <f>G10/2</f>
        <v>34000</v>
      </c>
      <c r="O10" s="211"/>
      <c r="P10" s="211"/>
      <c r="Q10" s="211"/>
      <c r="R10" s="206">
        <f t="shared" si="0"/>
        <v>68000</v>
      </c>
    </row>
    <row r="11" spans="2:18" ht="45" x14ac:dyDescent="0.25">
      <c r="B11" s="90" t="s">
        <v>947</v>
      </c>
      <c r="C11" s="85" t="s">
        <v>2</v>
      </c>
      <c r="D11" s="85">
        <v>70</v>
      </c>
      <c r="E11" s="131">
        <v>70</v>
      </c>
      <c r="F11" s="33">
        <f>D11*E11</f>
        <v>4900</v>
      </c>
      <c r="G11" s="34">
        <f>F11</f>
        <v>4900</v>
      </c>
      <c r="H11" s="34"/>
      <c r="I11" s="34"/>
      <c r="J11" s="243" t="s">
        <v>1174</v>
      </c>
      <c r="K11" s="118" t="s">
        <v>1079</v>
      </c>
      <c r="M11" s="210">
        <f>G11</f>
        <v>4900</v>
      </c>
      <c r="N11" s="211"/>
      <c r="O11" s="211"/>
      <c r="P11" s="211"/>
      <c r="Q11" s="211"/>
      <c r="R11" s="206">
        <f t="shared" si="0"/>
        <v>4900</v>
      </c>
    </row>
    <row r="12" spans="2:18" ht="46.5" customHeight="1" x14ac:dyDescent="0.25">
      <c r="B12" s="91" t="s">
        <v>1130</v>
      </c>
      <c r="C12" s="32" t="s">
        <v>2</v>
      </c>
      <c r="D12" s="55">
        <v>300</v>
      </c>
      <c r="E12" s="55">
        <v>25</v>
      </c>
      <c r="F12" s="55">
        <f t="shared" si="1"/>
        <v>7500</v>
      </c>
      <c r="G12" s="117">
        <f t="shared" ref="G12:G16" si="3">F12</f>
        <v>7500</v>
      </c>
      <c r="H12" s="34"/>
      <c r="I12" s="34"/>
      <c r="J12" s="243"/>
      <c r="K12" s="50"/>
      <c r="M12" s="210">
        <f t="shared" ref="M12:M15" si="4">G12</f>
        <v>7500</v>
      </c>
      <c r="N12" s="211"/>
      <c r="O12" s="211"/>
      <c r="P12" s="211"/>
      <c r="Q12" s="211"/>
      <c r="R12" s="206">
        <f t="shared" si="0"/>
        <v>7500</v>
      </c>
    </row>
    <row r="13" spans="2:18" ht="46.5" customHeight="1" x14ac:dyDescent="0.25">
      <c r="B13" s="91" t="s">
        <v>1131</v>
      </c>
      <c r="C13" s="32" t="s">
        <v>1134</v>
      </c>
      <c r="D13" s="55">
        <v>100</v>
      </c>
      <c r="E13" s="55">
        <v>20</v>
      </c>
      <c r="F13" s="55">
        <f t="shared" si="1"/>
        <v>2000</v>
      </c>
      <c r="G13" s="117">
        <f t="shared" si="3"/>
        <v>2000</v>
      </c>
      <c r="H13" s="34"/>
      <c r="I13" s="34"/>
      <c r="J13" s="243"/>
      <c r="K13" s="50"/>
      <c r="M13" s="210">
        <f t="shared" si="4"/>
        <v>2000</v>
      </c>
      <c r="N13" s="211"/>
      <c r="O13" s="211"/>
      <c r="P13" s="211"/>
      <c r="Q13" s="211"/>
      <c r="R13" s="206">
        <f t="shared" si="0"/>
        <v>2000</v>
      </c>
    </row>
    <row r="14" spans="2:18" ht="46.5" customHeight="1" x14ac:dyDescent="0.25">
      <c r="B14" s="91" t="s">
        <v>1132</v>
      </c>
      <c r="C14" s="32" t="s">
        <v>2</v>
      </c>
      <c r="D14" s="55">
        <v>300</v>
      </c>
      <c r="E14" s="55">
        <v>8</v>
      </c>
      <c r="F14" s="55">
        <f t="shared" si="1"/>
        <v>2400</v>
      </c>
      <c r="G14" s="117">
        <f t="shared" si="3"/>
        <v>2400</v>
      </c>
      <c r="H14" s="34"/>
      <c r="I14" s="34"/>
      <c r="J14" s="243"/>
      <c r="K14" s="50"/>
      <c r="M14" s="210">
        <f t="shared" si="4"/>
        <v>2400</v>
      </c>
      <c r="N14" s="211"/>
      <c r="O14" s="211"/>
      <c r="P14" s="211"/>
      <c r="Q14" s="211"/>
      <c r="R14" s="206">
        <f t="shared" si="0"/>
        <v>2400</v>
      </c>
    </row>
    <row r="15" spans="2:18" ht="46.5" customHeight="1" x14ac:dyDescent="0.25">
      <c r="B15" s="91" t="s">
        <v>1133</v>
      </c>
      <c r="C15" s="32" t="s">
        <v>2</v>
      </c>
      <c r="D15" s="55">
        <v>300</v>
      </c>
      <c r="E15" s="55">
        <v>15</v>
      </c>
      <c r="F15" s="55">
        <f t="shared" si="1"/>
        <v>4500</v>
      </c>
      <c r="G15" s="117">
        <f t="shared" si="3"/>
        <v>4500</v>
      </c>
      <c r="H15" s="34"/>
      <c r="I15" s="34"/>
      <c r="J15" s="244"/>
      <c r="K15" s="50"/>
      <c r="M15" s="210">
        <f t="shared" si="4"/>
        <v>4500</v>
      </c>
      <c r="N15" s="211"/>
      <c r="O15" s="211"/>
      <c r="P15" s="211"/>
      <c r="Q15" s="211"/>
      <c r="R15" s="206">
        <f t="shared" si="0"/>
        <v>4500</v>
      </c>
    </row>
    <row r="16" spans="2:18" ht="82.5" customHeight="1" x14ac:dyDescent="0.25">
      <c r="B16" s="91" t="s">
        <v>1129</v>
      </c>
      <c r="C16" s="32" t="s">
        <v>925</v>
      </c>
      <c r="D16" s="55">
        <v>600</v>
      </c>
      <c r="E16" s="55">
        <v>10</v>
      </c>
      <c r="F16" s="55">
        <f t="shared" si="1"/>
        <v>6000</v>
      </c>
      <c r="G16" s="117">
        <f t="shared" si="3"/>
        <v>6000</v>
      </c>
      <c r="H16" s="34"/>
      <c r="I16" s="34"/>
      <c r="J16" s="50" t="s">
        <v>1175</v>
      </c>
      <c r="K16" s="50" t="s">
        <v>1135</v>
      </c>
      <c r="M16" s="211"/>
      <c r="N16" s="210">
        <f>G16</f>
        <v>6000</v>
      </c>
      <c r="O16" s="211"/>
      <c r="P16" s="211"/>
      <c r="Q16" s="211"/>
      <c r="R16" s="206">
        <f t="shared" si="0"/>
        <v>6000</v>
      </c>
    </row>
    <row r="17" spans="2:18" ht="46.5" customHeight="1" x14ac:dyDescent="0.25">
      <c r="B17" s="91" t="s">
        <v>954</v>
      </c>
      <c r="C17" s="32" t="s">
        <v>945</v>
      </c>
      <c r="D17" s="55">
        <f>2*2*7</f>
        <v>28</v>
      </c>
      <c r="E17" s="55">
        <f>200*13</f>
        <v>2600</v>
      </c>
      <c r="F17" s="33">
        <f>D17*E17</f>
        <v>72800</v>
      </c>
      <c r="G17" s="34">
        <f>F17</f>
        <v>72800</v>
      </c>
      <c r="H17" s="34"/>
      <c r="I17" s="34"/>
      <c r="J17" s="50" t="s">
        <v>1176</v>
      </c>
      <c r="K17" s="50" t="s">
        <v>953</v>
      </c>
      <c r="M17" s="210">
        <f>G17/36*6</f>
        <v>12133.333333333332</v>
      </c>
      <c r="N17" s="211">
        <f>G17/3</f>
        <v>24266.666666666668</v>
      </c>
      <c r="O17" s="211">
        <f>G17/3</f>
        <v>24266.666666666668</v>
      </c>
      <c r="P17" s="210">
        <f>M17</f>
        <v>12133.333333333332</v>
      </c>
      <c r="Q17" s="211"/>
      <c r="R17" s="206">
        <f t="shared" si="0"/>
        <v>72800</v>
      </c>
    </row>
    <row r="18" spans="2:18" ht="46.5" customHeight="1" x14ac:dyDescent="0.25">
      <c r="B18" s="91" t="s">
        <v>955</v>
      </c>
      <c r="C18" s="32" t="s">
        <v>945</v>
      </c>
      <c r="D18" s="55">
        <v>4</v>
      </c>
      <c r="E18" s="55">
        <f>350*13</f>
        <v>4550</v>
      </c>
      <c r="F18" s="33">
        <f>D18*E18</f>
        <v>18200</v>
      </c>
      <c r="G18" s="34">
        <f>F18</f>
        <v>18200</v>
      </c>
      <c r="H18" s="34"/>
      <c r="I18" s="34"/>
      <c r="J18" s="50" t="s">
        <v>1176</v>
      </c>
      <c r="K18" s="50" t="s">
        <v>956</v>
      </c>
      <c r="M18" s="210">
        <f>G18/36*6</f>
        <v>3033.333333333333</v>
      </c>
      <c r="N18" s="211">
        <f>G18/3</f>
        <v>6066.666666666667</v>
      </c>
      <c r="O18" s="211">
        <f>G18/3</f>
        <v>6066.666666666667</v>
      </c>
      <c r="P18" s="210">
        <f>M18</f>
        <v>3033.333333333333</v>
      </c>
      <c r="Q18" s="211"/>
      <c r="R18" s="206">
        <f t="shared" si="0"/>
        <v>18200</v>
      </c>
    </row>
    <row r="19" spans="2:18" ht="60" x14ac:dyDescent="0.25">
      <c r="B19" s="91" t="s">
        <v>75</v>
      </c>
      <c r="C19" s="32" t="s">
        <v>957</v>
      </c>
      <c r="D19" s="55">
        <v>2</v>
      </c>
      <c r="E19" s="55">
        <v>20000</v>
      </c>
      <c r="F19" s="33">
        <f t="shared" si="1"/>
        <v>40000</v>
      </c>
      <c r="G19" s="34">
        <f t="shared" si="2"/>
        <v>40000</v>
      </c>
      <c r="H19" s="34"/>
      <c r="I19" s="34"/>
      <c r="J19" s="50"/>
      <c r="K19" s="50" t="s">
        <v>952</v>
      </c>
      <c r="M19" s="210">
        <f>G19/36*6</f>
        <v>6666.6666666666661</v>
      </c>
      <c r="N19" s="211">
        <f>G19/3</f>
        <v>13333.333333333334</v>
      </c>
      <c r="O19" s="211">
        <f>G19/3</f>
        <v>13333.333333333334</v>
      </c>
      <c r="P19" s="210">
        <f>M19</f>
        <v>6666.6666666666661</v>
      </c>
      <c r="Q19" s="211"/>
      <c r="R19" s="206">
        <f t="shared" si="0"/>
        <v>40000</v>
      </c>
    </row>
    <row r="20" spans="2:18" x14ac:dyDescent="0.25">
      <c r="B20" s="92" t="s">
        <v>76</v>
      </c>
      <c r="C20" s="32"/>
      <c r="D20" s="33"/>
      <c r="E20" s="33"/>
      <c r="F20" s="33"/>
      <c r="G20" s="34"/>
      <c r="H20" s="34"/>
      <c r="I20" s="34"/>
      <c r="J20" s="50"/>
      <c r="K20" s="50" t="s">
        <v>77</v>
      </c>
    </row>
    <row r="22" spans="2:18" x14ac:dyDescent="0.25">
      <c r="B22" s="19"/>
    </row>
    <row r="23" spans="2:18" x14ac:dyDescent="0.25">
      <c r="B23" s="19"/>
    </row>
    <row r="24" spans="2:18" x14ac:dyDescent="0.25">
      <c r="B24" s="19"/>
    </row>
    <row r="25" spans="2:18" x14ac:dyDescent="0.25">
      <c r="B25" s="19"/>
    </row>
    <row r="26" spans="2:18" x14ac:dyDescent="0.25">
      <c r="B26" s="19"/>
    </row>
  </sheetData>
  <mergeCells count="1">
    <mergeCell ref="J11:J15"/>
  </mergeCells>
  <pageMargins left="0.2" right="0.2" top="0.25" bottom="0.25" header="0.3" footer="0.3"/>
  <pageSetup paperSize="5" scale="6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42"/>
  <sheetViews>
    <sheetView workbookViewId="0">
      <selection activeCell="B42" sqref="B42"/>
    </sheetView>
  </sheetViews>
  <sheetFormatPr defaultRowHeight="15" x14ac:dyDescent="0.25"/>
  <cols>
    <col min="1" max="1" width="3" customWidth="1"/>
    <col min="2" max="2" width="66.7109375" style="1" customWidth="1"/>
    <col min="3" max="3" width="23.5703125" style="13" customWidth="1"/>
    <col min="4" max="4" width="9.5703125" style="19" customWidth="1"/>
    <col min="5" max="5" width="9.140625" style="19" customWidth="1"/>
    <col min="6" max="6" width="27.85546875" style="19" customWidth="1"/>
    <col min="7" max="7" width="9.28515625" style="19" customWidth="1"/>
    <col min="8" max="9" width="15.42578125" style="19" customWidth="1"/>
    <col min="10" max="10" width="22" style="1" customWidth="1"/>
    <col min="11" max="11" width="54.140625" customWidth="1"/>
  </cols>
  <sheetData>
    <row r="2" spans="2:4" x14ac:dyDescent="0.25">
      <c r="B2" s="22" t="s">
        <v>1096</v>
      </c>
    </row>
    <row r="4" spans="2:4" x14ac:dyDescent="0.25">
      <c r="B4" s="143" t="s">
        <v>1049</v>
      </c>
    </row>
    <row r="6" spans="2:4" x14ac:dyDescent="0.25">
      <c r="B6" s="4" t="s">
        <v>1048</v>
      </c>
      <c r="C6" s="177">
        <v>29100</v>
      </c>
      <c r="D6" s="26"/>
    </row>
    <row r="7" spans="2:4" x14ac:dyDescent="0.25">
      <c r="B7" s="4" t="s">
        <v>1008</v>
      </c>
      <c r="C7" s="177">
        <f>750/100</f>
        <v>7.5</v>
      </c>
      <c r="D7" s="26"/>
    </row>
    <row r="8" spans="2:4" x14ac:dyDescent="0.25">
      <c r="B8" s="4" t="s">
        <v>1009</v>
      </c>
      <c r="C8" s="177">
        <f>C6*C7</f>
        <v>218250</v>
      </c>
      <c r="D8" s="26"/>
    </row>
    <row r="9" spans="2:4" x14ac:dyDescent="0.25">
      <c r="B9" s="4" t="s">
        <v>1046</v>
      </c>
      <c r="C9" s="177">
        <f>C8/2</f>
        <v>109125</v>
      </c>
      <c r="D9" s="26"/>
    </row>
    <row r="10" spans="2:4" x14ac:dyDescent="0.25">
      <c r="B10" s="4" t="s">
        <v>1045</v>
      </c>
      <c r="C10" s="177">
        <f>C8</f>
        <v>218250</v>
      </c>
      <c r="D10" s="26"/>
    </row>
    <row r="11" spans="2:4" x14ac:dyDescent="0.25">
      <c r="B11" s="4" t="s">
        <v>1047</v>
      </c>
      <c r="C11" s="177">
        <f>C9+C10</f>
        <v>327375</v>
      </c>
      <c r="D11" s="26"/>
    </row>
    <row r="12" spans="2:4" x14ac:dyDescent="0.25">
      <c r="B12" s="178"/>
      <c r="C12" s="179"/>
      <c r="D12" s="26"/>
    </row>
    <row r="13" spans="2:4" x14ac:dyDescent="0.25">
      <c r="B13" s="180" t="s">
        <v>1064</v>
      </c>
      <c r="C13" s="220" t="s">
        <v>1146</v>
      </c>
      <c r="D13" s="26"/>
    </row>
    <row r="14" spans="2:4" x14ac:dyDescent="0.25">
      <c r="B14" s="178"/>
      <c r="C14" s="179"/>
      <c r="D14" s="26"/>
    </row>
    <row r="15" spans="2:4" x14ac:dyDescent="0.25">
      <c r="B15" s="4" t="s">
        <v>1050</v>
      </c>
      <c r="C15" s="177">
        <v>200</v>
      </c>
      <c r="D15" s="137"/>
    </row>
    <row r="16" spans="2:4" x14ac:dyDescent="0.25">
      <c r="B16" s="4" t="s">
        <v>1052</v>
      </c>
      <c r="C16" s="177">
        <v>3785</v>
      </c>
      <c r="D16" s="26"/>
    </row>
    <row r="17" spans="2:6" x14ac:dyDescent="0.25">
      <c r="B17" s="4" t="s">
        <v>1054</v>
      </c>
      <c r="C17" s="181">
        <f>C15/C16</f>
        <v>5.2840158520475564E-2</v>
      </c>
      <c r="D17" s="26"/>
    </row>
    <row r="18" spans="2:6" x14ac:dyDescent="0.25">
      <c r="B18" s="4" t="s">
        <v>1053</v>
      </c>
      <c r="C18" s="177">
        <v>6</v>
      </c>
      <c r="D18" s="26"/>
    </row>
    <row r="19" spans="2:6" x14ac:dyDescent="0.25">
      <c r="B19" s="157" t="s">
        <v>1055</v>
      </c>
      <c r="C19" s="182">
        <f>C17*C18</f>
        <v>0.31704095112285335</v>
      </c>
      <c r="D19" s="186">
        <f>C19*100/C25</f>
        <v>77.178173047934891</v>
      </c>
      <c r="E19" s="137" t="s">
        <v>1075</v>
      </c>
    </row>
    <row r="20" spans="2:6" x14ac:dyDescent="0.25">
      <c r="B20" s="4" t="s">
        <v>1051</v>
      </c>
      <c r="C20" s="181">
        <v>1.2500000000000001E-2</v>
      </c>
      <c r="D20" s="26"/>
    </row>
    <row r="21" spans="2:6" x14ac:dyDescent="0.25">
      <c r="B21" s="4" t="s">
        <v>1056</v>
      </c>
      <c r="C21" s="177">
        <v>1</v>
      </c>
      <c r="D21" s="26"/>
    </row>
    <row r="22" spans="2:6" x14ac:dyDescent="0.25">
      <c r="B22" s="4" t="s">
        <v>1057</v>
      </c>
      <c r="C22" s="181">
        <f>C20/C21</f>
        <v>1.2500000000000001E-2</v>
      </c>
      <c r="D22" s="26"/>
    </row>
    <row r="23" spans="2:6" x14ac:dyDescent="0.25">
      <c r="B23" s="4" t="s">
        <v>1058</v>
      </c>
      <c r="C23" s="177">
        <v>7.5</v>
      </c>
      <c r="D23" s="26"/>
    </row>
    <row r="24" spans="2:6" x14ac:dyDescent="0.25">
      <c r="B24" s="4" t="s">
        <v>1059</v>
      </c>
      <c r="C24" s="181">
        <f>C22*C23</f>
        <v>9.375E-2</v>
      </c>
      <c r="D24" s="186">
        <f>C24*100/C25</f>
        <v>22.82182695206512</v>
      </c>
      <c r="E24" s="137" t="s">
        <v>1075</v>
      </c>
    </row>
    <row r="25" spans="2:6" x14ac:dyDescent="0.25">
      <c r="B25" s="4" t="s">
        <v>1060</v>
      </c>
      <c r="C25" s="181">
        <f>C19+C24</f>
        <v>0.41079095112285335</v>
      </c>
      <c r="D25" s="26"/>
    </row>
    <row r="26" spans="2:6" x14ac:dyDescent="0.25">
      <c r="B26" s="4" t="s">
        <v>1061</v>
      </c>
      <c r="C26" s="177">
        <v>20</v>
      </c>
      <c r="D26" s="26"/>
    </row>
    <row r="27" spans="2:6" x14ac:dyDescent="0.25">
      <c r="B27" s="4" t="s">
        <v>1066</v>
      </c>
      <c r="C27" s="181">
        <f>C25/C26</f>
        <v>2.0539547556142668E-2</v>
      </c>
      <c r="D27" s="26"/>
    </row>
    <row r="28" spans="2:6" x14ac:dyDescent="0.25">
      <c r="B28" s="4" t="s">
        <v>1065</v>
      </c>
      <c r="C28" s="177">
        <f>C27*C11</f>
        <v>6724.1343811922061</v>
      </c>
      <c r="D28" s="26"/>
    </row>
    <row r="29" spans="2:6" x14ac:dyDescent="0.25">
      <c r="B29" s="157" t="s">
        <v>1062</v>
      </c>
      <c r="C29" s="183">
        <v>26</v>
      </c>
      <c r="D29" s="26"/>
    </row>
    <row r="30" spans="2:6" x14ac:dyDescent="0.25">
      <c r="B30" s="175" t="s">
        <v>1063</v>
      </c>
      <c r="C30" s="185">
        <f>C28*C29</f>
        <v>174827.49391099735</v>
      </c>
      <c r="D30" s="186" t="s">
        <v>1078</v>
      </c>
      <c r="E30" s="19">
        <f>D19*C30/100</f>
        <v>134928.66578599735</v>
      </c>
      <c r="F30" s="19" t="s">
        <v>1076</v>
      </c>
    </row>
    <row r="31" spans="2:6" x14ac:dyDescent="0.25">
      <c r="B31" s="108"/>
      <c r="C31" s="145"/>
      <c r="D31" s="26"/>
      <c r="E31" s="19">
        <f>D24*C30/100</f>
        <v>39898.828125</v>
      </c>
      <c r="F31" s="19" t="s">
        <v>1077</v>
      </c>
    </row>
    <row r="32" spans="2:6" x14ac:dyDescent="0.25">
      <c r="B32" s="180" t="s">
        <v>1069</v>
      </c>
      <c r="C32" s="145"/>
      <c r="D32" s="26"/>
    </row>
    <row r="33" spans="2:13" x14ac:dyDescent="0.25">
      <c r="C33" s="136"/>
      <c r="D33" s="26"/>
      <c r="F33" s="136"/>
    </row>
    <row r="34" spans="2:13" x14ac:dyDescent="0.25">
      <c r="B34" s="156" t="s">
        <v>1067</v>
      </c>
      <c r="C34" s="164">
        <v>584</v>
      </c>
      <c r="D34" s="26"/>
    </row>
    <row r="35" spans="2:13" x14ac:dyDescent="0.25">
      <c r="B35" s="156" t="s">
        <v>1068</v>
      </c>
      <c r="C35" s="164">
        <v>2.5</v>
      </c>
    </row>
    <row r="36" spans="2:13" ht="30" x14ac:dyDescent="0.25">
      <c r="B36" s="156" t="s">
        <v>1074</v>
      </c>
      <c r="C36" s="164">
        <f>C34*C35</f>
        <v>1460</v>
      </c>
    </row>
    <row r="37" spans="2:13" x14ac:dyDescent="0.25">
      <c r="B37" s="156" t="s">
        <v>1070</v>
      </c>
      <c r="C37" s="164">
        <v>2.5</v>
      </c>
      <c r="I37" s="136"/>
      <c r="J37" s="136"/>
    </row>
    <row r="38" spans="2:13" x14ac:dyDescent="0.25">
      <c r="B38" s="156" t="s">
        <v>1071</v>
      </c>
      <c r="C38" s="184">
        <f>C36/C37</f>
        <v>584</v>
      </c>
      <c r="J38" s="136"/>
    </row>
    <row r="39" spans="2:13" x14ac:dyDescent="0.25">
      <c r="B39" s="156" t="s">
        <v>1072</v>
      </c>
      <c r="C39" s="164">
        <v>115</v>
      </c>
      <c r="J39" s="136"/>
    </row>
    <row r="40" spans="2:13" x14ac:dyDescent="0.25">
      <c r="B40" s="175" t="s">
        <v>1073</v>
      </c>
      <c r="C40" s="176">
        <f>C38*C39</f>
        <v>67160</v>
      </c>
      <c r="E40" s="129" t="s">
        <v>1085</v>
      </c>
    </row>
    <row r="41" spans="2:13" s="19" customFormat="1" x14ac:dyDescent="0.25">
      <c r="B41" s="1"/>
      <c r="C41" s="136"/>
      <c r="J41" s="1"/>
      <c r="K41"/>
      <c r="L41"/>
      <c r="M41"/>
    </row>
    <row r="42" spans="2:13" s="19" customFormat="1" x14ac:dyDescent="0.25">
      <c r="B42" s="108"/>
      <c r="C42" s="136"/>
      <c r="J42" s="1"/>
      <c r="K42"/>
      <c r="L42"/>
      <c r="M42"/>
    </row>
  </sheetData>
  <pageMargins left="0.2" right="0.2" top="0.25" bottom="0.25" header="0.3" footer="0.3"/>
  <pageSetup paperSize="5"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66"/>
  <sheetViews>
    <sheetView zoomScale="70" zoomScaleNormal="70" workbookViewId="0">
      <selection activeCell="B42" sqref="B42"/>
    </sheetView>
  </sheetViews>
  <sheetFormatPr defaultRowHeight="15" x14ac:dyDescent="0.25"/>
  <cols>
    <col min="1" max="1" width="3" customWidth="1"/>
    <col min="2" max="2" width="32"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40.85546875" customWidth="1"/>
  </cols>
  <sheetData>
    <row r="2" spans="2:18" x14ac:dyDescent="0.25">
      <c r="B2" s="22" t="s">
        <v>1097</v>
      </c>
    </row>
    <row r="4" spans="2:18" ht="90" x14ac:dyDescent="0.25">
      <c r="B4" s="35" t="s">
        <v>1</v>
      </c>
      <c r="C4" s="29" t="s">
        <v>2</v>
      </c>
      <c r="D4" s="30" t="s">
        <v>4</v>
      </c>
      <c r="E4" s="30" t="s">
        <v>3</v>
      </c>
      <c r="F4" s="30" t="s">
        <v>917</v>
      </c>
      <c r="G4" s="31" t="s">
        <v>6</v>
      </c>
      <c r="H4" s="31" t="s">
        <v>941</v>
      </c>
      <c r="I4" s="31" t="s">
        <v>204</v>
      </c>
      <c r="J4" s="36" t="s">
        <v>8</v>
      </c>
      <c r="K4" s="36" t="s">
        <v>22</v>
      </c>
      <c r="M4" s="211">
        <v>2015</v>
      </c>
      <c r="N4" s="211">
        <v>2016</v>
      </c>
      <c r="O4" s="211">
        <v>2017</v>
      </c>
      <c r="P4" s="211">
        <v>2018</v>
      </c>
      <c r="Q4" s="211">
        <v>2019</v>
      </c>
      <c r="R4" s="206" t="s">
        <v>28</v>
      </c>
    </row>
    <row r="5" spans="2:18" x14ac:dyDescent="0.25">
      <c r="B5" s="35" t="s">
        <v>28</v>
      </c>
      <c r="C5" s="29"/>
      <c r="D5" s="30"/>
      <c r="E5" s="30"/>
      <c r="F5" s="30">
        <f>SUM(F6:F9)</f>
        <v>190000</v>
      </c>
      <c r="G5" s="31">
        <f>SUM(G6:G9)</f>
        <v>130000</v>
      </c>
      <c r="H5" s="31">
        <f>SUM(H6:H9)</f>
        <v>60000</v>
      </c>
      <c r="I5" s="31"/>
      <c r="J5" s="36"/>
      <c r="K5" s="36">
        <f>G5+H5</f>
        <v>190000</v>
      </c>
      <c r="M5" s="211"/>
      <c r="N5" s="211"/>
      <c r="O5" s="211"/>
      <c r="P5" s="211"/>
      <c r="Q5" s="211"/>
      <c r="R5" s="211"/>
    </row>
    <row r="6" spans="2:18" ht="162" customHeight="1" x14ac:dyDescent="0.25">
      <c r="B6" s="221" t="s">
        <v>224</v>
      </c>
      <c r="C6" s="69" t="s">
        <v>115</v>
      </c>
      <c r="D6" s="51">
        <v>0</v>
      </c>
      <c r="E6" s="51">
        <v>100000</v>
      </c>
      <c r="F6" s="51">
        <f>D6*E6</f>
        <v>0</v>
      </c>
      <c r="G6" s="121">
        <f>F6</f>
        <v>0</v>
      </c>
      <c r="H6" s="121"/>
      <c r="I6" s="121"/>
      <c r="J6" s="54" t="s">
        <v>1188</v>
      </c>
      <c r="K6" s="54" t="s">
        <v>1152</v>
      </c>
      <c r="M6" s="211"/>
      <c r="N6" s="211"/>
      <c r="O6" s="211"/>
      <c r="P6" s="211"/>
      <c r="Q6" s="211"/>
      <c r="R6" s="211"/>
    </row>
    <row r="7" spans="2:18" ht="60" x14ac:dyDescent="0.25">
      <c r="B7" s="221" t="s">
        <v>79</v>
      </c>
      <c r="C7" s="69" t="s">
        <v>147</v>
      </c>
      <c r="D7" s="51">
        <v>0</v>
      </c>
      <c r="E7" s="51">
        <f>E6*0.1</f>
        <v>10000</v>
      </c>
      <c r="F7" s="51">
        <f t="shared" ref="F7:F9" si="0">D7*E7</f>
        <v>0</v>
      </c>
      <c r="G7" s="121">
        <f t="shared" ref="G7:G8" si="1">F7</f>
        <v>0</v>
      </c>
      <c r="H7" s="121"/>
      <c r="I7" s="121"/>
      <c r="J7" s="54" t="s">
        <v>1187</v>
      </c>
      <c r="K7" s="54" t="s">
        <v>1153</v>
      </c>
      <c r="M7" s="211"/>
      <c r="N7" s="211"/>
      <c r="O7" s="211"/>
      <c r="P7" s="211"/>
      <c r="Q7" s="211"/>
      <c r="R7" s="211"/>
    </row>
    <row r="8" spans="2:18" ht="45" x14ac:dyDescent="0.25">
      <c r="B8" s="194" t="s">
        <v>81</v>
      </c>
      <c r="C8" s="32" t="s">
        <v>84</v>
      </c>
      <c r="D8" s="33">
        <v>1</v>
      </c>
      <c r="E8" s="55">
        <v>130000</v>
      </c>
      <c r="F8" s="33">
        <f t="shared" si="0"/>
        <v>130000</v>
      </c>
      <c r="G8" s="34">
        <f t="shared" si="1"/>
        <v>130000</v>
      </c>
      <c r="H8" s="34"/>
      <c r="I8" s="34"/>
      <c r="J8" s="247" t="s">
        <v>1178</v>
      </c>
      <c r="K8" s="37" t="s">
        <v>142</v>
      </c>
      <c r="M8" s="211"/>
      <c r="N8" s="210">
        <f>G8</f>
        <v>130000</v>
      </c>
      <c r="O8" s="211"/>
      <c r="P8" s="211"/>
      <c r="Q8" s="211"/>
      <c r="R8" s="205">
        <f>N8</f>
        <v>130000</v>
      </c>
    </row>
    <row r="9" spans="2:18" ht="81" customHeight="1" x14ac:dyDescent="0.25">
      <c r="B9" s="194" t="s">
        <v>80</v>
      </c>
      <c r="C9" s="32" t="s">
        <v>84</v>
      </c>
      <c r="D9" s="33">
        <v>3</v>
      </c>
      <c r="E9" s="55">
        <v>20000</v>
      </c>
      <c r="F9" s="33">
        <f t="shared" si="0"/>
        <v>60000</v>
      </c>
      <c r="G9" s="34"/>
      <c r="H9" s="34">
        <f>F9</f>
        <v>60000</v>
      </c>
      <c r="I9" s="34"/>
      <c r="J9" s="248"/>
      <c r="K9" s="125" t="s">
        <v>958</v>
      </c>
      <c r="M9" s="211"/>
      <c r="N9" s="210">
        <f>H9</f>
        <v>60000</v>
      </c>
      <c r="O9" s="211"/>
      <c r="P9" s="211"/>
      <c r="Q9" s="211"/>
      <c r="R9" s="205">
        <f>N9</f>
        <v>60000</v>
      </c>
    </row>
    <row r="12" spans="2:18" x14ac:dyDescent="0.25">
      <c r="B12" s="1" t="s">
        <v>146</v>
      </c>
    </row>
    <row r="13" spans="2:18" x14ac:dyDescent="0.25">
      <c r="B13" s="249" t="s">
        <v>246</v>
      </c>
      <c r="C13" s="249"/>
      <c r="D13" s="94" t="s">
        <v>2</v>
      </c>
      <c r="E13" s="94" t="s">
        <v>4</v>
      </c>
    </row>
    <row r="14" spans="2:18" x14ac:dyDescent="0.25">
      <c r="B14" s="246" t="s">
        <v>225</v>
      </c>
      <c r="C14" s="246"/>
      <c r="D14" s="95" t="s">
        <v>2</v>
      </c>
      <c r="E14" s="95">
        <v>1</v>
      </c>
    </row>
    <row r="15" spans="2:18" x14ac:dyDescent="0.25">
      <c r="B15" s="246" t="s">
        <v>226</v>
      </c>
      <c r="C15" s="246"/>
      <c r="D15" s="95" t="s">
        <v>2</v>
      </c>
      <c r="E15" s="95">
        <v>2</v>
      </c>
    </row>
    <row r="16" spans="2:18" x14ac:dyDescent="0.25">
      <c r="B16" s="246" t="s">
        <v>227</v>
      </c>
      <c r="C16" s="95" t="s">
        <v>228</v>
      </c>
      <c r="D16" s="95" t="s">
        <v>2</v>
      </c>
      <c r="E16" s="95">
        <v>6</v>
      </c>
    </row>
    <row r="17" spans="2:5" ht="36" x14ac:dyDescent="0.25">
      <c r="B17" s="246"/>
      <c r="C17" s="95" t="s">
        <v>229</v>
      </c>
      <c r="D17" s="95" t="s">
        <v>2</v>
      </c>
      <c r="E17" s="95">
        <v>3</v>
      </c>
    </row>
    <row r="18" spans="2:5" x14ac:dyDescent="0.25">
      <c r="B18" s="246" t="s">
        <v>230</v>
      </c>
      <c r="C18" s="246"/>
      <c r="D18" s="95" t="s">
        <v>2</v>
      </c>
      <c r="E18" s="95">
        <v>3</v>
      </c>
    </row>
    <row r="19" spans="2:5" x14ac:dyDescent="0.25">
      <c r="B19" s="246" t="s">
        <v>231</v>
      </c>
      <c r="C19" s="246"/>
      <c r="D19" s="95" t="s">
        <v>2</v>
      </c>
      <c r="E19" s="95">
        <v>2</v>
      </c>
    </row>
    <row r="20" spans="2:5" x14ac:dyDescent="0.25">
      <c r="B20" s="246" t="s">
        <v>232</v>
      </c>
      <c r="C20" s="246"/>
      <c r="D20" s="95" t="s">
        <v>2</v>
      </c>
      <c r="E20" s="95">
        <v>2</v>
      </c>
    </row>
    <row r="21" spans="2:5" x14ac:dyDescent="0.25">
      <c r="B21" s="246" t="s">
        <v>233</v>
      </c>
      <c r="C21" s="246"/>
      <c r="D21" s="95" t="s">
        <v>2</v>
      </c>
      <c r="E21" s="95">
        <v>1</v>
      </c>
    </row>
    <row r="22" spans="2:5" x14ac:dyDescent="0.25">
      <c r="B22" s="246" t="s">
        <v>234</v>
      </c>
      <c r="C22" s="246"/>
      <c r="D22" s="95" t="s">
        <v>2</v>
      </c>
      <c r="E22" s="96">
        <v>1</v>
      </c>
    </row>
    <row r="23" spans="2:5" x14ac:dyDescent="0.25">
      <c r="B23" s="246" t="s">
        <v>235</v>
      </c>
      <c r="C23" s="246"/>
      <c r="D23" s="95" t="s">
        <v>2</v>
      </c>
      <c r="E23" s="96">
        <v>1</v>
      </c>
    </row>
    <row r="24" spans="2:5" x14ac:dyDescent="0.25">
      <c r="B24" s="246" t="s">
        <v>236</v>
      </c>
      <c r="C24" s="246"/>
      <c r="D24" s="95" t="s">
        <v>2</v>
      </c>
      <c r="E24" s="96">
        <v>1</v>
      </c>
    </row>
    <row r="25" spans="2:5" x14ac:dyDescent="0.25">
      <c r="B25" s="246" t="s">
        <v>237</v>
      </c>
      <c r="C25" s="246"/>
      <c r="D25" s="95" t="s">
        <v>2</v>
      </c>
      <c r="E25" s="95">
        <v>1</v>
      </c>
    </row>
    <row r="26" spans="2:5" x14ac:dyDescent="0.25">
      <c r="B26" s="246" t="s">
        <v>238</v>
      </c>
      <c r="C26" s="246"/>
      <c r="D26" s="95" t="s">
        <v>2</v>
      </c>
      <c r="E26" s="95">
        <v>2</v>
      </c>
    </row>
    <row r="27" spans="2:5" x14ac:dyDescent="0.25">
      <c r="B27" s="246" t="s">
        <v>239</v>
      </c>
      <c r="C27" s="246"/>
      <c r="D27" s="95" t="s">
        <v>2</v>
      </c>
      <c r="E27" s="95">
        <v>2</v>
      </c>
    </row>
    <row r="28" spans="2:5" x14ac:dyDescent="0.25">
      <c r="B28" s="246" t="s">
        <v>240</v>
      </c>
      <c r="C28" s="246"/>
      <c r="D28" s="95" t="s">
        <v>2</v>
      </c>
      <c r="E28" s="95">
        <v>1</v>
      </c>
    </row>
    <row r="29" spans="2:5" x14ac:dyDescent="0.25">
      <c r="B29" s="246" t="s">
        <v>241</v>
      </c>
      <c r="C29" s="246"/>
      <c r="D29" s="95" t="s">
        <v>2</v>
      </c>
      <c r="E29" s="95">
        <v>1</v>
      </c>
    </row>
    <row r="30" spans="2:5" x14ac:dyDescent="0.25">
      <c r="B30" s="246" t="s">
        <v>242</v>
      </c>
      <c r="C30" s="246"/>
      <c r="D30" s="95" t="s">
        <v>2</v>
      </c>
      <c r="E30" s="95">
        <v>1</v>
      </c>
    </row>
    <row r="31" spans="2:5" x14ac:dyDescent="0.25">
      <c r="B31" s="246" t="s">
        <v>243</v>
      </c>
      <c r="C31" s="246"/>
      <c r="D31" s="95" t="s">
        <v>2</v>
      </c>
      <c r="E31" s="95">
        <v>1</v>
      </c>
    </row>
    <row r="32" spans="2:5" x14ac:dyDescent="0.25">
      <c r="B32" s="246" t="s">
        <v>244</v>
      </c>
      <c r="C32" s="246"/>
      <c r="D32" s="95" t="s">
        <v>2</v>
      </c>
      <c r="E32" s="95">
        <v>1</v>
      </c>
    </row>
    <row r="33" spans="2:5" x14ac:dyDescent="0.25">
      <c r="B33" s="246" t="s">
        <v>245</v>
      </c>
      <c r="C33" s="246"/>
      <c r="D33" s="95" t="s">
        <v>2</v>
      </c>
      <c r="E33" s="95">
        <v>1</v>
      </c>
    </row>
    <row r="35" spans="2:5" ht="30" x14ac:dyDescent="0.25">
      <c r="B35" s="1" t="s">
        <v>275</v>
      </c>
    </row>
    <row r="36" spans="2:5" x14ac:dyDescent="0.25">
      <c r="B36" s="97" t="s">
        <v>247</v>
      </c>
      <c r="C36" s="97" t="s">
        <v>248</v>
      </c>
      <c r="D36" s="97" t="s">
        <v>249</v>
      </c>
    </row>
    <row r="37" spans="2:5" x14ac:dyDescent="0.25">
      <c r="B37" s="98" t="s">
        <v>250</v>
      </c>
      <c r="C37" s="99" t="s">
        <v>251</v>
      </c>
      <c r="D37" s="99">
        <v>1</v>
      </c>
    </row>
    <row r="38" spans="2:5" x14ac:dyDescent="0.25">
      <c r="B38" s="98" t="s">
        <v>252</v>
      </c>
      <c r="C38" s="98" t="s">
        <v>253</v>
      </c>
      <c r="D38" s="99">
        <v>1</v>
      </c>
    </row>
    <row r="39" spans="2:5" x14ac:dyDescent="0.25">
      <c r="B39" s="98" t="s">
        <v>254</v>
      </c>
      <c r="C39" s="98" t="s">
        <v>251</v>
      </c>
      <c r="D39" s="99">
        <v>10</v>
      </c>
    </row>
    <row r="40" spans="2:5" x14ac:dyDescent="0.25">
      <c r="B40" s="98" t="s">
        <v>255</v>
      </c>
      <c r="C40" s="98" t="s">
        <v>256</v>
      </c>
      <c r="D40" s="99">
        <v>1</v>
      </c>
    </row>
    <row r="41" spans="2:5" x14ac:dyDescent="0.25">
      <c r="B41" s="98" t="s">
        <v>257</v>
      </c>
      <c r="C41" s="98" t="s">
        <v>258</v>
      </c>
      <c r="D41" s="99">
        <v>1</v>
      </c>
    </row>
    <row r="42" spans="2:5" x14ac:dyDescent="0.25">
      <c r="B42" s="98" t="s">
        <v>259</v>
      </c>
      <c r="C42" s="98" t="s">
        <v>260</v>
      </c>
      <c r="D42" s="99">
        <v>1</v>
      </c>
    </row>
    <row r="43" spans="2:5" x14ac:dyDescent="0.25">
      <c r="B43" s="98" t="s">
        <v>261</v>
      </c>
      <c r="C43" s="98" t="s">
        <v>251</v>
      </c>
      <c r="D43" s="99">
        <v>1</v>
      </c>
    </row>
    <row r="44" spans="2:5" x14ac:dyDescent="0.25">
      <c r="B44" s="98" t="s">
        <v>262</v>
      </c>
      <c r="C44" s="98" t="s">
        <v>253</v>
      </c>
      <c r="D44" s="99">
        <v>1</v>
      </c>
    </row>
    <row r="45" spans="2:5" x14ac:dyDescent="0.25">
      <c r="B45" s="98" t="s">
        <v>263</v>
      </c>
      <c r="C45" s="98" t="s">
        <v>258</v>
      </c>
      <c r="D45" s="99">
        <v>1</v>
      </c>
    </row>
    <row r="46" spans="2:5" x14ac:dyDescent="0.25">
      <c r="B46" s="98" t="s">
        <v>264</v>
      </c>
      <c r="C46" s="98" t="s">
        <v>253</v>
      </c>
      <c r="D46" s="99">
        <v>1</v>
      </c>
    </row>
    <row r="47" spans="2:5" x14ac:dyDescent="0.25">
      <c r="B47" s="98" t="s">
        <v>265</v>
      </c>
      <c r="C47" s="98" t="s">
        <v>253</v>
      </c>
      <c r="D47" s="99">
        <v>1</v>
      </c>
    </row>
    <row r="48" spans="2:5" x14ac:dyDescent="0.25">
      <c r="B48" s="98" t="s">
        <v>266</v>
      </c>
      <c r="C48" s="98" t="s">
        <v>253</v>
      </c>
      <c r="D48" s="99">
        <v>1</v>
      </c>
    </row>
    <row r="49" spans="2:4" x14ac:dyDescent="0.25">
      <c r="B49" s="98" t="s">
        <v>267</v>
      </c>
      <c r="C49" s="98" t="s">
        <v>268</v>
      </c>
      <c r="D49" s="99">
        <v>1</v>
      </c>
    </row>
    <row r="50" spans="2:4" x14ac:dyDescent="0.25">
      <c r="B50" s="98" t="s">
        <v>269</v>
      </c>
      <c r="C50" s="98" t="s">
        <v>270</v>
      </c>
      <c r="D50" s="99">
        <v>1</v>
      </c>
    </row>
    <row r="51" spans="2:4" x14ac:dyDescent="0.25">
      <c r="B51" s="98" t="s">
        <v>271</v>
      </c>
      <c r="C51" s="98" t="s">
        <v>272</v>
      </c>
      <c r="D51" s="99">
        <v>1</v>
      </c>
    </row>
    <row r="52" spans="2:4" x14ac:dyDescent="0.25">
      <c r="B52" s="98" t="s">
        <v>273</v>
      </c>
      <c r="C52" s="98" t="s">
        <v>253</v>
      </c>
      <c r="D52" s="99">
        <v>1</v>
      </c>
    </row>
    <row r="53" spans="2:4" x14ac:dyDescent="0.25">
      <c r="B53" s="98" t="s">
        <v>274</v>
      </c>
      <c r="C53" s="98" t="s">
        <v>253</v>
      </c>
      <c r="D53" s="99">
        <v>1</v>
      </c>
    </row>
    <row r="54" spans="2:4" x14ac:dyDescent="0.25">
      <c r="B54" s="98" t="s">
        <v>276</v>
      </c>
      <c r="C54" s="99" t="s">
        <v>277</v>
      </c>
      <c r="D54" s="99">
        <v>6</v>
      </c>
    </row>
    <row r="55" spans="2:4" x14ac:dyDescent="0.25">
      <c r="B55" s="98" t="s">
        <v>278</v>
      </c>
      <c r="C55" s="99" t="s">
        <v>277</v>
      </c>
      <c r="D55" s="98">
        <v>6</v>
      </c>
    </row>
    <row r="56" spans="2:4" x14ac:dyDescent="0.25">
      <c r="B56" s="98" t="s">
        <v>279</v>
      </c>
      <c r="C56" s="99" t="s">
        <v>277</v>
      </c>
      <c r="D56" s="98">
        <v>5</v>
      </c>
    </row>
    <row r="57" spans="2:4" x14ac:dyDescent="0.25">
      <c r="B57" s="98" t="s">
        <v>280</v>
      </c>
      <c r="C57" s="99" t="s">
        <v>277</v>
      </c>
      <c r="D57" s="98">
        <v>5</v>
      </c>
    </row>
    <row r="58" spans="2:4" x14ac:dyDescent="0.25">
      <c r="B58" s="98" t="s">
        <v>281</v>
      </c>
      <c r="C58" s="99" t="s">
        <v>277</v>
      </c>
      <c r="D58" s="98">
        <v>5</v>
      </c>
    </row>
    <row r="59" spans="2:4" x14ac:dyDescent="0.25">
      <c r="B59" s="98" t="s">
        <v>282</v>
      </c>
      <c r="C59" s="99" t="s">
        <v>277</v>
      </c>
      <c r="D59" s="98">
        <v>5</v>
      </c>
    </row>
    <row r="60" spans="2:4" x14ac:dyDescent="0.25">
      <c r="B60" s="98" t="s">
        <v>283</v>
      </c>
      <c r="C60" s="99" t="s">
        <v>277</v>
      </c>
      <c r="D60" s="98">
        <v>1</v>
      </c>
    </row>
    <row r="61" spans="2:4" x14ac:dyDescent="0.25">
      <c r="B61" s="98" t="s">
        <v>287</v>
      </c>
      <c r="C61" s="99" t="s">
        <v>277</v>
      </c>
      <c r="D61" s="98">
        <v>1</v>
      </c>
    </row>
    <row r="62" spans="2:4" x14ac:dyDescent="0.25">
      <c r="B62" s="98" t="s">
        <v>288</v>
      </c>
      <c r="C62" s="99" t="s">
        <v>277</v>
      </c>
      <c r="D62" s="98">
        <v>1</v>
      </c>
    </row>
    <row r="63" spans="2:4" x14ac:dyDescent="0.25">
      <c r="B63" s="98" t="s">
        <v>289</v>
      </c>
      <c r="C63" s="99" t="s">
        <v>277</v>
      </c>
      <c r="D63" s="98">
        <v>1</v>
      </c>
    </row>
    <row r="64" spans="2:4" x14ac:dyDescent="0.25">
      <c r="B64" s="98" t="s">
        <v>284</v>
      </c>
      <c r="C64" s="99" t="s">
        <v>277</v>
      </c>
      <c r="D64" s="98">
        <v>1</v>
      </c>
    </row>
    <row r="65" spans="2:4" x14ac:dyDescent="0.25">
      <c r="B65" s="98" t="s">
        <v>287</v>
      </c>
      <c r="C65" s="99" t="s">
        <v>277</v>
      </c>
      <c r="D65" s="98">
        <v>1</v>
      </c>
    </row>
    <row r="66" spans="2:4" x14ac:dyDescent="0.25">
      <c r="B66" s="98" t="s">
        <v>285</v>
      </c>
      <c r="C66" s="98" t="s">
        <v>286</v>
      </c>
      <c r="D66" s="98">
        <v>500</v>
      </c>
    </row>
  </sheetData>
  <mergeCells count="21">
    <mergeCell ref="J8:J9"/>
    <mergeCell ref="B27:C27"/>
    <mergeCell ref="B23:C23"/>
    <mergeCell ref="B24:C24"/>
    <mergeCell ref="B25:C25"/>
    <mergeCell ref="B13:C13"/>
    <mergeCell ref="B14:C14"/>
    <mergeCell ref="B15:C15"/>
    <mergeCell ref="B16:B17"/>
    <mergeCell ref="B18:C18"/>
    <mergeCell ref="B28:C28"/>
    <mergeCell ref="B19:C19"/>
    <mergeCell ref="B20:C20"/>
    <mergeCell ref="B21:C21"/>
    <mergeCell ref="B22:C22"/>
    <mergeCell ref="B26:C26"/>
    <mergeCell ref="B29:C29"/>
    <mergeCell ref="B30:C30"/>
    <mergeCell ref="B31:C31"/>
    <mergeCell ref="B32:C32"/>
    <mergeCell ref="B33:C33"/>
  </mergeCells>
  <pageMargins left="0.2" right="0.2" top="0.25" bottom="0.25" header="0.3" footer="0.3"/>
  <pageSetup paperSize="5" scale="7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8"/>
  <sheetViews>
    <sheetView zoomScale="70" zoomScaleNormal="70" workbookViewId="0">
      <selection activeCell="B42" sqref="B42"/>
    </sheetView>
  </sheetViews>
  <sheetFormatPr defaultRowHeight="15" x14ac:dyDescent="0.25"/>
  <cols>
    <col min="1" max="1" width="3" customWidth="1"/>
    <col min="2" max="2" width="32"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40.85546875" customWidth="1"/>
  </cols>
  <sheetData>
    <row r="2" spans="2:18" x14ac:dyDescent="0.25">
      <c r="B2" s="22" t="s">
        <v>1098</v>
      </c>
    </row>
    <row r="4" spans="2:18" ht="90" x14ac:dyDescent="0.25">
      <c r="B4" s="35" t="s">
        <v>1</v>
      </c>
      <c r="C4" s="29" t="s">
        <v>2</v>
      </c>
      <c r="D4" s="30" t="s">
        <v>4</v>
      </c>
      <c r="E4" s="30" t="s">
        <v>3</v>
      </c>
      <c r="F4" s="30" t="s">
        <v>917</v>
      </c>
      <c r="G4" s="31" t="s">
        <v>6</v>
      </c>
      <c r="H4" s="31" t="s">
        <v>941</v>
      </c>
      <c r="I4" s="31" t="s">
        <v>204</v>
      </c>
      <c r="J4" s="36" t="s">
        <v>8</v>
      </c>
      <c r="K4" s="36" t="s">
        <v>22</v>
      </c>
      <c r="M4" s="211">
        <v>2015</v>
      </c>
      <c r="N4" s="211">
        <v>2016</v>
      </c>
      <c r="O4" s="211">
        <v>2017</v>
      </c>
      <c r="P4" s="211">
        <v>2018</v>
      </c>
      <c r="Q4" s="211">
        <v>2019</v>
      </c>
      <c r="R4" s="206" t="s">
        <v>28</v>
      </c>
    </row>
    <row r="5" spans="2:18" x14ac:dyDescent="0.25">
      <c r="B5" s="35" t="s">
        <v>28</v>
      </c>
      <c r="C5" s="29"/>
      <c r="D5" s="30"/>
      <c r="E5" s="30"/>
      <c r="F5" s="30">
        <f>SUM(F6:F8)</f>
        <v>80000</v>
      </c>
      <c r="G5" s="31">
        <f>SUM(G6:G8)</f>
        <v>80000</v>
      </c>
      <c r="H5" s="31">
        <f>SUM(H6:H8)</f>
        <v>0</v>
      </c>
      <c r="I5" s="31"/>
      <c r="J5" s="36"/>
      <c r="K5" s="36">
        <f>G5+H5</f>
        <v>80000</v>
      </c>
      <c r="M5" s="211"/>
      <c r="N5" s="211"/>
      <c r="O5" s="211"/>
      <c r="P5" s="211"/>
      <c r="Q5" s="211"/>
      <c r="R5" s="211"/>
    </row>
    <row r="6" spans="2:18" ht="81" customHeight="1" x14ac:dyDescent="0.25">
      <c r="B6" s="195" t="s">
        <v>149</v>
      </c>
      <c r="C6" s="32" t="s">
        <v>218</v>
      </c>
      <c r="D6" s="33">
        <v>30</v>
      </c>
      <c r="E6" s="33">
        <v>1000</v>
      </c>
      <c r="F6" s="33">
        <f t="shared" ref="F6:F8" si="0">D6*E6</f>
        <v>30000</v>
      </c>
      <c r="G6" s="34">
        <f>F6</f>
        <v>30000</v>
      </c>
      <c r="H6" s="34"/>
      <c r="I6" s="34"/>
      <c r="J6" s="37" t="s">
        <v>26</v>
      </c>
      <c r="K6" s="37"/>
      <c r="M6" s="211"/>
      <c r="N6" s="211">
        <v>15000</v>
      </c>
      <c r="O6" s="211">
        <v>15000</v>
      </c>
      <c r="P6" s="211"/>
      <c r="Q6" s="211"/>
      <c r="R6" s="206">
        <f>SUM(M6:Q6)</f>
        <v>30000</v>
      </c>
    </row>
    <row r="7" spans="2:18" ht="47.25" customHeight="1" x14ac:dyDescent="0.25">
      <c r="B7" s="195" t="s">
        <v>148</v>
      </c>
      <c r="C7" s="32" t="s">
        <v>218</v>
      </c>
      <c r="D7" s="33">
        <v>30</v>
      </c>
      <c r="E7" s="33">
        <v>1000</v>
      </c>
      <c r="F7" s="33">
        <f t="shared" si="0"/>
        <v>30000</v>
      </c>
      <c r="G7" s="34">
        <f t="shared" ref="G7:G8" si="1">F7</f>
        <v>30000</v>
      </c>
      <c r="H7" s="34"/>
      <c r="I7" s="34"/>
      <c r="J7" s="37" t="s">
        <v>26</v>
      </c>
      <c r="K7" s="37"/>
      <c r="M7" s="211"/>
      <c r="N7" s="211">
        <v>15000</v>
      </c>
      <c r="O7" s="211">
        <v>15000</v>
      </c>
      <c r="P7" s="211"/>
      <c r="Q7" s="211"/>
      <c r="R7" s="206">
        <f t="shared" ref="R7:R8" si="2">SUM(M7:Q7)</f>
        <v>30000</v>
      </c>
    </row>
    <row r="8" spans="2:18" ht="63" x14ac:dyDescent="0.25">
      <c r="B8" s="195" t="s">
        <v>83</v>
      </c>
      <c r="C8" s="32" t="s">
        <v>115</v>
      </c>
      <c r="D8" s="33">
        <v>1</v>
      </c>
      <c r="E8" s="33">
        <v>20000</v>
      </c>
      <c r="F8" s="33">
        <f t="shared" si="0"/>
        <v>20000</v>
      </c>
      <c r="G8" s="34">
        <f t="shared" si="1"/>
        <v>20000</v>
      </c>
      <c r="H8" s="34"/>
      <c r="I8" s="34"/>
      <c r="J8" s="37" t="s">
        <v>67</v>
      </c>
      <c r="K8" s="37"/>
      <c r="M8" s="211"/>
      <c r="N8" s="211"/>
      <c r="O8" s="211">
        <v>10000</v>
      </c>
      <c r="P8" s="211">
        <v>10000</v>
      </c>
      <c r="Q8" s="211"/>
      <c r="R8" s="206">
        <f t="shared" si="2"/>
        <v>20000</v>
      </c>
    </row>
  </sheetData>
  <pageMargins left="0.2" right="0.2" top="0.25" bottom="0.25" header="0.3" footer="0.3"/>
  <pageSetup paperSize="5" scale="7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7"/>
  <sheetViews>
    <sheetView zoomScale="70" zoomScaleNormal="70" workbookViewId="0">
      <selection activeCell="B42" sqref="B42"/>
    </sheetView>
  </sheetViews>
  <sheetFormatPr defaultRowHeight="15" x14ac:dyDescent="0.25"/>
  <cols>
    <col min="1" max="1" width="3" customWidth="1"/>
    <col min="2" max="2" width="32"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40.85546875" customWidth="1"/>
  </cols>
  <sheetData>
    <row r="2" spans="2:18" x14ac:dyDescent="0.25">
      <c r="B2" s="22" t="s">
        <v>1099</v>
      </c>
    </row>
    <row r="4" spans="2:18" ht="90" x14ac:dyDescent="0.25">
      <c r="B4" s="35" t="s">
        <v>1</v>
      </c>
      <c r="C4" s="29" t="s">
        <v>2</v>
      </c>
      <c r="D4" s="30" t="s">
        <v>4</v>
      </c>
      <c r="E4" s="30" t="s">
        <v>3</v>
      </c>
      <c r="F4" s="30" t="s">
        <v>917</v>
      </c>
      <c r="G4" s="31" t="s">
        <v>6</v>
      </c>
      <c r="H4" s="31" t="s">
        <v>941</v>
      </c>
      <c r="I4" s="31" t="s">
        <v>204</v>
      </c>
      <c r="J4" s="36" t="s">
        <v>8</v>
      </c>
      <c r="K4" s="36" t="s">
        <v>22</v>
      </c>
      <c r="M4" s="211">
        <v>2015</v>
      </c>
      <c r="N4" s="211">
        <v>2016</v>
      </c>
      <c r="O4" s="211">
        <v>2017</v>
      </c>
      <c r="P4" s="211">
        <v>2018</v>
      </c>
      <c r="Q4" s="211">
        <v>2019</v>
      </c>
      <c r="R4" s="206" t="s">
        <v>28</v>
      </c>
    </row>
    <row r="5" spans="2:18" x14ac:dyDescent="0.25">
      <c r="B5" s="35" t="s">
        <v>28</v>
      </c>
      <c r="C5" s="29"/>
      <c r="D5" s="30"/>
      <c r="E5" s="30"/>
      <c r="F5" s="30">
        <f>SUM(F7:F7)</f>
        <v>100000</v>
      </c>
      <c r="G5" s="31">
        <f>SUM(G7:G7)</f>
        <v>100000</v>
      </c>
      <c r="H5" s="31">
        <f>SUM(H7:H7)</f>
        <v>0</v>
      </c>
      <c r="I5" s="31">
        <f>I6</f>
        <v>72800</v>
      </c>
      <c r="J5" s="36"/>
      <c r="K5" s="36">
        <f>G5+H5</f>
        <v>100000</v>
      </c>
      <c r="M5" s="211"/>
      <c r="N5" s="211"/>
      <c r="O5" s="211"/>
      <c r="P5" s="211"/>
      <c r="Q5" s="211"/>
      <c r="R5" s="211"/>
    </row>
    <row r="6" spans="2:18" ht="30" x14ac:dyDescent="0.25">
      <c r="B6" s="190" t="s">
        <v>1102</v>
      </c>
      <c r="C6" s="85" t="s">
        <v>1103</v>
      </c>
      <c r="D6" s="51">
        <v>14</v>
      </c>
      <c r="E6" s="55">
        <f>400*13</f>
        <v>5200</v>
      </c>
      <c r="F6" s="55"/>
      <c r="G6" s="117"/>
      <c r="H6" s="117"/>
      <c r="I6" s="117">
        <f>D6*E6</f>
        <v>72800</v>
      </c>
      <c r="J6" s="36"/>
      <c r="K6" s="54" t="s">
        <v>1104</v>
      </c>
      <c r="M6" s="211"/>
      <c r="N6" s="211"/>
      <c r="O6" s="211"/>
      <c r="P6" s="211"/>
      <c r="Q6" s="211"/>
      <c r="R6" s="211"/>
    </row>
    <row r="7" spans="2:18" ht="60" x14ac:dyDescent="0.25">
      <c r="B7" s="195" t="s">
        <v>82</v>
      </c>
      <c r="C7" s="32" t="s">
        <v>152</v>
      </c>
      <c r="D7" s="55">
        <v>4</v>
      </c>
      <c r="E7" s="33">
        <v>25000</v>
      </c>
      <c r="F7" s="33">
        <f t="shared" ref="F7" si="0">D7*E7</f>
        <v>100000</v>
      </c>
      <c r="G7" s="34">
        <f t="shared" ref="G7" si="1">F7</f>
        <v>100000</v>
      </c>
      <c r="H7" s="34"/>
      <c r="I7" s="34"/>
      <c r="J7" s="37" t="s">
        <v>1189</v>
      </c>
      <c r="K7" s="37"/>
      <c r="M7" s="211"/>
      <c r="N7" s="210">
        <f>G7</f>
        <v>100000</v>
      </c>
      <c r="O7" s="211"/>
      <c r="P7" s="211"/>
      <c r="Q7" s="211"/>
      <c r="R7" s="205">
        <f>N7</f>
        <v>100000</v>
      </c>
    </row>
  </sheetData>
  <pageMargins left="0.2" right="0.2" top="0.25" bottom="0.25" header="0.3" footer="0.3"/>
  <pageSetup paperSize="5" scale="7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9"/>
  <sheetViews>
    <sheetView zoomScale="70" zoomScaleNormal="7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5.5703125" style="19" customWidth="1"/>
    <col min="7" max="7" width="9.28515625" style="19" customWidth="1"/>
    <col min="8" max="9" width="15.42578125" style="19" customWidth="1"/>
    <col min="10" max="10" width="22" style="1" customWidth="1"/>
    <col min="11" max="11" width="35.5703125" customWidth="1"/>
  </cols>
  <sheetData>
    <row r="2" spans="2:18" x14ac:dyDescent="0.25">
      <c r="B2" s="22" t="s">
        <v>1092</v>
      </c>
      <c r="C2" s="24"/>
    </row>
    <row r="4" spans="2:18" ht="45"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SUM(F9:F13)</f>
        <v>310000</v>
      </c>
      <c r="G5" s="31">
        <f>SUM(G6:G13)</f>
        <v>280000</v>
      </c>
      <c r="H5" s="31">
        <f t="shared" ref="H5:I5" si="0">SUM(H6:H13)</f>
        <v>30000</v>
      </c>
      <c r="I5" s="31">
        <f t="shared" si="0"/>
        <v>195000</v>
      </c>
      <c r="J5" s="49"/>
      <c r="K5" s="187">
        <f>G5+H5</f>
        <v>310000</v>
      </c>
      <c r="M5" s="211"/>
      <c r="N5" s="211"/>
      <c r="O5" s="211"/>
      <c r="P5" s="211"/>
      <c r="Q5" s="211"/>
      <c r="R5" s="211"/>
    </row>
    <row r="6" spans="2:18" x14ac:dyDescent="0.25">
      <c r="B6" s="91" t="s">
        <v>174</v>
      </c>
      <c r="C6" s="32" t="s">
        <v>181</v>
      </c>
      <c r="D6" s="33">
        <f>13*5</f>
        <v>65</v>
      </c>
      <c r="E6" s="33">
        <v>1000</v>
      </c>
      <c r="F6" s="33">
        <f>D6*E6</f>
        <v>65000</v>
      </c>
      <c r="G6" s="34"/>
      <c r="H6" s="34"/>
      <c r="I6" s="34">
        <f>F6</f>
        <v>65000</v>
      </c>
      <c r="J6" s="50"/>
      <c r="K6" s="50" t="s">
        <v>214</v>
      </c>
      <c r="M6" s="211"/>
      <c r="N6" s="211"/>
      <c r="O6" s="211"/>
      <c r="P6" s="211"/>
      <c r="Q6" s="211"/>
      <c r="R6" s="211"/>
    </row>
    <row r="7" spans="2:18" x14ac:dyDescent="0.25">
      <c r="B7" s="91" t="s">
        <v>175</v>
      </c>
      <c r="C7" s="32" t="s">
        <v>181</v>
      </c>
      <c r="D7" s="33">
        <f t="shared" ref="D7:D8" si="1">13*5</f>
        <v>65</v>
      </c>
      <c r="E7" s="33">
        <v>1000</v>
      </c>
      <c r="F7" s="33">
        <f t="shared" ref="F7:F8" si="2">D7*E7</f>
        <v>65000</v>
      </c>
      <c r="G7" s="34"/>
      <c r="H7" s="34"/>
      <c r="I7" s="34">
        <f t="shared" ref="I7:I8" si="3">F7</f>
        <v>65000</v>
      </c>
      <c r="J7" s="50"/>
      <c r="K7" s="50" t="s">
        <v>214</v>
      </c>
      <c r="M7" s="211"/>
      <c r="N7" s="211"/>
      <c r="O7" s="211"/>
      <c r="P7" s="211"/>
      <c r="Q7" s="211"/>
      <c r="R7" s="211"/>
    </row>
    <row r="8" spans="2:18" x14ac:dyDescent="0.25">
      <c r="B8" s="91" t="s">
        <v>176</v>
      </c>
      <c r="C8" s="32" t="s">
        <v>181</v>
      </c>
      <c r="D8" s="33">
        <f t="shared" si="1"/>
        <v>65</v>
      </c>
      <c r="E8" s="33">
        <v>1000</v>
      </c>
      <c r="F8" s="33">
        <f t="shared" si="2"/>
        <v>65000</v>
      </c>
      <c r="G8" s="34"/>
      <c r="H8" s="34"/>
      <c r="I8" s="34">
        <f t="shared" si="3"/>
        <v>65000</v>
      </c>
      <c r="J8" s="50"/>
      <c r="K8" s="50" t="s">
        <v>214</v>
      </c>
      <c r="M8" s="211"/>
      <c r="N8" s="211"/>
      <c r="O8" s="211"/>
      <c r="P8" s="211"/>
      <c r="Q8" s="211"/>
      <c r="R8" s="211"/>
    </row>
    <row r="9" spans="2:18" ht="66" customHeight="1" x14ac:dyDescent="0.25">
      <c r="B9" s="91" t="s">
        <v>210</v>
      </c>
      <c r="C9" s="32" t="s">
        <v>178</v>
      </c>
      <c r="D9" s="33">
        <v>3</v>
      </c>
      <c r="E9" s="33">
        <v>15000</v>
      </c>
      <c r="F9" s="33">
        <f>D9*E9</f>
        <v>45000</v>
      </c>
      <c r="G9" s="34">
        <f>F9</f>
        <v>45000</v>
      </c>
      <c r="H9" s="34"/>
      <c r="I9" s="34"/>
      <c r="J9" s="37" t="s">
        <v>1189</v>
      </c>
      <c r="K9" s="50"/>
      <c r="M9" s="211"/>
      <c r="N9" s="211"/>
      <c r="O9" s="210">
        <f>G9</f>
        <v>45000</v>
      </c>
      <c r="P9" s="211"/>
      <c r="Q9" s="211"/>
      <c r="R9" s="206">
        <f>SUM(M9:Q9)</f>
        <v>45000</v>
      </c>
    </row>
    <row r="10" spans="2:18" ht="35.25" customHeight="1" x14ac:dyDescent="0.25">
      <c r="B10" s="91" t="s">
        <v>203</v>
      </c>
      <c r="C10" s="32" t="s">
        <v>180</v>
      </c>
      <c r="D10" s="33">
        <v>15</v>
      </c>
      <c r="E10" s="33">
        <v>15000</v>
      </c>
      <c r="F10" s="33">
        <f>D10*E10</f>
        <v>225000</v>
      </c>
      <c r="G10" s="34">
        <f>F10</f>
        <v>225000</v>
      </c>
      <c r="H10" s="34"/>
      <c r="I10" s="34"/>
      <c r="J10" s="50" t="s">
        <v>26</v>
      </c>
      <c r="K10" s="50" t="s">
        <v>213</v>
      </c>
      <c r="M10" s="211"/>
      <c r="N10" s="211"/>
      <c r="O10" s="211">
        <v>75000</v>
      </c>
      <c r="P10" s="211">
        <v>100000</v>
      </c>
      <c r="Q10" s="211">
        <v>50000</v>
      </c>
      <c r="R10" s="206">
        <f t="shared" ref="R10:R13" si="4">SUM(M10:Q10)</f>
        <v>225000</v>
      </c>
    </row>
    <row r="11" spans="2:18" x14ac:dyDescent="0.25">
      <c r="B11" s="91" t="s">
        <v>179</v>
      </c>
      <c r="C11" s="32" t="s">
        <v>45</v>
      </c>
      <c r="D11" s="33">
        <v>1</v>
      </c>
      <c r="E11" s="55">
        <v>10000</v>
      </c>
      <c r="F11" s="33">
        <f>D11*E11</f>
        <v>10000</v>
      </c>
      <c r="G11" s="34">
        <f>F11</f>
        <v>10000</v>
      </c>
      <c r="H11" s="34"/>
      <c r="I11" s="34"/>
      <c r="J11" s="50"/>
      <c r="K11" s="50" t="s">
        <v>211</v>
      </c>
      <c r="M11" s="211"/>
      <c r="N11" s="211"/>
      <c r="O11" s="211">
        <v>10000</v>
      </c>
      <c r="P11" s="211"/>
      <c r="Q11" s="211"/>
      <c r="R11" s="206">
        <f t="shared" si="4"/>
        <v>10000</v>
      </c>
    </row>
    <row r="12" spans="2:18" x14ac:dyDescent="0.25">
      <c r="B12" s="91" t="s">
        <v>62</v>
      </c>
      <c r="C12" s="32"/>
      <c r="D12" s="33"/>
      <c r="E12" s="55"/>
      <c r="F12" s="33"/>
      <c r="G12" s="34"/>
      <c r="H12" s="34"/>
      <c r="I12" s="34"/>
      <c r="J12" s="50"/>
      <c r="K12" s="50" t="s">
        <v>177</v>
      </c>
      <c r="M12" s="211"/>
      <c r="N12" s="211"/>
      <c r="O12" s="211"/>
      <c r="P12" s="211"/>
      <c r="Q12" s="211"/>
      <c r="R12" s="206">
        <f t="shared" si="4"/>
        <v>0</v>
      </c>
    </row>
    <row r="13" spans="2:18" ht="30" x14ac:dyDescent="0.25">
      <c r="B13" s="91" t="s">
        <v>182</v>
      </c>
      <c r="C13" s="32" t="s">
        <v>907</v>
      </c>
      <c r="D13" s="33">
        <v>3</v>
      </c>
      <c r="E13" s="55">
        <v>10000</v>
      </c>
      <c r="F13" s="33">
        <f>D13*E13</f>
        <v>30000</v>
      </c>
      <c r="G13" s="34"/>
      <c r="H13" s="34">
        <f>F13</f>
        <v>30000</v>
      </c>
      <c r="I13" s="34"/>
      <c r="J13" s="50"/>
      <c r="K13" s="50" t="s">
        <v>1126</v>
      </c>
      <c r="M13" s="211"/>
      <c r="N13" s="211"/>
      <c r="O13" s="211">
        <v>10000</v>
      </c>
      <c r="P13" s="211">
        <v>20000</v>
      </c>
      <c r="Q13" s="211"/>
      <c r="R13" s="206">
        <f t="shared" si="4"/>
        <v>30000</v>
      </c>
    </row>
    <row r="14" spans="2:18" x14ac:dyDescent="0.25">
      <c r="B14" s="81"/>
      <c r="C14"/>
    </row>
    <row r="15" spans="2:18" x14ac:dyDescent="0.25">
      <c r="B15" s="81"/>
      <c r="C15"/>
    </row>
    <row r="16" spans="2:18" ht="15.75" x14ac:dyDescent="0.25">
      <c r="B16" s="81"/>
      <c r="C16" s="80"/>
    </row>
    <row r="17" spans="2:3" ht="15.75" x14ac:dyDescent="0.25">
      <c r="B17" s="81"/>
      <c r="C17" s="80"/>
    </row>
    <row r="18" spans="2:3" x14ac:dyDescent="0.25">
      <c r="B18" s="81"/>
      <c r="C18"/>
    </row>
    <row r="19" spans="2:3" x14ac:dyDescent="0.25">
      <c r="B19" s="81"/>
      <c r="C19"/>
    </row>
  </sheetData>
  <pageMargins left="0.2" right="0.2" top="0.25" bottom="0.25" header="0.3" footer="0.3"/>
  <pageSetup paperSize="5" scale="6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9"/>
  <sheetViews>
    <sheetView topLeftCell="C1" zoomScale="80" zoomScaleNormal="80" workbookViewId="0">
      <selection activeCell="B42" sqref="B42"/>
    </sheetView>
  </sheetViews>
  <sheetFormatPr defaultRowHeight="15" x14ac:dyDescent="0.25"/>
  <cols>
    <col min="1" max="1" width="3" customWidth="1"/>
    <col min="2" max="2" width="46.8554687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57.140625" customWidth="1"/>
  </cols>
  <sheetData>
    <row r="2" spans="2:18" x14ac:dyDescent="0.25">
      <c r="B2" s="197" t="s">
        <v>1106</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SUM(F6:F9)</f>
        <v>287500</v>
      </c>
      <c r="G5" s="31">
        <f>SUM(G6:G9)</f>
        <v>247500</v>
      </c>
      <c r="H5" s="31">
        <f>SUM(H6:H9)</f>
        <v>40000</v>
      </c>
      <c r="I5" s="31">
        <f>SUM(I6:I9)</f>
        <v>0</v>
      </c>
      <c r="J5" s="49"/>
      <c r="K5" s="49">
        <f>G5+H5</f>
        <v>287500</v>
      </c>
      <c r="M5" s="211"/>
      <c r="N5" s="211"/>
      <c r="O5" s="211"/>
      <c r="P5" s="211"/>
      <c r="Q5" s="211"/>
      <c r="R5" s="211"/>
    </row>
    <row r="6" spans="2:18" ht="31.5" customHeight="1" x14ac:dyDescent="0.25">
      <c r="B6" s="192" t="s">
        <v>153</v>
      </c>
      <c r="C6" s="85" t="s">
        <v>907</v>
      </c>
      <c r="D6" s="55">
        <v>4</v>
      </c>
      <c r="E6" s="55">
        <v>10000</v>
      </c>
      <c r="F6" s="55">
        <f>D6*E6</f>
        <v>40000</v>
      </c>
      <c r="G6" s="58"/>
      <c r="H6" s="58">
        <f>F6</f>
        <v>40000</v>
      </c>
      <c r="I6" s="58"/>
      <c r="J6" s="60"/>
      <c r="K6" s="68"/>
      <c r="M6" s="245">
        <v>95833</v>
      </c>
      <c r="N6" s="245">
        <v>95833</v>
      </c>
      <c r="O6" s="245">
        <v>95834</v>
      </c>
      <c r="P6" s="230"/>
      <c r="Q6" s="230"/>
      <c r="R6" s="250">
        <f>M6+N6+O6</f>
        <v>287500</v>
      </c>
    </row>
    <row r="7" spans="2:18" ht="22.5" customHeight="1" x14ac:dyDescent="0.25">
      <c r="B7" s="196" t="s">
        <v>932</v>
      </c>
      <c r="C7" s="56"/>
      <c r="D7" s="57"/>
      <c r="E7" s="57"/>
      <c r="F7" s="51"/>
      <c r="G7" s="58"/>
      <c r="H7" s="58"/>
      <c r="I7" s="58"/>
      <c r="J7" s="59"/>
      <c r="K7" s="111"/>
      <c r="M7" s="245"/>
      <c r="N7" s="245"/>
      <c r="O7" s="245"/>
      <c r="P7" s="230"/>
      <c r="Q7" s="230"/>
      <c r="R7" s="251"/>
    </row>
    <row r="8" spans="2:18" ht="30" x14ac:dyDescent="0.25">
      <c r="B8" s="193" t="s">
        <v>16</v>
      </c>
      <c r="C8" s="32" t="s">
        <v>925</v>
      </c>
      <c r="D8" s="55">
        <v>5500</v>
      </c>
      <c r="E8" s="55">
        <v>5</v>
      </c>
      <c r="F8" s="33">
        <f>D8*E8</f>
        <v>27500</v>
      </c>
      <c r="G8" s="34">
        <f>F8</f>
        <v>27500</v>
      </c>
      <c r="H8" s="34"/>
      <c r="I8" s="34"/>
      <c r="J8" s="50" t="s">
        <v>14</v>
      </c>
      <c r="K8" s="50"/>
      <c r="M8" s="245"/>
      <c r="N8" s="245"/>
      <c r="O8" s="245"/>
      <c r="P8" s="230"/>
      <c r="Q8" s="230"/>
      <c r="R8" s="251"/>
    </row>
    <row r="9" spans="2:18" ht="64.5" customHeight="1" x14ac:dyDescent="0.25">
      <c r="B9" s="193" t="s">
        <v>17</v>
      </c>
      <c r="C9" s="32" t="s">
        <v>18</v>
      </c>
      <c r="D9" s="55">
        <f>10*4*550</f>
        <v>22000</v>
      </c>
      <c r="E9" s="55">
        <v>10</v>
      </c>
      <c r="F9" s="33">
        <f>E9*D9</f>
        <v>220000</v>
      </c>
      <c r="G9" s="34">
        <f>F9</f>
        <v>220000</v>
      </c>
      <c r="H9" s="34"/>
      <c r="I9" s="34"/>
      <c r="J9" s="50" t="s">
        <v>24</v>
      </c>
      <c r="K9" s="50" t="s">
        <v>1150</v>
      </c>
      <c r="M9" s="245">
        <v>95833</v>
      </c>
      <c r="N9" s="245">
        <v>95833</v>
      </c>
      <c r="O9" s="245">
        <v>95833</v>
      </c>
      <c r="P9" s="230"/>
      <c r="Q9" s="230"/>
      <c r="R9" s="252"/>
    </row>
  </sheetData>
  <mergeCells count="4">
    <mergeCell ref="M6:M9"/>
    <mergeCell ref="N6:N9"/>
    <mergeCell ref="O6:O9"/>
    <mergeCell ref="R6:R9"/>
  </mergeCells>
  <pageMargins left="0.2" right="0.2" top="0.25" bottom="0.25" header="0.3" footer="0.3"/>
  <pageSetup paperSize="5" scale="62"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9"/>
  <sheetViews>
    <sheetView zoomScale="60" zoomScaleNormal="60" workbookViewId="0">
      <selection activeCell="B42" sqref="B42"/>
    </sheetView>
  </sheetViews>
  <sheetFormatPr defaultRowHeight="15" x14ac:dyDescent="0.25"/>
  <cols>
    <col min="1" max="1" width="3" customWidth="1"/>
    <col min="2" max="2" width="46.8554687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57.140625" customWidth="1"/>
  </cols>
  <sheetData>
    <row r="2" spans="2:18" x14ac:dyDescent="0.25">
      <c r="B2" s="198" t="s">
        <v>1107</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SUM(F7:F19)-SUM(F10:F19)</f>
        <v>279650</v>
      </c>
      <c r="G5" s="31">
        <f>SUM(G7:G19)</f>
        <v>90860</v>
      </c>
      <c r="H5" s="31">
        <f>SUM(H7:H19)</f>
        <v>188790</v>
      </c>
      <c r="I5" s="31">
        <f>SUM(I6:I19)</f>
        <v>1218750</v>
      </c>
      <c r="J5" s="49"/>
      <c r="K5" s="49">
        <f>G5+H5</f>
        <v>279650</v>
      </c>
      <c r="M5" s="211"/>
      <c r="N5" s="211"/>
      <c r="O5" s="211"/>
      <c r="P5" s="211"/>
      <c r="Q5" s="211"/>
      <c r="R5" s="211"/>
    </row>
    <row r="6" spans="2:18" ht="31.5" customHeight="1" x14ac:dyDescent="0.25">
      <c r="B6" s="90" t="s">
        <v>1205</v>
      </c>
      <c r="C6" s="56" t="s">
        <v>150</v>
      </c>
      <c r="D6" s="55">
        <v>75</v>
      </c>
      <c r="E6" s="57">
        <f>250*13*5</f>
        <v>16250</v>
      </c>
      <c r="F6" s="57">
        <f>D6*E6</f>
        <v>1218750</v>
      </c>
      <c r="G6" s="58"/>
      <c r="H6" s="58"/>
      <c r="I6" s="58">
        <f>F6</f>
        <v>1218750</v>
      </c>
      <c r="J6" s="60"/>
      <c r="K6" s="60" t="s">
        <v>151</v>
      </c>
      <c r="M6" s="211"/>
      <c r="N6" s="211"/>
      <c r="O6" s="211"/>
      <c r="P6" s="211"/>
      <c r="Q6" s="211"/>
      <c r="R6" s="211"/>
    </row>
    <row r="7" spans="2:18" ht="31.5" customHeight="1" x14ac:dyDescent="0.25">
      <c r="B7" s="90" t="s">
        <v>1204</v>
      </c>
      <c r="C7" s="56" t="s">
        <v>1155</v>
      </c>
      <c r="D7" s="55">
        <f>75*3</f>
        <v>225</v>
      </c>
      <c r="E7" s="57">
        <v>200</v>
      </c>
      <c r="F7" s="57">
        <f>D7*E7</f>
        <v>45000</v>
      </c>
      <c r="G7" s="58">
        <f>F7</f>
        <v>45000</v>
      </c>
      <c r="H7" s="58"/>
      <c r="I7" s="58"/>
      <c r="J7" s="60"/>
      <c r="K7" s="60" t="s">
        <v>1203</v>
      </c>
      <c r="M7" s="211">
        <f>$G$7/3</f>
        <v>15000</v>
      </c>
      <c r="N7" s="211">
        <f t="shared" ref="N7:O7" si="0">$G$7/3</f>
        <v>15000</v>
      </c>
      <c r="O7" s="211">
        <f t="shared" si="0"/>
        <v>15000</v>
      </c>
      <c r="P7" s="211"/>
      <c r="Q7" s="211"/>
      <c r="R7" s="206">
        <f>SUM(M7:Q7)</f>
        <v>45000</v>
      </c>
    </row>
    <row r="8" spans="2:18" ht="38.25" customHeight="1" x14ac:dyDescent="0.25">
      <c r="B8" s="128" t="s">
        <v>934</v>
      </c>
      <c r="C8" s="56" t="s">
        <v>209</v>
      </c>
      <c r="D8" s="55">
        <f>2*3*10</f>
        <v>60</v>
      </c>
      <c r="E8" s="57">
        <v>2000</v>
      </c>
      <c r="F8" s="57">
        <f>D8*E8</f>
        <v>120000</v>
      </c>
      <c r="G8" s="58"/>
      <c r="H8" s="58">
        <f>F8</f>
        <v>120000</v>
      </c>
      <c r="I8" s="58"/>
      <c r="J8" s="83" t="s">
        <v>24</v>
      </c>
      <c r="K8" s="60" t="s">
        <v>1127</v>
      </c>
      <c r="M8" s="211">
        <f>$H$8/3</f>
        <v>40000</v>
      </c>
      <c r="N8" s="211">
        <f t="shared" ref="N8:O8" si="1">$H$8/3</f>
        <v>40000</v>
      </c>
      <c r="O8" s="211">
        <f t="shared" si="1"/>
        <v>40000</v>
      </c>
      <c r="P8" s="211"/>
      <c r="Q8" s="211"/>
      <c r="R8" s="206">
        <f t="shared" ref="R8:R9" si="2">SUM(M8:Q8)</f>
        <v>120000</v>
      </c>
    </row>
    <row r="9" spans="2:18" ht="74.25" customHeight="1" x14ac:dyDescent="0.25">
      <c r="B9" s="192" t="s">
        <v>959</v>
      </c>
      <c r="C9" s="56"/>
      <c r="D9" s="57"/>
      <c r="E9" s="57"/>
      <c r="F9" s="55">
        <f>SUM(F10:F19)</f>
        <v>114650</v>
      </c>
      <c r="G9" s="58">
        <f>F9*2/5</f>
        <v>45860</v>
      </c>
      <c r="H9" s="58">
        <f>F9*3/5</f>
        <v>68790</v>
      </c>
      <c r="I9" s="58"/>
      <c r="J9" s="59"/>
      <c r="K9" s="60" t="s">
        <v>1081</v>
      </c>
      <c r="M9" s="210">
        <f>$F$9/5</f>
        <v>22930</v>
      </c>
      <c r="N9" s="210">
        <f t="shared" ref="N9:Q9" si="3">$F$9/5</f>
        <v>22930</v>
      </c>
      <c r="O9" s="210">
        <f t="shared" si="3"/>
        <v>22930</v>
      </c>
      <c r="P9" s="210">
        <f t="shared" si="3"/>
        <v>22930</v>
      </c>
      <c r="Q9" s="210">
        <f t="shared" si="3"/>
        <v>22930</v>
      </c>
      <c r="R9" s="206">
        <f t="shared" si="2"/>
        <v>114650</v>
      </c>
    </row>
    <row r="10" spans="2:18" s="53" customFormat="1" x14ac:dyDescent="0.25">
      <c r="B10" s="200" t="s">
        <v>92</v>
      </c>
      <c r="C10" s="62" t="s">
        <v>2</v>
      </c>
      <c r="D10" s="86">
        <v>30</v>
      </c>
      <c r="E10" s="132">
        <v>20</v>
      </c>
      <c r="F10" s="86">
        <f>D10*E10</f>
        <v>600</v>
      </c>
      <c r="G10" s="65"/>
      <c r="H10" s="65"/>
      <c r="I10" s="65"/>
      <c r="J10" s="253" t="s">
        <v>1179</v>
      </c>
      <c r="K10" s="59"/>
    </row>
    <row r="11" spans="2:18" s="53" customFormat="1" x14ac:dyDescent="0.25">
      <c r="B11" s="200" t="s">
        <v>93</v>
      </c>
      <c r="C11" s="62" t="s">
        <v>2</v>
      </c>
      <c r="D11" s="86">
        <v>40000</v>
      </c>
      <c r="E11" s="132">
        <v>0.7</v>
      </c>
      <c r="F11" s="86">
        <f t="shared" ref="F11:F19" si="4">D11*E11</f>
        <v>28000</v>
      </c>
      <c r="G11" s="65"/>
      <c r="H11" s="65"/>
      <c r="I11" s="65"/>
      <c r="J11" s="254"/>
      <c r="K11" s="59"/>
    </row>
    <row r="12" spans="2:18" s="53" customFormat="1" x14ac:dyDescent="0.25">
      <c r="B12" s="200" t="s">
        <v>960</v>
      </c>
      <c r="C12" s="62" t="s">
        <v>2</v>
      </c>
      <c r="D12" s="86">
        <v>4000</v>
      </c>
      <c r="E12" s="132">
        <v>0.2</v>
      </c>
      <c r="F12" s="86">
        <f t="shared" si="4"/>
        <v>800</v>
      </c>
      <c r="G12" s="65"/>
      <c r="H12" s="65"/>
      <c r="I12" s="65"/>
      <c r="J12" s="254"/>
      <c r="K12" s="59"/>
    </row>
    <row r="13" spans="2:18" s="53" customFormat="1" ht="15.75" customHeight="1" x14ac:dyDescent="0.25">
      <c r="B13" s="200" t="s">
        <v>188</v>
      </c>
      <c r="C13" s="62" t="s">
        <v>2</v>
      </c>
      <c r="D13" s="86">
        <v>30000</v>
      </c>
      <c r="E13" s="132">
        <v>0.1</v>
      </c>
      <c r="F13" s="86">
        <f t="shared" si="4"/>
        <v>3000</v>
      </c>
      <c r="G13" s="65"/>
      <c r="H13" s="65"/>
      <c r="I13" s="65"/>
      <c r="J13" s="254"/>
      <c r="K13" s="59"/>
    </row>
    <row r="14" spans="2:18" s="53" customFormat="1" ht="15.75" customHeight="1" x14ac:dyDescent="0.25">
      <c r="B14" s="200" t="s">
        <v>961</v>
      </c>
      <c r="C14" s="62" t="s">
        <v>2</v>
      </c>
      <c r="D14" s="86">
        <v>5000</v>
      </c>
      <c r="E14" s="87">
        <v>0.05</v>
      </c>
      <c r="F14" s="86">
        <f t="shared" si="4"/>
        <v>250</v>
      </c>
      <c r="G14" s="65"/>
      <c r="H14" s="65"/>
      <c r="I14" s="65"/>
      <c r="J14" s="254"/>
      <c r="K14" s="59"/>
    </row>
    <row r="15" spans="2:18" s="53" customFormat="1" ht="15.75" customHeight="1" x14ac:dyDescent="0.25">
      <c r="B15" s="200" t="s">
        <v>962</v>
      </c>
      <c r="C15" s="62" t="s">
        <v>115</v>
      </c>
      <c r="D15" s="86">
        <v>1</v>
      </c>
      <c r="E15" s="132">
        <v>8000</v>
      </c>
      <c r="F15" s="86">
        <f t="shared" si="4"/>
        <v>8000</v>
      </c>
      <c r="G15" s="65"/>
      <c r="H15" s="65"/>
      <c r="I15" s="65"/>
      <c r="J15" s="254"/>
      <c r="K15" s="59"/>
    </row>
    <row r="16" spans="2:18" s="53" customFormat="1" ht="15.75" customHeight="1" x14ac:dyDescent="0.25">
      <c r="B16" s="200" t="s">
        <v>963</v>
      </c>
      <c r="C16" s="62" t="s">
        <v>115</v>
      </c>
      <c r="D16" s="86">
        <v>1</v>
      </c>
      <c r="E16" s="132">
        <v>2000</v>
      </c>
      <c r="F16" s="86">
        <f t="shared" si="4"/>
        <v>2000</v>
      </c>
      <c r="G16" s="65"/>
      <c r="H16" s="65"/>
      <c r="I16" s="65"/>
      <c r="J16" s="254"/>
      <c r="K16" s="59"/>
    </row>
    <row r="17" spans="2:11" s="53" customFormat="1" ht="15.75" customHeight="1" x14ac:dyDescent="0.25">
      <c r="B17" s="200" t="s">
        <v>964</v>
      </c>
      <c r="C17" s="62" t="s">
        <v>115</v>
      </c>
      <c r="D17" s="86">
        <v>1</v>
      </c>
      <c r="E17" s="132">
        <v>2000</v>
      </c>
      <c r="F17" s="86">
        <f t="shared" si="4"/>
        <v>2000</v>
      </c>
      <c r="G17" s="65"/>
      <c r="H17" s="65"/>
      <c r="I17" s="65"/>
      <c r="J17" s="254"/>
      <c r="K17" s="59"/>
    </row>
    <row r="18" spans="2:11" s="53" customFormat="1" x14ac:dyDescent="0.25">
      <c r="B18" s="200" t="s">
        <v>94</v>
      </c>
      <c r="C18" s="62" t="s">
        <v>115</v>
      </c>
      <c r="D18" s="86">
        <v>1</v>
      </c>
      <c r="E18" s="132">
        <v>1000</v>
      </c>
      <c r="F18" s="86">
        <f t="shared" si="4"/>
        <v>1000</v>
      </c>
      <c r="G18" s="65"/>
      <c r="H18" s="65"/>
      <c r="I18" s="65"/>
      <c r="J18" s="255"/>
      <c r="K18" s="59"/>
    </row>
    <row r="19" spans="2:11" s="53" customFormat="1" ht="60" x14ac:dyDescent="0.25">
      <c r="B19" s="200" t="s">
        <v>965</v>
      </c>
      <c r="C19" s="62" t="s">
        <v>2</v>
      </c>
      <c r="D19" s="86">
        <v>30</v>
      </c>
      <c r="E19" s="132">
        <v>2300</v>
      </c>
      <c r="F19" s="86">
        <f t="shared" si="4"/>
        <v>69000</v>
      </c>
      <c r="G19" s="65"/>
      <c r="H19" s="65"/>
      <c r="I19" s="65"/>
      <c r="J19" s="59" t="s">
        <v>24</v>
      </c>
      <c r="K19" s="59" t="s">
        <v>966</v>
      </c>
    </row>
  </sheetData>
  <mergeCells count="1">
    <mergeCell ref="J10:J18"/>
  </mergeCells>
  <pageMargins left="0.2" right="0.2" top="0.25" bottom="0.25" header="0.3" footer="0.3"/>
  <pageSetup paperSize="5"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4"/>
  <sheetViews>
    <sheetView zoomScale="70" zoomScaleNormal="70" workbookViewId="0">
      <selection activeCell="B42" sqref="B42"/>
    </sheetView>
  </sheetViews>
  <sheetFormatPr defaultRowHeight="15" x14ac:dyDescent="0.25"/>
  <cols>
    <col min="1" max="1" width="3.85546875" customWidth="1"/>
    <col min="2" max="2" width="35.85546875" customWidth="1"/>
    <col min="6" max="6" width="15.5703125" customWidth="1"/>
    <col min="8" max="8" width="12.42578125" customWidth="1"/>
    <col min="9" max="9" width="14.42578125" customWidth="1"/>
    <col min="10" max="10" width="27.42578125" customWidth="1"/>
    <col min="11" max="11" width="38.7109375" customWidth="1"/>
    <col min="18" max="18" width="14.42578125" customWidth="1"/>
  </cols>
  <sheetData>
    <row r="1" spans="2:18" s="20" customFormat="1" x14ac:dyDescent="0.25"/>
    <row r="2" spans="2:18" s="20" customFormat="1" ht="15.75" x14ac:dyDescent="0.25">
      <c r="B2" s="25" t="s">
        <v>943</v>
      </c>
    </row>
    <row r="4" spans="2:18" ht="57" customHeight="1" x14ac:dyDescent="0.25">
      <c r="B4" s="48" t="s">
        <v>1</v>
      </c>
      <c r="C4" s="29" t="s">
        <v>2</v>
      </c>
      <c r="D4" s="30" t="s">
        <v>4</v>
      </c>
      <c r="E4" s="30" t="s">
        <v>3</v>
      </c>
      <c r="F4" s="30" t="s">
        <v>917</v>
      </c>
      <c r="G4" s="31" t="s">
        <v>6</v>
      </c>
      <c r="H4" s="31" t="s">
        <v>941</v>
      </c>
      <c r="I4" s="31" t="s">
        <v>204</v>
      </c>
      <c r="J4" s="49" t="s">
        <v>8</v>
      </c>
      <c r="K4" s="49" t="s">
        <v>22</v>
      </c>
      <c r="M4" s="232">
        <v>2015</v>
      </c>
      <c r="N4" s="232">
        <v>2016</v>
      </c>
      <c r="O4" s="232">
        <v>2017</v>
      </c>
      <c r="P4" s="232">
        <v>2018</v>
      </c>
      <c r="Q4" s="232">
        <v>2019</v>
      </c>
      <c r="R4" s="236" t="s">
        <v>28</v>
      </c>
    </row>
    <row r="5" spans="2:18" x14ac:dyDescent="0.25">
      <c r="B5" s="48" t="s">
        <v>28</v>
      </c>
      <c r="C5" s="29"/>
      <c r="D5" s="30"/>
      <c r="E5" s="30"/>
      <c r="F5" s="30">
        <f>SUM(F6:F8)</f>
        <v>1915000</v>
      </c>
      <c r="G5" s="31">
        <f t="shared" ref="G5:H5" si="0">SUM(G6:G8)</f>
        <v>1915000</v>
      </c>
      <c r="H5" s="31">
        <f t="shared" si="0"/>
        <v>0</v>
      </c>
      <c r="I5" s="31"/>
      <c r="J5" s="49"/>
      <c r="K5" s="49">
        <f>G5+H5</f>
        <v>1915000</v>
      </c>
      <c r="M5" s="232"/>
      <c r="N5" s="232"/>
      <c r="O5" s="232"/>
      <c r="P5" s="232"/>
      <c r="Q5" s="232"/>
      <c r="R5" s="236"/>
    </row>
    <row r="6" spans="2:18" ht="75" x14ac:dyDescent="0.25">
      <c r="B6" s="91" t="s">
        <v>186</v>
      </c>
      <c r="C6" s="32" t="s">
        <v>56</v>
      </c>
      <c r="D6" s="33">
        <v>5</v>
      </c>
      <c r="E6" s="33">
        <v>5000</v>
      </c>
      <c r="F6" s="33">
        <f>D6*E6</f>
        <v>25000</v>
      </c>
      <c r="G6" s="34">
        <f>F6</f>
        <v>25000</v>
      </c>
      <c r="H6" s="34"/>
      <c r="I6" s="34"/>
      <c r="J6" s="50" t="s">
        <v>184</v>
      </c>
      <c r="K6" s="50" t="s">
        <v>185</v>
      </c>
      <c r="M6" s="211">
        <v>10000</v>
      </c>
      <c r="N6" s="211">
        <v>10000</v>
      </c>
      <c r="O6" s="211">
        <v>5000</v>
      </c>
      <c r="P6" s="211"/>
      <c r="Q6" s="211"/>
      <c r="R6" s="206">
        <f>SUM(M6:Q6)</f>
        <v>25000</v>
      </c>
    </row>
    <row r="7" spans="2:18" ht="30" x14ac:dyDescent="0.25">
      <c r="B7" s="91" t="s">
        <v>57</v>
      </c>
      <c r="C7" s="32" t="s">
        <v>56</v>
      </c>
      <c r="D7" s="33">
        <v>5</v>
      </c>
      <c r="E7" s="55">
        <v>360000</v>
      </c>
      <c r="F7" s="33">
        <f>D7*E7</f>
        <v>1800000</v>
      </c>
      <c r="G7" s="34">
        <f>F7</f>
        <v>1800000</v>
      </c>
      <c r="H7" s="34"/>
      <c r="I7" s="34"/>
      <c r="J7" s="50" t="s">
        <v>942</v>
      </c>
      <c r="K7" s="50" t="s">
        <v>59</v>
      </c>
      <c r="M7" s="211"/>
      <c r="N7" s="211">
        <f>0.9*720000*3/4</f>
        <v>486000</v>
      </c>
      <c r="O7" s="211">
        <f>0.9*720000</f>
        <v>648000</v>
      </c>
      <c r="P7" s="211">
        <v>576000</v>
      </c>
      <c r="Q7" s="211">
        <f>0.05*G7</f>
        <v>90000</v>
      </c>
      <c r="R7" s="206">
        <f t="shared" ref="R7:R8" si="1">SUM(M7:Q7)</f>
        <v>1800000</v>
      </c>
    </row>
    <row r="8" spans="2:18" ht="45" x14ac:dyDescent="0.25">
      <c r="B8" s="91" t="s">
        <v>58</v>
      </c>
      <c r="C8" s="32" t="s">
        <v>56</v>
      </c>
      <c r="D8" s="33">
        <v>5</v>
      </c>
      <c r="E8" s="33">
        <f>E7*5%</f>
        <v>18000</v>
      </c>
      <c r="F8" s="33">
        <f>D8*E8</f>
        <v>90000</v>
      </c>
      <c r="G8" s="34">
        <f>F8</f>
        <v>90000</v>
      </c>
      <c r="H8" s="34"/>
      <c r="I8" s="34"/>
      <c r="J8" s="50" t="s">
        <v>1136</v>
      </c>
      <c r="K8" s="50"/>
      <c r="M8" s="211"/>
      <c r="N8" s="211">
        <v>18000</v>
      </c>
      <c r="O8" s="211">
        <v>36000</v>
      </c>
      <c r="P8" s="211">
        <v>18000</v>
      </c>
      <c r="Q8" s="211">
        <v>18000</v>
      </c>
      <c r="R8" s="206">
        <f t="shared" si="1"/>
        <v>90000</v>
      </c>
    </row>
    <row r="10" spans="2:18" x14ac:dyDescent="0.25">
      <c r="B10" s="21" t="s">
        <v>183</v>
      </c>
      <c r="C10" s="13"/>
    </row>
    <row r="11" spans="2:18" x14ac:dyDescent="0.25">
      <c r="B11" s="21" t="s">
        <v>199</v>
      </c>
    </row>
    <row r="12" spans="2:18" x14ac:dyDescent="0.25">
      <c r="B12" s="21" t="s">
        <v>1119</v>
      </c>
    </row>
    <row r="13" spans="2:18" x14ac:dyDescent="0.25">
      <c r="B13" s="21" t="s">
        <v>1120</v>
      </c>
    </row>
    <row r="14" spans="2:18" x14ac:dyDescent="0.25">
      <c r="B14" s="27"/>
    </row>
  </sheetData>
  <pageMargins left="0.2" right="0.2" top="0.25" bottom="0.25" header="0.3" footer="0.3"/>
  <pageSetup paperSize="5" scale="68"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2"/>
  <sheetViews>
    <sheetView topLeftCell="C1" zoomScale="70" zoomScaleNormal="70" workbookViewId="0">
      <selection activeCell="B42" sqref="B42"/>
    </sheetView>
  </sheetViews>
  <sheetFormatPr defaultRowHeight="15" x14ac:dyDescent="0.25"/>
  <cols>
    <col min="1" max="1" width="3" customWidth="1"/>
    <col min="2" max="2" width="46.8554687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57.140625" customWidth="1"/>
  </cols>
  <sheetData>
    <row r="2" spans="2:18" x14ac:dyDescent="0.25">
      <c r="B2" s="197" t="s">
        <v>1108</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F6</f>
        <v>160000</v>
      </c>
      <c r="G5" s="31">
        <f>SUM(G6:G6)</f>
        <v>160000</v>
      </c>
      <c r="H5" s="31">
        <f>SUM(H6:H6)</f>
        <v>0</v>
      </c>
      <c r="I5" s="31">
        <f>SUM(I6:I6)</f>
        <v>0</v>
      </c>
      <c r="J5" s="49"/>
      <c r="K5" s="49">
        <f>G5+H5</f>
        <v>160000</v>
      </c>
      <c r="M5" s="211"/>
      <c r="N5" s="211"/>
      <c r="O5" s="211"/>
      <c r="P5" s="211"/>
      <c r="Q5" s="211"/>
      <c r="R5" s="211"/>
    </row>
    <row r="6" spans="2:18" ht="221.25" customHeight="1" x14ac:dyDescent="0.25">
      <c r="B6" s="191" t="s">
        <v>929</v>
      </c>
      <c r="C6" s="56" t="s">
        <v>52</v>
      </c>
      <c r="D6" s="55">
        <v>4</v>
      </c>
      <c r="E6" s="55">
        <v>40000</v>
      </c>
      <c r="F6" s="55">
        <f>D6*E6</f>
        <v>160000</v>
      </c>
      <c r="G6" s="117">
        <f>F6</f>
        <v>160000</v>
      </c>
      <c r="H6" s="58"/>
      <c r="I6" s="58"/>
      <c r="J6" s="59" t="s">
        <v>1192</v>
      </c>
      <c r="K6" s="59" t="s">
        <v>1018</v>
      </c>
      <c r="M6" s="230">
        <f>G6/2</f>
        <v>80000</v>
      </c>
      <c r="N6" s="230">
        <f>G6/2</f>
        <v>80000</v>
      </c>
      <c r="O6" s="230"/>
      <c r="P6" s="230"/>
      <c r="Q6" s="230"/>
      <c r="R6" s="231">
        <f>M6+N6</f>
        <v>160000</v>
      </c>
    </row>
    <row r="7" spans="2:18" ht="15.75" x14ac:dyDescent="0.25">
      <c r="B7" s="21"/>
      <c r="C7" s="44"/>
    </row>
    <row r="9" spans="2:18" ht="30" x14ac:dyDescent="0.25">
      <c r="B9" s="126" t="s">
        <v>1206</v>
      </c>
      <c r="C9" s="126">
        <v>496</v>
      </c>
    </row>
    <row r="10" spans="2:18" ht="30" x14ac:dyDescent="0.25">
      <c r="B10" s="126" t="s">
        <v>1207</v>
      </c>
      <c r="C10" s="126">
        <f>496*20*3</f>
        <v>29760</v>
      </c>
    </row>
    <row r="11" spans="2:18" ht="30" x14ac:dyDescent="0.25">
      <c r="B11" s="126" t="s">
        <v>1208</v>
      </c>
      <c r="C11" s="126">
        <f>C10/2</f>
        <v>14880</v>
      </c>
    </row>
    <row r="12" spans="2:18" x14ac:dyDescent="0.25">
      <c r="B12" s="126" t="s">
        <v>1209</v>
      </c>
      <c r="C12" s="126">
        <f>100*C11/800000</f>
        <v>1.86</v>
      </c>
    </row>
  </sheetData>
  <pageMargins left="0.2" right="0.2" top="0.25" bottom="0.25" header="0.3" footer="0.3"/>
  <pageSetup paperSize="5" scale="62" fitToHeight="0" orientation="landscape"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R6"/>
  <sheetViews>
    <sheetView topLeftCell="C1" zoomScale="70" zoomScaleNormal="70" workbookViewId="0">
      <selection activeCell="B42" sqref="B42"/>
    </sheetView>
  </sheetViews>
  <sheetFormatPr defaultRowHeight="15" x14ac:dyDescent="0.25"/>
  <cols>
    <col min="1" max="1" width="3" customWidth="1"/>
    <col min="2" max="2" width="46.8554687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57.140625" customWidth="1"/>
  </cols>
  <sheetData>
    <row r="2" spans="2:18" x14ac:dyDescent="0.25">
      <c r="B2" s="197" t="s">
        <v>1105</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F6</f>
        <v>112500.00000000001</v>
      </c>
      <c r="G5" s="31">
        <f>SUM(G6:G6)</f>
        <v>0</v>
      </c>
      <c r="H5" s="31">
        <f>SUM(H6:H6)</f>
        <v>112500.00000000001</v>
      </c>
      <c r="I5" s="31">
        <f>SUM(I6:I6)</f>
        <v>0</v>
      </c>
      <c r="J5" s="49"/>
      <c r="K5" s="49">
        <f>G5+H5</f>
        <v>112500.00000000001</v>
      </c>
      <c r="M5" s="211"/>
      <c r="N5" s="211"/>
      <c r="O5" s="211"/>
      <c r="P5" s="211"/>
      <c r="Q5" s="211"/>
      <c r="R5" s="211"/>
    </row>
    <row r="6" spans="2:18" ht="48" customHeight="1" x14ac:dyDescent="0.25">
      <c r="B6" s="192" t="s">
        <v>20</v>
      </c>
      <c r="C6" s="32" t="s">
        <v>2</v>
      </c>
      <c r="D6" s="33">
        <f>5500*12*3</f>
        <v>198000</v>
      </c>
      <c r="E6" s="119">
        <f>25/44</f>
        <v>0.56818181818181823</v>
      </c>
      <c r="F6" s="33">
        <f>D6*E6</f>
        <v>112500.00000000001</v>
      </c>
      <c r="G6" s="34"/>
      <c r="H6" s="34">
        <f>F6</f>
        <v>112500.00000000001</v>
      </c>
      <c r="I6" s="34"/>
      <c r="J6" s="50" t="s">
        <v>1193</v>
      </c>
      <c r="K6" s="50" t="s">
        <v>1201</v>
      </c>
      <c r="M6" s="211"/>
      <c r="N6" s="211"/>
      <c r="O6" s="211">
        <f>$H$6/3</f>
        <v>37500.000000000007</v>
      </c>
      <c r="P6" s="211">
        <f t="shared" ref="P6:Q6" si="0">$H$6/3</f>
        <v>37500.000000000007</v>
      </c>
      <c r="Q6" s="211">
        <f t="shared" si="0"/>
        <v>37500.000000000007</v>
      </c>
      <c r="R6" s="206">
        <f>SUM(M6:Q6)</f>
        <v>112500.00000000003</v>
      </c>
    </row>
  </sheetData>
  <pageMargins left="0.2" right="0.2" top="0.25" bottom="0.25" header="0.3" footer="0.3"/>
  <pageSetup paperSize="5" scale="62" fitToHeight="0" orientation="landscape"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7"/>
  <sheetViews>
    <sheetView topLeftCell="C1" zoomScale="70" zoomScaleNormal="7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10.5703125" style="19" customWidth="1"/>
    <col min="5" max="5" width="9.140625" style="19" customWidth="1"/>
    <col min="6" max="6" width="12" style="19" customWidth="1"/>
    <col min="7" max="7" width="11.140625" style="19" customWidth="1"/>
    <col min="8" max="9" width="15.42578125" style="19" customWidth="1"/>
    <col min="10" max="10" width="22" style="1" customWidth="1"/>
    <col min="11" max="11" width="60.7109375" style="82" customWidth="1"/>
    <col min="12" max="12" width="11.28515625" customWidth="1"/>
  </cols>
  <sheetData>
    <row r="2" spans="2:18" x14ac:dyDescent="0.25">
      <c r="B2" s="197" t="s">
        <v>1111</v>
      </c>
    </row>
    <row r="4" spans="2:18" ht="6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SUM(F6:F7)</f>
        <v>480000</v>
      </c>
      <c r="G5" s="31">
        <f>SUM(G6:G7)</f>
        <v>480000</v>
      </c>
      <c r="H5" s="31">
        <f>SUM(H6:H7)</f>
        <v>0</v>
      </c>
      <c r="I5" s="31"/>
      <c r="J5" s="49"/>
      <c r="K5" s="60">
        <f>G5+H5</f>
        <v>480000</v>
      </c>
      <c r="M5" s="211"/>
      <c r="N5" s="211"/>
      <c r="O5" s="211"/>
      <c r="P5" s="211"/>
      <c r="Q5" s="211"/>
      <c r="R5" s="206"/>
    </row>
    <row r="6" spans="2:18" s="78" customFormat="1" ht="113.25" customHeight="1" x14ac:dyDescent="0.25">
      <c r="B6" s="191" t="s">
        <v>1020</v>
      </c>
      <c r="C6" s="85" t="s">
        <v>1017</v>
      </c>
      <c r="D6" s="88">
        <v>250</v>
      </c>
      <c r="E6" s="88">
        <v>1120</v>
      </c>
      <c r="F6" s="88">
        <f>D6*E6</f>
        <v>280000</v>
      </c>
      <c r="G6" s="89">
        <f>F6</f>
        <v>280000</v>
      </c>
      <c r="H6" s="31"/>
      <c r="I6" s="31"/>
      <c r="J6" s="59" t="s">
        <v>1157</v>
      </c>
      <c r="K6" s="59" t="s">
        <v>1156</v>
      </c>
      <c r="M6" s="224"/>
      <c r="N6" s="224">
        <f>$G$6/3</f>
        <v>93333.333333333328</v>
      </c>
      <c r="O6" s="224">
        <f t="shared" ref="O6:P6" si="0">$G$6/3</f>
        <v>93333.333333333328</v>
      </c>
      <c r="P6" s="224">
        <f t="shared" si="0"/>
        <v>93333.333333333328</v>
      </c>
      <c r="Q6" s="224"/>
      <c r="R6" s="206">
        <f>SUM(N6:P6)</f>
        <v>280000</v>
      </c>
    </row>
    <row r="7" spans="2:18" ht="107.25" customHeight="1" x14ac:dyDescent="0.25">
      <c r="B7" s="191" t="s">
        <v>1019</v>
      </c>
      <c r="C7" s="85" t="s">
        <v>1017</v>
      </c>
      <c r="D7" s="55">
        <f>1000*1</f>
        <v>1000</v>
      </c>
      <c r="E7" s="55">
        <v>200</v>
      </c>
      <c r="F7" s="88">
        <f>D7*E7</f>
        <v>200000</v>
      </c>
      <c r="G7" s="89">
        <f>F7</f>
        <v>200000</v>
      </c>
      <c r="H7" s="58"/>
      <c r="I7" s="58"/>
      <c r="J7" s="59" t="s">
        <v>1157</v>
      </c>
      <c r="K7" s="59" t="s">
        <v>1154</v>
      </c>
      <c r="M7" s="224"/>
      <c r="N7" s="224">
        <f>$G$7/3</f>
        <v>66666.666666666672</v>
      </c>
      <c r="O7" s="224">
        <f t="shared" ref="O7:P7" si="1">$G$7/3</f>
        <v>66666.666666666672</v>
      </c>
      <c r="P7" s="224">
        <f t="shared" si="1"/>
        <v>66666.666666666672</v>
      </c>
      <c r="Q7" s="224"/>
      <c r="R7" s="206">
        <f>SUM(N7:P7)</f>
        <v>200000</v>
      </c>
    </row>
  </sheetData>
  <pageMargins left="0.2" right="0.2" top="0.25" bottom="0.25" header="0.3" footer="0.3"/>
  <pageSetup paperSize="5" scale="63"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4"/>
  <sheetViews>
    <sheetView zoomScale="60" zoomScaleNormal="6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10.5703125" style="19" customWidth="1"/>
    <col min="5" max="5" width="9.140625" style="19" customWidth="1"/>
    <col min="6" max="6" width="12" style="19" customWidth="1"/>
    <col min="7" max="7" width="11.140625" style="19" customWidth="1"/>
    <col min="8" max="9" width="15.42578125" style="19" customWidth="1"/>
    <col min="10" max="10" width="22" style="1" customWidth="1"/>
    <col min="11" max="11" width="60.7109375" style="82" customWidth="1"/>
    <col min="12" max="12" width="11.28515625" customWidth="1"/>
  </cols>
  <sheetData>
    <row r="2" spans="2:18" x14ac:dyDescent="0.25">
      <c r="B2" s="22" t="s">
        <v>1109</v>
      </c>
    </row>
    <row r="4" spans="2:18" ht="6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SUM(F6:F22)</f>
        <v>1142250</v>
      </c>
      <c r="G5" s="31">
        <f>SUM(G6:G22)</f>
        <v>1082250</v>
      </c>
      <c r="H5" s="31">
        <f>SUM(H6:H22)</f>
        <v>60000</v>
      </c>
      <c r="I5" s="31"/>
      <c r="J5" s="49"/>
      <c r="K5" s="60">
        <f>G5+H5</f>
        <v>1142250</v>
      </c>
      <c r="M5" s="211"/>
      <c r="N5" s="211"/>
      <c r="O5" s="211"/>
      <c r="P5" s="211"/>
      <c r="Q5" s="211"/>
      <c r="R5" s="206"/>
    </row>
    <row r="6" spans="2:18" s="78" customFormat="1" ht="139.5" customHeight="1" x14ac:dyDescent="0.25">
      <c r="B6" s="199" t="s">
        <v>154</v>
      </c>
      <c r="C6" s="29"/>
      <c r="D6" s="30"/>
      <c r="E6" s="30"/>
      <c r="F6" s="88"/>
      <c r="G6" s="89"/>
      <c r="H6" s="89"/>
      <c r="I6" s="89"/>
      <c r="J6" s="77"/>
      <c r="K6" s="83" t="s">
        <v>935</v>
      </c>
      <c r="L6" s="84"/>
      <c r="M6" s="227"/>
      <c r="N6" s="227"/>
      <c r="O6" s="227"/>
      <c r="P6" s="227"/>
      <c r="Q6" s="227"/>
      <c r="R6" s="229"/>
    </row>
    <row r="7" spans="2:18" ht="73.5" customHeight="1" x14ac:dyDescent="0.25">
      <c r="B7" s="191" t="s">
        <v>157</v>
      </c>
      <c r="C7" s="112" t="s">
        <v>158</v>
      </c>
      <c r="D7" s="86">
        <v>900000</v>
      </c>
      <c r="E7" s="87">
        <v>0.35</v>
      </c>
      <c r="F7" s="86">
        <f t="shared" ref="F7:F13" si="0">D7*E7</f>
        <v>315000</v>
      </c>
      <c r="G7" s="113">
        <f>F7</f>
        <v>315000</v>
      </c>
      <c r="H7" s="117"/>
      <c r="I7" s="58"/>
      <c r="J7" s="83" t="s">
        <v>1180</v>
      </c>
      <c r="K7" s="83" t="s">
        <v>1194</v>
      </c>
      <c r="M7" s="210">
        <f>G7</f>
        <v>315000</v>
      </c>
      <c r="N7" s="211"/>
      <c r="O7" s="211"/>
      <c r="P7" s="211"/>
      <c r="Q7" s="211"/>
      <c r="R7" s="205">
        <f>SUM(M7:Q7)</f>
        <v>315000</v>
      </c>
    </row>
    <row r="8" spans="2:18" s="53" customFormat="1" ht="22.5" customHeight="1" x14ac:dyDescent="0.25">
      <c r="B8" s="191" t="s">
        <v>159</v>
      </c>
      <c r="C8" s="112" t="s">
        <v>158</v>
      </c>
      <c r="D8" s="86">
        <v>900000</v>
      </c>
      <c r="E8" s="87">
        <v>0.35</v>
      </c>
      <c r="F8" s="86">
        <f t="shared" si="0"/>
        <v>315000</v>
      </c>
      <c r="G8" s="113">
        <f t="shared" ref="G8:G13" si="1">F8</f>
        <v>315000</v>
      </c>
      <c r="H8" s="113"/>
      <c r="I8" s="65"/>
      <c r="J8" s="83" t="s">
        <v>1180</v>
      </c>
      <c r="K8" s="54"/>
      <c r="M8" s="210">
        <f t="shared" ref="M8:M13" si="2">G8</f>
        <v>315000</v>
      </c>
      <c r="N8" s="223"/>
      <c r="O8" s="223"/>
      <c r="P8" s="223"/>
      <c r="Q8" s="223"/>
      <c r="R8" s="205">
        <f t="shared" ref="R8:R21" si="3">SUM(M8:Q8)</f>
        <v>315000</v>
      </c>
    </row>
    <row r="9" spans="2:18" s="53" customFormat="1" ht="119.25" customHeight="1" x14ac:dyDescent="0.25">
      <c r="B9" s="191" t="s">
        <v>188</v>
      </c>
      <c r="C9" s="112" t="s">
        <v>2</v>
      </c>
      <c r="D9" s="86">
        <v>450000</v>
      </c>
      <c r="E9" s="87">
        <v>0.1</v>
      </c>
      <c r="F9" s="86">
        <f t="shared" si="0"/>
        <v>45000</v>
      </c>
      <c r="G9" s="113">
        <f t="shared" si="1"/>
        <v>45000</v>
      </c>
      <c r="H9" s="113"/>
      <c r="I9" s="65"/>
      <c r="J9" s="83" t="s">
        <v>1195</v>
      </c>
      <c r="K9" s="67"/>
      <c r="M9" s="210">
        <f t="shared" si="2"/>
        <v>45000</v>
      </c>
      <c r="N9" s="223"/>
      <c r="O9" s="223"/>
      <c r="P9" s="223"/>
      <c r="Q9" s="223"/>
      <c r="R9" s="205">
        <f t="shared" si="3"/>
        <v>45000</v>
      </c>
    </row>
    <row r="10" spans="2:18" s="53" customFormat="1" ht="29.25" customHeight="1" x14ac:dyDescent="0.25">
      <c r="B10" s="191" t="s">
        <v>187</v>
      </c>
      <c r="C10" s="112" t="s">
        <v>2</v>
      </c>
      <c r="D10" s="86">
        <v>8000</v>
      </c>
      <c r="E10" s="86">
        <v>3</v>
      </c>
      <c r="F10" s="86">
        <f t="shared" si="0"/>
        <v>24000</v>
      </c>
      <c r="G10" s="113">
        <f t="shared" si="1"/>
        <v>24000</v>
      </c>
      <c r="H10" s="113"/>
      <c r="I10" s="65"/>
      <c r="J10" s="83" t="s">
        <v>1183</v>
      </c>
      <c r="K10" s="83" t="s">
        <v>908</v>
      </c>
      <c r="M10" s="210">
        <f t="shared" si="2"/>
        <v>24000</v>
      </c>
      <c r="N10" s="223"/>
      <c r="O10" s="223"/>
      <c r="P10" s="223"/>
      <c r="Q10" s="223"/>
      <c r="R10" s="205">
        <f t="shared" si="3"/>
        <v>24000</v>
      </c>
    </row>
    <row r="11" spans="2:18" s="53" customFormat="1" ht="35.25" customHeight="1" x14ac:dyDescent="0.25">
      <c r="B11" s="191" t="s">
        <v>196</v>
      </c>
      <c r="C11" s="112" t="s">
        <v>2</v>
      </c>
      <c r="D11" s="86">
        <v>500000</v>
      </c>
      <c r="E11" s="87">
        <v>0.15</v>
      </c>
      <c r="F11" s="86">
        <f t="shared" si="0"/>
        <v>75000</v>
      </c>
      <c r="G11" s="113">
        <f t="shared" si="1"/>
        <v>75000</v>
      </c>
      <c r="H11" s="113"/>
      <c r="I11" s="65"/>
      <c r="J11" s="253" t="s">
        <v>1183</v>
      </c>
      <c r="K11" s="83" t="s">
        <v>198</v>
      </c>
      <c r="M11" s="210">
        <f t="shared" si="2"/>
        <v>75000</v>
      </c>
      <c r="N11" s="223"/>
      <c r="O11" s="223"/>
      <c r="P11" s="223"/>
      <c r="Q11" s="223"/>
      <c r="R11" s="205">
        <f t="shared" si="3"/>
        <v>75000</v>
      </c>
    </row>
    <row r="12" spans="2:18" s="53" customFormat="1" ht="25.5" customHeight="1" x14ac:dyDescent="0.25">
      <c r="B12" s="191" t="s">
        <v>197</v>
      </c>
      <c r="C12" s="112" t="s">
        <v>2</v>
      </c>
      <c r="D12" s="86">
        <v>350</v>
      </c>
      <c r="E12" s="87">
        <v>15</v>
      </c>
      <c r="F12" s="86">
        <f t="shared" si="0"/>
        <v>5250</v>
      </c>
      <c r="G12" s="113">
        <f t="shared" si="1"/>
        <v>5250</v>
      </c>
      <c r="H12" s="113"/>
      <c r="I12" s="65"/>
      <c r="J12" s="255"/>
      <c r="K12" s="83"/>
      <c r="M12" s="210">
        <f t="shared" si="2"/>
        <v>5250</v>
      </c>
      <c r="N12" s="223"/>
      <c r="O12" s="223"/>
      <c r="P12" s="223"/>
      <c r="Q12" s="223"/>
      <c r="R12" s="205">
        <f t="shared" si="3"/>
        <v>5250</v>
      </c>
    </row>
    <row r="13" spans="2:18" s="53" customFormat="1" ht="62.25" customHeight="1" x14ac:dyDescent="0.25">
      <c r="B13" s="191" t="s">
        <v>189</v>
      </c>
      <c r="C13" s="112" t="s">
        <v>2</v>
      </c>
      <c r="D13" s="86">
        <v>50</v>
      </c>
      <c r="E13" s="86">
        <v>2000</v>
      </c>
      <c r="F13" s="86">
        <f t="shared" si="0"/>
        <v>100000</v>
      </c>
      <c r="G13" s="113">
        <f t="shared" si="1"/>
        <v>100000</v>
      </c>
      <c r="H13" s="113"/>
      <c r="I13" s="65"/>
      <c r="J13" s="83" t="s">
        <v>1196</v>
      </c>
      <c r="K13" s="83" t="s">
        <v>198</v>
      </c>
      <c r="M13" s="210">
        <f t="shared" si="2"/>
        <v>100000</v>
      </c>
      <c r="N13" s="223"/>
      <c r="O13" s="223"/>
      <c r="P13" s="223"/>
      <c r="Q13" s="223"/>
      <c r="R13" s="205">
        <f t="shared" si="3"/>
        <v>100000</v>
      </c>
    </row>
    <row r="14" spans="2:18" s="53" customFormat="1" ht="30" x14ac:dyDescent="0.25">
      <c r="B14" s="191" t="s">
        <v>95</v>
      </c>
      <c r="C14" s="112" t="s">
        <v>2</v>
      </c>
      <c r="D14" s="86">
        <v>1500</v>
      </c>
      <c r="E14" s="86">
        <v>30</v>
      </c>
      <c r="F14" s="86">
        <f>D14*E14</f>
        <v>45000</v>
      </c>
      <c r="G14" s="113">
        <f>F14</f>
        <v>45000</v>
      </c>
      <c r="H14" s="113"/>
      <c r="I14" s="65"/>
      <c r="J14" s="59" t="s">
        <v>1183</v>
      </c>
      <c r="K14" s="111"/>
      <c r="M14" s="228">
        <f>G14</f>
        <v>45000</v>
      </c>
      <c r="N14" s="223"/>
      <c r="O14" s="223"/>
      <c r="P14" s="223"/>
      <c r="Q14" s="223"/>
      <c r="R14" s="205">
        <f t="shared" si="3"/>
        <v>45000</v>
      </c>
    </row>
    <row r="15" spans="2:18" s="53" customFormat="1" ht="30" x14ac:dyDescent="0.25">
      <c r="B15" s="191" t="s">
        <v>1021</v>
      </c>
      <c r="C15" s="112" t="s">
        <v>2</v>
      </c>
      <c r="D15" s="86">
        <v>150</v>
      </c>
      <c r="E15" s="86">
        <v>100</v>
      </c>
      <c r="F15" s="86">
        <f>D15*E15</f>
        <v>15000</v>
      </c>
      <c r="G15" s="113">
        <f>F15</f>
        <v>15000</v>
      </c>
      <c r="H15" s="113"/>
      <c r="I15" s="65"/>
      <c r="J15" s="59" t="s">
        <v>1183</v>
      </c>
      <c r="K15" s="111"/>
      <c r="M15" s="228">
        <f>G15</f>
        <v>15000</v>
      </c>
      <c r="N15" s="223"/>
      <c r="O15" s="223"/>
      <c r="P15" s="223"/>
      <c r="Q15" s="223"/>
      <c r="R15" s="205">
        <f t="shared" si="3"/>
        <v>15000</v>
      </c>
    </row>
    <row r="16" spans="2:18" s="53" customFormat="1" ht="46.5" customHeight="1" x14ac:dyDescent="0.25">
      <c r="B16" s="191" t="s">
        <v>971</v>
      </c>
      <c r="C16" s="62" t="s">
        <v>972</v>
      </c>
      <c r="D16" s="63">
        <v>10</v>
      </c>
      <c r="E16" s="63">
        <v>1000</v>
      </c>
      <c r="F16" s="86">
        <f>D16*E16</f>
        <v>10000</v>
      </c>
      <c r="G16" s="65"/>
      <c r="H16" s="65">
        <f>F16</f>
        <v>10000</v>
      </c>
      <c r="I16" s="65"/>
      <c r="J16" s="66"/>
      <c r="K16" s="54"/>
      <c r="M16" s="223"/>
      <c r="N16" s="223"/>
      <c r="O16" s="223"/>
      <c r="P16" s="223"/>
      <c r="Q16" s="223"/>
      <c r="R16" s="205">
        <f t="shared" si="3"/>
        <v>0</v>
      </c>
    </row>
    <row r="17" spans="2:18" s="78" customFormat="1" ht="21" customHeight="1" x14ac:dyDescent="0.25">
      <c r="B17" s="199" t="s">
        <v>130</v>
      </c>
      <c r="C17" s="29"/>
      <c r="D17" s="30"/>
      <c r="E17" s="30"/>
      <c r="F17" s="73"/>
      <c r="G17" s="31"/>
      <c r="H17" s="31"/>
      <c r="I17" s="31"/>
      <c r="J17" s="77"/>
      <c r="K17" s="59"/>
      <c r="M17" s="227"/>
      <c r="N17" s="227"/>
      <c r="O17" s="227"/>
      <c r="P17" s="227"/>
      <c r="Q17" s="227"/>
      <c r="R17" s="205">
        <f t="shared" si="3"/>
        <v>0</v>
      </c>
    </row>
    <row r="18" spans="2:18" s="53" customFormat="1" ht="19.5" customHeight="1" x14ac:dyDescent="0.25">
      <c r="B18" s="200" t="s">
        <v>968</v>
      </c>
      <c r="C18" s="112" t="s">
        <v>115</v>
      </c>
      <c r="D18" s="86">
        <v>1</v>
      </c>
      <c r="E18" s="86">
        <v>15000</v>
      </c>
      <c r="F18" s="86">
        <f>D18*E18</f>
        <v>15000</v>
      </c>
      <c r="G18" s="113">
        <f>F18</f>
        <v>15000</v>
      </c>
      <c r="H18" s="65"/>
      <c r="I18" s="65"/>
      <c r="J18" s="59" t="s">
        <v>96</v>
      </c>
      <c r="K18" s="59"/>
      <c r="M18" s="228">
        <f>G18</f>
        <v>15000</v>
      </c>
      <c r="N18" s="223"/>
      <c r="O18" s="223"/>
      <c r="P18" s="223"/>
      <c r="Q18" s="223"/>
      <c r="R18" s="205">
        <f t="shared" si="3"/>
        <v>15000</v>
      </c>
    </row>
    <row r="19" spans="2:18" s="53" customFormat="1" ht="30" x14ac:dyDescent="0.25">
      <c r="B19" s="200" t="s">
        <v>205</v>
      </c>
      <c r="C19" s="112" t="s">
        <v>969</v>
      </c>
      <c r="D19" s="86">
        <v>34</v>
      </c>
      <c r="E19" s="86">
        <v>2000</v>
      </c>
      <c r="F19" s="86">
        <f t="shared" ref="F19" si="4">D19*E19</f>
        <v>68000</v>
      </c>
      <c r="G19" s="113">
        <f t="shared" ref="G19:G20" si="5">F19</f>
        <v>68000</v>
      </c>
      <c r="H19" s="65"/>
      <c r="I19" s="65"/>
      <c r="J19" s="59" t="s">
        <v>156</v>
      </c>
      <c r="K19" s="59" t="s">
        <v>970</v>
      </c>
      <c r="M19" s="223"/>
      <c r="N19" s="228">
        <f>G19</f>
        <v>68000</v>
      </c>
      <c r="O19" s="223"/>
      <c r="P19" s="223"/>
      <c r="Q19" s="223"/>
      <c r="R19" s="205">
        <f t="shared" si="3"/>
        <v>68000</v>
      </c>
    </row>
    <row r="20" spans="2:18" s="53" customFormat="1" ht="30" x14ac:dyDescent="0.25">
      <c r="B20" s="200" t="s">
        <v>155</v>
      </c>
      <c r="C20" s="112" t="s">
        <v>2</v>
      </c>
      <c r="D20" s="86">
        <v>20</v>
      </c>
      <c r="E20" s="86">
        <v>3000</v>
      </c>
      <c r="F20" s="86">
        <f>D20*E20</f>
        <v>60000</v>
      </c>
      <c r="G20" s="113">
        <f t="shared" si="5"/>
        <v>60000</v>
      </c>
      <c r="H20" s="65"/>
      <c r="I20" s="65"/>
      <c r="J20" s="59" t="s">
        <v>1183</v>
      </c>
      <c r="K20" s="66"/>
      <c r="M20" s="228">
        <f>F20</f>
        <v>60000</v>
      </c>
      <c r="N20" s="223"/>
      <c r="O20" s="223"/>
      <c r="P20" s="223"/>
      <c r="Q20" s="223"/>
      <c r="R20" s="205">
        <f t="shared" si="3"/>
        <v>60000</v>
      </c>
    </row>
    <row r="21" spans="2:18" ht="33.75" customHeight="1" x14ac:dyDescent="0.25">
      <c r="B21" s="199" t="s">
        <v>909</v>
      </c>
      <c r="C21" s="85" t="s">
        <v>115</v>
      </c>
      <c r="D21" s="86">
        <v>1</v>
      </c>
      <c r="E21" s="86">
        <v>50000</v>
      </c>
      <c r="F21" s="86">
        <f>D21*E21</f>
        <v>50000</v>
      </c>
      <c r="G21" s="117"/>
      <c r="H21" s="58">
        <f>F21</f>
        <v>50000</v>
      </c>
      <c r="I21" s="58"/>
      <c r="J21" s="77"/>
      <c r="K21" s="59"/>
      <c r="M21" s="211"/>
      <c r="N21" s="210">
        <f>H21</f>
        <v>50000</v>
      </c>
      <c r="O21" s="211"/>
      <c r="P21" s="211"/>
      <c r="Q21" s="211"/>
      <c r="R21" s="205">
        <f t="shared" si="3"/>
        <v>50000</v>
      </c>
    </row>
    <row r="22" spans="2:18" ht="30" x14ac:dyDescent="0.25">
      <c r="B22" s="196" t="s">
        <v>76</v>
      </c>
      <c r="C22" s="32"/>
      <c r="D22" s="33"/>
      <c r="E22" s="33"/>
      <c r="F22" s="33"/>
      <c r="G22" s="34"/>
      <c r="H22" s="34"/>
      <c r="I22" s="34"/>
      <c r="J22" s="50"/>
      <c r="K22" s="50" t="s">
        <v>938</v>
      </c>
      <c r="M22" s="211"/>
      <c r="N22" s="211"/>
      <c r="O22" s="211"/>
      <c r="P22" s="211"/>
      <c r="Q22" s="211"/>
      <c r="R22" s="206"/>
    </row>
    <row r="24" spans="2:18" x14ac:dyDescent="0.25">
      <c r="B24" s="124" t="s">
        <v>928</v>
      </c>
    </row>
  </sheetData>
  <mergeCells count="1">
    <mergeCell ref="J11:J12"/>
  </mergeCells>
  <pageMargins left="0.2" right="0.2" top="0.25" bottom="0.25" header="0.3" footer="0.3"/>
  <pageSetup paperSize="5" scale="63"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9"/>
  <sheetViews>
    <sheetView zoomScale="60" zoomScaleNormal="60" workbookViewId="0">
      <selection activeCell="B12" sqref="B12"/>
    </sheetView>
  </sheetViews>
  <sheetFormatPr defaultRowHeight="15" x14ac:dyDescent="0.25"/>
  <cols>
    <col min="1" max="1" width="3" customWidth="1"/>
    <col min="2" max="2" width="35.42578125" style="1" customWidth="1"/>
    <col min="3" max="3" width="13.85546875" style="13" customWidth="1"/>
    <col min="4" max="4" width="10.5703125" style="19" customWidth="1"/>
    <col min="5" max="5" width="9.140625" style="19" customWidth="1"/>
    <col min="6" max="6" width="12" style="19" customWidth="1"/>
    <col min="7" max="7" width="11.140625" style="19" customWidth="1"/>
    <col min="8" max="9" width="15.42578125" style="19" customWidth="1"/>
    <col min="10" max="10" width="22" style="1" customWidth="1"/>
    <col min="11" max="11" width="60.7109375" style="82" customWidth="1"/>
    <col min="12" max="12" width="11.28515625" customWidth="1"/>
  </cols>
  <sheetData>
    <row r="2" spans="2:18" x14ac:dyDescent="0.25">
      <c r="B2" s="197" t="s">
        <v>1100</v>
      </c>
    </row>
    <row r="4" spans="2:18" ht="6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SUM(F6:F9)</f>
        <v>150000</v>
      </c>
      <c r="G5" s="31">
        <f>SUM(G6:G9)</f>
        <v>0</v>
      </c>
      <c r="H5" s="31">
        <f>SUM(H6:H9)</f>
        <v>150000</v>
      </c>
      <c r="I5" s="31"/>
      <c r="J5" s="49"/>
      <c r="K5" s="60">
        <f>G5+H5</f>
        <v>150000</v>
      </c>
      <c r="M5" s="211"/>
      <c r="N5" s="211"/>
      <c r="O5" s="211"/>
      <c r="P5" s="211"/>
      <c r="Q5" s="211"/>
      <c r="R5" s="206"/>
    </row>
    <row r="6" spans="2:18" s="76" customFormat="1" ht="92.25" customHeight="1" x14ac:dyDescent="0.25">
      <c r="B6" s="199" t="s">
        <v>160</v>
      </c>
      <c r="C6" s="71"/>
      <c r="D6" s="72"/>
      <c r="E6" s="72"/>
      <c r="F6" s="55"/>
      <c r="G6" s="74"/>
      <c r="H6" s="31"/>
      <c r="I6" s="74"/>
      <c r="J6" s="75"/>
      <c r="K6" s="83" t="s">
        <v>191</v>
      </c>
      <c r="M6" s="222"/>
      <c r="N6" s="222"/>
      <c r="O6" s="222"/>
      <c r="P6" s="222"/>
      <c r="Q6" s="222"/>
      <c r="R6" s="225"/>
    </row>
    <row r="7" spans="2:18" s="76" customFormat="1" ht="33.75" customHeight="1" x14ac:dyDescent="0.25">
      <c r="B7" s="200" t="s">
        <v>190</v>
      </c>
      <c r="C7" s="71"/>
      <c r="D7" s="72"/>
      <c r="E7" s="72"/>
      <c r="F7" s="73"/>
      <c r="G7" s="74"/>
      <c r="H7" s="74"/>
      <c r="I7" s="74"/>
      <c r="J7" s="75"/>
      <c r="K7" s="125" t="s">
        <v>192</v>
      </c>
      <c r="M7" s="222"/>
      <c r="N7" s="222"/>
      <c r="O7" s="222"/>
      <c r="P7" s="222"/>
      <c r="Q7" s="222"/>
      <c r="R7" s="225"/>
    </row>
    <row r="8" spans="2:18" s="53" customFormat="1" ht="68.25" customHeight="1" x14ac:dyDescent="0.25">
      <c r="B8" s="200" t="s">
        <v>195</v>
      </c>
      <c r="C8" s="70"/>
      <c r="D8" s="64"/>
      <c r="E8" s="64"/>
      <c r="F8" s="64"/>
      <c r="G8" s="65"/>
      <c r="H8" s="65"/>
      <c r="I8" s="65"/>
      <c r="J8" s="59"/>
      <c r="K8" s="125" t="s">
        <v>194</v>
      </c>
      <c r="M8" s="223"/>
      <c r="N8" s="223"/>
      <c r="O8" s="223"/>
      <c r="P8" s="223"/>
      <c r="Q8" s="223"/>
      <c r="R8" s="226"/>
    </row>
    <row r="9" spans="2:18" s="53" customFormat="1" ht="61.5" customHeight="1" x14ac:dyDescent="0.25">
      <c r="B9" s="191" t="s">
        <v>1022</v>
      </c>
      <c r="C9" s="112" t="s">
        <v>161</v>
      </c>
      <c r="D9" s="86">
        <v>150</v>
      </c>
      <c r="E9" s="86">
        <v>1000</v>
      </c>
      <c r="F9" s="86">
        <f>D9*E9</f>
        <v>150000</v>
      </c>
      <c r="G9" s="113"/>
      <c r="H9" s="113">
        <f>F9</f>
        <v>150000</v>
      </c>
      <c r="I9" s="113"/>
      <c r="J9" s="59"/>
      <c r="K9" s="125" t="s">
        <v>193</v>
      </c>
      <c r="M9" s="224">
        <f>$H$9/5</f>
        <v>30000</v>
      </c>
      <c r="N9" s="224">
        <f t="shared" ref="N9:Q9" si="0">$H$9/5</f>
        <v>30000</v>
      </c>
      <c r="O9" s="224">
        <f t="shared" si="0"/>
        <v>30000</v>
      </c>
      <c r="P9" s="224">
        <f t="shared" si="0"/>
        <v>30000</v>
      </c>
      <c r="Q9" s="224">
        <f t="shared" si="0"/>
        <v>30000</v>
      </c>
      <c r="R9" s="206">
        <f>SUM(M9:Q9)</f>
        <v>150000</v>
      </c>
    </row>
  </sheetData>
  <pageMargins left="0.2" right="0.2" top="0.25" bottom="0.25" header="0.3" footer="0.3"/>
  <pageSetup paperSize="5" scale="63"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
  <sheetViews>
    <sheetView topLeftCell="C1" zoomScale="80" zoomScaleNormal="8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27.85546875" customWidth="1"/>
  </cols>
  <sheetData>
    <row r="2" spans="2:18" x14ac:dyDescent="0.25">
      <c r="B2" s="22" t="s">
        <v>1089</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SUM(F8:F12)</f>
        <v>305000</v>
      </c>
      <c r="G5" s="31">
        <f>SUM(G6:G12)</f>
        <v>275000</v>
      </c>
      <c r="H5" s="31">
        <f>SUM(H6:H12)</f>
        <v>30000</v>
      </c>
      <c r="I5" s="31">
        <f t="shared" ref="I5" si="0">SUM(I6:I10)</f>
        <v>104000</v>
      </c>
      <c r="J5" s="49"/>
      <c r="K5" s="49">
        <f>G5+H5</f>
        <v>305000</v>
      </c>
      <c r="M5" s="211"/>
      <c r="N5" s="211"/>
      <c r="O5" s="211"/>
      <c r="P5" s="211"/>
      <c r="Q5" s="211"/>
      <c r="R5" s="206"/>
    </row>
    <row r="6" spans="2:18" x14ac:dyDescent="0.25">
      <c r="B6" s="91" t="s">
        <v>200</v>
      </c>
      <c r="C6" s="32" t="s">
        <v>181</v>
      </c>
      <c r="D6" s="33">
        <f>13*4</f>
        <v>52</v>
      </c>
      <c r="E6" s="33">
        <v>1000</v>
      </c>
      <c r="F6" s="33">
        <f>D6*E6</f>
        <v>52000</v>
      </c>
      <c r="G6" s="34"/>
      <c r="H6" s="34"/>
      <c r="I6" s="34">
        <f>F6</f>
        <v>52000</v>
      </c>
      <c r="J6" s="50"/>
      <c r="K6" s="50" t="s">
        <v>215</v>
      </c>
      <c r="M6" s="211"/>
      <c r="N6" s="211"/>
      <c r="O6" s="211"/>
      <c r="P6" s="211"/>
      <c r="Q6" s="211"/>
      <c r="R6" s="206"/>
    </row>
    <row r="7" spans="2:18" x14ac:dyDescent="0.25">
      <c r="B7" s="91" t="s">
        <v>201</v>
      </c>
      <c r="C7" s="32" t="s">
        <v>181</v>
      </c>
      <c r="D7" s="33">
        <f>13*4</f>
        <v>52</v>
      </c>
      <c r="E7" s="33">
        <v>1000</v>
      </c>
      <c r="F7" s="33">
        <f>D7*E7</f>
        <v>52000</v>
      </c>
      <c r="G7" s="34"/>
      <c r="H7" s="34"/>
      <c r="I7" s="34">
        <f>F7</f>
        <v>52000</v>
      </c>
      <c r="J7" s="50"/>
      <c r="K7" s="50" t="s">
        <v>215</v>
      </c>
      <c r="M7" s="211"/>
      <c r="N7" s="211"/>
      <c r="O7" s="211"/>
      <c r="P7" s="211"/>
      <c r="Q7" s="211"/>
      <c r="R7" s="206"/>
    </row>
    <row r="8" spans="2:18" ht="60" x14ac:dyDescent="0.25">
      <c r="B8" s="91" t="s">
        <v>202</v>
      </c>
      <c r="C8" s="32" t="s">
        <v>152</v>
      </c>
      <c r="D8" s="33">
        <v>2</v>
      </c>
      <c r="E8" s="33">
        <v>10000</v>
      </c>
      <c r="F8" s="33">
        <f>D8*E8</f>
        <v>20000</v>
      </c>
      <c r="G8" s="34">
        <f>F8</f>
        <v>20000</v>
      </c>
      <c r="H8" s="34"/>
      <c r="I8" s="34"/>
      <c r="J8" s="37" t="s">
        <v>1189</v>
      </c>
      <c r="K8" s="50" t="s">
        <v>216</v>
      </c>
      <c r="M8" s="211"/>
      <c r="N8" s="211"/>
      <c r="O8" s="210">
        <f>G8</f>
        <v>20000</v>
      </c>
      <c r="P8" s="211"/>
      <c r="Q8" s="211"/>
      <c r="R8" s="206">
        <f>SUM(M8:Q8)</f>
        <v>20000</v>
      </c>
    </row>
    <row r="9" spans="2:18" ht="71.25" customHeight="1" x14ac:dyDescent="0.25">
      <c r="B9" s="91" t="s">
        <v>210</v>
      </c>
      <c r="C9" s="32" t="s">
        <v>152</v>
      </c>
      <c r="D9" s="33">
        <v>2</v>
      </c>
      <c r="E9" s="33">
        <v>15000</v>
      </c>
      <c r="F9" s="33">
        <f>D9*E9</f>
        <v>30000</v>
      </c>
      <c r="G9" s="34">
        <f>F9</f>
        <v>30000</v>
      </c>
      <c r="H9" s="34"/>
      <c r="I9" s="34"/>
      <c r="J9" s="37" t="s">
        <v>1189</v>
      </c>
      <c r="K9" s="50" t="s">
        <v>217</v>
      </c>
      <c r="M9" s="211"/>
      <c r="N9" s="211"/>
      <c r="O9" s="210">
        <f>G9</f>
        <v>30000</v>
      </c>
      <c r="P9" s="211"/>
      <c r="Q9" s="211"/>
      <c r="R9" s="206">
        <f t="shared" ref="R9:R12" si="1">SUM(M9:Q9)</f>
        <v>30000</v>
      </c>
    </row>
    <row r="10" spans="2:18" ht="31.5" customHeight="1" x14ac:dyDescent="0.25">
      <c r="B10" s="91" t="s">
        <v>203</v>
      </c>
      <c r="C10" s="32" t="s">
        <v>180</v>
      </c>
      <c r="D10" s="33">
        <v>15</v>
      </c>
      <c r="E10" s="33">
        <v>15000</v>
      </c>
      <c r="F10" s="33">
        <f>D10*E10</f>
        <v>225000</v>
      </c>
      <c r="G10" s="34">
        <f>F10</f>
        <v>225000</v>
      </c>
      <c r="H10" s="34"/>
      <c r="I10" s="34"/>
      <c r="J10" s="50" t="s">
        <v>26</v>
      </c>
      <c r="K10" s="50" t="s">
        <v>213</v>
      </c>
      <c r="M10" s="211"/>
      <c r="N10" s="211"/>
      <c r="O10" s="211">
        <v>60000</v>
      </c>
      <c r="P10" s="211">
        <v>100000</v>
      </c>
      <c r="Q10" s="211">
        <v>65000</v>
      </c>
      <c r="R10" s="206">
        <f t="shared" si="1"/>
        <v>225000</v>
      </c>
    </row>
    <row r="11" spans="2:18" x14ac:dyDescent="0.25">
      <c r="B11" s="91" t="s">
        <v>62</v>
      </c>
      <c r="C11" s="32"/>
      <c r="D11" s="33"/>
      <c r="E11" s="33"/>
      <c r="F11" s="33"/>
      <c r="G11" s="34"/>
      <c r="H11" s="34"/>
      <c r="I11" s="34"/>
      <c r="J11" s="50"/>
      <c r="K11" s="50" t="s">
        <v>177</v>
      </c>
      <c r="M11" s="211"/>
      <c r="N11" s="211"/>
      <c r="O11" s="211"/>
      <c r="P11" s="211"/>
      <c r="Q11" s="211"/>
      <c r="R11" s="206">
        <f t="shared" si="1"/>
        <v>0</v>
      </c>
    </row>
    <row r="12" spans="2:18" x14ac:dyDescent="0.25">
      <c r="B12" s="91" t="s">
        <v>182</v>
      </c>
      <c r="C12" s="32" t="s">
        <v>907</v>
      </c>
      <c r="D12" s="55">
        <v>3</v>
      </c>
      <c r="E12" s="55">
        <v>10000</v>
      </c>
      <c r="F12" s="55">
        <f>D12*E12</f>
        <v>30000</v>
      </c>
      <c r="G12" s="34"/>
      <c r="H12" s="117">
        <f>F12</f>
        <v>30000</v>
      </c>
      <c r="I12" s="34"/>
      <c r="J12" s="50"/>
      <c r="K12" s="50" t="s">
        <v>212</v>
      </c>
      <c r="M12" s="211"/>
      <c r="N12" s="211"/>
      <c r="O12" s="211"/>
      <c r="P12" s="211">
        <v>20000</v>
      </c>
      <c r="Q12" s="211">
        <v>10000</v>
      </c>
      <c r="R12" s="206">
        <f t="shared" si="1"/>
        <v>30000</v>
      </c>
    </row>
    <row r="13" spans="2:18" x14ac:dyDescent="0.25">
      <c r="B13" s="43"/>
    </row>
  </sheetData>
  <pageMargins left="0.2" right="0.2" top="0.25" bottom="0.25" header="0.3" footer="0.3"/>
  <pageSetup paperSize="5" scale="73"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8"/>
  <sheetViews>
    <sheetView zoomScale="80" zoomScaleNormal="8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6.28515625" style="19" customWidth="1"/>
    <col min="7" max="7" width="9.28515625" style="19" customWidth="1"/>
    <col min="8" max="9" width="15.42578125" style="19" customWidth="1"/>
    <col min="10" max="10" width="22" style="1" customWidth="1"/>
    <col min="11" max="11" width="22" customWidth="1"/>
  </cols>
  <sheetData>
    <row r="2" spans="2:18" ht="15.75" x14ac:dyDescent="0.25">
      <c r="B2" s="130" t="s">
        <v>1090</v>
      </c>
    </row>
    <row r="4" spans="2:18" ht="56.25" customHeight="1"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SUM(F6:F8)</f>
        <v>165000</v>
      </c>
      <c r="G5" s="31">
        <f>SUM(G6:G8)</f>
        <v>150000</v>
      </c>
      <c r="H5" s="31">
        <f>SUM(H6:H8)</f>
        <v>15000</v>
      </c>
      <c r="I5" s="31" t="e">
        <f>#REF!</f>
        <v>#REF!</v>
      </c>
      <c r="J5" s="49"/>
      <c r="K5" s="49">
        <f>G5+H5</f>
        <v>165000</v>
      </c>
      <c r="M5" s="211"/>
      <c r="N5" s="211"/>
      <c r="O5" s="211"/>
      <c r="P5" s="211"/>
      <c r="Q5" s="211"/>
      <c r="R5" s="206"/>
    </row>
    <row r="6" spans="2:18" ht="90" x14ac:dyDescent="0.25">
      <c r="B6" s="122" t="s">
        <v>915</v>
      </c>
      <c r="C6" s="32" t="s">
        <v>218</v>
      </c>
      <c r="D6" s="33">
        <v>90</v>
      </c>
      <c r="E6" s="33">
        <v>1000</v>
      </c>
      <c r="F6" s="33">
        <f t="shared" ref="F6:F8" si="0">D6*E6</f>
        <v>90000</v>
      </c>
      <c r="G6" s="34">
        <f>F6</f>
        <v>90000</v>
      </c>
      <c r="H6" s="34"/>
      <c r="I6" s="34"/>
      <c r="J6" s="50" t="s">
        <v>26</v>
      </c>
      <c r="K6" s="50"/>
      <c r="M6" s="211"/>
      <c r="N6" s="211"/>
      <c r="O6" s="211">
        <v>90000</v>
      </c>
      <c r="P6" s="211"/>
      <c r="Q6" s="211"/>
      <c r="R6" s="206">
        <f>SUM(M6:Q6)</f>
        <v>90000</v>
      </c>
    </row>
    <row r="7" spans="2:18" ht="45" x14ac:dyDescent="0.25">
      <c r="B7" s="122" t="s">
        <v>913</v>
      </c>
      <c r="C7" s="32" t="s">
        <v>916</v>
      </c>
      <c r="D7" s="33">
        <v>30</v>
      </c>
      <c r="E7" s="33">
        <v>2000</v>
      </c>
      <c r="F7" s="33">
        <f t="shared" si="0"/>
        <v>60000</v>
      </c>
      <c r="G7" s="34">
        <f>F7</f>
        <v>60000</v>
      </c>
      <c r="H7" s="34"/>
      <c r="I7" s="34"/>
      <c r="J7" s="50"/>
      <c r="K7" s="50"/>
      <c r="M7" s="211"/>
      <c r="N7" s="211"/>
      <c r="O7" s="211">
        <v>20000</v>
      </c>
      <c r="P7" s="211">
        <v>20000</v>
      </c>
      <c r="Q7" s="211">
        <v>20000</v>
      </c>
      <c r="R7" s="206">
        <f t="shared" ref="R7:R8" si="1">SUM(M7:Q7)</f>
        <v>60000</v>
      </c>
    </row>
    <row r="8" spans="2:18" ht="30" x14ac:dyDescent="0.25">
      <c r="B8" s="122" t="s">
        <v>914</v>
      </c>
      <c r="C8" s="32" t="s">
        <v>907</v>
      </c>
      <c r="D8" s="33">
        <v>3</v>
      </c>
      <c r="E8" s="33">
        <v>5000</v>
      </c>
      <c r="F8" s="33">
        <f t="shared" si="0"/>
        <v>15000</v>
      </c>
      <c r="G8" s="34"/>
      <c r="H8" s="34">
        <f>F8</f>
        <v>15000</v>
      </c>
      <c r="I8" s="34"/>
      <c r="J8" s="50"/>
      <c r="K8" s="50"/>
      <c r="M8" s="211"/>
      <c r="N8" s="211"/>
      <c r="O8" s="211">
        <v>5000</v>
      </c>
      <c r="P8" s="211">
        <v>5000</v>
      </c>
      <c r="Q8" s="211">
        <v>5000</v>
      </c>
      <c r="R8" s="206">
        <f t="shared" si="1"/>
        <v>15000</v>
      </c>
    </row>
    <row r="9" spans="2:18" x14ac:dyDescent="0.25">
      <c r="B9" s="43"/>
    </row>
    <row r="13" spans="2:18" ht="15.75" x14ac:dyDescent="0.25">
      <c r="B13" s="115"/>
    </row>
    <row r="14" spans="2:18" ht="15.75" x14ac:dyDescent="0.25">
      <c r="B14" s="115"/>
    </row>
    <row r="15" spans="2:18" ht="15.75" x14ac:dyDescent="0.25">
      <c r="B15" s="115"/>
    </row>
    <row r="16" spans="2:18" ht="15.75" x14ac:dyDescent="0.25">
      <c r="B16" s="115"/>
    </row>
    <row r="17" spans="2:2" ht="15.75" x14ac:dyDescent="0.25">
      <c r="B17" s="115"/>
    </row>
    <row r="18" spans="2:2" ht="15.75" x14ac:dyDescent="0.25">
      <c r="B18" s="114"/>
    </row>
  </sheetData>
  <pageMargins left="0.2" right="0.2" top="0.25" bottom="0.25" header="0.3" footer="0.3"/>
  <pageSetup paperSize="5" scale="73"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9"/>
  <sheetViews>
    <sheetView workbookViewId="0">
      <selection activeCell="E31" sqref="E31"/>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8" width="15.42578125" style="19" customWidth="1"/>
    <col min="9" max="9" width="22" style="1" customWidth="1"/>
    <col min="10" max="10" width="17.7109375" customWidth="1"/>
  </cols>
  <sheetData>
    <row r="2" spans="2:10" x14ac:dyDescent="0.25">
      <c r="B2" s="21" t="s">
        <v>90</v>
      </c>
    </row>
    <row r="4" spans="2:10" ht="30" x14ac:dyDescent="0.25">
      <c r="B4" s="3" t="s">
        <v>1</v>
      </c>
      <c r="C4" s="11" t="s">
        <v>2</v>
      </c>
      <c r="D4" s="14" t="s">
        <v>4</v>
      </c>
      <c r="E4" s="14" t="s">
        <v>3</v>
      </c>
      <c r="F4" s="14" t="s">
        <v>5</v>
      </c>
      <c r="G4" s="15" t="s">
        <v>6</v>
      </c>
      <c r="H4" s="15" t="s">
        <v>7</v>
      </c>
      <c r="I4" s="9" t="s">
        <v>8</v>
      </c>
      <c r="J4" s="9" t="s">
        <v>22</v>
      </c>
    </row>
    <row r="5" spans="2:10" x14ac:dyDescent="0.25">
      <c r="B5" s="3" t="s">
        <v>28</v>
      </c>
      <c r="C5" s="11"/>
      <c r="D5" s="14"/>
      <c r="E5" s="14"/>
      <c r="F5" s="14">
        <f>SUM(F6:F27)</f>
        <v>0</v>
      </c>
      <c r="G5" s="15">
        <f>SUM(G6:G27)</f>
        <v>0</v>
      </c>
      <c r="H5" s="15">
        <f>SUM(H6:H27)</f>
        <v>0</v>
      </c>
      <c r="I5" s="9"/>
      <c r="J5" s="9">
        <f>G5+H5</f>
        <v>0</v>
      </c>
    </row>
    <row r="6" spans="2:10" x14ac:dyDescent="0.25">
      <c r="B6" s="4"/>
      <c r="C6" s="12"/>
      <c r="D6" s="16"/>
      <c r="E6" s="16"/>
      <c r="F6" s="16"/>
      <c r="G6" s="17"/>
      <c r="H6" s="17"/>
      <c r="I6" s="10"/>
      <c r="J6" s="10"/>
    </row>
    <row r="7" spans="2:10" x14ac:dyDescent="0.25">
      <c r="B7" s="4"/>
      <c r="C7" s="12"/>
      <c r="D7" s="16"/>
      <c r="E7" s="16"/>
      <c r="F7" s="16"/>
      <c r="G7" s="17"/>
      <c r="H7" s="17"/>
      <c r="I7" s="10"/>
      <c r="J7" s="10"/>
    </row>
    <row r="8" spans="2:10" x14ac:dyDescent="0.25">
      <c r="B8" s="4"/>
      <c r="C8" s="12"/>
      <c r="D8" s="16"/>
      <c r="E8" s="16"/>
      <c r="F8" s="16"/>
      <c r="G8" s="17"/>
      <c r="H8" s="17"/>
      <c r="I8" s="10"/>
      <c r="J8" s="10"/>
    </row>
    <row r="9" spans="2:10" x14ac:dyDescent="0.25">
      <c r="B9" s="4"/>
      <c r="C9" s="12"/>
      <c r="D9" s="16"/>
      <c r="E9" s="16"/>
      <c r="F9" s="16"/>
      <c r="G9" s="17"/>
      <c r="H9" s="17"/>
      <c r="I9" s="10"/>
      <c r="J9" s="10"/>
    </row>
    <row r="10" spans="2:10" ht="46.5" customHeight="1" x14ac:dyDescent="0.25">
      <c r="B10" s="4"/>
      <c r="C10" s="12"/>
      <c r="D10" s="16"/>
      <c r="E10" s="16"/>
      <c r="F10" s="16"/>
      <c r="G10" s="17"/>
      <c r="H10" s="17"/>
      <c r="I10" s="10"/>
      <c r="J10" s="10"/>
    </row>
    <row r="11" spans="2:10" x14ac:dyDescent="0.25">
      <c r="B11" s="4"/>
      <c r="C11" s="12"/>
      <c r="D11" s="16"/>
      <c r="E11" s="16"/>
      <c r="F11" s="16"/>
      <c r="G11" s="17"/>
      <c r="H11" s="17"/>
      <c r="I11" s="10"/>
      <c r="J11" s="10"/>
    </row>
    <row r="12" spans="2:10" x14ac:dyDescent="0.25">
      <c r="B12" s="5"/>
      <c r="C12" s="12"/>
      <c r="D12" s="16"/>
      <c r="E12" s="16"/>
      <c r="F12" s="16"/>
      <c r="G12" s="17"/>
      <c r="H12" s="17"/>
      <c r="I12" s="10"/>
      <c r="J12" s="10"/>
    </row>
    <row r="13" spans="2:10" x14ac:dyDescent="0.25">
      <c r="B13" s="5"/>
      <c r="C13" s="12"/>
      <c r="D13" s="16"/>
      <c r="E13" s="16"/>
      <c r="F13" s="16"/>
      <c r="G13" s="17"/>
      <c r="H13" s="17"/>
      <c r="I13" s="10"/>
      <c r="J13" s="10"/>
    </row>
    <row r="14" spans="2:10" x14ac:dyDescent="0.25">
      <c r="B14" s="5"/>
      <c r="C14" s="12"/>
      <c r="D14" s="16"/>
      <c r="E14" s="16"/>
      <c r="F14" s="16"/>
      <c r="G14" s="17"/>
      <c r="H14" s="17"/>
      <c r="I14" s="10"/>
      <c r="J14" s="10"/>
    </row>
    <row r="15" spans="2:10" x14ac:dyDescent="0.25">
      <c r="B15" s="5"/>
      <c r="C15" s="12"/>
      <c r="D15" s="16"/>
      <c r="E15" s="16"/>
      <c r="F15" s="16"/>
      <c r="G15" s="17"/>
      <c r="H15" s="17"/>
      <c r="I15" s="10"/>
      <c r="J15" s="10"/>
    </row>
    <row r="16" spans="2:10" x14ac:dyDescent="0.25">
      <c r="B16" s="5"/>
      <c r="C16" s="12"/>
      <c r="D16" s="16"/>
      <c r="E16" s="16"/>
      <c r="F16" s="16"/>
      <c r="G16" s="17"/>
      <c r="H16" s="17"/>
      <c r="I16" s="10"/>
      <c r="J16" s="10"/>
    </row>
    <row r="17" spans="2:10" x14ac:dyDescent="0.25">
      <c r="B17" s="4"/>
      <c r="C17" s="12"/>
      <c r="D17" s="16"/>
      <c r="E17" s="16"/>
      <c r="F17" s="16"/>
      <c r="G17" s="17"/>
      <c r="H17" s="17"/>
      <c r="I17" s="10"/>
      <c r="J17" s="10"/>
    </row>
    <row r="18" spans="2:10" x14ac:dyDescent="0.25">
      <c r="B18" s="4"/>
      <c r="C18" s="12"/>
      <c r="D18" s="16"/>
      <c r="E18" s="16"/>
      <c r="F18" s="16"/>
      <c r="G18" s="17"/>
      <c r="H18" s="17"/>
      <c r="I18" s="10"/>
      <c r="J18" s="10"/>
    </row>
    <row r="19" spans="2:10" x14ac:dyDescent="0.25">
      <c r="B19" s="6"/>
      <c r="C19" s="12"/>
      <c r="D19" s="16"/>
      <c r="E19" s="16"/>
      <c r="F19" s="16"/>
      <c r="G19" s="17"/>
      <c r="H19" s="17"/>
      <c r="I19" s="10"/>
      <c r="J19" s="10"/>
    </row>
    <row r="20" spans="2:10" x14ac:dyDescent="0.25">
      <c r="B20" s="6"/>
      <c r="C20" s="12"/>
      <c r="D20" s="16"/>
      <c r="E20" s="16"/>
      <c r="F20" s="16"/>
      <c r="G20" s="17"/>
      <c r="H20" s="17"/>
      <c r="I20" s="10"/>
      <c r="J20" s="10"/>
    </row>
    <row r="21" spans="2:10" x14ac:dyDescent="0.25">
      <c r="B21" s="4"/>
      <c r="C21" s="12"/>
      <c r="D21" s="16"/>
      <c r="E21" s="16"/>
      <c r="F21" s="16"/>
      <c r="G21" s="17"/>
      <c r="H21" s="17"/>
      <c r="I21" s="10"/>
      <c r="J21" s="10"/>
    </row>
    <row r="22" spans="2:10" x14ac:dyDescent="0.25">
      <c r="B22" s="7"/>
      <c r="C22" s="12"/>
      <c r="D22" s="16"/>
      <c r="E22" s="16"/>
      <c r="F22" s="16"/>
      <c r="G22" s="17"/>
      <c r="H22" s="17"/>
      <c r="I22" s="10"/>
      <c r="J22" s="10"/>
    </row>
    <row r="23" spans="2:10" x14ac:dyDescent="0.25">
      <c r="B23" s="6"/>
      <c r="C23" s="12"/>
      <c r="D23" s="18"/>
      <c r="E23" s="18"/>
      <c r="F23" s="16"/>
      <c r="G23" s="17"/>
      <c r="H23" s="17"/>
      <c r="I23" s="10"/>
      <c r="J23" s="10"/>
    </row>
    <row r="24" spans="2:10" x14ac:dyDescent="0.25">
      <c r="B24" s="4"/>
      <c r="C24" s="12"/>
      <c r="D24" s="16"/>
      <c r="E24" s="16"/>
      <c r="F24" s="16"/>
      <c r="G24" s="17"/>
      <c r="H24" s="17"/>
      <c r="I24" s="10"/>
      <c r="J24" s="10"/>
    </row>
    <row r="25" spans="2:10" x14ac:dyDescent="0.25">
      <c r="B25" s="4"/>
      <c r="C25" s="12"/>
      <c r="D25" s="16"/>
      <c r="E25" s="16"/>
      <c r="F25" s="16"/>
      <c r="G25" s="17"/>
      <c r="H25" s="17"/>
      <c r="I25" s="10"/>
      <c r="J25" s="10"/>
    </row>
    <row r="26" spans="2:10" x14ac:dyDescent="0.25">
      <c r="B26" s="4"/>
      <c r="C26" s="12"/>
      <c r="D26" s="16"/>
      <c r="E26" s="16"/>
      <c r="F26" s="16"/>
      <c r="G26" s="17"/>
      <c r="H26" s="17"/>
      <c r="I26" s="10"/>
      <c r="J26" s="10"/>
    </row>
    <row r="27" spans="2:10" x14ac:dyDescent="0.25">
      <c r="B27" s="8"/>
      <c r="C27" s="12"/>
      <c r="D27" s="16"/>
      <c r="E27" s="16"/>
      <c r="F27" s="16"/>
      <c r="G27" s="17"/>
      <c r="H27" s="17"/>
      <c r="I27" s="10"/>
      <c r="J27" s="10"/>
    </row>
    <row r="29" spans="2:10" ht="30" x14ac:dyDescent="0.25">
      <c r="B29" s="43" t="s">
        <v>91</v>
      </c>
    </row>
  </sheetData>
  <pageMargins left="0.7" right="0.7" top="0.75" bottom="0.75" header="0.3" footer="0.3"/>
  <pageSetup paperSize="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7"/>
  <sheetViews>
    <sheetView zoomScale="80" zoomScaleNormal="8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17.7109375" customWidth="1"/>
  </cols>
  <sheetData>
    <row r="2" spans="2:18" x14ac:dyDescent="0.25">
      <c r="B2" s="22" t="s">
        <v>55</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SUM(F6:F7)</f>
        <v>1512000</v>
      </c>
      <c r="G5" s="31">
        <f>SUM(G6:G7)</f>
        <v>1512000</v>
      </c>
      <c r="H5" s="31">
        <f>SUM(H6:H7)</f>
        <v>0</v>
      </c>
      <c r="I5" s="31"/>
      <c r="J5" s="49"/>
      <c r="K5" s="49">
        <f>G5+H5</f>
        <v>1512000</v>
      </c>
      <c r="M5" s="211"/>
      <c r="N5" s="211"/>
      <c r="O5" s="211"/>
      <c r="P5" s="211"/>
      <c r="Q5" s="211"/>
      <c r="R5" s="206"/>
    </row>
    <row r="6" spans="2:18" ht="90" x14ac:dyDescent="0.25">
      <c r="B6" s="91" t="s">
        <v>78</v>
      </c>
      <c r="C6" s="32" t="s">
        <v>19</v>
      </c>
      <c r="D6" s="33">
        <v>1</v>
      </c>
      <c r="E6" s="33">
        <v>1400000</v>
      </c>
      <c r="F6" s="33">
        <f>D6*E6</f>
        <v>1400000</v>
      </c>
      <c r="G6" s="34">
        <f>F6</f>
        <v>1400000</v>
      </c>
      <c r="H6" s="34"/>
      <c r="I6" s="34"/>
      <c r="J6" s="50" t="s">
        <v>87</v>
      </c>
      <c r="K6" s="50" t="s">
        <v>1158</v>
      </c>
      <c r="M6" s="211"/>
      <c r="N6" s="211">
        <f>($F$6*0.9/4)</f>
        <v>315000</v>
      </c>
      <c r="O6" s="211">
        <f>($F$6*0.9/2)</f>
        <v>630000</v>
      </c>
      <c r="P6" s="211">
        <f t="shared" ref="P6" si="0">($F$6*0.9/4)</f>
        <v>315000</v>
      </c>
      <c r="Q6" s="211">
        <f>($F$6*0.1)</f>
        <v>140000</v>
      </c>
      <c r="R6" s="206">
        <f>SUM(M6:Q6)</f>
        <v>1400000</v>
      </c>
    </row>
    <row r="7" spans="2:18" ht="30" x14ac:dyDescent="0.25">
      <c r="B7" s="91" t="s">
        <v>88</v>
      </c>
      <c r="C7" s="32" t="s">
        <v>19</v>
      </c>
      <c r="D7" s="33">
        <v>1</v>
      </c>
      <c r="E7" s="33">
        <f>E6*8/100</f>
        <v>112000</v>
      </c>
      <c r="F7" s="33">
        <f>D7*E7</f>
        <v>112000</v>
      </c>
      <c r="G7" s="34">
        <f>F7</f>
        <v>112000</v>
      </c>
      <c r="H7" s="34"/>
      <c r="I7" s="34"/>
      <c r="J7" s="50" t="s">
        <v>89</v>
      </c>
      <c r="K7" s="50"/>
      <c r="M7" s="211"/>
      <c r="N7" s="211">
        <f>G7/4</f>
        <v>28000</v>
      </c>
      <c r="O7" s="211">
        <v>56000</v>
      </c>
      <c r="P7" s="211">
        <v>28000</v>
      </c>
      <c r="Q7" s="211"/>
      <c r="R7" s="206">
        <f t="shared" ref="R7" si="1">SUM(M7:Q7)</f>
        <v>112000</v>
      </c>
    </row>
  </sheetData>
  <pageMargins left="0.2" right="0.2" top="0.25" bottom="0.25" header="0.3" footer="0.3"/>
  <pageSetup paperSize="5" scale="77"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640"/>
  <sheetViews>
    <sheetView zoomScale="70" zoomScaleNormal="7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31.28515625" customWidth="1"/>
  </cols>
  <sheetData>
    <row r="2" spans="2:18" x14ac:dyDescent="0.25">
      <c r="B2" s="22" t="s">
        <v>54</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SUM(F6:F10)</f>
        <v>695000</v>
      </c>
      <c r="G5" s="31">
        <f>SUM(G6:G10)</f>
        <v>575000</v>
      </c>
      <c r="H5" s="31">
        <f>SUM(H6:H10)</f>
        <v>120000</v>
      </c>
      <c r="I5" s="31"/>
      <c r="J5" s="49"/>
      <c r="K5" s="49">
        <f>G5+H5</f>
        <v>695000</v>
      </c>
      <c r="M5" s="211"/>
      <c r="N5" s="211"/>
      <c r="O5" s="211"/>
      <c r="P5" s="211"/>
      <c r="Q5" s="211"/>
      <c r="R5" s="211"/>
    </row>
    <row r="6" spans="2:18" ht="48" customHeight="1" x14ac:dyDescent="0.25">
      <c r="B6" s="47" t="s">
        <v>86</v>
      </c>
      <c r="C6" s="32" t="s">
        <v>85</v>
      </c>
      <c r="D6" s="33">
        <v>1</v>
      </c>
      <c r="E6" s="55">
        <v>380000</v>
      </c>
      <c r="F6" s="55">
        <f>D6*E6</f>
        <v>380000</v>
      </c>
      <c r="G6" s="117">
        <f>F6</f>
        <v>380000</v>
      </c>
      <c r="H6" s="34"/>
      <c r="I6" s="34"/>
      <c r="J6" s="37" t="s">
        <v>1197</v>
      </c>
      <c r="K6" s="37" t="s">
        <v>106</v>
      </c>
      <c r="M6" s="211">
        <v>80000</v>
      </c>
      <c r="N6" s="211"/>
      <c r="O6" s="211"/>
      <c r="P6" s="211">
        <v>300000</v>
      </c>
      <c r="Q6" s="211"/>
      <c r="R6" s="206">
        <f>SUM(M6:Q6)</f>
        <v>380000</v>
      </c>
    </row>
    <row r="7" spans="2:18" ht="78.75" customHeight="1" x14ac:dyDescent="0.25">
      <c r="B7" s="47" t="s">
        <v>80</v>
      </c>
      <c r="C7" s="32" t="s">
        <v>85</v>
      </c>
      <c r="D7" s="33">
        <v>4</v>
      </c>
      <c r="E7" s="55">
        <v>40000</v>
      </c>
      <c r="F7" s="33">
        <f>D7*E7</f>
        <v>160000</v>
      </c>
      <c r="G7" s="34">
        <f>F7/4</f>
        <v>40000</v>
      </c>
      <c r="H7" s="34">
        <f>F7*3/4</f>
        <v>120000</v>
      </c>
      <c r="I7" s="34"/>
      <c r="J7" s="37" t="s">
        <v>14</v>
      </c>
      <c r="K7" s="37" t="s">
        <v>967</v>
      </c>
      <c r="M7" s="210">
        <f>G7</f>
        <v>40000</v>
      </c>
      <c r="N7" s="210">
        <f>$G$7</f>
        <v>40000</v>
      </c>
      <c r="O7" s="210">
        <f t="shared" ref="O7:P7" si="0">$G$7</f>
        <v>40000</v>
      </c>
      <c r="P7" s="210">
        <f t="shared" si="0"/>
        <v>40000</v>
      </c>
      <c r="Q7" s="211"/>
      <c r="R7" s="206">
        <f t="shared" ref="R7:R10" si="1">SUM(M7:Q7)</f>
        <v>160000</v>
      </c>
    </row>
    <row r="8" spans="2:18" ht="78.75" customHeight="1" x14ac:dyDescent="0.25">
      <c r="B8" s="47" t="s">
        <v>1161</v>
      </c>
      <c r="C8" s="32" t="s">
        <v>2</v>
      </c>
      <c r="D8" s="33">
        <v>1</v>
      </c>
      <c r="E8" s="55">
        <v>100000</v>
      </c>
      <c r="F8" s="33">
        <f>D8*E8</f>
        <v>100000</v>
      </c>
      <c r="G8" s="34">
        <f>F8</f>
        <v>100000</v>
      </c>
      <c r="H8" s="34"/>
      <c r="I8" s="34"/>
      <c r="J8" s="37" t="s">
        <v>1183</v>
      </c>
      <c r="K8" s="37"/>
      <c r="M8" s="210">
        <f>G8</f>
        <v>100000</v>
      </c>
      <c r="N8" s="211"/>
      <c r="O8" s="211"/>
      <c r="P8" s="211"/>
      <c r="Q8" s="211"/>
      <c r="R8" s="206">
        <f t="shared" si="1"/>
        <v>100000</v>
      </c>
    </row>
    <row r="9" spans="2:18" ht="78.75" customHeight="1" x14ac:dyDescent="0.25">
      <c r="B9" s="47" t="s">
        <v>1159</v>
      </c>
      <c r="C9" s="32" t="s">
        <v>2</v>
      </c>
      <c r="D9" s="33">
        <v>1</v>
      </c>
      <c r="E9" s="55">
        <v>55000</v>
      </c>
      <c r="F9" s="33">
        <f>D9*E9</f>
        <v>55000</v>
      </c>
      <c r="G9" s="34">
        <f>F9</f>
        <v>55000</v>
      </c>
      <c r="H9" s="34"/>
      <c r="I9" s="34"/>
      <c r="J9" s="37" t="s">
        <v>1183</v>
      </c>
      <c r="K9" s="37"/>
      <c r="M9" s="210">
        <f>G9</f>
        <v>55000</v>
      </c>
      <c r="N9" s="211"/>
      <c r="O9" s="211"/>
      <c r="P9" s="211"/>
      <c r="Q9" s="211"/>
      <c r="R9" s="206">
        <f t="shared" si="1"/>
        <v>55000</v>
      </c>
    </row>
    <row r="10" spans="2:18" ht="60" x14ac:dyDescent="0.25">
      <c r="B10" s="47" t="s">
        <v>145</v>
      </c>
      <c r="C10" s="32"/>
      <c r="D10" s="55"/>
      <c r="E10" s="51"/>
      <c r="F10" s="33"/>
      <c r="G10" s="34"/>
      <c r="H10" s="34"/>
      <c r="I10" s="34"/>
      <c r="J10" s="37" t="s">
        <v>144</v>
      </c>
      <c r="K10" s="37" t="s">
        <v>137</v>
      </c>
      <c r="M10" s="211"/>
      <c r="N10" s="211"/>
      <c r="O10" s="211"/>
      <c r="P10" s="211"/>
      <c r="Q10" s="211"/>
      <c r="R10" s="206">
        <f t="shared" si="1"/>
        <v>0</v>
      </c>
    </row>
    <row r="13" spans="2:18" x14ac:dyDescent="0.25">
      <c r="B13" s="21" t="s">
        <v>107</v>
      </c>
    </row>
    <row r="14" spans="2:18" ht="22.5" x14ac:dyDescent="0.25">
      <c r="B14" s="133" t="s">
        <v>973</v>
      </c>
      <c r="C14" s="133" t="s">
        <v>974</v>
      </c>
      <c r="D14" s="109"/>
      <c r="E14" s="109"/>
      <c r="F14" s="109"/>
      <c r="G14" s="109"/>
      <c r="H14" s="109"/>
    </row>
    <row r="15" spans="2:18" s="109" customFormat="1" x14ac:dyDescent="0.25">
      <c r="B15" s="134" t="s">
        <v>833</v>
      </c>
      <c r="C15" s="135">
        <v>1</v>
      </c>
      <c r="I15" s="107"/>
      <c r="J15" s="108"/>
    </row>
    <row r="16" spans="2:18" s="109" customFormat="1" x14ac:dyDescent="0.25">
      <c r="B16" s="134" t="s">
        <v>834</v>
      </c>
      <c r="C16" s="135">
        <v>2</v>
      </c>
      <c r="I16" s="107"/>
      <c r="J16" s="108"/>
    </row>
    <row r="17" spans="2:10" s="109" customFormat="1" ht="24" x14ac:dyDescent="0.25">
      <c r="B17" s="134" t="s">
        <v>895</v>
      </c>
      <c r="C17" s="135">
        <v>3</v>
      </c>
      <c r="I17" s="107"/>
      <c r="J17" s="108"/>
    </row>
    <row r="18" spans="2:10" s="109" customFormat="1" x14ac:dyDescent="0.25">
      <c r="B18" s="134" t="s">
        <v>874</v>
      </c>
      <c r="C18" s="135">
        <v>1</v>
      </c>
      <c r="I18" s="107"/>
      <c r="J18" s="108"/>
    </row>
    <row r="19" spans="2:10" s="109" customFormat="1" ht="30" customHeight="1" x14ac:dyDescent="0.25">
      <c r="B19" s="134" t="s">
        <v>835</v>
      </c>
      <c r="C19" s="135">
        <v>1</v>
      </c>
      <c r="I19" s="107"/>
      <c r="J19" s="108"/>
    </row>
    <row r="20" spans="2:10" s="109" customFormat="1" x14ac:dyDescent="0.25">
      <c r="B20" s="134" t="s">
        <v>836</v>
      </c>
      <c r="C20" s="135">
        <v>2</v>
      </c>
      <c r="I20" s="107"/>
      <c r="J20" s="108"/>
    </row>
    <row r="21" spans="2:10" s="109" customFormat="1" x14ac:dyDescent="0.25">
      <c r="B21" s="134" t="s">
        <v>225</v>
      </c>
      <c r="C21" s="135">
        <v>1</v>
      </c>
      <c r="I21" s="107"/>
      <c r="J21" s="108"/>
    </row>
    <row r="22" spans="2:10" s="109" customFormat="1" x14ac:dyDescent="0.25">
      <c r="B22" s="134" t="s">
        <v>837</v>
      </c>
      <c r="C22" s="135">
        <v>2</v>
      </c>
      <c r="I22" s="107"/>
      <c r="J22" s="108"/>
    </row>
    <row r="23" spans="2:10" s="109" customFormat="1" ht="24" customHeight="1" x14ac:dyDescent="0.25">
      <c r="B23" s="134" t="s">
        <v>844</v>
      </c>
      <c r="C23" s="135">
        <v>50</v>
      </c>
      <c r="I23" s="107"/>
      <c r="J23" s="108"/>
    </row>
    <row r="24" spans="2:10" s="109" customFormat="1" x14ac:dyDescent="0.25">
      <c r="B24" s="134" t="s">
        <v>845</v>
      </c>
      <c r="C24" s="135">
        <v>5</v>
      </c>
      <c r="I24" s="107"/>
      <c r="J24" s="108"/>
    </row>
    <row r="25" spans="2:10" s="109" customFormat="1" x14ac:dyDescent="0.25">
      <c r="B25" s="134" t="s">
        <v>843</v>
      </c>
      <c r="C25" s="135">
        <v>25</v>
      </c>
      <c r="I25" s="107"/>
      <c r="J25" s="108"/>
    </row>
    <row r="26" spans="2:10" s="109" customFormat="1" ht="24" x14ac:dyDescent="0.25">
      <c r="B26" s="134" t="s">
        <v>838</v>
      </c>
      <c r="C26" s="135">
        <v>5</v>
      </c>
      <c r="I26" s="107"/>
      <c r="J26" s="108"/>
    </row>
    <row r="27" spans="2:10" s="109" customFormat="1" ht="21" customHeight="1" x14ac:dyDescent="0.25">
      <c r="B27" s="134" t="s">
        <v>975</v>
      </c>
      <c r="C27" s="135">
        <v>25</v>
      </c>
      <c r="I27" s="107"/>
      <c r="J27" s="108"/>
    </row>
    <row r="28" spans="2:10" s="109" customFormat="1" x14ac:dyDescent="0.25">
      <c r="B28" s="134" t="s">
        <v>976</v>
      </c>
      <c r="C28" s="135">
        <v>25</v>
      </c>
      <c r="I28" s="107"/>
      <c r="J28" s="108"/>
    </row>
    <row r="29" spans="2:10" s="109" customFormat="1" x14ac:dyDescent="0.25">
      <c r="B29" s="134" t="s">
        <v>977</v>
      </c>
      <c r="C29" s="135">
        <v>50</v>
      </c>
      <c r="I29" s="107"/>
      <c r="J29" s="108"/>
    </row>
    <row r="30" spans="2:10" s="109" customFormat="1" x14ac:dyDescent="0.25">
      <c r="B30" s="134" t="s">
        <v>846</v>
      </c>
      <c r="C30" s="135">
        <v>5</v>
      </c>
      <c r="I30" s="107"/>
      <c r="J30" s="108"/>
    </row>
    <row r="31" spans="2:10" s="109" customFormat="1" x14ac:dyDescent="0.25">
      <c r="B31" s="134" t="s">
        <v>978</v>
      </c>
      <c r="C31" s="135">
        <v>12</v>
      </c>
      <c r="I31" s="107"/>
      <c r="J31" s="108"/>
    </row>
    <row r="32" spans="2:10" s="109" customFormat="1" x14ac:dyDescent="0.25">
      <c r="B32" s="134" t="s">
        <v>979</v>
      </c>
      <c r="C32" s="135">
        <v>12</v>
      </c>
      <c r="I32" s="107"/>
      <c r="J32" s="108"/>
    </row>
    <row r="33" spans="2:10" s="109" customFormat="1" ht="15.75" customHeight="1" x14ac:dyDescent="0.25">
      <c r="B33" s="134" t="s">
        <v>847</v>
      </c>
      <c r="C33" s="135">
        <v>1</v>
      </c>
      <c r="I33" s="107"/>
      <c r="J33" s="108"/>
    </row>
    <row r="34" spans="2:10" s="109" customFormat="1" ht="24" x14ac:dyDescent="0.25">
      <c r="B34" s="134" t="s">
        <v>980</v>
      </c>
      <c r="C34" s="135">
        <v>10</v>
      </c>
      <c r="I34" s="107"/>
      <c r="J34" s="108"/>
    </row>
    <row r="35" spans="2:10" s="109" customFormat="1" ht="24" x14ac:dyDescent="0.25">
      <c r="B35" s="134" t="s">
        <v>981</v>
      </c>
      <c r="C35" s="135">
        <v>10</v>
      </c>
      <c r="I35" s="107"/>
      <c r="J35" s="108"/>
    </row>
    <row r="36" spans="2:10" s="109" customFormat="1" x14ac:dyDescent="0.25">
      <c r="B36" s="134" t="s">
        <v>982</v>
      </c>
      <c r="C36" s="135">
        <v>5</v>
      </c>
      <c r="I36" s="107"/>
      <c r="J36" s="108"/>
    </row>
    <row r="37" spans="2:10" s="109" customFormat="1" ht="15.75" customHeight="1" x14ac:dyDescent="0.25">
      <c r="B37" s="134" t="s">
        <v>983</v>
      </c>
      <c r="C37" s="135">
        <v>5</v>
      </c>
      <c r="I37" s="107"/>
      <c r="J37" s="108"/>
    </row>
    <row r="38" spans="2:10" s="109" customFormat="1" x14ac:dyDescent="0.25">
      <c r="B38" s="134" t="s">
        <v>839</v>
      </c>
      <c r="C38" s="135">
        <v>1</v>
      </c>
      <c r="I38" s="107"/>
      <c r="J38" s="108"/>
    </row>
    <row r="39" spans="2:10" s="109" customFormat="1" x14ac:dyDescent="0.25">
      <c r="B39" s="134" t="s">
        <v>849</v>
      </c>
      <c r="C39" s="135">
        <v>1</v>
      </c>
      <c r="I39" s="107"/>
      <c r="J39" s="108"/>
    </row>
    <row r="40" spans="2:10" s="109" customFormat="1" ht="24" x14ac:dyDescent="0.25">
      <c r="B40" s="134" t="s">
        <v>903</v>
      </c>
      <c r="C40" s="135">
        <v>1</v>
      </c>
      <c r="I40" s="107"/>
      <c r="J40" s="108"/>
    </row>
    <row r="41" spans="2:10" s="109" customFormat="1" x14ac:dyDescent="0.25">
      <c r="B41" s="134" t="s">
        <v>840</v>
      </c>
      <c r="C41" s="135">
        <v>12</v>
      </c>
      <c r="I41" s="107"/>
      <c r="J41" s="108"/>
    </row>
    <row r="42" spans="2:10" s="109" customFormat="1" x14ac:dyDescent="0.25">
      <c r="B42" s="134" t="s">
        <v>850</v>
      </c>
      <c r="C42" s="135">
        <v>2</v>
      </c>
      <c r="I42" s="107"/>
      <c r="J42" s="108"/>
    </row>
    <row r="43" spans="2:10" s="109" customFormat="1" x14ac:dyDescent="0.25">
      <c r="B43" s="134" t="s">
        <v>852</v>
      </c>
      <c r="C43" s="135">
        <v>3</v>
      </c>
      <c r="I43" s="107"/>
      <c r="J43" s="108"/>
    </row>
    <row r="44" spans="2:10" s="109" customFormat="1" x14ac:dyDescent="0.25">
      <c r="B44" s="134" t="s">
        <v>841</v>
      </c>
      <c r="C44" s="135">
        <v>1</v>
      </c>
      <c r="I44" s="107"/>
      <c r="J44" s="108"/>
    </row>
    <row r="45" spans="2:10" s="109" customFormat="1" x14ac:dyDescent="0.25">
      <c r="B45" s="134" t="s">
        <v>842</v>
      </c>
      <c r="C45" s="135">
        <v>1</v>
      </c>
      <c r="I45" s="107"/>
      <c r="J45" s="108"/>
    </row>
    <row r="46" spans="2:10" s="109" customFormat="1" x14ac:dyDescent="0.25">
      <c r="B46" s="134" t="s">
        <v>865</v>
      </c>
      <c r="C46" s="135">
        <v>24</v>
      </c>
      <c r="I46" s="107"/>
      <c r="J46" s="108"/>
    </row>
    <row r="47" spans="2:10" s="109" customFormat="1" x14ac:dyDescent="0.25">
      <c r="B47" s="134" t="s">
        <v>851</v>
      </c>
      <c r="C47" s="135">
        <v>5</v>
      </c>
      <c r="I47" s="107"/>
      <c r="J47" s="108"/>
    </row>
    <row r="48" spans="2:10" s="109" customFormat="1" ht="24" x14ac:dyDescent="0.25">
      <c r="B48" s="134" t="s">
        <v>853</v>
      </c>
      <c r="C48" s="135">
        <v>5</v>
      </c>
      <c r="I48" s="107"/>
      <c r="J48" s="108"/>
    </row>
    <row r="49" spans="2:10" s="109" customFormat="1" x14ac:dyDescent="0.25">
      <c r="B49" s="134" t="s">
        <v>984</v>
      </c>
      <c r="C49" s="135">
        <v>25</v>
      </c>
      <c r="I49" s="107"/>
      <c r="J49" s="108"/>
    </row>
    <row r="50" spans="2:10" s="109" customFormat="1" x14ac:dyDescent="0.25">
      <c r="B50" s="134" t="s">
        <v>985</v>
      </c>
      <c r="C50" s="135">
        <v>25</v>
      </c>
      <c r="I50" s="107"/>
      <c r="J50" s="108"/>
    </row>
    <row r="51" spans="2:10" s="109" customFormat="1" x14ac:dyDescent="0.25">
      <c r="B51" s="134" t="s">
        <v>986</v>
      </c>
      <c r="C51" s="135">
        <v>25</v>
      </c>
      <c r="I51" s="107"/>
      <c r="J51" s="108"/>
    </row>
    <row r="52" spans="2:10" s="109" customFormat="1" x14ac:dyDescent="0.25">
      <c r="B52" s="134" t="s">
        <v>987</v>
      </c>
      <c r="C52" s="135">
        <v>25</v>
      </c>
      <c r="I52" s="107"/>
      <c r="J52" s="108"/>
    </row>
    <row r="53" spans="2:10" s="109" customFormat="1" ht="36" x14ac:dyDescent="0.25">
      <c r="B53" s="134" t="s">
        <v>854</v>
      </c>
      <c r="C53" s="135">
        <v>2</v>
      </c>
      <c r="I53" s="107"/>
      <c r="J53" s="108"/>
    </row>
    <row r="54" spans="2:10" s="109" customFormat="1" ht="24" x14ac:dyDescent="0.25">
      <c r="B54" s="134" t="s">
        <v>855</v>
      </c>
      <c r="C54" s="135">
        <v>1</v>
      </c>
      <c r="I54" s="107"/>
      <c r="J54" s="108"/>
    </row>
    <row r="55" spans="2:10" s="109" customFormat="1" x14ac:dyDescent="0.25">
      <c r="B55" s="134" t="s">
        <v>862</v>
      </c>
      <c r="C55" s="135">
        <v>20</v>
      </c>
      <c r="I55" s="107"/>
      <c r="J55" s="108"/>
    </row>
    <row r="56" spans="2:10" s="109" customFormat="1" ht="24" customHeight="1" x14ac:dyDescent="0.25">
      <c r="B56" s="134" t="s">
        <v>861</v>
      </c>
      <c r="C56" s="135">
        <v>10</v>
      </c>
      <c r="I56" s="107"/>
      <c r="J56" s="108"/>
    </row>
    <row r="57" spans="2:10" s="109" customFormat="1" ht="24" customHeight="1" x14ac:dyDescent="0.25">
      <c r="B57" s="134" t="s">
        <v>860</v>
      </c>
      <c r="C57" s="135">
        <v>10</v>
      </c>
      <c r="I57" s="107"/>
      <c r="J57" s="108"/>
    </row>
    <row r="58" spans="2:10" s="109" customFormat="1" ht="24" customHeight="1" x14ac:dyDescent="0.25">
      <c r="B58" s="134" t="s">
        <v>856</v>
      </c>
      <c r="C58" s="135">
        <v>1</v>
      </c>
      <c r="I58" s="107"/>
      <c r="J58" s="108"/>
    </row>
    <row r="59" spans="2:10" s="109" customFormat="1" x14ac:dyDescent="0.25">
      <c r="B59" s="134" t="s">
        <v>866</v>
      </c>
      <c r="C59" s="135">
        <v>10</v>
      </c>
      <c r="I59" s="107"/>
      <c r="J59" s="108"/>
    </row>
    <row r="60" spans="2:10" s="109" customFormat="1" ht="24" x14ac:dyDescent="0.25">
      <c r="B60" s="134" t="s">
        <v>863</v>
      </c>
      <c r="C60" s="135">
        <v>10</v>
      </c>
      <c r="I60" s="107"/>
      <c r="J60" s="108"/>
    </row>
    <row r="61" spans="2:10" s="109" customFormat="1" ht="24" x14ac:dyDescent="0.25">
      <c r="B61" s="134" t="s">
        <v>864</v>
      </c>
      <c r="C61" s="135">
        <v>24</v>
      </c>
      <c r="I61" s="107"/>
      <c r="J61" s="108"/>
    </row>
    <row r="62" spans="2:10" s="109" customFormat="1" x14ac:dyDescent="0.25">
      <c r="B62" s="134" t="s">
        <v>867</v>
      </c>
      <c r="C62" s="135">
        <v>24</v>
      </c>
      <c r="I62" s="107"/>
      <c r="J62" s="108"/>
    </row>
    <row r="63" spans="2:10" s="109" customFormat="1" ht="24" x14ac:dyDescent="0.25">
      <c r="B63" s="134" t="s">
        <v>988</v>
      </c>
      <c r="C63" s="135">
        <v>5</v>
      </c>
      <c r="I63" s="107"/>
      <c r="J63" s="108"/>
    </row>
    <row r="64" spans="2:10" s="109" customFormat="1" ht="24" customHeight="1" x14ac:dyDescent="0.25">
      <c r="B64" s="134" t="s">
        <v>989</v>
      </c>
      <c r="C64" s="135">
        <v>4</v>
      </c>
      <c r="I64" s="107"/>
      <c r="J64" s="108"/>
    </row>
    <row r="65" spans="2:10" s="109" customFormat="1" ht="24" x14ac:dyDescent="0.25">
      <c r="B65" s="134" t="s">
        <v>990</v>
      </c>
      <c r="C65" s="135">
        <v>5</v>
      </c>
      <c r="I65" s="107"/>
      <c r="J65" s="108"/>
    </row>
    <row r="66" spans="2:10" s="109" customFormat="1" ht="24" x14ac:dyDescent="0.25">
      <c r="B66" s="134" t="s">
        <v>991</v>
      </c>
      <c r="C66" s="135">
        <v>5</v>
      </c>
      <c r="I66" s="107"/>
      <c r="J66" s="108"/>
    </row>
    <row r="67" spans="2:10" s="109" customFormat="1" ht="24" x14ac:dyDescent="0.25">
      <c r="B67" s="134" t="s">
        <v>992</v>
      </c>
      <c r="C67" s="135">
        <v>5</v>
      </c>
      <c r="I67" s="107"/>
      <c r="J67" s="108"/>
    </row>
    <row r="68" spans="2:10" s="109" customFormat="1" x14ac:dyDescent="0.25">
      <c r="B68" s="134" t="s">
        <v>868</v>
      </c>
      <c r="C68" s="135">
        <v>1</v>
      </c>
      <c r="I68" s="107"/>
      <c r="J68" s="108"/>
    </row>
    <row r="69" spans="2:10" s="109" customFormat="1" x14ac:dyDescent="0.25">
      <c r="B69" s="134" t="s">
        <v>993</v>
      </c>
      <c r="C69" s="135">
        <v>12</v>
      </c>
      <c r="I69" s="107"/>
      <c r="J69" s="108"/>
    </row>
    <row r="70" spans="2:10" s="109" customFormat="1" x14ac:dyDescent="0.25">
      <c r="B70" s="134" t="s">
        <v>994</v>
      </c>
      <c r="C70" s="135">
        <v>12</v>
      </c>
      <c r="I70" s="107"/>
      <c r="J70" s="108"/>
    </row>
    <row r="71" spans="2:10" s="109" customFormat="1" x14ac:dyDescent="0.25">
      <c r="B71" s="134" t="s">
        <v>869</v>
      </c>
      <c r="C71" s="135">
        <v>100</v>
      </c>
      <c r="I71" s="107"/>
      <c r="J71" s="108"/>
    </row>
    <row r="72" spans="2:10" s="109" customFormat="1" x14ac:dyDescent="0.25">
      <c r="B72" s="134" t="s">
        <v>870</v>
      </c>
      <c r="C72" s="135">
        <v>5</v>
      </c>
      <c r="I72" s="107"/>
      <c r="J72" s="108"/>
    </row>
    <row r="73" spans="2:10" s="109" customFormat="1" x14ac:dyDescent="0.25">
      <c r="B73" s="134" t="s">
        <v>871</v>
      </c>
      <c r="C73" s="135">
        <v>1</v>
      </c>
      <c r="I73" s="107"/>
      <c r="J73" s="108"/>
    </row>
    <row r="74" spans="2:10" s="109" customFormat="1" x14ac:dyDescent="0.25">
      <c r="B74" s="134" t="s">
        <v>995</v>
      </c>
      <c r="C74" s="135">
        <v>1</v>
      </c>
      <c r="I74" s="107"/>
      <c r="J74" s="108"/>
    </row>
    <row r="75" spans="2:10" s="109" customFormat="1" x14ac:dyDescent="0.25">
      <c r="B75" s="134" t="s">
        <v>857</v>
      </c>
      <c r="C75" s="135">
        <v>1</v>
      </c>
      <c r="I75" s="107"/>
      <c r="J75" s="108"/>
    </row>
    <row r="76" spans="2:10" s="109" customFormat="1" x14ac:dyDescent="0.25">
      <c r="B76" s="134" t="s">
        <v>873</v>
      </c>
      <c r="C76" s="135">
        <v>50</v>
      </c>
      <c r="I76" s="107"/>
      <c r="J76" s="108"/>
    </row>
    <row r="77" spans="2:10" s="109" customFormat="1" x14ac:dyDescent="0.25">
      <c r="B77" s="134" t="s">
        <v>872</v>
      </c>
      <c r="C77" s="135">
        <v>3</v>
      </c>
      <c r="I77" s="107"/>
      <c r="J77" s="108"/>
    </row>
    <row r="78" spans="2:10" s="109" customFormat="1" x14ac:dyDescent="0.25">
      <c r="B78" s="134" t="s">
        <v>876</v>
      </c>
      <c r="C78" s="135">
        <v>50</v>
      </c>
      <c r="I78" s="107"/>
      <c r="J78" s="108"/>
    </row>
    <row r="79" spans="2:10" s="109" customFormat="1" x14ac:dyDescent="0.25">
      <c r="B79" s="134" t="s">
        <v>877</v>
      </c>
      <c r="C79" s="135">
        <v>200</v>
      </c>
      <c r="I79" s="107"/>
      <c r="J79" s="108"/>
    </row>
    <row r="80" spans="2:10" s="109" customFormat="1" ht="24" x14ac:dyDescent="0.25">
      <c r="B80" s="134" t="s">
        <v>875</v>
      </c>
      <c r="C80" s="135">
        <v>10</v>
      </c>
      <c r="I80" s="107"/>
      <c r="J80" s="108"/>
    </row>
    <row r="81" spans="2:10" s="109" customFormat="1" x14ac:dyDescent="0.25">
      <c r="B81" s="134" t="s">
        <v>904</v>
      </c>
      <c r="C81" s="135">
        <v>5</v>
      </c>
      <c r="I81" s="107"/>
      <c r="J81" s="108"/>
    </row>
    <row r="82" spans="2:10" s="109" customFormat="1" x14ac:dyDescent="0.25">
      <c r="B82" s="134" t="s">
        <v>859</v>
      </c>
      <c r="C82" s="135">
        <v>1</v>
      </c>
      <c r="I82" s="107"/>
      <c r="J82" s="108"/>
    </row>
    <row r="83" spans="2:10" s="109" customFormat="1" x14ac:dyDescent="0.25">
      <c r="B83" s="134" t="s">
        <v>858</v>
      </c>
      <c r="C83" s="135">
        <v>2</v>
      </c>
      <c r="I83" s="107"/>
      <c r="J83" s="108"/>
    </row>
    <row r="84" spans="2:10" s="109" customFormat="1" ht="24" x14ac:dyDescent="0.25">
      <c r="B84" s="134" t="s">
        <v>878</v>
      </c>
      <c r="C84" s="135">
        <v>10</v>
      </c>
      <c r="I84" s="107"/>
      <c r="J84" s="108"/>
    </row>
    <row r="85" spans="2:10" s="109" customFormat="1" x14ac:dyDescent="0.25">
      <c r="B85" s="134" t="s">
        <v>879</v>
      </c>
      <c r="C85" s="135">
        <v>3</v>
      </c>
      <c r="I85" s="107"/>
      <c r="J85" s="108"/>
    </row>
    <row r="86" spans="2:10" s="109" customFormat="1" x14ac:dyDescent="0.25">
      <c r="B86" s="134" t="s">
        <v>880</v>
      </c>
      <c r="C86" s="135">
        <v>3</v>
      </c>
      <c r="I86" s="107"/>
      <c r="J86" s="108"/>
    </row>
    <row r="87" spans="2:10" s="109" customFormat="1" x14ac:dyDescent="0.25">
      <c r="B87" s="134" t="s">
        <v>881</v>
      </c>
      <c r="C87" s="135">
        <v>1</v>
      </c>
      <c r="I87" s="107"/>
      <c r="J87" s="108"/>
    </row>
    <row r="88" spans="2:10" s="109" customFormat="1" x14ac:dyDescent="0.25">
      <c r="B88" s="134" t="s">
        <v>882</v>
      </c>
      <c r="C88" s="135">
        <v>3</v>
      </c>
      <c r="I88" s="107"/>
      <c r="J88" s="108"/>
    </row>
    <row r="89" spans="2:10" s="109" customFormat="1" x14ac:dyDescent="0.25">
      <c r="B89" s="134" t="s">
        <v>996</v>
      </c>
      <c r="C89" s="135">
        <v>1</v>
      </c>
      <c r="I89" s="107"/>
      <c r="J89" s="108"/>
    </row>
    <row r="90" spans="2:10" s="109" customFormat="1" x14ac:dyDescent="0.25">
      <c r="B90" s="134" t="s">
        <v>902</v>
      </c>
      <c r="C90" s="135">
        <v>3</v>
      </c>
      <c r="I90" s="107"/>
      <c r="J90" s="108"/>
    </row>
    <row r="91" spans="2:10" s="109" customFormat="1" ht="24" x14ac:dyDescent="0.25">
      <c r="B91" s="134" t="s">
        <v>886</v>
      </c>
      <c r="C91" s="135">
        <v>10</v>
      </c>
      <c r="I91" s="107"/>
      <c r="J91" s="108"/>
    </row>
    <row r="92" spans="2:10" s="109" customFormat="1" x14ac:dyDescent="0.25">
      <c r="B92" s="134" t="s">
        <v>885</v>
      </c>
      <c r="C92" s="135">
        <v>3</v>
      </c>
      <c r="I92" s="107"/>
      <c r="J92" s="108"/>
    </row>
    <row r="93" spans="2:10" s="109" customFormat="1" x14ac:dyDescent="0.25">
      <c r="B93" s="134" t="s">
        <v>883</v>
      </c>
      <c r="C93" s="135">
        <v>3</v>
      </c>
      <c r="I93" s="107"/>
      <c r="J93" s="108"/>
    </row>
    <row r="94" spans="2:10" s="109" customFormat="1" ht="24" x14ac:dyDescent="0.25">
      <c r="B94" s="134" t="s">
        <v>888</v>
      </c>
      <c r="C94" s="135">
        <v>5</v>
      </c>
      <c r="I94" s="107"/>
      <c r="J94" s="108"/>
    </row>
    <row r="95" spans="2:10" s="109" customFormat="1" ht="24" x14ac:dyDescent="0.25">
      <c r="B95" s="134" t="s">
        <v>889</v>
      </c>
      <c r="C95" s="135">
        <v>5</v>
      </c>
      <c r="I95" s="107"/>
      <c r="J95" s="108"/>
    </row>
    <row r="96" spans="2:10" s="109" customFormat="1" ht="24" x14ac:dyDescent="0.25">
      <c r="B96" s="134" t="s">
        <v>887</v>
      </c>
      <c r="C96" s="135">
        <v>10</v>
      </c>
      <c r="I96" s="107"/>
      <c r="J96" s="108"/>
    </row>
    <row r="97" spans="2:10" s="109" customFormat="1" x14ac:dyDescent="0.25">
      <c r="B97" s="134" t="s">
        <v>884</v>
      </c>
      <c r="C97" s="135">
        <v>5</v>
      </c>
      <c r="I97" s="107"/>
      <c r="J97" s="108"/>
    </row>
    <row r="98" spans="2:10" s="109" customFormat="1" x14ac:dyDescent="0.25">
      <c r="B98" s="134" t="s">
        <v>238</v>
      </c>
      <c r="C98" s="135">
        <v>2</v>
      </c>
      <c r="I98" s="107"/>
      <c r="J98" s="108"/>
    </row>
    <row r="99" spans="2:10" s="109" customFormat="1" ht="24" x14ac:dyDescent="0.25">
      <c r="B99" s="134" t="s">
        <v>890</v>
      </c>
      <c r="C99" s="135">
        <v>10</v>
      </c>
      <c r="I99" s="107"/>
      <c r="J99" s="108"/>
    </row>
    <row r="100" spans="2:10" s="109" customFormat="1" x14ac:dyDescent="0.25">
      <c r="B100" s="134" t="s">
        <v>891</v>
      </c>
      <c r="C100" s="135">
        <v>3</v>
      </c>
      <c r="I100" s="107"/>
      <c r="J100" s="108"/>
    </row>
    <row r="101" spans="2:10" s="109" customFormat="1" x14ac:dyDescent="0.25">
      <c r="B101" s="134" t="s">
        <v>894</v>
      </c>
      <c r="C101" s="135">
        <v>1</v>
      </c>
      <c r="I101" s="107"/>
      <c r="J101" s="108"/>
    </row>
    <row r="102" spans="2:10" s="109" customFormat="1" x14ac:dyDescent="0.25">
      <c r="B102" s="134" t="s">
        <v>892</v>
      </c>
      <c r="C102" s="135">
        <v>1</v>
      </c>
      <c r="I102" s="107"/>
      <c r="J102" s="108"/>
    </row>
    <row r="103" spans="2:10" s="109" customFormat="1" x14ac:dyDescent="0.25">
      <c r="B103" s="134" t="s">
        <v>893</v>
      </c>
      <c r="C103" s="135">
        <v>100</v>
      </c>
      <c r="I103" s="107"/>
      <c r="J103" s="108"/>
    </row>
    <row r="104" spans="2:10" s="109" customFormat="1" x14ac:dyDescent="0.25">
      <c r="B104" s="134" t="s">
        <v>897</v>
      </c>
      <c r="C104" s="135">
        <v>20</v>
      </c>
      <c r="I104" s="107"/>
      <c r="J104" s="108"/>
    </row>
    <row r="105" spans="2:10" s="109" customFormat="1" x14ac:dyDescent="0.25">
      <c r="B105" s="134" t="s">
        <v>898</v>
      </c>
      <c r="C105" s="135">
        <v>10</v>
      </c>
      <c r="I105" s="107"/>
      <c r="J105" s="108"/>
    </row>
    <row r="106" spans="2:10" s="109" customFormat="1" ht="24" x14ac:dyDescent="0.25">
      <c r="B106" s="134" t="s">
        <v>899</v>
      </c>
      <c r="C106" s="135">
        <v>10</v>
      </c>
      <c r="I106" s="107"/>
      <c r="J106" s="108"/>
    </row>
    <row r="107" spans="2:10" s="109" customFormat="1" x14ac:dyDescent="0.25">
      <c r="B107" s="134" t="s">
        <v>896</v>
      </c>
      <c r="C107" s="135">
        <v>3</v>
      </c>
      <c r="I107" s="107"/>
      <c r="J107" s="108"/>
    </row>
    <row r="108" spans="2:10" s="109" customFormat="1" x14ac:dyDescent="0.25">
      <c r="B108" s="134" t="s">
        <v>848</v>
      </c>
      <c r="C108" s="135">
        <v>10</v>
      </c>
      <c r="I108" s="107"/>
      <c r="J108" s="108"/>
    </row>
    <row r="109" spans="2:10" s="109" customFormat="1" x14ac:dyDescent="0.25">
      <c r="B109" s="134" t="s">
        <v>900</v>
      </c>
      <c r="C109" s="135">
        <v>50</v>
      </c>
      <c r="I109" s="107"/>
      <c r="J109" s="108"/>
    </row>
    <row r="110" spans="2:10" s="109" customFormat="1" x14ac:dyDescent="0.25">
      <c r="B110" s="134" t="s">
        <v>901</v>
      </c>
      <c r="C110" s="135">
        <v>3</v>
      </c>
      <c r="I110" s="107"/>
      <c r="J110" s="108"/>
    </row>
    <row r="112" spans="2:10" x14ac:dyDescent="0.25">
      <c r="B112" s="21" t="s">
        <v>143</v>
      </c>
    </row>
    <row r="113" spans="2:4" x14ac:dyDescent="0.25">
      <c r="B113" s="101" t="s">
        <v>291</v>
      </c>
      <c r="C113" s="101" t="s">
        <v>248</v>
      </c>
      <c r="D113" s="101" t="s">
        <v>292</v>
      </c>
    </row>
    <row r="114" spans="2:4" x14ac:dyDescent="0.25">
      <c r="B114" s="100" t="s">
        <v>293</v>
      </c>
      <c r="C114" s="101" t="s">
        <v>251</v>
      </c>
      <c r="D114" s="102">
        <v>1</v>
      </c>
    </row>
    <row r="115" spans="2:4" x14ac:dyDescent="0.25">
      <c r="B115" s="103" t="s">
        <v>294</v>
      </c>
      <c r="C115" s="104" t="s">
        <v>295</v>
      </c>
      <c r="D115" s="102">
        <v>1</v>
      </c>
    </row>
    <row r="116" spans="2:4" x14ac:dyDescent="0.25">
      <c r="B116" s="105" t="s">
        <v>296</v>
      </c>
      <c r="C116" s="101" t="s">
        <v>251</v>
      </c>
      <c r="D116" s="102">
        <v>1</v>
      </c>
    </row>
    <row r="117" spans="2:4" x14ac:dyDescent="0.25">
      <c r="B117" s="105" t="s">
        <v>297</v>
      </c>
      <c r="C117" s="101" t="s">
        <v>251</v>
      </c>
      <c r="D117" s="102">
        <v>1</v>
      </c>
    </row>
    <row r="118" spans="2:4" x14ac:dyDescent="0.25">
      <c r="B118" s="105" t="s">
        <v>821</v>
      </c>
      <c r="C118" s="101">
        <v>1</v>
      </c>
      <c r="D118" s="102">
        <v>1</v>
      </c>
    </row>
    <row r="119" spans="2:4" x14ac:dyDescent="0.25">
      <c r="B119" s="105" t="s">
        <v>298</v>
      </c>
      <c r="C119" s="101" t="s">
        <v>251</v>
      </c>
      <c r="D119" s="102">
        <v>1</v>
      </c>
    </row>
    <row r="120" spans="2:4" x14ac:dyDescent="0.25">
      <c r="B120" s="105" t="s">
        <v>299</v>
      </c>
      <c r="C120" s="101" t="s">
        <v>251</v>
      </c>
      <c r="D120" s="102">
        <v>1</v>
      </c>
    </row>
    <row r="121" spans="2:4" x14ac:dyDescent="0.25">
      <c r="B121" s="105" t="s">
        <v>267</v>
      </c>
      <c r="C121" s="101" t="s">
        <v>251</v>
      </c>
      <c r="D121" s="102">
        <v>1</v>
      </c>
    </row>
    <row r="122" spans="2:4" x14ac:dyDescent="0.25">
      <c r="B122" s="103" t="s">
        <v>300</v>
      </c>
      <c r="C122" s="104" t="s">
        <v>301</v>
      </c>
      <c r="D122" s="102">
        <v>1</v>
      </c>
    </row>
    <row r="123" spans="2:4" x14ac:dyDescent="0.25">
      <c r="B123" s="105" t="s">
        <v>302</v>
      </c>
      <c r="C123" s="101" t="s">
        <v>251</v>
      </c>
      <c r="D123" s="102">
        <v>1</v>
      </c>
    </row>
    <row r="124" spans="2:4" x14ac:dyDescent="0.25">
      <c r="B124" s="100" t="s">
        <v>303</v>
      </c>
      <c r="C124" s="101" t="s">
        <v>251</v>
      </c>
      <c r="D124" s="102">
        <v>1</v>
      </c>
    </row>
    <row r="125" spans="2:4" x14ac:dyDescent="0.25">
      <c r="B125" s="105" t="s">
        <v>304</v>
      </c>
      <c r="C125" s="101" t="s">
        <v>251</v>
      </c>
      <c r="D125" s="102">
        <v>1</v>
      </c>
    </row>
    <row r="126" spans="2:4" x14ac:dyDescent="0.25">
      <c r="B126" s="105" t="s">
        <v>305</v>
      </c>
      <c r="C126" s="101" t="s">
        <v>251</v>
      </c>
      <c r="D126" s="102">
        <v>1</v>
      </c>
    </row>
    <row r="127" spans="2:4" x14ac:dyDescent="0.25">
      <c r="B127" s="100" t="s">
        <v>306</v>
      </c>
      <c r="C127" s="104" t="s">
        <v>307</v>
      </c>
      <c r="D127" s="102">
        <v>1</v>
      </c>
    </row>
    <row r="128" spans="2:4" x14ac:dyDescent="0.25">
      <c r="B128" s="106" t="s">
        <v>308</v>
      </c>
      <c r="C128" s="101" t="s">
        <v>251</v>
      </c>
      <c r="D128" s="102">
        <v>1</v>
      </c>
    </row>
    <row r="129" spans="2:4" x14ac:dyDescent="0.25">
      <c r="B129" s="105" t="s">
        <v>309</v>
      </c>
      <c r="C129" s="101" t="s">
        <v>251</v>
      </c>
      <c r="D129" s="102">
        <v>1</v>
      </c>
    </row>
    <row r="130" spans="2:4" x14ac:dyDescent="0.25">
      <c r="B130" s="105" t="s">
        <v>822</v>
      </c>
      <c r="C130" s="101" t="s">
        <v>251</v>
      </c>
      <c r="D130" s="102">
        <v>1</v>
      </c>
    </row>
    <row r="131" spans="2:4" x14ac:dyDescent="0.25">
      <c r="B131" s="105" t="s">
        <v>310</v>
      </c>
      <c r="C131" s="101" t="s">
        <v>251</v>
      </c>
      <c r="D131" s="102">
        <v>1</v>
      </c>
    </row>
    <row r="132" spans="2:4" x14ac:dyDescent="0.25">
      <c r="B132" s="105" t="s">
        <v>311</v>
      </c>
      <c r="C132" s="101" t="s">
        <v>251</v>
      </c>
      <c r="D132" s="102">
        <v>1</v>
      </c>
    </row>
    <row r="133" spans="2:4" x14ac:dyDescent="0.25">
      <c r="B133" s="100" t="s">
        <v>312</v>
      </c>
      <c r="C133" s="101" t="s">
        <v>251</v>
      </c>
      <c r="D133" s="102">
        <v>1</v>
      </c>
    </row>
    <row r="134" spans="2:4" x14ac:dyDescent="0.25">
      <c r="B134" s="103" t="s">
        <v>313</v>
      </c>
      <c r="C134" s="104" t="s">
        <v>314</v>
      </c>
      <c r="D134" s="102">
        <v>1</v>
      </c>
    </row>
    <row r="135" spans="2:4" x14ac:dyDescent="0.25">
      <c r="B135" s="103" t="s">
        <v>315</v>
      </c>
      <c r="C135" s="104" t="s">
        <v>314</v>
      </c>
      <c r="D135" s="102">
        <v>1</v>
      </c>
    </row>
    <row r="136" spans="2:4" x14ac:dyDescent="0.25">
      <c r="B136" s="100" t="s">
        <v>316</v>
      </c>
      <c r="C136" s="101" t="s">
        <v>251</v>
      </c>
      <c r="D136" s="102">
        <v>1</v>
      </c>
    </row>
    <row r="137" spans="2:4" x14ac:dyDescent="0.25">
      <c r="B137" s="100" t="s">
        <v>317</v>
      </c>
      <c r="C137" s="101" t="s">
        <v>251</v>
      </c>
      <c r="D137" s="102">
        <v>1</v>
      </c>
    </row>
    <row r="138" spans="2:4" x14ac:dyDescent="0.25">
      <c r="B138" s="105" t="s">
        <v>318</v>
      </c>
      <c r="C138" s="101" t="s">
        <v>251</v>
      </c>
      <c r="D138" s="102">
        <v>1</v>
      </c>
    </row>
    <row r="139" spans="2:4" x14ac:dyDescent="0.25">
      <c r="B139" s="105" t="s">
        <v>319</v>
      </c>
      <c r="C139" s="101" t="s">
        <v>251</v>
      </c>
      <c r="D139" s="102">
        <v>1</v>
      </c>
    </row>
    <row r="140" spans="2:4" x14ac:dyDescent="0.25">
      <c r="B140" s="105" t="s">
        <v>320</v>
      </c>
      <c r="C140" s="101" t="s">
        <v>321</v>
      </c>
      <c r="D140" s="102">
        <v>1</v>
      </c>
    </row>
    <row r="141" spans="2:4" x14ac:dyDescent="0.25">
      <c r="B141" s="100" t="s">
        <v>322</v>
      </c>
      <c r="C141" s="101" t="s">
        <v>323</v>
      </c>
      <c r="D141" s="102">
        <v>1</v>
      </c>
    </row>
    <row r="142" spans="2:4" x14ac:dyDescent="0.25">
      <c r="B142" s="105" t="s">
        <v>324</v>
      </c>
      <c r="C142" s="101" t="s">
        <v>325</v>
      </c>
      <c r="D142" s="102">
        <v>5</v>
      </c>
    </row>
    <row r="143" spans="2:4" x14ac:dyDescent="0.25">
      <c r="B143" s="105" t="s">
        <v>326</v>
      </c>
      <c r="C143" s="101" t="s">
        <v>251</v>
      </c>
      <c r="D143" s="102">
        <v>1</v>
      </c>
    </row>
    <row r="144" spans="2:4" x14ac:dyDescent="0.25">
      <c r="B144" s="105" t="s">
        <v>327</v>
      </c>
      <c r="C144" s="101" t="s">
        <v>251</v>
      </c>
      <c r="D144" s="102">
        <v>1</v>
      </c>
    </row>
    <row r="145" spans="2:4" x14ac:dyDescent="0.25">
      <c r="B145" s="100" t="s">
        <v>328</v>
      </c>
      <c r="C145" s="101" t="s">
        <v>251</v>
      </c>
      <c r="D145" s="102">
        <v>1</v>
      </c>
    </row>
    <row r="146" spans="2:4" x14ac:dyDescent="0.25">
      <c r="B146" s="105" t="s">
        <v>329</v>
      </c>
      <c r="C146" s="101" t="s">
        <v>251</v>
      </c>
      <c r="D146" s="102">
        <v>1</v>
      </c>
    </row>
    <row r="147" spans="2:4" x14ac:dyDescent="0.25">
      <c r="B147" s="100" t="s">
        <v>330</v>
      </c>
      <c r="C147" s="101" t="s">
        <v>251</v>
      </c>
      <c r="D147" s="102">
        <v>1</v>
      </c>
    </row>
    <row r="148" spans="2:4" x14ac:dyDescent="0.25">
      <c r="B148" s="105" t="s">
        <v>331</v>
      </c>
      <c r="C148" s="101" t="s">
        <v>251</v>
      </c>
      <c r="D148" s="102">
        <v>1</v>
      </c>
    </row>
    <row r="149" spans="2:4" x14ac:dyDescent="0.25">
      <c r="B149" s="100" t="s">
        <v>332</v>
      </c>
      <c r="C149" s="101" t="s">
        <v>251</v>
      </c>
      <c r="D149" s="102">
        <v>1</v>
      </c>
    </row>
    <row r="150" spans="2:4" x14ac:dyDescent="0.25">
      <c r="B150" s="100" t="s">
        <v>333</v>
      </c>
      <c r="C150" s="101" t="s">
        <v>251</v>
      </c>
      <c r="D150" s="102">
        <v>1</v>
      </c>
    </row>
    <row r="151" spans="2:4" x14ac:dyDescent="0.25">
      <c r="B151" s="105" t="s">
        <v>334</v>
      </c>
      <c r="C151" s="101" t="s">
        <v>251</v>
      </c>
      <c r="D151" s="102">
        <v>1</v>
      </c>
    </row>
    <row r="152" spans="2:4" x14ac:dyDescent="0.25">
      <c r="B152" s="105" t="s">
        <v>335</v>
      </c>
      <c r="C152" s="101" t="s">
        <v>251</v>
      </c>
      <c r="D152" s="102">
        <v>1</v>
      </c>
    </row>
    <row r="153" spans="2:4" x14ac:dyDescent="0.25">
      <c r="B153" s="105" t="s">
        <v>336</v>
      </c>
      <c r="C153" s="101" t="s">
        <v>251</v>
      </c>
      <c r="D153" s="102">
        <v>1</v>
      </c>
    </row>
    <row r="154" spans="2:4" x14ac:dyDescent="0.25">
      <c r="B154" s="105" t="s">
        <v>337</v>
      </c>
      <c r="C154" s="101" t="s">
        <v>251</v>
      </c>
      <c r="D154" s="102">
        <v>1</v>
      </c>
    </row>
    <row r="155" spans="2:4" x14ac:dyDescent="0.25">
      <c r="B155" s="105" t="s">
        <v>338</v>
      </c>
      <c r="C155" s="101" t="s">
        <v>251</v>
      </c>
      <c r="D155" s="102">
        <v>1</v>
      </c>
    </row>
    <row r="156" spans="2:4" x14ac:dyDescent="0.25">
      <c r="B156" s="105" t="s">
        <v>339</v>
      </c>
      <c r="C156" s="101" t="s">
        <v>251</v>
      </c>
      <c r="D156" s="102">
        <v>1</v>
      </c>
    </row>
    <row r="157" spans="2:4" x14ac:dyDescent="0.25">
      <c r="B157" s="103" t="s">
        <v>340</v>
      </c>
      <c r="C157" s="101" t="s">
        <v>251</v>
      </c>
      <c r="D157" s="102">
        <v>1</v>
      </c>
    </row>
    <row r="158" spans="2:4" x14ac:dyDescent="0.25">
      <c r="B158" s="105" t="s">
        <v>342</v>
      </c>
      <c r="C158" s="101" t="s">
        <v>251</v>
      </c>
      <c r="D158" s="102">
        <v>1</v>
      </c>
    </row>
    <row r="159" spans="2:4" x14ac:dyDescent="0.25">
      <c r="B159" s="105" t="s">
        <v>343</v>
      </c>
      <c r="C159" s="101" t="s">
        <v>251</v>
      </c>
      <c r="D159" s="102">
        <v>1</v>
      </c>
    </row>
    <row r="160" spans="2:4" x14ac:dyDescent="0.25">
      <c r="B160" s="105" t="s">
        <v>344</v>
      </c>
      <c r="C160" s="101" t="s">
        <v>251</v>
      </c>
      <c r="D160" s="102">
        <v>1</v>
      </c>
    </row>
    <row r="161" spans="2:4" x14ac:dyDescent="0.25">
      <c r="B161" s="105" t="s">
        <v>345</v>
      </c>
      <c r="C161" s="101" t="s">
        <v>251</v>
      </c>
      <c r="D161" s="102">
        <v>1</v>
      </c>
    </row>
    <row r="162" spans="2:4" x14ac:dyDescent="0.25">
      <c r="B162" s="100" t="s">
        <v>823</v>
      </c>
      <c r="C162" s="101" t="s">
        <v>251</v>
      </c>
      <c r="D162" s="102">
        <v>1</v>
      </c>
    </row>
    <row r="163" spans="2:4" x14ac:dyDescent="0.25">
      <c r="B163" s="105" t="s">
        <v>346</v>
      </c>
      <c r="C163" s="101" t="s">
        <v>251</v>
      </c>
      <c r="D163" s="102">
        <v>1</v>
      </c>
    </row>
    <row r="164" spans="2:4" x14ac:dyDescent="0.25">
      <c r="B164" s="100" t="s">
        <v>347</v>
      </c>
      <c r="C164" s="101" t="s">
        <v>251</v>
      </c>
      <c r="D164" s="102">
        <v>1</v>
      </c>
    </row>
    <row r="165" spans="2:4" x14ac:dyDescent="0.25">
      <c r="B165" s="103" t="s">
        <v>348</v>
      </c>
      <c r="C165" s="104" t="s">
        <v>349</v>
      </c>
      <c r="D165" s="102">
        <v>1</v>
      </c>
    </row>
    <row r="166" spans="2:4" x14ac:dyDescent="0.25">
      <c r="B166" s="105" t="s">
        <v>350</v>
      </c>
      <c r="C166" s="101" t="s">
        <v>251</v>
      </c>
      <c r="D166" s="102">
        <v>1</v>
      </c>
    </row>
    <row r="167" spans="2:4" x14ac:dyDescent="0.25">
      <c r="B167" s="105" t="s">
        <v>351</v>
      </c>
      <c r="C167" s="101" t="s">
        <v>251</v>
      </c>
      <c r="D167" s="102">
        <v>1</v>
      </c>
    </row>
    <row r="168" spans="2:4" x14ac:dyDescent="0.25">
      <c r="B168" s="105" t="s">
        <v>352</v>
      </c>
      <c r="C168" s="101" t="s">
        <v>251</v>
      </c>
      <c r="D168" s="102">
        <v>1</v>
      </c>
    </row>
    <row r="169" spans="2:4" x14ac:dyDescent="0.25">
      <c r="B169" s="105" t="s">
        <v>353</v>
      </c>
      <c r="C169" s="101" t="s">
        <v>251</v>
      </c>
      <c r="D169" s="102">
        <v>1</v>
      </c>
    </row>
    <row r="170" spans="2:4" x14ac:dyDescent="0.25">
      <c r="B170" s="105" t="s">
        <v>354</v>
      </c>
      <c r="C170" s="101" t="s">
        <v>251</v>
      </c>
      <c r="D170" s="102">
        <v>1</v>
      </c>
    </row>
    <row r="171" spans="2:4" x14ac:dyDescent="0.25">
      <c r="B171" s="105" t="s">
        <v>824</v>
      </c>
      <c r="C171" s="104" t="s">
        <v>355</v>
      </c>
      <c r="D171" s="102">
        <v>1</v>
      </c>
    </row>
    <row r="172" spans="2:4" x14ac:dyDescent="0.25">
      <c r="B172" s="105" t="s">
        <v>356</v>
      </c>
      <c r="C172" s="101" t="s">
        <v>251</v>
      </c>
      <c r="D172" s="102">
        <v>1</v>
      </c>
    </row>
    <row r="173" spans="2:4" x14ac:dyDescent="0.25">
      <c r="B173" s="105" t="s">
        <v>357</v>
      </c>
      <c r="C173" s="101" t="s">
        <v>251</v>
      </c>
      <c r="D173" s="102">
        <v>1</v>
      </c>
    </row>
    <row r="174" spans="2:4" x14ac:dyDescent="0.25">
      <c r="B174" s="105" t="s">
        <v>358</v>
      </c>
      <c r="C174" s="101" t="s">
        <v>251</v>
      </c>
      <c r="D174" s="102">
        <v>1</v>
      </c>
    </row>
    <row r="175" spans="2:4" x14ac:dyDescent="0.25">
      <c r="B175" s="105" t="s">
        <v>359</v>
      </c>
      <c r="C175" s="101" t="s">
        <v>251</v>
      </c>
      <c r="D175" s="102">
        <v>1</v>
      </c>
    </row>
    <row r="176" spans="2:4" x14ac:dyDescent="0.25">
      <c r="B176" s="100" t="s">
        <v>360</v>
      </c>
      <c r="C176" s="101" t="s">
        <v>251</v>
      </c>
      <c r="D176" s="102">
        <v>1</v>
      </c>
    </row>
    <row r="177" spans="2:4" ht="24" x14ac:dyDescent="0.25">
      <c r="B177" s="100" t="s">
        <v>361</v>
      </c>
      <c r="C177" s="101" t="s">
        <v>251</v>
      </c>
      <c r="D177" s="102">
        <v>1</v>
      </c>
    </row>
    <row r="178" spans="2:4" ht="24" x14ac:dyDescent="0.25">
      <c r="B178" s="105" t="s">
        <v>362</v>
      </c>
      <c r="C178" s="101" t="s">
        <v>251</v>
      </c>
      <c r="D178" s="102">
        <v>1</v>
      </c>
    </row>
    <row r="179" spans="2:4" x14ac:dyDescent="0.25">
      <c r="B179" s="105" t="s">
        <v>363</v>
      </c>
      <c r="C179" s="101" t="s">
        <v>251</v>
      </c>
      <c r="D179" s="102">
        <v>1</v>
      </c>
    </row>
    <row r="180" spans="2:4" x14ac:dyDescent="0.25">
      <c r="B180" s="100" t="s">
        <v>825</v>
      </c>
      <c r="C180" s="101" t="s">
        <v>251</v>
      </c>
      <c r="D180" s="102">
        <v>1</v>
      </c>
    </row>
    <row r="181" spans="2:4" x14ac:dyDescent="0.25">
      <c r="B181" s="105" t="s">
        <v>364</v>
      </c>
      <c r="C181" s="101" t="s">
        <v>251</v>
      </c>
      <c r="D181" s="102">
        <v>1</v>
      </c>
    </row>
    <row r="182" spans="2:4" x14ac:dyDescent="0.25">
      <c r="B182" s="105" t="s">
        <v>365</v>
      </c>
      <c r="C182" s="101" t="s">
        <v>251</v>
      </c>
      <c r="D182" s="102">
        <v>1</v>
      </c>
    </row>
    <row r="183" spans="2:4" x14ac:dyDescent="0.25">
      <c r="B183" s="105" t="s">
        <v>366</v>
      </c>
      <c r="C183" s="101" t="s">
        <v>251</v>
      </c>
      <c r="D183" s="102">
        <v>1</v>
      </c>
    </row>
    <row r="184" spans="2:4" x14ac:dyDescent="0.25">
      <c r="B184" s="105" t="s">
        <v>367</v>
      </c>
      <c r="C184" s="101" t="s">
        <v>251</v>
      </c>
      <c r="D184" s="102">
        <v>1</v>
      </c>
    </row>
    <row r="185" spans="2:4" x14ac:dyDescent="0.25">
      <c r="B185" s="105" t="s">
        <v>368</v>
      </c>
      <c r="C185" s="101" t="s">
        <v>251</v>
      </c>
      <c r="D185" s="102">
        <v>1</v>
      </c>
    </row>
    <row r="186" spans="2:4" x14ac:dyDescent="0.25">
      <c r="B186" s="103" t="s">
        <v>369</v>
      </c>
      <c r="C186" s="104" t="s">
        <v>341</v>
      </c>
      <c r="D186" s="102">
        <v>1</v>
      </c>
    </row>
    <row r="187" spans="2:4" x14ac:dyDescent="0.25">
      <c r="B187" s="105" t="s">
        <v>370</v>
      </c>
      <c r="C187" s="101" t="s">
        <v>251</v>
      </c>
      <c r="D187" s="102">
        <v>1</v>
      </c>
    </row>
    <row r="188" spans="2:4" x14ac:dyDescent="0.25">
      <c r="B188" s="105" t="s">
        <v>371</v>
      </c>
      <c r="C188" s="101" t="s">
        <v>251</v>
      </c>
      <c r="D188" s="102">
        <v>1</v>
      </c>
    </row>
    <row r="189" spans="2:4" x14ac:dyDescent="0.25">
      <c r="B189" s="105" t="s">
        <v>372</v>
      </c>
      <c r="C189" s="101" t="s">
        <v>251</v>
      </c>
      <c r="D189" s="102">
        <v>1</v>
      </c>
    </row>
    <row r="190" spans="2:4" x14ac:dyDescent="0.25">
      <c r="B190" s="105" t="s">
        <v>373</v>
      </c>
      <c r="C190" s="101" t="s">
        <v>251</v>
      </c>
      <c r="D190" s="102">
        <v>1</v>
      </c>
    </row>
    <row r="191" spans="2:4" x14ac:dyDescent="0.25">
      <c r="B191" s="105" t="s">
        <v>374</v>
      </c>
      <c r="C191" s="101" t="s">
        <v>251</v>
      </c>
      <c r="D191" s="102">
        <v>1</v>
      </c>
    </row>
    <row r="192" spans="2:4" x14ac:dyDescent="0.25">
      <c r="B192" s="105" t="s">
        <v>375</v>
      </c>
      <c r="C192" s="101" t="s">
        <v>251</v>
      </c>
      <c r="D192" s="102">
        <v>1</v>
      </c>
    </row>
    <row r="193" spans="2:4" x14ac:dyDescent="0.25">
      <c r="B193" s="105" t="s">
        <v>376</v>
      </c>
      <c r="C193" s="101" t="s">
        <v>251</v>
      </c>
      <c r="D193" s="102">
        <v>1</v>
      </c>
    </row>
    <row r="194" spans="2:4" x14ac:dyDescent="0.25">
      <c r="B194" s="103" t="s">
        <v>377</v>
      </c>
      <c r="C194" s="101" t="s">
        <v>251</v>
      </c>
      <c r="D194" s="102">
        <v>1</v>
      </c>
    </row>
    <row r="195" spans="2:4" x14ac:dyDescent="0.25">
      <c r="B195" s="103" t="s">
        <v>378</v>
      </c>
      <c r="C195" s="101" t="s">
        <v>251</v>
      </c>
      <c r="D195" s="102">
        <v>1</v>
      </c>
    </row>
    <row r="196" spans="2:4" x14ac:dyDescent="0.25">
      <c r="B196" s="105" t="s">
        <v>379</v>
      </c>
      <c r="C196" s="101" t="s">
        <v>251</v>
      </c>
      <c r="D196" s="102">
        <v>1</v>
      </c>
    </row>
    <row r="197" spans="2:4" x14ac:dyDescent="0.25">
      <c r="B197" s="105" t="s">
        <v>380</v>
      </c>
      <c r="C197" s="101" t="s">
        <v>251</v>
      </c>
      <c r="D197" s="102">
        <v>1</v>
      </c>
    </row>
    <row r="198" spans="2:4" x14ac:dyDescent="0.25">
      <c r="B198" s="105" t="s">
        <v>381</v>
      </c>
      <c r="C198" s="101" t="s">
        <v>251</v>
      </c>
      <c r="D198" s="102">
        <v>1</v>
      </c>
    </row>
    <row r="199" spans="2:4" x14ac:dyDescent="0.25">
      <c r="B199" s="105" t="s">
        <v>382</v>
      </c>
      <c r="C199" s="101" t="s">
        <v>251</v>
      </c>
      <c r="D199" s="102">
        <v>1</v>
      </c>
    </row>
    <row r="200" spans="2:4" x14ac:dyDescent="0.25">
      <c r="B200" s="105" t="s">
        <v>383</v>
      </c>
      <c r="C200" s="101" t="s">
        <v>251</v>
      </c>
      <c r="D200" s="102">
        <v>1</v>
      </c>
    </row>
    <row r="201" spans="2:4" x14ac:dyDescent="0.25">
      <c r="B201" s="105" t="s">
        <v>384</v>
      </c>
      <c r="C201" s="101" t="s">
        <v>251</v>
      </c>
      <c r="D201" s="102">
        <v>1</v>
      </c>
    </row>
    <row r="202" spans="2:4" x14ac:dyDescent="0.25">
      <c r="B202" s="100" t="s">
        <v>385</v>
      </c>
      <c r="C202" s="101" t="s">
        <v>251</v>
      </c>
      <c r="D202" s="102">
        <v>1</v>
      </c>
    </row>
    <row r="203" spans="2:4" x14ac:dyDescent="0.25">
      <c r="B203" s="100" t="s">
        <v>386</v>
      </c>
      <c r="C203" s="101" t="s">
        <v>251</v>
      </c>
      <c r="D203" s="102">
        <v>1</v>
      </c>
    </row>
    <row r="204" spans="2:4" x14ac:dyDescent="0.25">
      <c r="B204" s="100" t="s">
        <v>387</v>
      </c>
      <c r="C204" s="101" t="s">
        <v>251</v>
      </c>
      <c r="D204" s="102">
        <v>1</v>
      </c>
    </row>
    <row r="205" spans="2:4" x14ac:dyDescent="0.25">
      <c r="B205" s="105" t="s">
        <v>388</v>
      </c>
      <c r="C205" s="101" t="s">
        <v>251</v>
      </c>
      <c r="D205" s="102">
        <v>1</v>
      </c>
    </row>
    <row r="206" spans="2:4" x14ac:dyDescent="0.25">
      <c r="B206" s="105" t="s">
        <v>389</v>
      </c>
      <c r="C206" s="101" t="s">
        <v>251</v>
      </c>
      <c r="D206" s="102">
        <v>1</v>
      </c>
    </row>
    <row r="207" spans="2:4" x14ac:dyDescent="0.25">
      <c r="B207" s="105" t="s">
        <v>390</v>
      </c>
      <c r="C207" s="101" t="s">
        <v>251</v>
      </c>
      <c r="D207" s="102">
        <v>1</v>
      </c>
    </row>
    <row r="208" spans="2:4" x14ac:dyDescent="0.25">
      <c r="B208" s="105" t="s">
        <v>391</v>
      </c>
      <c r="C208" s="101" t="s">
        <v>251</v>
      </c>
      <c r="D208" s="102">
        <v>1</v>
      </c>
    </row>
    <row r="209" spans="2:4" x14ac:dyDescent="0.25">
      <c r="B209" s="103" t="s">
        <v>392</v>
      </c>
      <c r="C209" s="101" t="s">
        <v>251</v>
      </c>
      <c r="D209" s="102">
        <v>1</v>
      </c>
    </row>
    <row r="210" spans="2:4" x14ac:dyDescent="0.25">
      <c r="B210" s="105" t="s">
        <v>393</v>
      </c>
      <c r="C210" s="101" t="s">
        <v>251</v>
      </c>
      <c r="D210" s="102">
        <v>1</v>
      </c>
    </row>
    <row r="211" spans="2:4" x14ac:dyDescent="0.25">
      <c r="B211" s="105" t="s">
        <v>394</v>
      </c>
      <c r="C211" s="101" t="s">
        <v>251</v>
      </c>
      <c r="D211" s="102">
        <v>1</v>
      </c>
    </row>
    <row r="212" spans="2:4" x14ac:dyDescent="0.25">
      <c r="B212" s="100" t="s">
        <v>395</v>
      </c>
      <c r="C212" s="104" t="s">
        <v>396</v>
      </c>
      <c r="D212" s="102">
        <v>1</v>
      </c>
    </row>
    <row r="213" spans="2:4" ht="24" x14ac:dyDescent="0.25">
      <c r="B213" s="105" t="s">
        <v>397</v>
      </c>
      <c r="C213" s="101" t="s">
        <v>251</v>
      </c>
      <c r="D213" s="102">
        <v>1</v>
      </c>
    </row>
    <row r="214" spans="2:4" x14ac:dyDescent="0.25">
      <c r="B214" s="105" t="s">
        <v>398</v>
      </c>
      <c r="C214" s="101" t="s">
        <v>251</v>
      </c>
      <c r="D214" s="102">
        <v>1</v>
      </c>
    </row>
    <row r="215" spans="2:4" x14ac:dyDescent="0.25">
      <c r="B215" s="105" t="s">
        <v>399</v>
      </c>
      <c r="C215" s="101" t="s">
        <v>251</v>
      </c>
      <c r="D215" s="102">
        <v>1</v>
      </c>
    </row>
    <row r="216" spans="2:4" x14ac:dyDescent="0.25">
      <c r="B216" s="105" t="s">
        <v>400</v>
      </c>
      <c r="C216" s="101" t="s">
        <v>251</v>
      </c>
      <c r="D216" s="102">
        <v>1</v>
      </c>
    </row>
    <row r="217" spans="2:4" x14ac:dyDescent="0.25">
      <c r="B217" s="100" t="s">
        <v>401</v>
      </c>
      <c r="C217" s="101" t="s">
        <v>251</v>
      </c>
      <c r="D217" s="102">
        <v>1</v>
      </c>
    </row>
    <row r="218" spans="2:4" x14ac:dyDescent="0.25">
      <c r="B218" s="103" t="s">
        <v>402</v>
      </c>
      <c r="C218" s="104" t="s">
        <v>251</v>
      </c>
      <c r="D218" s="102">
        <v>1</v>
      </c>
    </row>
    <row r="219" spans="2:4" x14ac:dyDescent="0.25">
      <c r="B219" s="100" t="s">
        <v>261</v>
      </c>
      <c r="C219" s="101" t="s">
        <v>251</v>
      </c>
      <c r="D219" s="102">
        <v>1</v>
      </c>
    </row>
    <row r="220" spans="2:4" x14ac:dyDescent="0.25">
      <c r="B220" s="105" t="s">
        <v>403</v>
      </c>
      <c r="C220" s="101" t="s">
        <v>251</v>
      </c>
      <c r="D220" s="102">
        <v>1</v>
      </c>
    </row>
    <row r="221" spans="2:4" x14ac:dyDescent="0.25">
      <c r="B221" s="100" t="s">
        <v>404</v>
      </c>
      <c r="C221" s="104" t="s">
        <v>2</v>
      </c>
      <c r="D221" s="102">
        <v>1</v>
      </c>
    </row>
    <row r="222" spans="2:4" x14ac:dyDescent="0.25">
      <c r="B222" s="105" t="s">
        <v>405</v>
      </c>
      <c r="C222" s="101" t="s">
        <v>251</v>
      </c>
      <c r="D222" s="102">
        <v>1</v>
      </c>
    </row>
    <row r="223" spans="2:4" x14ac:dyDescent="0.25">
      <c r="B223" s="100" t="s">
        <v>406</v>
      </c>
      <c r="C223" s="101" t="s">
        <v>251</v>
      </c>
      <c r="D223" s="102">
        <v>1</v>
      </c>
    </row>
    <row r="224" spans="2:4" x14ac:dyDescent="0.25">
      <c r="B224" s="105" t="s">
        <v>407</v>
      </c>
      <c r="C224" s="101" t="s">
        <v>251</v>
      </c>
      <c r="D224" s="102">
        <v>1</v>
      </c>
    </row>
    <row r="225" spans="2:4" x14ac:dyDescent="0.25">
      <c r="B225" s="105" t="s">
        <v>408</v>
      </c>
      <c r="C225" s="101" t="s">
        <v>251</v>
      </c>
      <c r="D225" s="102">
        <v>1</v>
      </c>
    </row>
    <row r="226" spans="2:4" x14ac:dyDescent="0.25">
      <c r="B226" s="103" t="s">
        <v>409</v>
      </c>
      <c r="C226" s="104" t="s">
        <v>410</v>
      </c>
      <c r="D226" s="102">
        <v>1</v>
      </c>
    </row>
    <row r="227" spans="2:4" x14ac:dyDescent="0.25">
      <c r="B227" s="106" t="s">
        <v>411</v>
      </c>
      <c r="C227" s="104" t="s">
        <v>410</v>
      </c>
      <c r="D227" s="102">
        <v>1</v>
      </c>
    </row>
    <row r="228" spans="2:4" x14ac:dyDescent="0.25">
      <c r="B228" s="106" t="s">
        <v>412</v>
      </c>
      <c r="C228" s="104" t="s">
        <v>410</v>
      </c>
      <c r="D228" s="102">
        <v>1</v>
      </c>
    </row>
    <row r="229" spans="2:4" x14ac:dyDescent="0.25">
      <c r="B229" s="105" t="s">
        <v>413</v>
      </c>
      <c r="C229" s="101" t="s">
        <v>251</v>
      </c>
      <c r="D229" s="102">
        <v>1</v>
      </c>
    </row>
    <row r="230" spans="2:4" x14ac:dyDescent="0.25">
      <c r="B230" s="105" t="s">
        <v>414</v>
      </c>
      <c r="C230" s="101" t="s">
        <v>251</v>
      </c>
      <c r="D230" s="102">
        <v>1</v>
      </c>
    </row>
    <row r="231" spans="2:4" x14ac:dyDescent="0.25">
      <c r="B231" s="105" t="s">
        <v>415</v>
      </c>
      <c r="C231" s="101" t="s">
        <v>251</v>
      </c>
      <c r="D231" s="102">
        <v>1</v>
      </c>
    </row>
    <row r="232" spans="2:4" x14ac:dyDescent="0.25">
      <c r="B232" s="105" t="s">
        <v>416</v>
      </c>
      <c r="C232" s="101" t="s">
        <v>251</v>
      </c>
      <c r="D232" s="102">
        <v>1</v>
      </c>
    </row>
    <row r="233" spans="2:4" x14ac:dyDescent="0.25">
      <c r="B233" s="105" t="s">
        <v>417</v>
      </c>
      <c r="C233" s="101" t="s">
        <v>251</v>
      </c>
      <c r="D233" s="102">
        <v>1</v>
      </c>
    </row>
    <row r="234" spans="2:4" x14ac:dyDescent="0.25">
      <c r="B234" s="105" t="s">
        <v>418</v>
      </c>
      <c r="C234" s="101" t="s">
        <v>251</v>
      </c>
      <c r="D234" s="102">
        <v>1</v>
      </c>
    </row>
    <row r="235" spans="2:4" x14ac:dyDescent="0.25">
      <c r="B235" s="105" t="s">
        <v>419</v>
      </c>
      <c r="C235" s="101" t="s">
        <v>251</v>
      </c>
      <c r="D235" s="102">
        <v>1</v>
      </c>
    </row>
    <row r="236" spans="2:4" x14ac:dyDescent="0.25">
      <c r="B236" s="105" t="s">
        <v>420</v>
      </c>
      <c r="C236" s="101" t="s">
        <v>251</v>
      </c>
      <c r="D236" s="102">
        <v>1</v>
      </c>
    </row>
    <row r="237" spans="2:4" x14ac:dyDescent="0.25">
      <c r="B237" s="105" t="s">
        <v>421</v>
      </c>
      <c r="C237" s="101" t="s">
        <v>251</v>
      </c>
      <c r="D237" s="102">
        <v>1</v>
      </c>
    </row>
    <row r="238" spans="2:4" x14ac:dyDescent="0.25">
      <c r="B238" s="105" t="s">
        <v>422</v>
      </c>
      <c r="C238" s="101" t="s">
        <v>251</v>
      </c>
      <c r="D238" s="102">
        <v>1</v>
      </c>
    </row>
    <row r="239" spans="2:4" x14ac:dyDescent="0.25">
      <c r="B239" s="105" t="s">
        <v>423</v>
      </c>
      <c r="C239" s="101" t="s">
        <v>251</v>
      </c>
      <c r="D239" s="102">
        <v>1</v>
      </c>
    </row>
    <row r="240" spans="2:4" x14ac:dyDescent="0.25">
      <c r="B240" s="105" t="s">
        <v>424</v>
      </c>
      <c r="C240" s="101" t="s">
        <v>251</v>
      </c>
      <c r="D240" s="102">
        <v>1</v>
      </c>
    </row>
    <row r="241" spans="2:4" x14ac:dyDescent="0.25">
      <c r="B241" s="105" t="s">
        <v>425</v>
      </c>
      <c r="C241" s="101" t="s">
        <v>251</v>
      </c>
      <c r="D241" s="102">
        <v>1</v>
      </c>
    </row>
    <row r="242" spans="2:4" x14ac:dyDescent="0.25">
      <c r="B242" s="105" t="s">
        <v>426</v>
      </c>
      <c r="C242" s="101" t="s">
        <v>251</v>
      </c>
      <c r="D242" s="102">
        <v>1</v>
      </c>
    </row>
    <row r="243" spans="2:4" x14ac:dyDescent="0.25">
      <c r="B243" s="105" t="s">
        <v>427</v>
      </c>
      <c r="C243" s="101" t="s">
        <v>251</v>
      </c>
      <c r="D243" s="102">
        <v>1</v>
      </c>
    </row>
    <row r="244" spans="2:4" x14ac:dyDescent="0.25">
      <c r="B244" s="105" t="s">
        <v>428</v>
      </c>
      <c r="C244" s="101" t="s">
        <v>251</v>
      </c>
      <c r="D244" s="102">
        <v>1</v>
      </c>
    </row>
    <row r="245" spans="2:4" x14ac:dyDescent="0.25">
      <c r="B245" s="105" t="s">
        <v>429</v>
      </c>
      <c r="C245" s="105" t="s">
        <v>251</v>
      </c>
      <c r="D245" s="102">
        <v>1</v>
      </c>
    </row>
    <row r="246" spans="2:4" x14ac:dyDescent="0.25">
      <c r="B246" s="100" t="s">
        <v>430</v>
      </c>
      <c r="C246" s="101" t="s">
        <v>251</v>
      </c>
      <c r="D246" s="102">
        <v>1</v>
      </c>
    </row>
    <row r="247" spans="2:4" x14ac:dyDescent="0.25">
      <c r="B247" s="105" t="s">
        <v>431</v>
      </c>
      <c r="C247" s="101" t="s">
        <v>251</v>
      </c>
      <c r="D247" s="102">
        <v>1</v>
      </c>
    </row>
    <row r="248" spans="2:4" x14ac:dyDescent="0.25">
      <c r="B248" s="106" t="s">
        <v>432</v>
      </c>
      <c r="C248" s="101" t="s">
        <v>251</v>
      </c>
      <c r="D248" s="102">
        <v>1</v>
      </c>
    </row>
    <row r="249" spans="2:4" x14ac:dyDescent="0.25">
      <c r="B249" s="100" t="s">
        <v>433</v>
      </c>
      <c r="C249" s="101" t="s">
        <v>251</v>
      </c>
      <c r="D249" s="102">
        <v>1</v>
      </c>
    </row>
    <row r="250" spans="2:4" x14ac:dyDescent="0.25">
      <c r="B250" s="105" t="s">
        <v>434</v>
      </c>
      <c r="C250" s="101" t="s">
        <v>251</v>
      </c>
      <c r="D250" s="102">
        <v>1</v>
      </c>
    </row>
    <row r="251" spans="2:4" x14ac:dyDescent="0.25">
      <c r="B251" s="105" t="s">
        <v>435</v>
      </c>
      <c r="C251" s="101" t="s">
        <v>251</v>
      </c>
      <c r="D251" s="102">
        <v>1</v>
      </c>
    </row>
    <row r="252" spans="2:4" x14ac:dyDescent="0.25">
      <c r="B252" s="105" t="s">
        <v>436</v>
      </c>
      <c r="C252" s="101" t="s">
        <v>251</v>
      </c>
      <c r="D252" s="102">
        <v>1</v>
      </c>
    </row>
    <row r="253" spans="2:4" ht="24.75" x14ac:dyDescent="0.25">
      <c r="B253" s="106" t="s">
        <v>437</v>
      </c>
      <c r="C253" s="101" t="s">
        <v>355</v>
      </c>
      <c r="D253" s="102">
        <v>1</v>
      </c>
    </row>
    <row r="254" spans="2:4" x14ac:dyDescent="0.25">
      <c r="B254" s="103" t="s">
        <v>438</v>
      </c>
      <c r="C254" s="104" t="s">
        <v>355</v>
      </c>
      <c r="D254" s="102">
        <v>1</v>
      </c>
    </row>
    <row r="255" spans="2:4" x14ac:dyDescent="0.25">
      <c r="B255" s="103" t="s">
        <v>439</v>
      </c>
      <c r="C255" s="101" t="s">
        <v>251</v>
      </c>
      <c r="D255" s="102">
        <v>1</v>
      </c>
    </row>
    <row r="256" spans="2:4" x14ac:dyDescent="0.25">
      <c r="B256" s="105" t="s">
        <v>440</v>
      </c>
      <c r="C256" s="101" t="s">
        <v>251</v>
      </c>
      <c r="D256" s="102">
        <v>1</v>
      </c>
    </row>
    <row r="257" spans="2:4" x14ac:dyDescent="0.25">
      <c r="B257" s="105" t="s">
        <v>441</v>
      </c>
      <c r="C257" s="105" t="s">
        <v>251</v>
      </c>
      <c r="D257" s="102">
        <v>1</v>
      </c>
    </row>
    <row r="258" spans="2:4" x14ac:dyDescent="0.25">
      <c r="B258" s="105" t="s">
        <v>442</v>
      </c>
      <c r="C258" s="101" t="s">
        <v>251</v>
      </c>
      <c r="D258" s="102">
        <v>1</v>
      </c>
    </row>
    <row r="259" spans="2:4" x14ac:dyDescent="0.25">
      <c r="B259" s="103" t="s">
        <v>443</v>
      </c>
      <c r="C259" s="104" t="s">
        <v>323</v>
      </c>
      <c r="D259" s="102">
        <v>1</v>
      </c>
    </row>
    <row r="260" spans="2:4" x14ac:dyDescent="0.25">
      <c r="B260" s="103" t="s">
        <v>444</v>
      </c>
      <c r="C260" s="104" t="s">
        <v>251</v>
      </c>
      <c r="D260" s="102">
        <v>1</v>
      </c>
    </row>
    <row r="261" spans="2:4" x14ac:dyDescent="0.25">
      <c r="B261" s="105" t="s">
        <v>445</v>
      </c>
      <c r="C261" s="101" t="s">
        <v>251</v>
      </c>
      <c r="D261" s="102">
        <v>1</v>
      </c>
    </row>
    <row r="262" spans="2:4" x14ac:dyDescent="0.25">
      <c r="B262" s="100" t="s">
        <v>826</v>
      </c>
      <c r="C262" s="101" t="s">
        <v>251</v>
      </c>
      <c r="D262" s="102">
        <v>1</v>
      </c>
    </row>
    <row r="263" spans="2:4" x14ac:dyDescent="0.25">
      <c r="B263" s="105" t="s">
        <v>446</v>
      </c>
      <c r="C263" s="101" t="s">
        <v>251</v>
      </c>
      <c r="D263" s="102">
        <v>1</v>
      </c>
    </row>
    <row r="264" spans="2:4" x14ac:dyDescent="0.25">
      <c r="B264" s="105" t="s">
        <v>447</v>
      </c>
      <c r="C264" s="101" t="s">
        <v>251</v>
      </c>
      <c r="D264" s="102">
        <v>1</v>
      </c>
    </row>
    <row r="265" spans="2:4" x14ac:dyDescent="0.25">
      <c r="B265" s="105" t="s">
        <v>448</v>
      </c>
      <c r="C265" s="101" t="s">
        <v>251</v>
      </c>
      <c r="D265" s="102">
        <v>1</v>
      </c>
    </row>
    <row r="266" spans="2:4" x14ac:dyDescent="0.25">
      <c r="B266" s="105" t="s">
        <v>449</v>
      </c>
      <c r="C266" s="101" t="s">
        <v>251</v>
      </c>
      <c r="D266" s="102">
        <v>1</v>
      </c>
    </row>
    <row r="267" spans="2:4" x14ac:dyDescent="0.25">
      <c r="B267" s="100" t="s">
        <v>450</v>
      </c>
      <c r="C267" s="101" t="s">
        <v>251</v>
      </c>
      <c r="D267" s="102">
        <v>1</v>
      </c>
    </row>
    <row r="268" spans="2:4" x14ac:dyDescent="0.25">
      <c r="B268" s="105" t="s">
        <v>451</v>
      </c>
      <c r="C268" s="101" t="s">
        <v>251</v>
      </c>
      <c r="D268" s="102">
        <v>1</v>
      </c>
    </row>
    <row r="269" spans="2:4" x14ac:dyDescent="0.25">
      <c r="B269" s="105" t="s">
        <v>827</v>
      </c>
      <c r="C269" s="101" t="s">
        <v>251</v>
      </c>
      <c r="D269" s="102">
        <v>1</v>
      </c>
    </row>
    <row r="270" spans="2:4" x14ac:dyDescent="0.25">
      <c r="B270" s="105" t="s">
        <v>452</v>
      </c>
      <c r="C270" s="101" t="s">
        <v>251</v>
      </c>
      <c r="D270" s="102">
        <v>1</v>
      </c>
    </row>
    <row r="271" spans="2:4" x14ac:dyDescent="0.25">
      <c r="B271" s="100" t="s">
        <v>453</v>
      </c>
      <c r="C271" s="101" t="s">
        <v>251</v>
      </c>
      <c r="D271" s="102">
        <v>1</v>
      </c>
    </row>
    <row r="272" spans="2:4" ht="24" x14ac:dyDescent="0.25">
      <c r="B272" s="105" t="s">
        <v>454</v>
      </c>
      <c r="C272" s="101" t="s">
        <v>251</v>
      </c>
      <c r="D272" s="102">
        <v>1</v>
      </c>
    </row>
    <row r="273" spans="2:4" x14ac:dyDescent="0.25">
      <c r="B273" s="105" t="s">
        <v>455</v>
      </c>
      <c r="C273" s="101" t="s">
        <v>251</v>
      </c>
      <c r="D273" s="102">
        <v>1</v>
      </c>
    </row>
    <row r="274" spans="2:4" x14ac:dyDescent="0.25">
      <c r="B274" s="105" t="s">
        <v>456</v>
      </c>
      <c r="C274" s="101" t="s">
        <v>251</v>
      </c>
      <c r="D274" s="102">
        <v>1</v>
      </c>
    </row>
    <row r="275" spans="2:4" x14ac:dyDescent="0.25">
      <c r="B275" s="105" t="s">
        <v>457</v>
      </c>
      <c r="C275" s="101" t="s">
        <v>251</v>
      </c>
      <c r="D275" s="102">
        <v>1</v>
      </c>
    </row>
    <row r="276" spans="2:4" x14ac:dyDescent="0.25">
      <c r="B276" s="105" t="s">
        <v>458</v>
      </c>
      <c r="C276" s="101" t="s">
        <v>251</v>
      </c>
      <c r="D276" s="102">
        <v>1</v>
      </c>
    </row>
    <row r="277" spans="2:4" x14ac:dyDescent="0.25">
      <c r="B277" s="105" t="s">
        <v>459</v>
      </c>
      <c r="C277" s="101" t="s">
        <v>251</v>
      </c>
      <c r="D277" s="102">
        <v>1</v>
      </c>
    </row>
    <row r="278" spans="2:4" x14ac:dyDescent="0.25">
      <c r="B278" s="103" t="s">
        <v>460</v>
      </c>
      <c r="C278" s="101" t="s">
        <v>251</v>
      </c>
      <c r="D278" s="102">
        <v>1</v>
      </c>
    </row>
    <row r="279" spans="2:4" x14ac:dyDescent="0.25">
      <c r="B279" s="103" t="s">
        <v>461</v>
      </c>
      <c r="C279" s="104" t="s">
        <v>2</v>
      </c>
      <c r="D279" s="102">
        <v>1</v>
      </c>
    </row>
    <row r="280" spans="2:4" x14ac:dyDescent="0.25">
      <c r="B280" s="105" t="s">
        <v>462</v>
      </c>
      <c r="C280" s="101" t="s">
        <v>251</v>
      </c>
      <c r="D280" s="102">
        <v>1</v>
      </c>
    </row>
    <row r="281" spans="2:4" x14ac:dyDescent="0.25">
      <c r="B281" s="105" t="s">
        <v>463</v>
      </c>
      <c r="C281" s="101" t="s">
        <v>251</v>
      </c>
      <c r="D281" s="102">
        <v>1</v>
      </c>
    </row>
    <row r="282" spans="2:4" x14ac:dyDescent="0.25">
      <c r="B282" s="105" t="s">
        <v>464</v>
      </c>
      <c r="C282" s="101" t="s">
        <v>251</v>
      </c>
      <c r="D282" s="102">
        <v>1</v>
      </c>
    </row>
    <row r="283" spans="2:4" ht="24" x14ac:dyDescent="0.25">
      <c r="B283" s="105" t="s">
        <v>465</v>
      </c>
      <c r="C283" s="101" t="s">
        <v>251</v>
      </c>
      <c r="D283" s="102">
        <v>1</v>
      </c>
    </row>
    <row r="284" spans="2:4" x14ac:dyDescent="0.25">
      <c r="B284" s="105" t="s">
        <v>466</v>
      </c>
      <c r="C284" s="101" t="s">
        <v>251</v>
      </c>
      <c r="D284" s="102">
        <v>1</v>
      </c>
    </row>
    <row r="285" spans="2:4" x14ac:dyDescent="0.25">
      <c r="B285" s="105" t="s">
        <v>467</v>
      </c>
      <c r="C285" s="101" t="s">
        <v>251</v>
      </c>
      <c r="D285" s="102">
        <v>1</v>
      </c>
    </row>
    <row r="286" spans="2:4" x14ac:dyDescent="0.25">
      <c r="B286" s="105" t="s">
        <v>468</v>
      </c>
      <c r="C286" s="101" t="s">
        <v>251</v>
      </c>
      <c r="D286" s="102">
        <v>1</v>
      </c>
    </row>
    <row r="287" spans="2:4" x14ac:dyDescent="0.25">
      <c r="B287" s="105" t="s">
        <v>469</v>
      </c>
      <c r="C287" s="101" t="s">
        <v>251</v>
      </c>
      <c r="D287" s="102">
        <v>1</v>
      </c>
    </row>
    <row r="288" spans="2:4" x14ac:dyDescent="0.25">
      <c r="B288" s="105" t="s">
        <v>470</v>
      </c>
      <c r="C288" s="101" t="s">
        <v>251</v>
      </c>
      <c r="D288" s="102">
        <v>1</v>
      </c>
    </row>
    <row r="289" spans="2:4" x14ac:dyDescent="0.25">
      <c r="B289" s="105" t="s">
        <v>471</v>
      </c>
      <c r="C289" s="105" t="s">
        <v>251</v>
      </c>
      <c r="D289" s="102">
        <v>1</v>
      </c>
    </row>
    <row r="290" spans="2:4" x14ac:dyDescent="0.25">
      <c r="B290" s="106" t="s">
        <v>472</v>
      </c>
      <c r="C290" s="101" t="s">
        <v>251</v>
      </c>
      <c r="D290" s="102">
        <v>1</v>
      </c>
    </row>
    <row r="291" spans="2:4" x14ac:dyDescent="0.25">
      <c r="B291" s="103" t="s">
        <v>473</v>
      </c>
      <c r="C291" s="104" t="s">
        <v>2</v>
      </c>
      <c r="D291" s="102">
        <v>1</v>
      </c>
    </row>
    <row r="292" spans="2:4" x14ac:dyDescent="0.25">
      <c r="B292" s="103" t="s">
        <v>474</v>
      </c>
      <c r="C292" s="104" t="s">
        <v>475</v>
      </c>
      <c r="D292" s="102">
        <v>1</v>
      </c>
    </row>
    <row r="293" spans="2:4" x14ac:dyDescent="0.25">
      <c r="B293" s="100" t="s">
        <v>476</v>
      </c>
      <c r="C293" s="101" t="s">
        <v>251</v>
      </c>
      <c r="D293" s="102">
        <v>1</v>
      </c>
    </row>
    <row r="294" spans="2:4" x14ac:dyDescent="0.25">
      <c r="B294" s="105" t="s">
        <v>477</v>
      </c>
      <c r="C294" s="101" t="s">
        <v>251</v>
      </c>
      <c r="D294" s="102">
        <v>1</v>
      </c>
    </row>
    <row r="295" spans="2:4" x14ac:dyDescent="0.25">
      <c r="B295" s="105" t="s">
        <v>478</v>
      </c>
      <c r="C295" s="101" t="s">
        <v>251</v>
      </c>
      <c r="D295" s="102">
        <v>1</v>
      </c>
    </row>
    <row r="296" spans="2:4" x14ac:dyDescent="0.25">
      <c r="B296" s="105" t="s">
        <v>479</v>
      </c>
      <c r="C296" s="101" t="s">
        <v>480</v>
      </c>
      <c r="D296" s="102">
        <v>1</v>
      </c>
    </row>
    <row r="297" spans="2:4" x14ac:dyDescent="0.25">
      <c r="B297" s="105" t="s">
        <v>481</v>
      </c>
      <c r="C297" s="101" t="s">
        <v>480</v>
      </c>
      <c r="D297" s="102">
        <v>1</v>
      </c>
    </row>
    <row r="298" spans="2:4" x14ac:dyDescent="0.25">
      <c r="B298" s="103" t="s">
        <v>482</v>
      </c>
      <c r="C298" s="104" t="s">
        <v>483</v>
      </c>
      <c r="D298" s="102">
        <v>1</v>
      </c>
    </row>
    <row r="299" spans="2:4" x14ac:dyDescent="0.25">
      <c r="B299" s="105" t="s">
        <v>484</v>
      </c>
      <c r="C299" s="101" t="s">
        <v>251</v>
      </c>
      <c r="D299" s="102">
        <v>1</v>
      </c>
    </row>
    <row r="300" spans="2:4" x14ac:dyDescent="0.25">
      <c r="B300" s="105" t="s">
        <v>485</v>
      </c>
      <c r="C300" s="101" t="s">
        <v>251</v>
      </c>
      <c r="D300" s="102">
        <v>1</v>
      </c>
    </row>
    <row r="301" spans="2:4" x14ac:dyDescent="0.25">
      <c r="B301" s="105" t="s">
        <v>486</v>
      </c>
      <c r="C301" s="101" t="s">
        <v>251</v>
      </c>
      <c r="D301" s="102">
        <v>1</v>
      </c>
    </row>
    <row r="302" spans="2:4" x14ac:dyDescent="0.25">
      <c r="B302" s="105" t="s">
        <v>487</v>
      </c>
      <c r="C302" s="101" t="s">
        <v>251</v>
      </c>
      <c r="D302" s="102">
        <v>1</v>
      </c>
    </row>
    <row r="303" spans="2:4" x14ac:dyDescent="0.25">
      <c r="B303" s="100" t="s">
        <v>488</v>
      </c>
      <c r="C303" s="101" t="s">
        <v>251</v>
      </c>
      <c r="D303" s="102">
        <v>1</v>
      </c>
    </row>
    <row r="304" spans="2:4" x14ac:dyDescent="0.25">
      <c r="B304" s="105" t="s">
        <v>489</v>
      </c>
      <c r="C304" s="101" t="s">
        <v>251</v>
      </c>
      <c r="D304" s="102">
        <v>1</v>
      </c>
    </row>
    <row r="305" spans="2:4" x14ac:dyDescent="0.25">
      <c r="B305" s="105" t="s">
        <v>490</v>
      </c>
      <c r="C305" s="101" t="s">
        <v>251</v>
      </c>
      <c r="D305" s="102">
        <v>1</v>
      </c>
    </row>
    <row r="306" spans="2:4" x14ac:dyDescent="0.25">
      <c r="B306" s="105" t="s">
        <v>491</v>
      </c>
      <c r="C306" s="101" t="s">
        <v>251</v>
      </c>
      <c r="D306" s="102">
        <v>1</v>
      </c>
    </row>
    <row r="307" spans="2:4" x14ac:dyDescent="0.25">
      <c r="B307" s="105" t="s">
        <v>492</v>
      </c>
      <c r="C307" s="101" t="s">
        <v>251</v>
      </c>
      <c r="D307" s="102">
        <v>1</v>
      </c>
    </row>
    <row r="308" spans="2:4" x14ac:dyDescent="0.25">
      <c r="B308" s="105" t="s">
        <v>493</v>
      </c>
      <c r="C308" s="101" t="s">
        <v>251</v>
      </c>
      <c r="D308" s="102">
        <v>1</v>
      </c>
    </row>
    <row r="309" spans="2:4" x14ac:dyDescent="0.25">
      <c r="B309" s="105" t="s">
        <v>494</v>
      </c>
      <c r="C309" s="101" t="s">
        <v>251</v>
      </c>
      <c r="D309" s="102">
        <v>1</v>
      </c>
    </row>
    <row r="310" spans="2:4" ht="24.75" x14ac:dyDescent="0.25">
      <c r="B310" s="103" t="s">
        <v>495</v>
      </c>
      <c r="C310" s="104" t="s">
        <v>355</v>
      </c>
      <c r="D310" s="102">
        <v>1</v>
      </c>
    </row>
    <row r="311" spans="2:4" x14ac:dyDescent="0.25">
      <c r="B311" s="105" t="s">
        <v>496</v>
      </c>
      <c r="C311" s="101" t="s">
        <v>251</v>
      </c>
      <c r="D311" s="102">
        <v>1</v>
      </c>
    </row>
    <row r="312" spans="2:4" x14ac:dyDescent="0.25">
      <c r="B312" s="100" t="s">
        <v>497</v>
      </c>
      <c r="C312" s="101" t="s">
        <v>251</v>
      </c>
      <c r="D312" s="102">
        <v>1</v>
      </c>
    </row>
    <row r="313" spans="2:4" x14ac:dyDescent="0.25">
      <c r="B313" s="106" t="s">
        <v>498</v>
      </c>
      <c r="C313" s="104" t="s">
        <v>301</v>
      </c>
      <c r="D313" s="102">
        <v>1</v>
      </c>
    </row>
    <row r="314" spans="2:4" x14ac:dyDescent="0.25">
      <c r="B314" s="105" t="s">
        <v>499</v>
      </c>
      <c r="C314" s="101" t="s">
        <v>251</v>
      </c>
      <c r="D314" s="102">
        <v>1</v>
      </c>
    </row>
    <row r="315" spans="2:4" x14ac:dyDescent="0.25">
      <c r="B315" s="105" t="s">
        <v>500</v>
      </c>
      <c r="C315" s="101" t="s">
        <v>251</v>
      </c>
      <c r="D315" s="102">
        <v>1</v>
      </c>
    </row>
    <row r="316" spans="2:4" x14ac:dyDescent="0.25">
      <c r="B316" s="105" t="s">
        <v>501</v>
      </c>
      <c r="C316" s="101" t="s">
        <v>251</v>
      </c>
      <c r="D316" s="102">
        <v>1</v>
      </c>
    </row>
    <row r="317" spans="2:4" x14ac:dyDescent="0.25">
      <c r="B317" s="105" t="s">
        <v>502</v>
      </c>
      <c r="C317" s="101" t="s">
        <v>251</v>
      </c>
      <c r="D317" s="102">
        <v>1</v>
      </c>
    </row>
    <row r="318" spans="2:4" x14ac:dyDescent="0.25">
      <c r="B318" s="105" t="s">
        <v>503</v>
      </c>
      <c r="C318" s="101" t="s">
        <v>251</v>
      </c>
      <c r="D318" s="102">
        <v>1</v>
      </c>
    </row>
    <row r="319" spans="2:4" x14ac:dyDescent="0.25">
      <c r="B319" s="105" t="s">
        <v>504</v>
      </c>
      <c r="C319" s="101" t="s">
        <v>251</v>
      </c>
      <c r="D319" s="102">
        <v>1</v>
      </c>
    </row>
    <row r="320" spans="2:4" x14ac:dyDescent="0.25">
      <c r="B320" s="106" t="s">
        <v>505</v>
      </c>
      <c r="C320" s="104" t="s">
        <v>251</v>
      </c>
      <c r="D320" s="102">
        <v>1</v>
      </c>
    </row>
    <row r="321" spans="2:4" x14ac:dyDescent="0.25">
      <c r="B321" s="105" t="s">
        <v>506</v>
      </c>
      <c r="C321" s="101" t="s">
        <v>251</v>
      </c>
      <c r="D321" s="102">
        <v>1</v>
      </c>
    </row>
    <row r="322" spans="2:4" x14ac:dyDescent="0.25">
      <c r="B322" s="100" t="s">
        <v>507</v>
      </c>
      <c r="C322" s="101" t="s">
        <v>251</v>
      </c>
      <c r="D322" s="102">
        <v>1</v>
      </c>
    </row>
    <row r="323" spans="2:4" x14ac:dyDescent="0.25">
      <c r="B323" s="105" t="s">
        <v>508</v>
      </c>
      <c r="C323" s="101" t="s">
        <v>251</v>
      </c>
      <c r="D323" s="102">
        <v>1</v>
      </c>
    </row>
    <row r="324" spans="2:4" x14ac:dyDescent="0.25">
      <c r="B324" s="105" t="s">
        <v>509</v>
      </c>
      <c r="C324" s="101" t="s">
        <v>251</v>
      </c>
      <c r="D324" s="102">
        <v>1</v>
      </c>
    </row>
    <row r="325" spans="2:4" ht="24" x14ac:dyDescent="0.25">
      <c r="B325" s="105" t="s">
        <v>510</v>
      </c>
      <c r="C325" s="101" t="s">
        <v>251</v>
      </c>
      <c r="D325" s="102">
        <v>1</v>
      </c>
    </row>
    <row r="326" spans="2:4" x14ac:dyDescent="0.25">
      <c r="B326" s="105" t="s">
        <v>511</v>
      </c>
      <c r="C326" s="101" t="s">
        <v>251</v>
      </c>
      <c r="D326" s="102">
        <v>1</v>
      </c>
    </row>
    <row r="327" spans="2:4" ht="24" x14ac:dyDescent="0.25">
      <c r="B327" s="105" t="s">
        <v>512</v>
      </c>
      <c r="C327" s="101" t="s">
        <v>251</v>
      </c>
      <c r="D327" s="102">
        <v>1</v>
      </c>
    </row>
    <row r="328" spans="2:4" x14ac:dyDescent="0.25">
      <c r="B328" s="105" t="s">
        <v>513</v>
      </c>
      <c r="C328" s="101" t="s">
        <v>251</v>
      </c>
      <c r="D328" s="102">
        <v>1</v>
      </c>
    </row>
    <row r="329" spans="2:4" ht="24" x14ac:dyDescent="0.25">
      <c r="B329" s="105" t="s">
        <v>514</v>
      </c>
      <c r="C329" s="101" t="s">
        <v>251</v>
      </c>
      <c r="D329" s="102">
        <v>1</v>
      </c>
    </row>
    <row r="330" spans="2:4" x14ac:dyDescent="0.25">
      <c r="B330" s="100" t="s">
        <v>515</v>
      </c>
      <c r="C330" s="101" t="s">
        <v>251</v>
      </c>
      <c r="D330" s="102">
        <v>1</v>
      </c>
    </row>
    <row r="331" spans="2:4" x14ac:dyDescent="0.25">
      <c r="B331" s="105" t="s">
        <v>516</v>
      </c>
      <c r="C331" s="101" t="s">
        <v>251</v>
      </c>
      <c r="D331" s="102">
        <v>1</v>
      </c>
    </row>
    <row r="332" spans="2:4" x14ac:dyDescent="0.25">
      <c r="B332" s="100" t="s">
        <v>517</v>
      </c>
      <c r="C332" s="101" t="s">
        <v>251</v>
      </c>
      <c r="D332" s="102">
        <v>1</v>
      </c>
    </row>
    <row r="333" spans="2:4" x14ac:dyDescent="0.25">
      <c r="B333" s="100" t="s">
        <v>518</v>
      </c>
      <c r="C333" s="101" t="s">
        <v>251</v>
      </c>
      <c r="D333" s="102">
        <v>1</v>
      </c>
    </row>
    <row r="334" spans="2:4" x14ac:dyDescent="0.25">
      <c r="B334" s="105" t="s">
        <v>519</v>
      </c>
      <c r="C334" s="101" t="s">
        <v>251</v>
      </c>
      <c r="D334" s="102">
        <v>1</v>
      </c>
    </row>
    <row r="335" spans="2:4" x14ac:dyDescent="0.25">
      <c r="B335" s="105" t="s">
        <v>520</v>
      </c>
      <c r="C335" s="101" t="s">
        <v>251</v>
      </c>
      <c r="D335" s="102">
        <v>1</v>
      </c>
    </row>
    <row r="336" spans="2:4" x14ac:dyDescent="0.25">
      <c r="B336" s="105" t="s">
        <v>521</v>
      </c>
      <c r="C336" s="101" t="s">
        <v>251</v>
      </c>
      <c r="D336" s="102">
        <v>1</v>
      </c>
    </row>
    <row r="337" spans="2:4" x14ac:dyDescent="0.25">
      <c r="B337" s="100" t="s">
        <v>522</v>
      </c>
      <c r="C337" s="101" t="s">
        <v>251</v>
      </c>
      <c r="D337" s="102">
        <v>1</v>
      </c>
    </row>
    <row r="338" spans="2:4" x14ac:dyDescent="0.25">
      <c r="B338" s="100" t="s">
        <v>523</v>
      </c>
      <c r="C338" s="101" t="s">
        <v>251</v>
      </c>
      <c r="D338" s="102">
        <v>1</v>
      </c>
    </row>
    <row r="339" spans="2:4" x14ac:dyDescent="0.25">
      <c r="B339" s="100" t="s">
        <v>524</v>
      </c>
      <c r="C339" s="101" t="s">
        <v>251</v>
      </c>
      <c r="D339" s="102">
        <v>1</v>
      </c>
    </row>
    <row r="340" spans="2:4" x14ac:dyDescent="0.25">
      <c r="B340" s="105" t="s">
        <v>525</v>
      </c>
      <c r="C340" s="101" t="s">
        <v>251</v>
      </c>
      <c r="D340" s="102">
        <v>1</v>
      </c>
    </row>
    <row r="341" spans="2:4" x14ac:dyDescent="0.25">
      <c r="B341" s="105" t="s">
        <v>526</v>
      </c>
      <c r="C341" s="101" t="s">
        <v>251</v>
      </c>
      <c r="D341" s="102">
        <v>1</v>
      </c>
    </row>
    <row r="342" spans="2:4" x14ac:dyDescent="0.25">
      <c r="B342" s="100" t="s">
        <v>527</v>
      </c>
      <c r="C342" s="101" t="s">
        <v>251</v>
      </c>
      <c r="D342" s="102">
        <v>1</v>
      </c>
    </row>
    <row r="343" spans="2:4" x14ac:dyDescent="0.25">
      <c r="B343" s="105" t="s">
        <v>528</v>
      </c>
      <c r="C343" s="101" t="s">
        <v>251</v>
      </c>
      <c r="D343" s="102">
        <v>1</v>
      </c>
    </row>
    <row r="344" spans="2:4" x14ac:dyDescent="0.25">
      <c r="B344" s="105" t="s">
        <v>529</v>
      </c>
      <c r="C344" s="101" t="s">
        <v>251</v>
      </c>
      <c r="D344" s="102">
        <v>1</v>
      </c>
    </row>
    <row r="345" spans="2:4" x14ac:dyDescent="0.25">
      <c r="B345" s="105" t="s">
        <v>828</v>
      </c>
      <c r="C345" s="101" t="s">
        <v>251</v>
      </c>
      <c r="D345" s="102">
        <v>1</v>
      </c>
    </row>
    <row r="346" spans="2:4" x14ac:dyDescent="0.25">
      <c r="B346" s="105" t="s">
        <v>530</v>
      </c>
      <c r="C346" s="101" t="s">
        <v>251</v>
      </c>
      <c r="D346" s="102">
        <v>1</v>
      </c>
    </row>
    <row r="347" spans="2:4" x14ac:dyDescent="0.25">
      <c r="B347" s="105" t="s">
        <v>531</v>
      </c>
      <c r="C347" s="101" t="s">
        <v>251</v>
      </c>
      <c r="D347" s="102">
        <v>1</v>
      </c>
    </row>
    <row r="348" spans="2:4" x14ac:dyDescent="0.25">
      <c r="B348" s="100" t="s">
        <v>532</v>
      </c>
      <c r="C348" s="101" t="s">
        <v>251</v>
      </c>
      <c r="D348" s="102">
        <v>1</v>
      </c>
    </row>
    <row r="349" spans="2:4" x14ac:dyDescent="0.25">
      <c r="B349" s="105" t="s">
        <v>533</v>
      </c>
      <c r="C349" s="101" t="s">
        <v>251</v>
      </c>
      <c r="D349" s="102">
        <v>1</v>
      </c>
    </row>
    <row r="350" spans="2:4" x14ac:dyDescent="0.25">
      <c r="B350" s="105" t="s">
        <v>534</v>
      </c>
      <c r="C350" s="101" t="s">
        <v>251</v>
      </c>
      <c r="D350" s="102">
        <v>1</v>
      </c>
    </row>
    <row r="351" spans="2:4" x14ac:dyDescent="0.25">
      <c r="B351" s="105" t="s">
        <v>535</v>
      </c>
      <c r="C351" s="101" t="s">
        <v>251</v>
      </c>
      <c r="D351" s="102">
        <v>1</v>
      </c>
    </row>
    <row r="352" spans="2:4" x14ac:dyDescent="0.25">
      <c r="B352" s="105" t="s">
        <v>536</v>
      </c>
      <c r="C352" s="101" t="s">
        <v>251</v>
      </c>
      <c r="D352" s="102">
        <v>1</v>
      </c>
    </row>
    <row r="353" spans="2:4" x14ac:dyDescent="0.25">
      <c r="B353" s="103" t="s">
        <v>537</v>
      </c>
      <c r="C353" s="101" t="s">
        <v>251</v>
      </c>
      <c r="D353" s="102">
        <v>1</v>
      </c>
    </row>
    <row r="354" spans="2:4" x14ac:dyDescent="0.25">
      <c r="B354" s="105" t="s">
        <v>538</v>
      </c>
      <c r="C354" s="101" t="s">
        <v>251</v>
      </c>
      <c r="D354" s="102">
        <v>1</v>
      </c>
    </row>
    <row r="355" spans="2:4" x14ac:dyDescent="0.25">
      <c r="B355" s="103" t="s">
        <v>539</v>
      </c>
      <c r="C355" s="104" t="s">
        <v>349</v>
      </c>
      <c r="D355" s="102">
        <v>1</v>
      </c>
    </row>
    <row r="356" spans="2:4" x14ac:dyDescent="0.25">
      <c r="B356" s="105" t="s">
        <v>540</v>
      </c>
      <c r="C356" s="101" t="s">
        <v>251</v>
      </c>
      <c r="D356" s="102">
        <v>1</v>
      </c>
    </row>
    <row r="357" spans="2:4" x14ac:dyDescent="0.25">
      <c r="B357" s="100" t="s">
        <v>541</v>
      </c>
      <c r="C357" s="101" t="s">
        <v>251</v>
      </c>
      <c r="D357" s="102">
        <v>1</v>
      </c>
    </row>
    <row r="358" spans="2:4" x14ac:dyDescent="0.25">
      <c r="B358" s="105" t="s">
        <v>542</v>
      </c>
      <c r="C358" s="101" t="s">
        <v>251</v>
      </c>
      <c r="D358" s="102">
        <v>1</v>
      </c>
    </row>
    <row r="359" spans="2:4" x14ac:dyDescent="0.25">
      <c r="B359" s="100" t="s">
        <v>543</v>
      </c>
      <c r="C359" s="101" t="s">
        <v>251</v>
      </c>
      <c r="D359" s="102">
        <v>1</v>
      </c>
    </row>
    <row r="360" spans="2:4" x14ac:dyDescent="0.25">
      <c r="B360" s="105" t="s">
        <v>544</v>
      </c>
      <c r="C360" s="101" t="s">
        <v>251</v>
      </c>
      <c r="D360" s="102">
        <v>1</v>
      </c>
    </row>
    <row r="361" spans="2:4" x14ac:dyDescent="0.25">
      <c r="B361" s="105" t="s">
        <v>545</v>
      </c>
      <c r="C361" s="101" t="s">
        <v>251</v>
      </c>
      <c r="D361" s="102">
        <v>1</v>
      </c>
    </row>
    <row r="362" spans="2:4" x14ac:dyDescent="0.25">
      <c r="B362" s="105" t="s">
        <v>546</v>
      </c>
      <c r="C362" s="101" t="s">
        <v>251</v>
      </c>
      <c r="D362" s="102">
        <v>1</v>
      </c>
    </row>
    <row r="363" spans="2:4" x14ac:dyDescent="0.25">
      <c r="B363" s="105" t="s">
        <v>547</v>
      </c>
      <c r="C363" s="101" t="s">
        <v>251</v>
      </c>
      <c r="D363" s="102">
        <v>1</v>
      </c>
    </row>
    <row r="364" spans="2:4" x14ac:dyDescent="0.25">
      <c r="B364" s="105" t="s">
        <v>548</v>
      </c>
      <c r="C364" s="101" t="s">
        <v>251</v>
      </c>
      <c r="D364" s="102">
        <v>1</v>
      </c>
    </row>
    <row r="365" spans="2:4" x14ac:dyDescent="0.25">
      <c r="B365" s="105" t="s">
        <v>549</v>
      </c>
      <c r="C365" s="105"/>
      <c r="D365" s="102">
        <v>1</v>
      </c>
    </row>
    <row r="366" spans="2:4" x14ac:dyDescent="0.25">
      <c r="B366" s="105" t="s">
        <v>550</v>
      </c>
      <c r="C366" s="105" t="s">
        <v>251</v>
      </c>
      <c r="D366" s="102">
        <v>1</v>
      </c>
    </row>
    <row r="367" spans="2:4" x14ac:dyDescent="0.25">
      <c r="B367" s="105" t="s">
        <v>551</v>
      </c>
      <c r="C367" s="101" t="s">
        <v>251</v>
      </c>
      <c r="D367" s="102">
        <v>1</v>
      </c>
    </row>
    <row r="368" spans="2:4" x14ac:dyDescent="0.25">
      <c r="B368" s="105" t="s">
        <v>552</v>
      </c>
      <c r="C368" s="101" t="s">
        <v>251</v>
      </c>
      <c r="D368" s="102">
        <v>1</v>
      </c>
    </row>
    <row r="369" spans="2:4" x14ac:dyDescent="0.25">
      <c r="B369" s="105" t="s">
        <v>553</v>
      </c>
      <c r="C369" s="101" t="s">
        <v>251</v>
      </c>
      <c r="D369" s="102">
        <v>1</v>
      </c>
    </row>
    <row r="370" spans="2:4" x14ac:dyDescent="0.25">
      <c r="B370" s="100" t="s">
        <v>554</v>
      </c>
      <c r="C370" s="101" t="s">
        <v>251</v>
      </c>
      <c r="D370" s="102">
        <v>1</v>
      </c>
    </row>
    <row r="371" spans="2:4" x14ac:dyDescent="0.25">
      <c r="B371" s="100" t="s">
        <v>555</v>
      </c>
      <c r="C371" s="101" t="s">
        <v>251</v>
      </c>
      <c r="D371" s="102">
        <v>1</v>
      </c>
    </row>
    <row r="372" spans="2:4" ht="24" x14ac:dyDescent="0.25">
      <c r="B372" s="100" t="s">
        <v>556</v>
      </c>
      <c r="C372" s="101" t="s">
        <v>251</v>
      </c>
      <c r="D372" s="102">
        <v>1</v>
      </c>
    </row>
    <row r="373" spans="2:4" ht="24" x14ac:dyDescent="0.25">
      <c r="B373" s="105" t="s">
        <v>557</v>
      </c>
      <c r="C373" s="101" t="s">
        <v>251</v>
      </c>
      <c r="D373" s="102">
        <v>1</v>
      </c>
    </row>
    <row r="374" spans="2:4" ht="36" x14ac:dyDescent="0.25">
      <c r="B374" s="100" t="s">
        <v>558</v>
      </c>
      <c r="C374" s="101" t="s">
        <v>251</v>
      </c>
      <c r="D374" s="102">
        <v>1</v>
      </c>
    </row>
    <row r="375" spans="2:4" ht="48" x14ac:dyDescent="0.25">
      <c r="B375" s="100" t="s">
        <v>559</v>
      </c>
      <c r="C375" s="101" t="s">
        <v>251</v>
      </c>
      <c r="D375" s="102">
        <v>1</v>
      </c>
    </row>
    <row r="376" spans="2:4" ht="36" x14ac:dyDescent="0.25">
      <c r="B376" s="100" t="s">
        <v>560</v>
      </c>
      <c r="C376" s="101" t="s">
        <v>251</v>
      </c>
      <c r="D376" s="102">
        <v>1</v>
      </c>
    </row>
    <row r="377" spans="2:4" ht="24" x14ac:dyDescent="0.25">
      <c r="B377" s="100" t="s">
        <v>561</v>
      </c>
      <c r="C377" s="101" t="s">
        <v>251</v>
      </c>
      <c r="D377" s="102">
        <v>1</v>
      </c>
    </row>
    <row r="378" spans="2:4" ht="48" x14ac:dyDescent="0.25">
      <c r="B378" s="100" t="s">
        <v>562</v>
      </c>
      <c r="C378" s="101" t="s">
        <v>251</v>
      </c>
      <c r="D378" s="102">
        <v>1</v>
      </c>
    </row>
    <row r="379" spans="2:4" x14ac:dyDescent="0.25">
      <c r="B379" s="100" t="s">
        <v>563</v>
      </c>
      <c r="C379" s="101" t="s">
        <v>251</v>
      </c>
      <c r="D379" s="102">
        <v>1</v>
      </c>
    </row>
    <row r="380" spans="2:4" ht="48" x14ac:dyDescent="0.25">
      <c r="B380" s="100" t="s">
        <v>564</v>
      </c>
      <c r="C380" s="101" t="s">
        <v>251</v>
      </c>
      <c r="D380" s="102">
        <v>1</v>
      </c>
    </row>
    <row r="381" spans="2:4" ht="24" x14ac:dyDescent="0.25">
      <c r="B381" s="100" t="s">
        <v>565</v>
      </c>
      <c r="C381" s="101" t="s">
        <v>251</v>
      </c>
      <c r="D381" s="102">
        <v>1</v>
      </c>
    </row>
    <row r="382" spans="2:4" x14ac:dyDescent="0.25">
      <c r="B382" s="100" t="s">
        <v>566</v>
      </c>
      <c r="C382" s="101" t="s">
        <v>251</v>
      </c>
      <c r="D382" s="102">
        <v>1</v>
      </c>
    </row>
    <row r="383" spans="2:4" x14ac:dyDescent="0.25">
      <c r="B383" s="106" t="s">
        <v>567</v>
      </c>
      <c r="C383" s="101" t="s">
        <v>325</v>
      </c>
      <c r="D383" s="102">
        <v>3</v>
      </c>
    </row>
    <row r="384" spans="2:4" x14ac:dyDescent="0.25">
      <c r="B384" s="105" t="s">
        <v>568</v>
      </c>
      <c r="C384" s="101" t="s">
        <v>251</v>
      </c>
      <c r="D384" s="102">
        <v>1</v>
      </c>
    </row>
    <row r="385" spans="2:4" ht="24" x14ac:dyDescent="0.25">
      <c r="B385" s="100" t="s">
        <v>569</v>
      </c>
      <c r="C385" s="101" t="s">
        <v>251</v>
      </c>
      <c r="D385" s="102">
        <v>1</v>
      </c>
    </row>
    <row r="386" spans="2:4" x14ac:dyDescent="0.25">
      <c r="B386" s="103" t="s">
        <v>570</v>
      </c>
      <c r="C386" s="104" t="s">
        <v>341</v>
      </c>
      <c r="D386" s="102">
        <v>1</v>
      </c>
    </row>
    <row r="387" spans="2:4" x14ac:dyDescent="0.25">
      <c r="B387" s="100" t="s">
        <v>829</v>
      </c>
      <c r="C387" s="101" t="s">
        <v>251</v>
      </c>
      <c r="D387" s="102">
        <v>1</v>
      </c>
    </row>
    <row r="388" spans="2:4" x14ac:dyDescent="0.25">
      <c r="B388" s="100" t="s">
        <v>571</v>
      </c>
      <c r="C388" s="101" t="s">
        <v>251</v>
      </c>
      <c r="D388" s="102">
        <v>1</v>
      </c>
    </row>
    <row r="389" spans="2:4" x14ac:dyDescent="0.25">
      <c r="B389" s="105" t="s">
        <v>572</v>
      </c>
      <c r="C389" s="101" t="s">
        <v>251</v>
      </c>
      <c r="D389" s="102">
        <v>1</v>
      </c>
    </row>
    <row r="390" spans="2:4" x14ac:dyDescent="0.25">
      <c r="B390" s="105" t="s">
        <v>573</v>
      </c>
      <c r="C390" s="101" t="s">
        <v>251</v>
      </c>
      <c r="D390" s="102">
        <v>1</v>
      </c>
    </row>
    <row r="391" spans="2:4" x14ac:dyDescent="0.25">
      <c r="B391" s="103" t="s">
        <v>574</v>
      </c>
      <c r="C391" s="104" t="s">
        <v>323</v>
      </c>
      <c r="D391" s="102">
        <v>1</v>
      </c>
    </row>
    <row r="392" spans="2:4" x14ac:dyDescent="0.25">
      <c r="B392" s="105" t="s">
        <v>575</v>
      </c>
      <c r="C392" s="101" t="s">
        <v>251</v>
      </c>
      <c r="D392" s="102">
        <v>1</v>
      </c>
    </row>
    <row r="393" spans="2:4" x14ac:dyDescent="0.25">
      <c r="B393" s="103" t="s">
        <v>576</v>
      </c>
      <c r="C393" s="104" t="s">
        <v>251</v>
      </c>
      <c r="D393" s="102">
        <v>1</v>
      </c>
    </row>
    <row r="394" spans="2:4" x14ac:dyDescent="0.25">
      <c r="B394" s="105" t="s">
        <v>577</v>
      </c>
      <c r="C394" s="101" t="s">
        <v>251</v>
      </c>
      <c r="D394" s="102">
        <v>1</v>
      </c>
    </row>
    <row r="395" spans="2:4" x14ac:dyDescent="0.25">
      <c r="B395" s="105" t="s">
        <v>578</v>
      </c>
      <c r="C395" s="101" t="s">
        <v>251</v>
      </c>
      <c r="D395" s="102">
        <v>1</v>
      </c>
    </row>
    <row r="396" spans="2:4" x14ac:dyDescent="0.25">
      <c r="B396" s="105" t="s">
        <v>579</v>
      </c>
      <c r="C396" s="105" t="s">
        <v>251</v>
      </c>
      <c r="D396" s="102">
        <v>1</v>
      </c>
    </row>
    <row r="397" spans="2:4" x14ac:dyDescent="0.25">
      <c r="B397" s="105" t="s">
        <v>580</v>
      </c>
      <c r="C397" s="101" t="s">
        <v>251</v>
      </c>
      <c r="D397" s="102">
        <v>1</v>
      </c>
    </row>
    <row r="398" spans="2:4" x14ac:dyDescent="0.25">
      <c r="B398" s="105" t="s">
        <v>581</v>
      </c>
      <c r="C398" s="101" t="s">
        <v>251</v>
      </c>
      <c r="D398" s="102">
        <v>1</v>
      </c>
    </row>
    <row r="399" spans="2:4" ht="24" x14ac:dyDescent="0.25">
      <c r="B399" s="105" t="s">
        <v>582</v>
      </c>
      <c r="C399" s="101" t="s">
        <v>251</v>
      </c>
      <c r="D399" s="102">
        <v>1</v>
      </c>
    </row>
    <row r="400" spans="2:4" x14ac:dyDescent="0.25">
      <c r="B400" s="105" t="s">
        <v>583</v>
      </c>
      <c r="C400" s="101" t="s">
        <v>251</v>
      </c>
      <c r="D400" s="102">
        <v>1</v>
      </c>
    </row>
    <row r="401" spans="2:4" x14ac:dyDescent="0.25">
      <c r="B401" s="105" t="s">
        <v>584</v>
      </c>
      <c r="C401" s="101" t="s">
        <v>251</v>
      </c>
      <c r="D401" s="102">
        <v>1</v>
      </c>
    </row>
    <row r="402" spans="2:4" x14ac:dyDescent="0.25">
      <c r="B402" s="105" t="s">
        <v>585</v>
      </c>
      <c r="C402" s="101" t="s">
        <v>251</v>
      </c>
      <c r="D402" s="102">
        <v>1</v>
      </c>
    </row>
    <row r="403" spans="2:4" x14ac:dyDescent="0.25">
      <c r="B403" s="105" t="s">
        <v>586</v>
      </c>
      <c r="C403" s="101" t="s">
        <v>251</v>
      </c>
      <c r="D403" s="102">
        <v>1</v>
      </c>
    </row>
    <row r="404" spans="2:4" x14ac:dyDescent="0.25">
      <c r="B404" s="103" t="s">
        <v>587</v>
      </c>
      <c r="C404" s="104" t="s">
        <v>2</v>
      </c>
      <c r="D404" s="102">
        <v>1</v>
      </c>
    </row>
    <row r="405" spans="2:4" x14ac:dyDescent="0.25">
      <c r="B405" s="103" t="s">
        <v>588</v>
      </c>
      <c r="C405" s="101" t="s">
        <v>251</v>
      </c>
      <c r="D405" s="102">
        <v>1</v>
      </c>
    </row>
    <row r="406" spans="2:4" x14ac:dyDescent="0.25">
      <c r="B406" s="100" t="s">
        <v>589</v>
      </c>
      <c r="C406" s="101" t="s">
        <v>251</v>
      </c>
      <c r="D406" s="102">
        <v>1</v>
      </c>
    </row>
    <row r="407" spans="2:4" x14ac:dyDescent="0.25">
      <c r="B407" s="103" t="s">
        <v>590</v>
      </c>
      <c r="C407" s="104" t="s">
        <v>251</v>
      </c>
      <c r="D407" s="102">
        <v>1</v>
      </c>
    </row>
    <row r="408" spans="2:4" x14ac:dyDescent="0.25">
      <c r="B408" s="103" t="s">
        <v>591</v>
      </c>
      <c r="C408" s="104" t="s">
        <v>251</v>
      </c>
      <c r="D408" s="102">
        <v>1</v>
      </c>
    </row>
    <row r="409" spans="2:4" x14ac:dyDescent="0.25">
      <c r="B409" s="105" t="s">
        <v>592</v>
      </c>
      <c r="C409" s="101" t="s">
        <v>251</v>
      </c>
      <c r="D409" s="102">
        <v>1</v>
      </c>
    </row>
    <row r="410" spans="2:4" x14ac:dyDescent="0.25">
      <c r="B410" s="103" t="s">
        <v>593</v>
      </c>
      <c r="C410" s="104" t="s">
        <v>251</v>
      </c>
      <c r="D410" s="102">
        <v>1</v>
      </c>
    </row>
    <row r="411" spans="2:4" x14ac:dyDescent="0.25">
      <c r="B411" s="105" t="s">
        <v>594</v>
      </c>
      <c r="C411" s="101" t="s">
        <v>251</v>
      </c>
      <c r="D411" s="102">
        <v>1</v>
      </c>
    </row>
    <row r="412" spans="2:4" x14ac:dyDescent="0.25">
      <c r="B412" s="105" t="s">
        <v>595</v>
      </c>
      <c r="C412" s="101" t="s">
        <v>251</v>
      </c>
      <c r="D412" s="102">
        <v>1</v>
      </c>
    </row>
    <row r="413" spans="2:4" x14ac:dyDescent="0.25">
      <c r="B413" s="105" t="s">
        <v>596</v>
      </c>
      <c r="C413" s="101" t="s">
        <v>251</v>
      </c>
      <c r="D413" s="102">
        <v>1</v>
      </c>
    </row>
    <row r="414" spans="2:4" x14ac:dyDescent="0.25">
      <c r="B414" s="105" t="s">
        <v>597</v>
      </c>
      <c r="C414" s="105" t="s">
        <v>251</v>
      </c>
      <c r="D414" s="102">
        <v>1</v>
      </c>
    </row>
    <row r="415" spans="2:4" x14ac:dyDescent="0.25">
      <c r="B415" s="105" t="s">
        <v>598</v>
      </c>
      <c r="C415" s="101" t="s">
        <v>251</v>
      </c>
      <c r="D415" s="102">
        <v>1</v>
      </c>
    </row>
    <row r="416" spans="2:4" x14ac:dyDescent="0.25">
      <c r="B416" s="103" t="s">
        <v>599</v>
      </c>
      <c r="C416" s="104" t="s">
        <v>341</v>
      </c>
      <c r="D416" s="102">
        <v>1</v>
      </c>
    </row>
    <row r="417" spans="2:4" x14ac:dyDescent="0.25">
      <c r="B417" s="100" t="s">
        <v>600</v>
      </c>
      <c r="C417" s="101" t="s">
        <v>251</v>
      </c>
      <c r="D417" s="102">
        <v>1</v>
      </c>
    </row>
    <row r="418" spans="2:4" x14ac:dyDescent="0.25">
      <c r="B418" s="105" t="s">
        <v>601</v>
      </c>
      <c r="C418" s="101" t="s">
        <v>251</v>
      </c>
      <c r="D418" s="102">
        <v>1</v>
      </c>
    </row>
    <row r="419" spans="2:4" x14ac:dyDescent="0.25">
      <c r="B419" s="106" t="s">
        <v>602</v>
      </c>
      <c r="C419" s="104" t="s">
        <v>2</v>
      </c>
      <c r="D419" s="102">
        <v>1</v>
      </c>
    </row>
    <row r="420" spans="2:4" x14ac:dyDescent="0.25">
      <c r="B420" s="105" t="s">
        <v>603</v>
      </c>
      <c r="C420" s="101" t="s">
        <v>251</v>
      </c>
      <c r="D420" s="102">
        <v>1</v>
      </c>
    </row>
    <row r="421" spans="2:4" x14ac:dyDescent="0.25">
      <c r="B421" s="100" t="s">
        <v>604</v>
      </c>
      <c r="C421" s="101" t="s">
        <v>251</v>
      </c>
      <c r="D421" s="102">
        <v>1</v>
      </c>
    </row>
    <row r="422" spans="2:4" x14ac:dyDescent="0.25">
      <c r="B422" s="100" t="s">
        <v>605</v>
      </c>
      <c r="C422" s="101" t="s">
        <v>251</v>
      </c>
      <c r="D422" s="102">
        <v>1</v>
      </c>
    </row>
    <row r="423" spans="2:4" x14ac:dyDescent="0.25">
      <c r="B423" s="100" t="s">
        <v>606</v>
      </c>
      <c r="C423" s="101" t="s">
        <v>251</v>
      </c>
      <c r="D423" s="102">
        <v>1</v>
      </c>
    </row>
    <row r="424" spans="2:4" x14ac:dyDescent="0.25">
      <c r="B424" s="105" t="s">
        <v>607</v>
      </c>
      <c r="C424" s="101" t="s">
        <v>251</v>
      </c>
      <c r="D424" s="102">
        <v>1</v>
      </c>
    </row>
    <row r="425" spans="2:4" x14ac:dyDescent="0.25">
      <c r="B425" s="106" t="s">
        <v>608</v>
      </c>
      <c r="C425" s="104" t="s">
        <v>609</v>
      </c>
      <c r="D425" s="102">
        <v>1</v>
      </c>
    </row>
    <row r="426" spans="2:4" x14ac:dyDescent="0.25">
      <c r="B426" s="105" t="s">
        <v>610</v>
      </c>
      <c r="C426" s="101" t="s">
        <v>251</v>
      </c>
      <c r="D426" s="102">
        <v>1</v>
      </c>
    </row>
    <row r="427" spans="2:4" x14ac:dyDescent="0.25">
      <c r="B427" s="106" t="s">
        <v>611</v>
      </c>
      <c r="C427" s="101" t="s">
        <v>251</v>
      </c>
      <c r="D427" s="102">
        <v>1</v>
      </c>
    </row>
    <row r="428" spans="2:4" x14ac:dyDescent="0.25">
      <c r="B428" s="105" t="s">
        <v>612</v>
      </c>
      <c r="C428" s="101" t="s">
        <v>251</v>
      </c>
      <c r="D428" s="102">
        <v>1</v>
      </c>
    </row>
    <row r="429" spans="2:4" x14ac:dyDescent="0.25">
      <c r="B429" s="105" t="s">
        <v>613</v>
      </c>
      <c r="C429" s="101" t="s">
        <v>251</v>
      </c>
      <c r="D429" s="102">
        <v>1</v>
      </c>
    </row>
    <row r="430" spans="2:4" x14ac:dyDescent="0.25">
      <c r="B430" s="105" t="s">
        <v>614</v>
      </c>
      <c r="C430" s="101" t="s">
        <v>251</v>
      </c>
      <c r="D430" s="102">
        <v>1</v>
      </c>
    </row>
    <row r="431" spans="2:4" x14ac:dyDescent="0.25">
      <c r="B431" s="105" t="s">
        <v>271</v>
      </c>
      <c r="C431" s="101" t="s">
        <v>251</v>
      </c>
      <c r="D431" s="102">
        <v>1</v>
      </c>
    </row>
    <row r="432" spans="2:4" x14ac:dyDescent="0.25">
      <c r="B432" s="105" t="s">
        <v>615</v>
      </c>
      <c r="C432" s="101" t="s">
        <v>251</v>
      </c>
      <c r="D432" s="102">
        <v>1</v>
      </c>
    </row>
    <row r="433" spans="2:4" x14ac:dyDescent="0.25">
      <c r="B433" s="100" t="s">
        <v>616</v>
      </c>
      <c r="C433" s="101" t="s">
        <v>251</v>
      </c>
      <c r="D433" s="102">
        <v>1</v>
      </c>
    </row>
    <row r="434" spans="2:4" x14ac:dyDescent="0.25">
      <c r="B434" s="100" t="s">
        <v>617</v>
      </c>
      <c r="C434" s="101" t="s">
        <v>251</v>
      </c>
      <c r="D434" s="102">
        <v>1</v>
      </c>
    </row>
    <row r="435" spans="2:4" x14ac:dyDescent="0.25">
      <c r="B435" s="100" t="s">
        <v>618</v>
      </c>
      <c r="C435" s="101" t="s">
        <v>251</v>
      </c>
      <c r="D435" s="102">
        <v>1</v>
      </c>
    </row>
    <row r="436" spans="2:4" x14ac:dyDescent="0.25">
      <c r="B436" s="100" t="s">
        <v>619</v>
      </c>
      <c r="C436" s="101" t="s">
        <v>251</v>
      </c>
      <c r="D436" s="102">
        <v>1</v>
      </c>
    </row>
    <row r="437" spans="2:4" x14ac:dyDescent="0.25">
      <c r="B437" s="105" t="s">
        <v>620</v>
      </c>
      <c r="C437" s="101" t="s">
        <v>251</v>
      </c>
      <c r="D437" s="102">
        <v>1</v>
      </c>
    </row>
    <row r="438" spans="2:4" x14ac:dyDescent="0.25">
      <c r="B438" s="100" t="s">
        <v>621</v>
      </c>
      <c r="C438" s="101" t="s">
        <v>251</v>
      </c>
      <c r="D438" s="102">
        <v>1</v>
      </c>
    </row>
    <row r="439" spans="2:4" x14ac:dyDescent="0.25">
      <c r="B439" s="100" t="s">
        <v>622</v>
      </c>
      <c r="C439" s="101" t="s">
        <v>251</v>
      </c>
      <c r="D439" s="102">
        <v>1</v>
      </c>
    </row>
    <row r="440" spans="2:4" x14ac:dyDescent="0.25">
      <c r="B440" s="105" t="s">
        <v>830</v>
      </c>
      <c r="C440" s="101" t="s">
        <v>251</v>
      </c>
      <c r="D440" s="102">
        <v>1</v>
      </c>
    </row>
    <row r="441" spans="2:4" x14ac:dyDescent="0.25">
      <c r="B441" s="105" t="s">
        <v>623</v>
      </c>
      <c r="C441" s="101" t="s">
        <v>251</v>
      </c>
      <c r="D441" s="102">
        <v>1</v>
      </c>
    </row>
    <row r="442" spans="2:4" x14ac:dyDescent="0.25">
      <c r="B442" s="105" t="s">
        <v>624</v>
      </c>
      <c r="C442" s="101" t="s">
        <v>251</v>
      </c>
      <c r="D442" s="102">
        <v>1</v>
      </c>
    </row>
    <row r="443" spans="2:4" x14ac:dyDescent="0.25">
      <c r="B443" s="100" t="s">
        <v>625</v>
      </c>
      <c r="C443" s="101" t="s">
        <v>251</v>
      </c>
      <c r="D443" s="102">
        <v>1</v>
      </c>
    </row>
    <row r="444" spans="2:4" x14ac:dyDescent="0.25">
      <c r="B444" s="105" t="s">
        <v>626</v>
      </c>
      <c r="C444" s="101" t="s">
        <v>251</v>
      </c>
      <c r="D444" s="102">
        <v>1</v>
      </c>
    </row>
    <row r="445" spans="2:4" x14ac:dyDescent="0.25">
      <c r="B445" s="105" t="s">
        <v>627</v>
      </c>
      <c r="C445" s="101" t="s">
        <v>251</v>
      </c>
      <c r="D445" s="102">
        <v>1</v>
      </c>
    </row>
    <row r="446" spans="2:4" x14ac:dyDescent="0.25">
      <c r="B446" s="100" t="s">
        <v>628</v>
      </c>
      <c r="C446" s="101" t="s">
        <v>251</v>
      </c>
      <c r="D446" s="102">
        <v>1</v>
      </c>
    </row>
    <row r="447" spans="2:4" x14ac:dyDescent="0.25">
      <c r="B447" s="100" t="s">
        <v>629</v>
      </c>
      <c r="C447" s="101" t="s">
        <v>251</v>
      </c>
      <c r="D447" s="102">
        <v>1</v>
      </c>
    </row>
    <row r="448" spans="2:4" x14ac:dyDescent="0.25">
      <c r="B448" s="105" t="s">
        <v>630</v>
      </c>
      <c r="C448" s="101" t="s">
        <v>251</v>
      </c>
      <c r="D448" s="102">
        <v>1</v>
      </c>
    </row>
    <row r="449" spans="2:4" x14ac:dyDescent="0.25">
      <c r="B449" s="105" t="s">
        <v>631</v>
      </c>
      <c r="C449" s="101" t="s">
        <v>251</v>
      </c>
      <c r="D449" s="102">
        <v>1</v>
      </c>
    </row>
    <row r="450" spans="2:4" ht="24" x14ac:dyDescent="0.25">
      <c r="B450" s="105" t="s">
        <v>632</v>
      </c>
      <c r="C450" s="101" t="s">
        <v>251</v>
      </c>
      <c r="D450" s="102">
        <v>1</v>
      </c>
    </row>
    <row r="451" spans="2:4" x14ac:dyDescent="0.25">
      <c r="B451" s="105" t="s">
        <v>633</v>
      </c>
      <c r="C451" s="101" t="s">
        <v>251</v>
      </c>
      <c r="D451" s="102">
        <v>1</v>
      </c>
    </row>
    <row r="452" spans="2:4" ht="24" x14ac:dyDescent="0.25">
      <c r="B452" s="105" t="s">
        <v>634</v>
      </c>
      <c r="C452" s="101" t="s">
        <v>251</v>
      </c>
      <c r="D452" s="102">
        <v>1</v>
      </c>
    </row>
    <row r="453" spans="2:4" x14ac:dyDescent="0.25">
      <c r="B453" s="105" t="s">
        <v>635</v>
      </c>
      <c r="C453" s="101" t="s">
        <v>251</v>
      </c>
      <c r="D453" s="102">
        <v>1</v>
      </c>
    </row>
    <row r="454" spans="2:4" x14ac:dyDescent="0.25">
      <c r="B454" s="100" t="s">
        <v>636</v>
      </c>
      <c r="C454" s="101" t="s">
        <v>251</v>
      </c>
      <c r="D454" s="102">
        <v>1</v>
      </c>
    </row>
    <row r="455" spans="2:4" x14ac:dyDescent="0.25">
      <c r="B455" s="100" t="s">
        <v>637</v>
      </c>
      <c r="C455" s="101" t="s">
        <v>251</v>
      </c>
      <c r="D455" s="102">
        <v>1</v>
      </c>
    </row>
    <row r="456" spans="2:4" x14ac:dyDescent="0.25">
      <c r="B456" s="100" t="s">
        <v>638</v>
      </c>
      <c r="C456" s="101" t="s">
        <v>251</v>
      </c>
      <c r="D456" s="102">
        <v>1</v>
      </c>
    </row>
    <row r="457" spans="2:4" x14ac:dyDescent="0.25">
      <c r="B457" s="100" t="s">
        <v>639</v>
      </c>
      <c r="C457" s="101" t="s">
        <v>251</v>
      </c>
      <c r="D457" s="102">
        <v>1</v>
      </c>
    </row>
    <row r="458" spans="2:4" x14ac:dyDescent="0.25">
      <c r="B458" s="100" t="s">
        <v>640</v>
      </c>
      <c r="C458" s="101" t="s">
        <v>251</v>
      </c>
      <c r="D458" s="102">
        <v>1</v>
      </c>
    </row>
    <row r="459" spans="2:4" x14ac:dyDescent="0.25">
      <c r="B459" s="100" t="s">
        <v>641</v>
      </c>
      <c r="C459" s="101" t="s">
        <v>251</v>
      </c>
      <c r="D459" s="102">
        <v>1</v>
      </c>
    </row>
    <row r="460" spans="2:4" ht="24" x14ac:dyDescent="0.25">
      <c r="B460" s="105" t="s">
        <v>642</v>
      </c>
      <c r="C460" s="101" t="s">
        <v>251</v>
      </c>
      <c r="D460" s="102">
        <v>1</v>
      </c>
    </row>
    <row r="461" spans="2:4" x14ac:dyDescent="0.25">
      <c r="B461" s="105" t="s">
        <v>643</v>
      </c>
      <c r="C461" s="101" t="s">
        <v>251</v>
      </c>
      <c r="D461" s="102">
        <v>1</v>
      </c>
    </row>
    <row r="462" spans="2:4" x14ac:dyDescent="0.25">
      <c r="B462" s="105" t="s">
        <v>644</v>
      </c>
      <c r="C462" s="101" t="s">
        <v>251</v>
      </c>
      <c r="D462" s="102">
        <v>1</v>
      </c>
    </row>
    <row r="463" spans="2:4" x14ac:dyDescent="0.25">
      <c r="B463" s="105" t="s">
        <v>645</v>
      </c>
      <c r="C463" s="101" t="s">
        <v>251</v>
      </c>
      <c r="D463" s="102">
        <v>1</v>
      </c>
    </row>
    <row r="464" spans="2:4" x14ac:dyDescent="0.25">
      <c r="B464" s="100" t="s">
        <v>646</v>
      </c>
      <c r="C464" s="101" t="s">
        <v>251</v>
      </c>
      <c r="D464" s="102">
        <v>1</v>
      </c>
    </row>
    <row r="465" spans="2:4" x14ac:dyDescent="0.25">
      <c r="B465" s="105" t="s">
        <v>647</v>
      </c>
      <c r="C465" s="101" t="s">
        <v>251</v>
      </c>
      <c r="D465" s="102">
        <v>1</v>
      </c>
    </row>
    <row r="466" spans="2:4" x14ac:dyDescent="0.25">
      <c r="B466" s="105" t="s">
        <v>648</v>
      </c>
      <c r="C466" s="101" t="s">
        <v>251</v>
      </c>
      <c r="D466" s="102">
        <v>1</v>
      </c>
    </row>
    <row r="467" spans="2:4" x14ac:dyDescent="0.25">
      <c r="B467" s="105" t="s">
        <v>649</v>
      </c>
      <c r="C467" s="101" t="s">
        <v>251</v>
      </c>
      <c r="D467" s="102">
        <v>1</v>
      </c>
    </row>
    <row r="468" spans="2:4" x14ac:dyDescent="0.25">
      <c r="B468" s="105" t="s">
        <v>650</v>
      </c>
      <c r="C468" s="101" t="s">
        <v>251</v>
      </c>
      <c r="D468" s="102">
        <v>1</v>
      </c>
    </row>
    <row r="469" spans="2:4" x14ac:dyDescent="0.25">
      <c r="B469" s="103" t="s">
        <v>651</v>
      </c>
      <c r="C469" s="101" t="s">
        <v>251</v>
      </c>
      <c r="D469" s="102">
        <v>1</v>
      </c>
    </row>
    <row r="470" spans="2:4" x14ac:dyDescent="0.25">
      <c r="B470" s="106" t="s">
        <v>652</v>
      </c>
      <c r="C470" s="104" t="s">
        <v>2</v>
      </c>
      <c r="D470" s="102">
        <v>1</v>
      </c>
    </row>
    <row r="471" spans="2:4" x14ac:dyDescent="0.25">
      <c r="B471" s="103" t="s">
        <v>653</v>
      </c>
      <c r="C471" s="101" t="s">
        <v>251</v>
      </c>
      <c r="D471" s="102">
        <v>1</v>
      </c>
    </row>
    <row r="472" spans="2:4" x14ac:dyDescent="0.25">
      <c r="B472" s="100" t="s">
        <v>654</v>
      </c>
      <c r="C472" s="101" t="s">
        <v>251</v>
      </c>
      <c r="D472" s="102">
        <v>1</v>
      </c>
    </row>
    <row r="473" spans="2:4" x14ac:dyDescent="0.25">
      <c r="B473" s="100" t="s">
        <v>655</v>
      </c>
      <c r="C473" s="101" t="s">
        <v>251</v>
      </c>
      <c r="D473" s="102">
        <v>1</v>
      </c>
    </row>
    <row r="474" spans="2:4" x14ac:dyDescent="0.25">
      <c r="B474" s="100" t="s">
        <v>831</v>
      </c>
      <c r="C474" s="101" t="s">
        <v>251</v>
      </c>
      <c r="D474" s="102">
        <v>1</v>
      </c>
    </row>
    <row r="475" spans="2:4" x14ac:dyDescent="0.25">
      <c r="B475" s="105" t="s">
        <v>656</v>
      </c>
      <c r="C475" s="104" t="s">
        <v>2</v>
      </c>
      <c r="D475" s="102">
        <v>1</v>
      </c>
    </row>
    <row r="476" spans="2:4" x14ac:dyDescent="0.25">
      <c r="B476" s="100" t="s">
        <v>257</v>
      </c>
      <c r="C476" s="101" t="s">
        <v>251</v>
      </c>
      <c r="D476" s="102">
        <v>1</v>
      </c>
    </row>
    <row r="477" spans="2:4" x14ac:dyDescent="0.25">
      <c r="B477" s="105" t="s">
        <v>657</v>
      </c>
      <c r="C477" s="101" t="s">
        <v>251</v>
      </c>
      <c r="D477" s="102">
        <v>1</v>
      </c>
    </row>
    <row r="478" spans="2:4" x14ac:dyDescent="0.25">
      <c r="B478" s="105" t="s">
        <v>658</v>
      </c>
      <c r="C478" s="101" t="s">
        <v>251</v>
      </c>
      <c r="D478" s="102">
        <v>1</v>
      </c>
    </row>
    <row r="479" spans="2:4" x14ac:dyDescent="0.25">
      <c r="B479" s="105" t="s">
        <v>659</v>
      </c>
      <c r="C479" s="101" t="s">
        <v>251</v>
      </c>
      <c r="D479" s="102">
        <v>1</v>
      </c>
    </row>
    <row r="480" spans="2:4" x14ac:dyDescent="0.25">
      <c r="B480" s="105" t="s">
        <v>660</v>
      </c>
      <c r="C480" s="101" t="s">
        <v>251</v>
      </c>
      <c r="D480" s="102">
        <v>1</v>
      </c>
    </row>
    <row r="481" spans="2:4" x14ac:dyDescent="0.25">
      <c r="B481" s="105" t="s">
        <v>661</v>
      </c>
      <c r="C481" s="101" t="s">
        <v>251</v>
      </c>
      <c r="D481" s="102">
        <v>1</v>
      </c>
    </row>
    <row r="482" spans="2:4" x14ac:dyDescent="0.25">
      <c r="B482" s="106" t="s">
        <v>662</v>
      </c>
      <c r="C482" s="104" t="s">
        <v>2</v>
      </c>
      <c r="D482" s="102">
        <v>1</v>
      </c>
    </row>
    <row r="483" spans="2:4" x14ac:dyDescent="0.25">
      <c r="B483" s="106" t="s">
        <v>663</v>
      </c>
      <c r="C483" s="104" t="s">
        <v>251</v>
      </c>
      <c r="D483" s="102">
        <v>1</v>
      </c>
    </row>
    <row r="484" spans="2:4" x14ac:dyDescent="0.25">
      <c r="B484" s="105" t="s">
        <v>664</v>
      </c>
      <c r="C484" s="101" t="s">
        <v>251</v>
      </c>
      <c r="D484" s="102">
        <v>1</v>
      </c>
    </row>
    <row r="485" spans="2:4" x14ac:dyDescent="0.25">
      <c r="B485" s="105" t="s">
        <v>665</v>
      </c>
      <c r="C485" s="101" t="s">
        <v>325</v>
      </c>
      <c r="D485" s="102">
        <v>1</v>
      </c>
    </row>
    <row r="486" spans="2:4" x14ac:dyDescent="0.25">
      <c r="B486" s="105" t="s">
        <v>666</v>
      </c>
      <c r="C486" s="101" t="s">
        <v>251</v>
      </c>
      <c r="D486" s="102">
        <v>1</v>
      </c>
    </row>
    <row r="487" spans="2:4" x14ac:dyDescent="0.25">
      <c r="B487" s="105" t="s">
        <v>667</v>
      </c>
      <c r="C487" s="101" t="s">
        <v>251</v>
      </c>
      <c r="D487" s="102">
        <v>1</v>
      </c>
    </row>
    <row r="488" spans="2:4" x14ac:dyDescent="0.25">
      <c r="B488" s="105" t="s">
        <v>668</v>
      </c>
      <c r="C488" s="101" t="s">
        <v>251</v>
      </c>
      <c r="D488" s="102">
        <v>1</v>
      </c>
    </row>
    <row r="489" spans="2:4" x14ac:dyDescent="0.25">
      <c r="B489" s="106" t="s">
        <v>669</v>
      </c>
      <c r="C489" s="104" t="s">
        <v>2</v>
      </c>
      <c r="D489" s="102">
        <v>1</v>
      </c>
    </row>
    <row r="490" spans="2:4" x14ac:dyDescent="0.25">
      <c r="B490" s="100" t="s">
        <v>670</v>
      </c>
      <c r="C490" s="101" t="s">
        <v>251</v>
      </c>
      <c r="D490" s="102">
        <v>1</v>
      </c>
    </row>
    <row r="491" spans="2:4" x14ac:dyDescent="0.25">
      <c r="B491" s="105" t="s">
        <v>671</v>
      </c>
      <c r="C491" s="101" t="s">
        <v>251</v>
      </c>
      <c r="D491" s="102">
        <v>1</v>
      </c>
    </row>
    <row r="492" spans="2:4" x14ac:dyDescent="0.25">
      <c r="B492" s="106" t="s">
        <v>672</v>
      </c>
      <c r="C492" s="104" t="s">
        <v>2</v>
      </c>
      <c r="D492" s="102">
        <v>1</v>
      </c>
    </row>
    <row r="493" spans="2:4" x14ac:dyDescent="0.25">
      <c r="B493" s="105" t="s">
        <v>673</v>
      </c>
      <c r="C493" s="101" t="s">
        <v>251</v>
      </c>
      <c r="D493" s="102">
        <v>1</v>
      </c>
    </row>
    <row r="494" spans="2:4" x14ac:dyDescent="0.25">
      <c r="B494" s="105" t="s">
        <v>674</v>
      </c>
      <c r="C494" s="101" t="s">
        <v>251</v>
      </c>
      <c r="D494" s="102">
        <v>1</v>
      </c>
    </row>
    <row r="495" spans="2:4" x14ac:dyDescent="0.25">
      <c r="B495" s="103" t="s">
        <v>675</v>
      </c>
      <c r="C495" s="101" t="s">
        <v>251</v>
      </c>
      <c r="D495" s="102">
        <v>1</v>
      </c>
    </row>
    <row r="496" spans="2:4" x14ac:dyDescent="0.25">
      <c r="B496" s="103" t="s">
        <v>676</v>
      </c>
      <c r="C496" s="104" t="s">
        <v>355</v>
      </c>
      <c r="D496" s="102">
        <v>1</v>
      </c>
    </row>
    <row r="497" spans="2:4" x14ac:dyDescent="0.25">
      <c r="B497" s="105" t="s">
        <v>677</v>
      </c>
      <c r="C497" s="101" t="s">
        <v>251</v>
      </c>
      <c r="D497" s="102">
        <v>1</v>
      </c>
    </row>
    <row r="498" spans="2:4" x14ac:dyDescent="0.25">
      <c r="B498" s="105" t="s">
        <v>678</v>
      </c>
      <c r="C498" s="101" t="s">
        <v>251</v>
      </c>
      <c r="D498" s="102">
        <v>1</v>
      </c>
    </row>
    <row r="499" spans="2:4" x14ac:dyDescent="0.25">
      <c r="B499" s="105" t="s">
        <v>679</v>
      </c>
      <c r="C499" s="101" t="s">
        <v>251</v>
      </c>
      <c r="D499" s="102">
        <v>1</v>
      </c>
    </row>
    <row r="500" spans="2:4" x14ac:dyDescent="0.25">
      <c r="B500" s="103" t="s">
        <v>680</v>
      </c>
      <c r="C500" s="104" t="s">
        <v>2</v>
      </c>
      <c r="D500" s="102">
        <v>1</v>
      </c>
    </row>
    <row r="501" spans="2:4" x14ac:dyDescent="0.25">
      <c r="B501" s="106" t="s">
        <v>681</v>
      </c>
      <c r="C501" s="104" t="s">
        <v>2</v>
      </c>
      <c r="D501" s="102">
        <v>1</v>
      </c>
    </row>
    <row r="502" spans="2:4" x14ac:dyDescent="0.25">
      <c r="B502" s="105" t="s">
        <v>682</v>
      </c>
      <c r="C502" s="101" t="s">
        <v>251</v>
      </c>
      <c r="D502" s="102">
        <v>1</v>
      </c>
    </row>
    <row r="503" spans="2:4" x14ac:dyDescent="0.25">
      <c r="B503" s="105" t="s">
        <v>683</v>
      </c>
      <c r="C503" s="101" t="s">
        <v>251</v>
      </c>
      <c r="D503" s="102">
        <v>1</v>
      </c>
    </row>
    <row r="504" spans="2:4" x14ac:dyDescent="0.25">
      <c r="B504" s="105" t="s">
        <v>684</v>
      </c>
      <c r="C504" s="101" t="s">
        <v>251</v>
      </c>
      <c r="D504" s="102">
        <v>1</v>
      </c>
    </row>
    <row r="505" spans="2:4" x14ac:dyDescent="0.25">
      <c r="B505" s="105" t="s">
        <v>685</v>
      </c>
      <c r="C505" s="101" t="s">
        <v>251</v>
      </c>
      <c r="D505" s="102">
        <v>1</v>
      </c>
    </row>
    <row r="506" spans="2:4" x14ac:dyDescent="0.25">
      <c r="B506" s="105" t="s">
        <v>686</v>
      </c>
      <c r="C506" s="101" t="s">
        <v>251</v>
      </c>
      <c r="D506" s="102">
        <v>1</v>
      </c>
    </row>
    <row r="507" spans="2:4" ht="24" x14ac:dyDescent="0.25">
      <c r="B507" s="105" t="s">
        <v>687</v>
      </c>
      <c r="C507" s="101" t="s">
        <v>251</v>
      </c>
      <c r="D507" s="102">
        <v>1</v>
      </c>
    </row>
    <row r="508" spans="2:4" x14ac:dyDescent="0.25">
      <c r="B508" s="105" t="s">
        <v>688</v>
      </c>
      <c r="C508" s="101" t="s">
        <v>251</v>
      </c>
      <c r="D508" s="102">
        <v>1</v>
      </c>
    </row>
    <row r="509" spans="2:4" x14ac:dyDescent="0.25">
      <c r="B509" s="105" t="s">
        <v>689</v>
      </c>
      <c r="C509" s="101" t="s">
        <v>251</v>
      </c>
      <c r="D509" s="102">
        <v>1</v>
      </c>
    </row>
    <row r="510" spans="2:4" x14ac:dyDescent="0.25">
      <c r="B510" s="103" t="s">
        <v>690</v>
      </c>
      <c r="C510" s="104" t="s">
        <v>691</v>
      </c>
      <c r="D510" s="102">
        <v>1</v>
      </c>
    </row>
    <row r="511" spans="2:4" x14ac:dyDescent="0.25">
      <c r="B511" s="103" t="s">
        <v>692</v>
      </c>
      <c r="C511" s="104" t="s">
        <v>693</v>
      </c>
      <c r="D511" s="102">
        <v>1</v>
      </c>
    </row>
    <row r="512" spans="2:4" x14ac:dyDescent="0.25">
      <c r="B512" s="103" t="s">
        <v>694</v>
      </c>
      <c r="C512" s="104" t="s">
        <v>2</v>
      </c>
      <c r="D512" s="102">
        <v>1</v>
      </c>
    </row>
    <row r="513" spans="2:4" x14ac:dyDescent="0.25">
      <c r="B513" s="105" t="s">
        <v>695</v>
      </c>
      <c r="C513" s="101" t="s">
        <v>251</v>
      </c>
      <c r="D513" s="102">
        <v>1</v>
      </c>
    </row>
    <row r="514" spans="2:4" x14ac:dyDescent="0.25">
      <c r="B514" s="105" t="s">
        <v>696</v>
      </c>
      <c r="C514" s="101" t="s">
        <v>251</v>
      </c>
      <c r="D514" s="102">
        <v>1</v>
      </c>
    </row>
    <row r="515" spans="2:4" x14ac:dyDescent="0.25">
      <c r="B515" s="105" t="s">
        <v>697</v>
      </c>
      <c r="C515" s="101" t="s">
        <v>251</v>
      </c>
      <c r="D515" s="102">
        <v>1</v>
      </c>
    </row>
    <row r="516" spans="2:4" x14ac:dyDescent="0.25">
      <c r="B516" s="105" t="s">
        <v>698</v>
      </c>
      <c r="C516" s="101" t="s">
        <v>251</v>
      </c>
      <c r="D516" s="102">
        <v>1</v>
      </c>
    </row>
    <row r="517" spans="2:4" x14ac:dyDescent="0.25">
      <c r="B517" s="105" t="s">
        <v>699</v>
      </c>
      <c r="C517" s="101" t="s">
        <v>251</v>
      </c>
      <c r="D517" s="102">
        <v>1</v>
      </c>
    </row>
    <row r="518" spans="2:4" x14ac:dyDescent="0.25">
      <c r="B518" s="103" t="s">
        <v>700</v>
      </c>
      <c r="C518" s="104" t="s">
        <v>251</v>
      </c>
      <c r="D518" s="102">
        <v>1</v>
      </c>
    </row>
    <row r="519" spans="2:4" x14ac:dyDescent="0.25">
      <c r="B519" s="105" t="s">
        <v>701</v>
      </c>
      <c r="C519" s="101" t="s">
        <v>251</v>
      </c>
      <c r="D519" s="102">
        <v>1</v>
      </c>
    </row>
    <row r="520" spans="2:4" x14ac:dyDescent="0.25">
      <c r="B520" s="105" t="s">
        <v>702</v>
      </c>
      <c r="C520" s="101" t="s">
        <v>251</v>
      </c>
      <c r="D520" s="102">
        <v>1</v>
      </c>
    </row>
    <row r="521" spans="2:4" x14ac:dyDescent="0.25">
      <c r="B521" s="105" t="s">
        <v>703</v>
      </c>
      <c r="C521" s="101" t="s">
        <v>251</v>
      </c>
      <c r="D521" s="102">
        <v>1</v>
      </c>
    </row>
    <row r="522" spans="2:4" x14ac:dyDescent="0.25">
      <c r="B522" s="100" t="s">
        <v>704</v>
      </c>
      <c r="C522" s="101" t="s">
        <v>251</v>
      </c>
      <c r="D522" s="102">
        <v>1</v>
      </c>
    </row>
    <row r="523" spans="2:4" x14ac:dyDescent="0.25">
      <c r="B523" s="106" t="s">
        <v>705</v>
      </c>
      <c r="C523" s="104" t="s">
        <v>2</v>
      </c>
      <c r="D523" s="102">
        <v>1</v>
      </c>
    </row>
    <row r="524" spans="2:4" x14ac:dyDescent="0.25">
      <c r="B524" s="105" t="s">
        <v>706</v>
      </c>
      <c r="C524" s="101" t="s">
        <v>251</v>
      </c>
      <c r="D524" s="102">
        <v>1</v>
      </c>
    </row>
    <row r="525" spans="2:4" x14ac:dyDescent="0.25">
      <c r="B525" s="105" t="s">
        <v>707</v>
      </c>
      <c r="C525" s="101" t="s">
        <v>251</v>
      </c>
      <c r="D525" s="102">
        <v>1</v>
      </c>
    </row>
    <row r="526" spans="2:4" x14ac:dyDescent="0.25">
      <c r="B526" s="105" t="s">
        <v>708</v>
      </c>
      <c r="C526" s="101" t="s">
        <v>251</v>
      </c>
      <c r="D526" s="102">
        <v>1</v>
      </c>
    </row>
    <row r="527" spans="2:4" x14ac:dyDescent="0.25">
      <c r="B527" s="105" t="s">
        <v>709</v>
      </c>
      <c r="C527" s="101" t="s">
        <v>251</v>
      </c>
      <c r="D527" s="102">
        <v>1</v>
      </c>
    </row>
    <row r="528" spans="2:4" x14ac:dyDescent="0.25">
      <c r="B528" s="105" t="s">
        <v>710</v>
      </c>
      <c r="C528" s="101" t="s">
        <v>251</v>
      </c>
      <c r="D528" s="102">
        <v>1</v>
      </c>
    </row>
    <row r="529" spans="2:4" x14ac:dyDescent="0.25">
      <c r="B529" s="105" t="s">
        <v>711</v>
      </c>
      <c r="C529" s="101" t="s">
        <v>251</v>
      </c>
      <c r="D529" s="102">
        <v>1</v>
      </c>
    </row>
    <row r="530" spans="2:4" x14ac:dyDescent="0.25">
      <c r="B530" s="105" t="s">
        <v>712</v>
      </c>
      <c r="C530" s="101" t="s">
        <v>251</v>
      </c>
      <c r="D530" s="102">
        <v>1</v>
      </c>
    </row>
    <row r="531" spans="2:4" x14ac:dyDescent="0.25">
      <c r="B531" s="105" t="s">
        <v>713</v>
      </c>
      <c r="C531" s="101" t="s">
        <v>251</v>
      </c>
      <c r="D531" s="102">
        <v>1</v>
      </c>
    </row>
    <row r="532" spans="2:4" x14ac:dyDescent="0.25">
      <c r="B532" s="105" t="s">
        <v>714</v>
      </c>
      <c r="C532" s="101" t="s">
        <v>251</v>
      </c>
      <c r="D532" s="102">
        <v>1</v>
      </c>
    </row>
    <row r="533" spans="2:4" x14ac:dyDescent="0.25">
      <c r="B533" s="105" t="s">
        <v>715</v>
      </c>
      <c r="C533" s="101" t="s">
        <v>251</v>
      </c>
      <c r="D533" s="102">
        <v>1</v>
      </c>
    </row>
    <row r="534" spans="2:4" x14ac:dyDescent="0.25">
      <c r="B534" s="105" t="s">
        <v>716</v>
      </c>
      <c r="C534" s="101" t="s">
        <v>251</v>
      </c>
      <c r="D534" s="102">
        <v>1</v>
      </c>
    </row>
    <row r="535" spans="2:4" x14ac:dyDescent="0.25">
      <c r="B535" s="105" t="s">
        <v>717</v>
      </c>
      <c r="C535" s="101" t="s">
        <v>251</v>
      </c>
      <c r="D535" s="102">
        <v>1</v>
      </c>
    </row>
    <row r="536" spans="2:4" x14ac:dyDescent="0.25">
      <c r="B536" s="105" t="s">
        <v>718</v>
      </c>
      <c r="C536" s="101" t="s">
        <v>251</v>
      </c>
      <c r="D536" s="102">
        <v>1</v>
      </c>
    </row>
    <row r="537" spans="2:4" x14ac:dyDescent="0.25">
      <c r="B537" s="105" t="s">
        <v>719</v>
      </c>
      <c r="C537" s="101" t="s">
        <v>251</v>
      </c>
      <c r="D537" s="102">
        <v>1</v>
      </c>
    </row>
    <row r="538" spans="2:4" x14ac:dyDescent="0.25">
      <c r="B538" s="105" t="s">
        <v>720</v>
      </c>
      <c r="C538" s="101" t="s">
        <v>251</v>
      </c>
      <c r="D538" s="102">
        <v>1</v>
      </c>
    </row>
    <row r="539" spans="2:4" x14ac:dyDescent="0.25">
      <c r="B539" s="105" t="s">
        <v>721</v>
      </c>
      <c r="C539" s="101" t="s">
        <v>251</v>
      </c>
      <c r="D539" s="102">
        <v>1</v>
      </c>
    </row>
    <row r="540" spans="2:4" x14ac:dyDescent="0.25">
      <c r="B540" s="105" t="s">
        <v>722</v>
      </c>
      <c r="C540" s="101" t="s">
        <v>251</v>
      </c>
      <c r="D540" s="102">
        <v>1</v>
      </c>
    </row>
    <row r="541" spans="2:4" x14ac:dyDescent="0.25">
      <c r="B541" s="105" t="s">
        <v>723</v>
      </c>
      <c r="C541" s="101" t="s">
        <v>251</v>
      </c>
      <c r="D541" s="102">
        <v>1</v>
      </c>
    </row>
    <row r="542" spans="2:4" x14ac:dyDescent="0.25">
      <c r="B542" s="105" t="s">
        <v>724</v>
      </c>
      <c r="C542" s="101" t="s">
        <v>251</v>
      </c>
      <c r="D542" s="102">
        <v>1</v>
      </c>
    </row>
    <row r="543" spans="2:4" x14ac:dyDescent="0.25">
      <c r="B543" s="105" t="s">
        <v>725</v>
      </c>
      <c r="C543" s="101" t="s">
        <v>251</v>
      </c>
      <c r="D543" s="102">
        <v>1</v>
      </c>
    </row>
    <row r="544" spans="2:4" x14ac:dyDescent="0.25">
      <c r="B544" s="100" t="s">
        <v>726</v>
      </c>
      <c r="C544" s="101" t="s">
        <v>251</v>
      </c>
      <c r="D544" s="102">
        <v>1</v>
      </c>
    </row>
    <row r="545" spans="2:4" x14ac:dyDescent="0.25">
      <c r="B545" s="105" t="s">
        <v>727</v>
      </c>
      <c r="C545" s="101" t="s">
        <v>251</v>
      </c>
      <c r="D545" s="102">
        <v>1</v>
      </c>
    </row>
    <row r="546" spans="2:4" x14ac:dyDescent="0.25">
      <c r="B546" s="105" t="s">
        <v>728</v>
      </c>
      <c r="C546" s="101" t="s">
        <v>251</v>
      </c>
      <c r="D546" s="102">
        <v>1</v>
      </c>
    </row>
    <row r="547" spans="2:4" x14ac:dyDescent="0.25">
      <c r="B547" s="105" t="s">
        <v>729</v>
      </c>
      <c r="C547" s="101" t="s">
        <v>251</v>
      </c>
      <c r="D547" s="102">
        <v>1</v>
      </c>
    </row>
    <row r="548" spans="2:4" x14ac:dyDescent="0.25">
      <c r="B548" s="103" t="s">
        <v>730</v>
      </c>
      <c r="C548" s="104" t="s">
        <v>251</v>
      </c>
      <c r="D548" s="102">
        <v>1</v>
      </c>
    </row>
    <row r="549" spans="2:4" x14ac:dyDescent="0.25">
      <c r="B549" s="103" t="s">
        <v>731</v>
      </c>
      <c r="C549" s="104" t="s">
        <v>251</v>
      </c>
      <c r="D549" s="102">
        <v>1</v>
      </c>
    </row>
    <row r="550" spans="2:4" x14ac:dyDescent="0.25">
      <c r="B550" s="105" t="s">
        <v>732</v>
      </c>
      <c r="C550" s="101" t="s">
        <v>251</v>
      </c>
      <c r="D550" s="102">
        <v>1</v>
      </c>
    </row>
    <row r="551" spans="2:4" x14ac:dyDescent="0.25">
      <c r="B551" s="105" t="s">
        <v>733</v>
      </c>
      <c r="C551" s="101" t="s">
        <v>251</v>
      </c>
      <c r="D551" s="102">
        <v>1</v>
      </c>
    </row>
    <row r="552" spans="2:4" x14ac:dyDescent="0.25">
      <c r="B552" s="105" t="s">
        <v>734</v>
      </c>
      <c r="C552" s="101" t="s">
        <v>251</v>
      </c>
      <c r="D552" s="102">
        <v>1</v>
      </c>
    </row>
    <row r="553" spans="2:4" x14ac:dyDescent="0.25">
      <c r="B553" s="105" t="s">
        <v>735</v>
      </c>
      <c r="C553" s="101" t="s">
        <v>251</v>
      </c>
      <c r="D553" s="102">
        <v>1</v>
      </c>
    </row>
    <row r="554" spans="2:4" x14ac:dyDescent="0.25">
      <c r="B554" s="105" t="s">
        <v>736</v>
      </c>
      <c r="C554" s="101" t="s">
        <v>251</v>
      </c>
      <c r="D554" s="102">
        <v>1</v>
      </c>
    </row>
    <row r="555" spans="2:4" x14ac:dyDescent="0.25">
      <c r="B555" s="105" t="s">
        <v>737</v>
      </c>
      <c r="C555" s="101" t="s">
        <v>251</v>
      </c>
      <c r="D555" s="102">
        <v>1</v>
      </c>
    </row>
    <row r="556" spans="2:4" x14ac:dyDescent="0.25">
      <c r="B556" s="103" t="s">
        <v>738</v>
      </c>
      <c r="C556" s="101" t="s">
        <v>251</v>
      </c>
      <c r="D556" s="102">
        <v>1</v>
      </c>
    </row>
    <row r="557" spans="2:4" x14ac:dyDescent="0.25">
      <c r="B557" s="105" t="s">
        <v>739</v>
      </c>
      <c r="C557" s="101" t="s">
        <v>251</v>
      </c>
      <c r="D557" s="102">
        <v>1</v>
      </c>
    </row>
    <row r="558" spans="2:4" x14ac:dyDescent="0.25">
      <c r="B558" s="106" t="s">
        <v>740</v>
      </c>
      <c r="C558" s="101" t="s">
        <v>251</v>
      </c>
      <c r="D558" s="102">
        <v>1</v>
      </c>
    </row>
    <row r="559" spans="2:4" ht="24" x14ac:dyDescent="0.25">
      <c r="B559" s="100" t="s">
        <v>741</v>
      </c>
      <c r="C559" s="101" t="s">
        <v>251</v>
      </c>
      <c r="D559" s="102">
        <v>1</v>
      </c>
    </row>
    <row r="560" spans="2:4" x14ac:dyDescent="0.25">
      <c r="B560" s="105" t="s">
        <v>742</v>
      </c>
      <c r="C560" s="101" t="s">
        <v>251</v>
      </c>
      <c r="D560" s="102">
        <v>1</v>
      </c>
    </row>
    <row r="561" spans="2:4" x14ac:dyDescent="0.25">
      <c r="B561" s="105" t="s">
        <v>743</v>
      </c>
      <c r="C561" s="101" t="s">
        <v>251</v>
      </c>
      <c r="D561" s="102">
        <v>1</v>
      </c>
    </row>
    <row r="562" spans="2:4" x14ac:dyDescent="0.25">
      <c r="B562" s="103" t="s">
        <v>744</v>
      </c>
      <c r="C562" s="104" t="s">
        <v>341</v>
      </c>
      <c r="D562" s="102">
        <v>1</v>
      </c>
    </row>
    <row r="563" spans="2:4" x14ac:dyDescent="0.25">
      <c r="B563" s="105" t="s">
        <v>745</v>
      </c>
      <c r="C563" s="101" t="s">
        <v>251</v>
      </c>
      <c r="D563" s="102">
        <v>1</v>
      </c>
    </row>
    <row r="564" spans="2:4" x14ac:dyDescent="0.25">
      <c r="B564" s="103" t="s">
        <v>746</v>
      </c>
      <c r="C564" s="104" t="s">
        <v>321</v>
      </c>
      <c r="D564" s="102">
        <v>1</v>
      </c>
    </row>
    <row r="565" spans="2:4" x14ac:dyDescent="0.25">
      <c r="B565" s="105" t="s">
        <v>747</v>
      </c>
      <c r="C565" s="101" t="s">
        <v>251</v>
      </c>
      <c r="D565" s="102">
        <v>1</v>
      </c>
    </row>
    <row r="566" spans="2:4" x14ac:dyDescent="0.25">
      <c r="B566" s="100" t="s">
        <v>748</v>
      </c>
      <c r="C566" s="101" t="s">
        <v>480</v>
      </c>
      <c r="D566" s="102">
        <v>1</v>
      </c>
    </row>
    <row r="567" spans="2:4" x14ac:dyDescent="0.25">
      <c r="B567" s="100" t="s">
        <v>749</v>
      </c>
      <c r="C567" s="101" t="s">
        <v>251</v>
      </c>
      <c r="D567" s="102">
        <v>1</v>
      </c>
    </row>
    <row r="568" spans="2:4" x14ac:dyDescent="0.25">
      <c r="B568" s="100" t="s">
        <v>750</v>
      </c>
      <c r="C568" s="101" t="s">
        <v>251</v>
      </c>
      <c r="D568" s="102">
        <v>1</v>
      </c>
    </row>
    <row r="569" spans="2:4" x14ac:dyDescent="0.25">
      <c r="B569" s="105" t="s">
        <v>751</v>
      </c>
      <c r="C569" s="101" t="s">
        <v>251</v>
      </c>
      <c r="D569" s="102">
        <v>1</v>
      </c>
    </row>
    <row r="570" spans="2:4" x14ac:dyDescent="0.25">
      <c r="B570" s="100" t="s">
        <v>752</v>
      </c>
      <c r="C570" s="101" t="s">
        <v>480</v>
      </c>
      <c r="D570" s="102">
        <v>1</v>
      </c>
    </row>
    <row r="571" spans="2:4" x14ac:dyDescent="0.25">
      <c r="B571" s="105" t="s">
        <v>753</v>
      </c>
      <c r="C571" s="101" t="s">
        <v>251</v>
      </c>
      <c r="D571" s="102">
        <v>1</v>
      </c>
    </row>
    <row r="572" spans="2:4" x14ac:dyDescent="0.25">
      <c r="B572" s="105" t="s">
        <v>754</v>
      </c>
      <c r="C572" s="101" t="s">
        <v>251</v>
      </c>
      <c r="D572" s="102">
        <v>1</v>
      </c>
    </row>
    <row r="573" spans="2:4" x14ac:dyDescent="0.25">
      <c r="B573" s="105" t="s">
        <v>755</v>
      </c>
      <c r="C573" s="101" t="s">
        <v>251</v>
      </c>
      <c r="D573" s="102">
        <v>1</v>
      </c>
    </row>
    <row r="574" spans="2:4" x14ac:dyDescent="0.25">
      <c r="B574" s="105" t="s">
        <v>756</v>
      </c>
      <c r="C574" s="101" t="s">
        <v>251</v>
      </c>
      <c r="D574" s="102">
        <v>1</v>
      </c>
    </row>
    <row r="575" spans="2:4" x14ac:dyDescent="0.25">
      <c r="B575" s="105" t="s">
        <v>757</v>
      </c>
      <c r="C575" s="101" t="s">
        <v>251</v>
      </c>
      <c r="D575" s="102">
        <v>1</v>
      </c>
    </row>
    <row r="576" spans="2:4" x14ac:dyDescent="0.25">
      <c r="B576" s="105" t="s">
        <v>758</v>
      </c>
      <c r="C576" s="101" t="s">
        <v>251</v>
      </c>
      <c r="D576" s="102">
        <v>1</v>
      </c>
    </row>
    <row r="577" spans="2:4" x14ac:dyDescent="0.25">
      <c r="B577" s="105" t="s">
        <v>759</v>
      </c>
      <c r="C577" s="101" t="s">
        <v>251</v>
      </c>
      <c r="D577" s="102">
        <v>1</v>
      </c>
    </row>
    <row r="578" spans="2:4" x14ac:dyDescent="0.25">
      <c r="B578" s="105" t="s">
        <v>760</v>
      </c>
      <c r="C578" s="101" t="s">
        <v>251</v>
      </c>
      <c r="D578" s="102">
        <v>1</v>
      </c>
    </row>
    <row r="579" spans="2:4" x14ac:dyDescent="0.25">
      <c r="B579" s="105" t="s">
        <v>761</v>
      </c>
      <c r="C579" s="101" t="s">
        <v>251</v>
      </c>
      <c r="D579" s="102">
        <v>1</v>
      </c>
    </row>
    <row r="580" spans="2:4" x14ac:dyDescent="0.25">
      <c r="B580" s="105" t="s">
        <v>762</v>
      </c>
      <c r="C580" s="101" t="s">
        <v>251</v>
      </c>
      <c r="D580" s="102">
        <v>1</v>
      </c>
    </row>
    <row r="581" spans="2:4" x14ac:dyDescent="0.25">
      <c r="B581" s="105" t="s">
        <v>763</v>
      </c>
      <c r="C581" s="101" t="s">
        <v>251</v>
      </c>
      <c r="D581" s="102">
        <v>1</v>
      </c>
    </row>
    <row r="582" spans="2:4" x14ac:dyDescent="0.25">
      <c r="B582" s="105" t="s">
        <v>764</v>
      </c>
      <c r="C582" s="101" t="s">
        <v>251</v>
      </c>
      <c r="D582" s="102">
        <v>1</v>
      </c>
    </row>
    <row r="583" spans="2:4" x14ac:dyDescent="0.25">
      <c r="B583" s="105" t="s">
        <v>765</v>
      </c>
      <c r="C583" s="101" t="s">
        <v>251</v>
      </c>
      <c r="D583" s="102">
        <v>1</v>
      </c>
    </row>
    <row r="584" spans="2:4" ht="24.75" x14ac:dyDescent="0.25">
      <c r="B584" s="103" t="s">
        <v>766</v>
      </c>
      <c r="C584" s="104" t="s">
        <v>355</v>
      </c>
      <c r="D584" s="102">
        <v>1</v>
      </c>
    </row>
    <row r="585" spans="2:4" ht="24.75" x14ac:dyDescent="0.25">
      <c r="B585" s="106" t="s">
        <v>767</v>
      </c>
      <c r="C585" s="104" t="s">
        <v>355</v>
      </c>
      <c r="D585" s="102">
        <v>1</v>
      </c>
    </row>
    <row r="586" spans="2:4" x14ac:dyDescent="0.25">
      <c r="B586" s="103" t="s">
        <v>768</v>
      </c>
      <c r="C586" s="104" t="s">
        <v>355</v>
      </c>
      <c r="D586" s="102">
        <v>1</v>
      </c>
    </row>
    <row r="587" spans="2:4" x14ac:dyDescent="0.25">
      <c r="B587" s="105" t="s">
        <v>769</v>
      </c>
      <c r="C587" s="101" t="s">
        <v>251</v>
      </c>
      <c r="D587" s="102">
        <v>1</v>
      </c>
    </row>
    <row r="588" spans="2:4" x14ac:dyDescent="0.25">
      <c r="B588" s="103" t="s">
        <v>770</v>
      </c>
      <c r="C588" s="104" t="s">
        <v>341</v>
      </c>
      <c r="D588" s="102">
        <v>1</v>
      </c>
    </row>
    <row r="589" spans="2:4" x14ac:dyDescent="0.25">
      <c r="B589" s="105" t="s">
        <v>771</v>
      </c>
      <c r="C589" s="101" t="s">
        <v>251</v>
      </c>
      <c r="D589" s="102">
        <v>1</v>
      </c>
    </row>
    <row r="590" spans="2:4" x14ac:dyDescent="0.25">
      <c r="B590" s="100" t="s">
        <v>772</v>
      </c>
      <c r="C590" s="101" t="s">
        <v>251</v>
      </c>
      <c r="D590" s="102">
        <v>1</v>
      </c>
    </row>
    <row r="591" spans="2:4" x14ac:dyDescent="0.25">
      <c r="B591" s="105" t="s">
        <v>773</v>
      </c>
      <c r="C591" s="101" t="s">
        <v>251</v>
      </c>
      <c r="D591" s="102">
        <v>1</v>
      </c>
    </row>
    <row r="592" spans="2:4" x14ac:dyDescent="0.25">
      <c r="B592" s="105" t="s">
        <v>774</v>
      </c>
      <c r="C592" s="101" t="s">
        <v>251</v>
      </c>
      <c r="D592" s="102">
        <v>1</v>
      </c>
    </row>
    <row r="593" spans="2:4" x14ac:dyDescent="0.25">
      <c r="B593" s="105" t="s">
        <v>775</v>
      </c>
      <c r="C593" s="101" t="s">
        <v>251</v>
      </c>
      <c r="D593" s="102">
        <v>1</v>
      </c>
    </row>
    <row r="594" spans="2:4" x14ac:dyDescent="0.25">
      <c r="B594" s="105" t="s">
        <v>776</v>
      </c>
      <c r="C594" s="101" t="s">
        <v>251</v>
      </c>
      <c r="D594" s="102">
        <v>1</v>
      </c>
    </row>
    <row r="595" spans="2:4" x14ac:dyDescent="0.25">
      <c r="B595" s="105" t="s">
        <v>777</v>
      </c>
      <c r="C595" s="101" t="s">
        <v>251</v>
      </c>
      <c r="D595" s="102">
        <v>1</v>
      </c>
    </row>
    <row r="596" spans="2:4" x14ac:dyDescent="0.25">
      <c r="B596" s="105" t="s">
        <v>778</v>
      </c>
      <c r="C596" s="101" t="s">
        <v>251</v>
      </c>
      <c r="D596" s="102">
        <v>1</v>
      </c>
    </row>
    <row r="597" spans="2:4" x14ac:dyDescent="0.25">
      <c r="B597" s="105" t="s">
        <v>779</v>
      </c>
      <c r="C597" s="101" t="s">
        <v>251</v>
      </c>
      <c r="D597" s="102">
        <v>1</v>
      </c>
    </row>
    <row r="598" spans="2:4" x14ac:dyDescent="0.25">
      <c r="B598" s="103" t="s">
        <v>780</v>
      </c>
      <c r="C598" s="104" t="s">
        <v>475</v>
      </c>
      <c r="D598" s="102">
        <v>1</v>
      </c>
    </row>
    <row r="599" spans="2:4" x14ac:dyDescent="0.25">
      <c r="B599" s="103" t="s">
        <v>781</v>
      </c>
      <c r="C599" s="104" t="s">
        <v>355</v>
      </c>
      <c r="D599" s="102">
        <v>1</v>
      </c>
    </row>
    <row r="600" spans="2:4" x14ac:dyDescent="0.25">
      <c r="B600" s="105" t="s">
        <v>782</v>
      </c>
      <c r="C600" s="104" t="s">
        <v>2</v>
      </c>
      <c r="D600" s="102">
        <v>1</v>
      </c>
    </row>
    <row r="601" spans="2:4" x14ac:dyDescent="0.25">
      <c r="B601" s="105" t="s">
        <v>783</v>
      </c>
      <c r="C601" s="101" t="s">
        <v>832</v>
      </c>
      <c r="D601" s="102" t="s">
        <v>480</v>
      </c>
    </row>
    <row r="602" spans="2:4" x14ac:dyDescent="0.25">
      <c r="B602" s="105" t="s">
        <v>784</v>
      </c>
      <c r="C602" s="101" t="s">
        <v>251</v>
      </c>
      <c r="D602" s="102">
        <v>1</v>
      </c>
    </row>
    <row r="603" spans="2:4" x14ac:dyDescent="0.25">
      <c r="B603" s="105" t="s">
        <v>785</v>
      </c>
      <c r="C603" s="101" t="s">
        <v>251</v>
      </c>
      <c r="D603" s="102">
        <v>1</v>
      </c>
    </row>
    <row r="604" spans="2:4" x14ac:dyDescent="0.25">
      <c r="B604" s="105" t="s">
        <v>786</v>
      </c>
      <c r="C604" s="101" t="s">
        <v>251</v>
      </c>
      <c r="D604" s="102">
        <v>1</v>
      </c>
    </row>
    <row r="605" spans="2:4" x14ac:dyDescent="0.25">
      <c r="B605" s="103" t="s">
        <v>787</v>
      </c>
      <c r="C605" s="104" t="s">
        <v>341</v>
      </c>
      <c r="D605" s="102">
        <v>1</v>
      </c>
    </row>
    <row r="606" spans="2:4" x14ac:dyDescent="0.25">
      <c r="B606" s="105" t="s">
        <v>788</v>
      </c>
      <c r="C606" s="101" t="s">
        <v>251</v>
      </c>
      <c r="D606" s="102">
        <v>1</v>
      </c>
    </row>
    <row r="607" spans="2:4" x14ac:dyDescent="0.25">
      <c r="B607" s="105" t="s">
        <v>789</v>
      </c>
      <c r="C607" s="101" t="s">
        <v>251</v>
      </c>
      <c r="D607" s="102">
        <v>1</v>
      </c>
    </row>
    <row r="608" spans="2:4" x14ac:dyDescent="0.25">
      <c r="B608" s="105" t="s">
        <v>790</v>
      </c>
      <c r="C608" s="101" t="s">
        <v>251</v>
      </c>
      <c r="D608" s="102">
        <v>1</v>
      </c>
    </row>
    <row r="609" spans="2:4" x14ac:dyDescent="0.25">
      <c r="B609" s="105" t="s">
        <v>791</v>
      </c>
      <c r="C609" s="101" t="s">
        <v>251</v>
      </c>
      <c r="D609" s="102">
        <v>1</v>
      </c>
    </row>
    <row r="610" spans="2:4" x14ac:dyDescent="0.25">
      <c r="B610" s="103" t="s">
        <v>792</v>
      </c>
      <c r="C610" s="104" t="s">
        <v>251</v>
      </c>
      <c r="D610" s="102">
        <v>1</v>
      </c>
    </row>
    <row r="611" spans="2:4" x14ac:dyDescent="0.25">
      <c r="B611" s="105" t="s">
        <v>793</v>
      </c>
      <c r="C611" s="101" t="s">
        <v>251</v>
      </c>
      <c r="D611" s="102">
        <v>1</v>
      </c>
    </row>
    <row r="612" spans="2:4" x14ac:dyDescent="0.25">
      <c r="B612" s="103" t="s">
        <v>794</v>
      </c>
      <c r="C612" s="104" t="s">
        <v>251</v>
      </c>
      <c r="D612" s="102">
        <v>1</v>
      </c>
    </row>
    <row r="613" spans="2:4" x14ac:dyDescent="0.25">
      <c r="B613" s="105" t="s">
        <v>795</v>
      </c>
      <c r="C613" s="101" t="s">
        <v>251</v>
      </c>
      <c r="D613" s="102">
        <v>1</v>
      </c>
    </row>
    <row r="614" spans="2:4" x14ac:dyDescent="0.25">
      <c r="B614" s="106" t="s">
        <v>796</v>
      </c>
      <c r="C614" s="104" t="s">
        <v>2</v>
      </c>
      <c r="D614" s="102">
        <v>1</v>
      </c>
    </row>
    <row r="615" spans="2:4" x14ac:dyDescent="0.25">
      <c r="B615" s="103" t="s">
        <v>796</v>
      </c>
      <c r="C615" s="104" t="s">
        <v>2</v>
      </c>
      <c r="D615" s="102">
        <v>1</v>
      </c>
    </row>
    <row r="616" spans="2:4" x14ac:dyDescent="0.25">
      <c r="B616" s="100" t="s">
        <v>259</v>
      </c>
      <c r="C616" s="101" t="s">
        <v>251</v>
      </c>
      <c r="D616" s="102">
        <v>1</v>
      </c>
    </row>
    <row r="617" spans="2:4" x14ac:dyDescent="0.25">
      <c r="B617" s="105" t="s">
        <v>797</v>
      </c>
      <c r="C617" s="101" t="s">
        <v>251</v>
      </c>
      <c r="D617" s="102">
        <v>1</v>
      </c>
    </row>
    <row r="618" spans="2:4" x14ac:dyDescent="0.25">
      <c r="B618" s="105" t="s">
        <v>798</v>
      </c>
      <c r="C618" s="101" t="s">
        <v>251</v>
      </c>
      <c r="D618" s="102">
        <v>1</v>
      </c>
    </row>
    <row r="619" spans="2:4" x14ac:dyDescent="0.25">
      <c r="B619" s="103" t="s">
        <v>799</v>
      </c>
      <c r="C619" s="104" t="s">
        <v>341</v>
      </c>
      <c r="D619" s="102">
        <v>1</v>
      </c>
    </row>
    <row r="620" spans="2:4" x14ac:dyDescent="0.25">
      <c r="B620" s="105" t="s">
        <v>800</v>
      </c>
      <c r="C620" s="101" t="s">
        <v>251</v>
      </c>
      <c r="D620" s="102">
        <v>1</v>
      </c>
    </row>
    <row r="621" spans="2:4" x14ac:dyDescent="0.25">
      <c r="B621" s="105" t="s">
        <v>801</v>
      </c>
      <c r="C621" s="101" t="s">
        <v>251</v>
      </c>
      <c r="D621" s="102">
        <v>1</v>
      </c>
    </row>
    <row r="622" spans="2:4" x14ac:dyDescent="0.25">
      <c r="B622" s="105" t="s">
        <v>802</v>
      </c>
      <c r="C622" s="101" t="s">
        <v>251</v>
      </c>
      <c r="D622" s="102">
        <v>1</v>
      </c>
    </row>
    <row r="623" spans="2:4" x14ac:dyDescent="0.25">
      <c r="B623" s="105" t="s">
        <v>803</v>
      </c>
      <c r="C623" s="101" t="s">
        <v>251</v>
      </c>
      <c r="D623" s="102">
        <v>1</v>
      </c>
    </row>
    <row r="624" spans="2:4" x14ac:dyDescent="0.25">
      <c r="B624" s="105" t="s">
        <v>804</v>
      </c>
      <c r="C624" s="101" t="s">
        <v>251</v>
      </c>
      <c r="D624" s="102">
        <v>1</v>
      </c>
    </row>
    <row r="625" spans="2:4" x14ac:dyDescent="0.25">
      <c r="B625" s="105" t="s">
        <v>805</v>
      </c>
      <c r="C625" s="101" t="s">
        <v>251</v>
      </c>
      <c r="D625" s="102">
        <v>1</v>
      </c>
    </row>
    <row r="626" spans="2:4" x14ac:dyDescent="0.25">
      <c r="B626" s="105" t="s">
        <v>806</v>
      </c>
      <c r="C626" s="101" t="s">
        <v>251</v>
      </c>
      <c r="D626" s="102">
        <v>1</v>
      </c>
    </row>
    <row r="627" spans="2:4" x14ac:dyDescent="0.25">
      <c r="B627" s="105" t="s">
        <v>807</v>
      </c>
      <c r="C627" s="101" t="s">
        <v>251</v>
      </c>
      <c r="D627" s="102">
        <v>1</v>
      </c>
    </row>
    <row r="628" spans="2:4" ht="24" x14ac:dyDescent="0.25">
      <c r="B628" s="105" t="s">
        <v>808</v>
      </c>
      <c r="C628" s="101" t="s">
        <v>251</v>
      </c>
      <c r="D628" s="102">
        <v>1</v>
      </c>
    </row>
    <row r="629" spans="2:4" x14ac:dyDescent="0.25">
      <c r="B629" s="105" t="s">
        <v>809</v>
      </c>
      <c r="C629" s="101" t="s">
        <v>251</v>
      </c>
      <c r="D629" s="102">
        <v>1</v>
      </c>
    </row>
    <row r="630" spans="2:4" x14ac:dyDescent="0.25">
      <c r="B630" s="105" t="s">
        <v>810</v>
      </c>
      <c r="C630" s="101" t="s">
        <v>251</v>
      </c>
      <c r="D630" s="102">
        <v>1</v>
      </c>
    </row>
    <row r="631" spans="2:4" x14ac:dyDescent="0.25">
      <c r="B631" s="105" t="s">
        <v>811</v>
      </c>
      <c r="C631" s="101" t="s">
        <v>251</v>
      </c>
      <c r="D631" s="102">
        <v>1</v>
      </c>
    </row>
    <row r="632" spans="2:4" x14ac:dyDescent="0.25">
      <c r="B632" s="105" t="s">
        <v>812</v>
      </c>
      <c r="C632" s="101" t="s">
        <v>251</v>
      </c>
      <c r="D632" s="102">
        <v>1</v>
      </c>
    </row>
    <row r="633" spans="2:4" ht="24" x14ac:dyDescent="0.25">
      <c r="B633" s="105" t="s">
        <v>813</v>
      </c>
      <c r="C633" s="101" t="s">
        <v>251</v>
      </c>
      <c r="D633" s="102">
        <v>1</v>
      </c>
    </row>
    <row r="634" spans="2:4" x14ac:dyDescent="0.25">
      <c r="B634" s="100" t="s">
        <v>814</v>
      </c>
      <c r="C634" s="101" t="s">
        <v>251</v>
      </c>
      <c r="D634" s="102">
        <v>1</v>
      </c>
    </row>
    <row r="635" spans="2:4" x14ac:dyDescent="0.25">
      <c r="B635" s="105" t="s">
        <v>815</v>
      </c>
      <c r="C635" s="101" t="s">
        <v>251</v>
      </c>
      <c r="D635" s="102">
        <v>1</v>
      </c>
    </row>
    <row r="636" spans="2:4" x14ac:dyDescent="0.25">
      <c r="B636" s="103" t="s">
        <v>816</v>
      </c>
      <c r="C636" s="104" t="s">
        <v>341</v>
      </c>
      <c r="D636" s="102">
        <v>1</v>
      </c>
    </row>
    <row r="637" spans="2:4" x14ac:dyDescent="0.25">
      <c r="B637" s="105" t="s">
        <v>817</v>
      </c>
      <c r="C637" s="101" t="s">
        <v>251</v>
      </c>
      <c r="D637" s="102">
        <v>1</v>
      </c>
    </row>
    <row r="638" spans="2:4" x14ac:dyDescent="0.25">
      <c r="B638" s="103" t="s">
        <v>818</v>
      </c>
      <c r="C638" s="104" t="s">
        <v>251</v>
      </c>
      <c r="D638" s="102">
        <v>1</v>
      </c>
    </row>
    <row r="639" spans="2:4" x14ac:dyDescent="0.25">
      <c r="B639" s="105" t="s">
        <v>819</v>
      </c>
      <c r="C639" s="101" t="s">
        <v>251</v>
      </c>
      <c r="D639" s="102">
        <v>1</v>
      </c>
    </row>
    <row r="640" spans="2:4" x14ac:dyDescent="0.25">
      <c r="B640" s="100" t="s">
        <v>820</v>
      </c>
      <c r="C640" s="101" t="s">
        <v>251</v>
      </c>
      <c r="D640" s="102">
        <v>1</v>
      </c>
    </row>
  </sheetData>
  <pageMargins left="0.2" right="0.2" top="0.25" bottom="0.25" header="0.3" footer="0.3"/>
  <pageSetup paperSize="5"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49"/>
  <sheetViews>
    <sheetView topLeftCell="A12" zoomScale="70" zoomScaleNormal="70" workbookViewId="0">
      <selection activeCell="E28" sqref="E28"/>
    </sheetView>
  </sheetViews>
  <sheetFormatPr defaultRowHeight="15" x14ac:dyDescent="0.25"/>
  <cols>
    <col min="1" max="1" width="4.5703125" customWidth="1"/>
    <col min="2" max="2" width="41.140625" customWidth="1"/>
    <col min="3" max="3" width="20.7109375" customWidth="1"/>
    <col min="6" max="6" width="15.5703125" customWidth="1"/>
    <col min="7" max="8" width="11.28515625" customWidth="1"/>
    <col min="9" max="9" width="15" customWidth="1"/>
    <col min="10" max="10" width="25.5703125" customWidth="1"/>
    <col min="11" max="11" width="26.42578125" style="82" customWidth="1"/>
    <col min="13" max="17" width="9.140625" style="234"/>
    <col min="18" max="18" width="9.140625" style="235"/>
  </cols>
  <sheetData>
    <row r="2" spans="2:18" s="20" customFormat="1" ht="15.75" x14ac:dyDescent="0.25">
      <c r="B2" s="25" t="s">
        <v>940</v>
      </c>
      <c r="K2" s="213"/>
      <c r="M2" s="237"/>
      <c r="N2" s="237"/>
      <c r="O2" s="237"/>
      <c r="P2" s="237"/>
      <c r="Q2" s="237"/>
      <c r="R2" s="240"/>
    </row>
    <row r="4" spans="2:18" ht="75" x14ac:dyDescent="0.25">
      <c r="B4" s="48" t="s">
        <v>1</v>
      </c>
      <c r="C4" s="29" t="s">
        <v>2</v>
      </c>
      <c r="D4" s="30" t="s">
        <v>4</v>
      </c>
      <c r="E4" s="30" t="s">
        <v>3</v>
      </c>
      <c r="F4" s="30" t="s">
        <v>917</v>
      </c>
      <c r="G4" s="31" t="s">
        <v>6</v>
      </c>
      <c r="H4" s="31" t="s">
        <v>941</v>
      </c>
      <c r="I4" s="31" t="s">
        <v>204</v>
      </c>
      <c r="J4" s="49" t="s">
        <v>8</v>
      </c>
      <c r="K4" s="49" t="s">
        <v>22</v>
      </c>
      <c r="M4" s="232">
        <v>2015</v>
      </c>
      <c r="N4" s="232">
        <v>2016</v>
      </c>
      <c r="O4" s="232">
        <v>2017</v>
      </c>
      <c r="P4" s="232">
        <v>2018</v>
      </c>
      <c r="Q4" s="232">
        <v>2019</v>
      </c>
      <c r="R4" s="236" t="s">
        <v>28</v>
      </c>
    </row>
    <row r="5" spans="2:18" x14ac:dyDescent="0.25">
      <c r="B5" s="48" t="s">
        <v>28</v>
      </c>
      <c r="C5" s="29"/>
      <c r="D5" s="30"/>
      <c r="E5" s="30"/>
      <c r="F5" s="30">
        <f>F7+F11+F14+F17+F20+F23+F28+F34+F39+F45</f>
        <v>2341200</v>
      </c>
      <c r="G5" s="31">
        <f>SUM(G7:G61)</f>
        <v>1415600</v>
      </c>
      <c r="H5" s="31">
        <f>SUM(H7:H61)</f>
        <v>925600</v>
      </c>
      <c r="I5" s="31"/>
      <c r="J5" s="49"/>
      <c r="K5" s="49">
        <f>G5+H5</f>
        <v>2341200</v>
      </c>
      <c r="M5" s="232"/>
      <c r="N5" s="232"/>
      <c r="O5" s="232"/>
      <c r="P5" s="232"/>
      <c r="Q5" s="232"/>
      <c r="R5" s="236"/>
    </row>
    <row r="6" spans="2:18" x14ac:dyDescent="0.25">
      <c r="B6" s="116" t="s">
        <v>127</v>
      </c>
      <c r="C6" s="29"/>
      <c r="D6" s="30"/>
      <c r="E6" s="30"/>
      <c r="F6" s="30"/>
      <c r="G6" s="31"/>
      <c r="H6" s="31"/>
      <c r="I6" s="31"/>
      <c r="J6" s="49"/>
      <c r="K6" s="49"/>
      <c r="M6" s="232"/>
      <c r="N6" s="232"/>
      <c r="O6" s="232"/>
      <c r="P6" s="232"/>
      <c r="Q6" s="232"/>
      <c r="R6" s="236"/>
    </row>
    <row r="7" spans="2:18" x14ac:dyDescent="0.25">
      <c r="B7" s="91" t="s">
        <v>61</v>
      </c>
      <c r="C7" s="32" t="s">
        <v>2</v>
      </c>
      <c r="D7" s="33">
        <f>SUM(D8:D10)</f>
        <v>13</v>
      </c>
      <c r="E7" s="33">
        <v>35000</v>
      </c>
      <c r="F7" s="33">
        <f>D7*E7</f>
        <v>455000</v>
      </c>
      <c r="G7" s="34">
        <f>F7</f>
        <v>455000</v>
      </c>
      <c r="H7" s="34"/>
      <c r="I7" s="34"/>
      <c r="J7" s="50" t="s">
        <v>118</v>
      </c>
      <c r="K7" s="111"/>
      <c r="M7" s="238">
        <f>G7</f>
        <v>455000</v>
      </c>
      <c r="N7" s="232"/>
      <c r="O7" s="232"/>
      <c r="P7" s="232"/>
      <c r="Q7" s="232"/>
      <c r="R7" s="241">
        <f>SUM(M7:Q7)</f>
        <v>455000</v>
      </c>
    </row>
    <row r="8" spans="2:18" s="53" customFormat="1" ht="38.25" customHeight="1" x14ac:dyDescent="0.25">
      <c r="B8" s="61" t="s">
        <v>933</v>
      </c>
      <c r="C8" s="62"/>
      <c r="D8" s="86">
        <v>3</v>
      </c>
      <c r="E8" s="63"/>
      <c r="F8" s="63"/>
      <c r="G8" s="65"/>
      <c r="H8" s="65"/>
      <c r="I8" s="65"/>
      <c r="J8" s="66"/>
      <c r="K8" s="59" t="s">
        <v>1011</v>
      </c>
      <c r="M8" s="239"/>
      <c r="N8" s="239"/>
      <c r="O8" s="239"/>
      <c r="P8" s="239"/>
      <c r="Q8" s="239"/>
      <c r="R8" s="241">
        <f t="shared" ref="R8:R47" si="0">SUM(M8:Q8)</f>
        <v>0</v>
      </c>
    </row>
    <row r="9" spans="2:18" s="53" customFormat="1" x14ac:dyDescent="0.25">
      <c r="B9" s="61" t="s">
        <v>124</v>
      </c>
      <c r="C9" s="62"/>
      <c r="D9" s="86">
        <v>5</v>
      </c>
      <c r="E9" s="63"/>
      <c r="F9" s="63"/>
      <c r="G9" s="65"/>
      <c r="H9" s="65"/>
      <c r="I9" s="65"/>
      <c r="J9" s="66"/>
      <c r="K9" s="59" t="s">
        <v>1122</v>
      </c>
      <c r="M9" s="239"/>
      <c r="N9" s="239"/>
      <c r="O9" s="239"/>
      <c r="P9" s="239"/>
      <c r="Q9" s="239"/>
      <c r="R9" s="241">
        <f t="shared" si="0"/>
        <v>0</v>
      </c>
    </row>
    <row r="10" spans="2:18" s="53" customFormat="1" x14ac:dyDescent="0.25">
      <c r="B10" s="61" t="s">
        <v>126</v>
      </c>
      <c r="C10" s="62"/>
      <c r="D10" s="86">
        <v>5</v>
      </c>
      <c r="E10" s="63"/>
      <c r="F10" s="63"/>
      <c r="G10" s="65"/>
      <c r="H10" s="65"/>
      <c r="I10" s="65"/>
      <c r="J10" s="66"/>
      <c r="K10" s="59" t="s">
        <v>1122</v>
      </c>
      <c r="M10" s="239"/>
      <c r="N10" s="239"/>
      <c r="O10" s="239"/>
      <c r="P10" s="239"/>
      <c r="Q10" s="239"/>
      <c r="R10" s="241">
        <f t="shared" si="0"/>
        <v>0</v>
      </c>
    </row>
    <row r="11" spans="2:18" ht="150" x14ac:dyDescent="0.25">
      <c r="B11" s="91" t="s">
        <v>65</v>
      </c>
      <c r="C11" s="32" t="s">
        <v>2</v>
      </c>
      <c r="D11" s="33">
        <f>SUM(D12:D13)</f>
        <v>120</v>
      </c>
      <c r="E11" s="33"/>
      <c r="F11" s="33">
        <f>F12+F13</f>
        <v>420000</v>
      </c>
      <c r="G11" s="34">
        <f>F12+F13</f>
        <v>420000</v>
      </c>
      <c r="H11" s="34"/>
      <c r="I11" s="34"/>
      <c r="J11" s="50" t="s">
        <v>1168</v>
      </c>
      <c r="K11" s="59"/>
      <c r="M11" s="232">
        <f>55%*G11</f>
        <v>231000.00000000003</v>
      </c>
      <c r="N11" s="232">
        <f>30%*G11</f>
        <v>126000</v>
      </c>
      <c r="O11" s="232">
        <f>15%*G11</f>
        <v>63000</v>
      </c>
      <c r="P11" s="232"/>
      <c r="Q11" s="232"/>
      <c r="R11" s="241">
        <f t="shared" si="0"/>
        <v>420000</v>
      </c>
    </row>
    <row r="12" spans="2:18" s="53" customFormat="1" x14ac:dyDescent="0.25">
      <c r="B12" s="61" t="s">
        <v>124</v>
      </c>
      <c r="C12" s="62"/>
      <c r="D12" s="86">
        <v>50</v>
      </c>
      <c r="E12" s="63">
        <f>(40*4500+10*1500)/50</f>
        <v>3900</v>
      </c>
      <c r="F12" s="63">
        <f>D12*E12</f>
        <v>195000</v>
      </c>
      <c r="G12" s="65"/>
      <c r="H12" s="65"/>
      <c r="I12" s="65"/>
      <c r="J12" s="66"/>
      <c r="K12" s="59"/>
      <c r="M12" s="239"/>
      <c r="N12" s="239"/>
      <c r="O12" s="239"/>
      <c r="P12" s="239"/>
      <c r="Q12" s="239"/>
      <c r="R12" s="241">
        <f t="shared" si="0"/>
        <v>0</v>
      </c>
    </row>
    <row r="13" spans="2:18" s="53" customFormat="1" x14ac:dyDescent="0.25">
      <c r="B13" s="61" t="s">
        <v>126</v>
      </c>
      <c r="C13" s="62"/>
      <c r="D13" s="86">
        <v>70</v>
      </c>
      <c r="E13" s="63">
        <f>(40*4500+30*1500)/70</f>
        <v>3214.2857142857142</v>
      </c>
      <c r="F13" s="63">
        <f>D13*E13</f>
        <v>225000</v>
      </c>
      <c r="G13" s="65"/>
      <c r="H13" s="65"/>
      <c r="I13" s="65"/>
      <c r="J13" s="66"/>
      <c r="K13" s="59"/>
      <c r="M13" s="239"/>
      <c r="N13" s="239"/>
      <c r="O13" s="239"/>
      <c r="P13" s="239"/>
      <c r="Q13" s="239"/>
      <c r="R13" s="241">
        <f t="shared" si="0"/>
        <v>0</v>
      </c>
    </row>
    <row r="14" spans="2:18" x14ac:dyDescent="0.25">
      <c r="B14" s="91" t="s">
        <v>66</v>
      </c>
      <c r="C14" s="32"/>
      <c r="D14" s="33"/>
      <c r="E14" s="55"/>
      <c r="F14" s="33">
        <f>F15+F16</f>
        <v>150000</v>
      </c>
      <c r="G14" s="34">
        <f>F14</f>
        <v>150000</v>
      </c>
      <c r="H14" s="34"/>
      <c r="I14" s="34"/>
      <c r="J14" s="50"/>
      <c r="K14" s="59"/>
      <c r="M14" s="232">
        <v>50000</v>
      </c>
      <c r="N14" s="232"/>
      <c r="O14" s="232">
        <v>40000</v>
      </c>
      <c r="P14" s="232">
        <v>40000</v>
      </c>
      <c r="Q14" s="232">
        <v>20000</v>
      </c>
      <c r="R14" s="241">
        <f t="shared" si="0"/>
        <v>150000</v>
      </c>
    </row>
    <row r="15" spans="2:18" s="53" customFormat="1" x14ac:dyDescent="0.25">
      <c r="B15" s="61" t="s">
        <v>138</v>
      </c>
      <c r="C15" s="62"/>
      <c r="D15" s="86">
        <v>5</v>
      </c>
      <c r="E15" s="63">
        <v>20000</v>
      </c>
      <c r="F15" s="63">
        <f>D15*E15</f>
        <v>100000</v>
      </c>
      <c r="G15" s="65"/>
      <c r="H15" s="65"/>
      <c r="I15" s="65"/>
      <c r="J15" s="66"/>
      <c r="K15" s="59" t="s">
        <v>1122</v>
      </c>
      <c r="M15" s="239"/>
      <c r="N15" s="239"/>
      <c r="O15" s="239"/>
      <c r="P15" s="239"/>
      <c r="Q15" s="239"/>
      <c r="R15" s="241">
        <f t="shared" si="0"/>
        <v>0</v>
      </c>
    </row>
    <row r="16" spans="2:18" s="53" customFormat="1" ht="16.5" customHeight="1" x14ac:dyDescent="0.25">
      <c r="B16" s="61" t="s">
        <v>933</v>
      </c>
      <c r="C16" s="62"/>
      <c r="D16" s="86">
        <v>1</v>
      </c>
      <c r="E16" s="63">
        <v>50000</v>
      </c>
      <c r="F16" s="63">
        <f>D16*E16</f>
        <v>50000</v>
      </c>
      <c r="G16" s="65"/>
      <c r="H16" s="65"/>
      <c r="I16" s="65"/>
      <c r="J16" s="66"/>
      <c r="K16" s="59"/>
      <c r="M16" s="239"/>
      <c r="N16" s="239"/>
      <c r="O16" s="239"/>
      <c r="P16" s="239"/>
      <c r="Q16" s="239"/>
      <c r="R16" s="241">
        <f t="shared" si="0"/>
        <v>0</v>
      </c>
    </row>
    <row r="17" spans="2:18" x14ac:dyDescent="0.25">
      <c r="B17" s="91" t="s">
        <v>63</v>
      </c>
      <c r="C17" s="32" t="s">
        <v>2</v>
      </c>
      <c r="D17" s="33">
        <f>D18+D19</f>
        <v>5</v>
      </c>
      <c r="E17" s="55"/>
      <c r="F17" s="33">
        <f>F18+F19</f>
        <v>150000</v>
      </c>
      <c r="G17" s="34">
        <f>F18+F19</f>
        <v>150000</v>
      </c>
      <c r="H17" s="34"/>
      <c r="I17" s="34"/>
      <c r="J17" s="50"/>
      <c r="K17" s="59"/>
      <c r="M17" s="232">
        <v>150000</v>
      </c>
      <c r="N17" s="232"/>
      <c r="O17" s="232"/>
      <c r="P17" s="232"/>
      <c r="Q17" s="232"/>
      <c r="R17" s="241">
        <f t="shared" si="0"/>
        <v>150000</v>
      </c>
    </row>
    <row r="18" spans="2:18" s="53" customFormat="1" x14ac:dyDescent="0.25">
      <c r="B18" s="61" t="s">
        <v>138</v>
      </c>
      <c r="C18" s="62"/>
      <c r="D18" s="86">
        <v>5</v>
      </c>
      <c r="E18" s="63">
        <v>30000</v>
      </c>
      <c r="F18" s="63">
        <f>D18*E18</f>
        <v>150000</v>
      </c>
      <c r="G18" s="65"/>
      <c r="H18" s="65"/>
      <c r="I18" s="65"/>
      <c r="J18" s="66"/>
      <c r="K18" s="59" t="s">
        <v>1122</v>
      </c>
      <c r="M18" s="239"/>
      <c r="N18" s="239"/>
      <c r="O18" s="239"/>
      <c r="P18" s="239"/>
      <c r="Q18" s="239"/>
      <c r="R18" s="241">
        <f t="shared" si="0"/>
        <v>0</v>
      </c>
    </row>
    <row r="19" spans="2:18" s="53" customFormat="1" x14ac:dyDescent="0.25">
      <c r="B19" s="61" t="s">
        <v>136</v>
      </c>
      <c r="C19" s="62"/>
      <c r="D19" s="86"/>
      <c r="E19" s="63"/>
      <c r="F19" s="63"/>
      <c r="G19" s="65"/>
      <c r="H19" s="65"/>
      <c r="I19" s="65"/>
      <c r="J19" s="66"/>
      <c r="K19" s="59" t="s">
        <v>1160</v>
      </c>
      <c r="M19" s="239"/>
      <c r="N19" s="239"/>
      <c r="O19" s="239"/>
      <c r="P19" s="239"/>
      <c r="Q19" s="239"/>
      <c r="R19" s="241">
        <f t="shared" si="0"/>
        <v>0</v>
      </c>
    </row>
    <row r="20" spans="2:18" x14ac:dyDescent="0.25">
      <c r="B20" s="91" t="s">
        <v>62</v>
      </c>
      <c r="C20" s="32" t="s">
        <v>45</v>
      </c>
      <c r="D20" s="33">
        <f>SUM(D21:D22)</f>
        <v>35</v>
      </c>
      <c r="E20" s="33">
        <v>3000</v>
      </c>
      <c r="F20" s="33">
        <f>D20*E20</f>
        <v>105000</v>
      </c>
      <c r="G20" s="34">
        <f>F20</f>
        <v>105000</v>
      </c>
      <c r="H20" s="34"/>
      <c r="I20" s="34"/>
      <c r="J20" s="50"/>
      <c r="K20" s="59"/>
      <c r="M20" s="232">
        <v>45000</v>
      </c>
      <c r="N20" s="232"/>
      <c r="O20" s="232">
        <v>24000</v>
      </c>
      <c r="P20" s="232">
        <v>24000</v>
      </c>
      <c r="Q20" s="232">
        <v>12000</v>
      </c>
      <c r="R20" s="241">
        <f t="shared" si="0"/>
        <v>105000</v>
      </c>
    </row>
    <row r="21" spans="2:18" ht="14.25" customHeight="1" x14ac:dyDescent="0.25">
      <c r="B21" s="61" t="s">
        <v>933</v>
      </c>
      <c r="C21" s="32"/>
      <c r="D21" s="55">
        <v>15</v>
      </c>
      <c r="E21" s="33"/>
      <c r="F21" s="33"/>
      <c r="G21" s="34"/>
      <c r="H21" s="34"/>
      <c r="I21" s="34"/>
      <c r="J21" s="50"/>
      <c r="K21" s="59"/>
      <c r="M21" s="232"/>
      <c r="N21" s="232"/>
      <c r="O21" s="232"/>
      <c r="P21" s="232"/>
      <c r="Q21" s="232"/>
      <c r="R21" s="241">
        <f t="shared" si="0"/>
        <v>0</v>
      </c>
    </row>
    <row r="22" spans="2:18" ht="17.25" customHeight="1" x14ac:dyDescent="0.25">
      <c r="B22" s="61" t="s">
        <v>138</v>
      </c>
      <c r="C22" s="32"/>
      <c r="D22" s="55">
        <v>20</v>
      </c>
      <c r="E22" s="33"/>
      <c r="F22" s="33"/>
      <c r="G22" s="34"/>
      <c r="H22" s="34"/>
      <c r="I22" s="34"/>
      <c r="J22" s="50"/>
      <c r="K22" s="59" t="s">
        <v>1121</v>
      </c>
      <c r="M22" s="232"/>
      <c r="N22" s="232"/>
      <c r="O22" s="232"/>
      <c r="P22" s="232"/>
      <c r="Q22" s="232"/>
      <c r="R22" s="241">
        <f t="shared" si="0"/>
        <v>0</v>
      </c>
    </row>
    <row r="23" spans="2:18" x14ac:dyDescent="0.25">
      <c r="B23" s="91" t="s">
        <v>64</v>
      </c>
      <c r="C23" s="32" t="s">
        <v>45</v>
      </c>
      <c r="D23" s="55">
        <f>SUM(D24:D25)</f>
        <v>6</v>
      </c>
      <c r="E23" s="55">
        <v>20000</v>
      </c>
      <c r="F23" s="33">
        <f>D23*E23</f>
        <v>120000</v>
      </c>
      <c r="G23" s="34">
        <f>F23</f>
        <v>120000</v>
      </c>
      <c r="H23" s="34"/>
      <c r="I23" s="34"/>
      <c r="J23" s="50"/>
      <c r="K23" s="59"/>
      <c r="M23" s="232"/>
      <c r="N23" s="232"/>
      <c r="O23" s="232">
        <v>60000</v>
      </c>
      <c r="P23" s="232">
        <v>40000</v>
      </c>
      <c r="Q23" s="232">
        <v>20000</v>
      </c>
      <c r="R23" s="241">
        <f t="shared" si="0"/>
        <v>120000</v>
      </c>
    </row>
    <row r="24" spans="2:18" s="53" customFormat="1" ht="17.25" customHeight="1" x14ac:dyDescent="0.25">
      <c r="B24" s="61" t="s">
        <v>933</v>
      </c>
      <c r="C24" s="62"/>
      <c r="D24" s="86">
        <v>1</v>
      </c>
      <c r="E24" s="86"/>
      <c r="F24" s="63"/>
      <c r="G24" s="65"/>
      <c r="H24" s="65"/>
      <c r="I24" s="65"/>
      <c r="J24" s="66"/>
      <c r="K24" s="59"/>
      <c r="M24" s="239"/>
      <c r="N24" s="239"/>
      <c r="O24" s="239"/>
      <c r="P24" s="239"/>
      <c r="Q24" s="239"/>
      <c r="R24" s="241">
        <f t="shared" si="0"/>
        <v>0</v>
      </c>
    </row>
    <row r="25" spans="2:18" s="53" customFormat="1" x14ac:dyDescent="0.25">
      <c r="B25" s="61" t="s">
        <v>138</v>
      </c>
      <c r="C25" s="62"/>
      <c r="D25" s="86">
        <v>5</v>
      </c>
      <c r="E25" s="86"/>
      <c r="F25" s="63"/>
      <c r="G25" s="65"/>
      <c r="H25" s="65"/>
      <c r="I25" s="65"/>
      <c r="J25" s="66"/>
      <c r="K25" s="59" t="s">
        <v>1122</v>
      </c>
      <c r="M25" s="239"/>
      <c r="N25" s="239"/>
      <c r="O25" s="239"/>
      <c r="P25" s="239"/>
      <c r="Q25" s="239"/>
      <c r="R25" s="241">
        <f t="shared" si="0"/>
        <v>0</v>
      </c>
    </row>
    <row r="26" spans="2:18" x14ac:dyDescent="0.25">
      <c r="B26" s="91"/>
      <c r="C26" s="32"/>
      <c r="D26" s="33"/>
      <c r="E26" s="33"/>
      <c r="F26" s="33"/>
      <c r="G26" s="34"/>
      <c r="H26" s="34"/>
      <c r="I26" s="34"/>
      <c r="J26" s="50"/>
      <c r="K26" s="59"/>
      <c r="M26" s="232"/>
      <c r="N26" s="232"/>
      <c r="O26" s="232"/>
      <c r="P26" s="232"/>
      <c r="Q26" s="232"/>
      <c r="R26" s="241">
        <f t="shared" si="0"/>
        <v>0</v>
      </c>
    </row>
    <row r="27" spans="2:18" ht="60" x14ac:dyDescent="0.25">
      <c r="B27" s="116" t="s">
        <v>128</v>
      </c>
      <c r="C27" s="32"/>
      <c r="D27" s="33"/>
      <c r="E27" s="33"/>
      <c r="F27" s="33">
        <f>F28+F34+F39+F45</f>
        <v>941200</v>
      </c>
      <c r="G27" s="34"/>
      <c r="H27" s="34"/>
      <c r="I27" s="34"/>
      <c r="J27" s="50"/>
      <c r="K27" s="59" t="s">
        <v>1116</v>
      </c>
      <c r="M27" s="232">
        <v>110000</v>
      </c>
      <c r="N27" s="232">
        <v>155000</v>
      </c>
      <c r="O27" s="232">
        <v>225000</v>
      </c>
      <c r="P27" s="232">
        <v>250000</v>
      </c>
      <c r="Q27" s="232">
        <v>201200</v>
      </c>
      <c r="R27" s="241">
        <f t="shared" si="0"/>
        <v>941200</v>
      </c>
    </row>
    <row r="28" spans="2:18" ht="30.75" customHeight="1" x14ac:dyDescent="0.25">
      <c r="B28" s="91" t="s">
        <v>141</v>
      </c>
      <c r="C28" s="32" t="s">
        <v>140</v>
      </c>
      <c r="D28" s="55">
        <f>SUM(D29:D33)</f>
        <v>52</v>
      </c>
      <c r="E28" s="55">
        <v>1500</v>
      </c>
      <c r="F28" s="33">
        <f>D28*E28</f>
        <v>78000</v>
      </c>
      <c r="G28" s="34">
        <f>F28/5</f>
        <v>15600</v>
      </c>
      <c r="H28" s="34">
        <f>F28*4/5</f>
        <v>62400</v>
      </c>
      <c r="I28" s="34"/>
      <c r="J28" s="50"/>
      <c r="K28" s="118"/>
      <c r="M28" s="232"/>
      <c r="N28" s="232"/>
      <c r="O28" s="232"/>
      <c r="P28" s="232"/>
      <c r="Q28" s="232"/>
      <c r="R28" s="241">
        <f t="shared" si="0"/>
        <v>0</v>
      </c>
    </row>
    <row r="29" spans="2:18" s="53" customFormat="1" x14ac:dyDescent="0.25">
      <c r="B29" s="61" t="s">
        <v>123</v>
      </c>
      <c r="C29" s="62"/>
      <c r="D29" s="86">
        <v>4</v>
      </c>
      <c r="E29" s="86"/>
      <c r="F29" s="63"/>
      <c r="G29" s="65"/>
      <c r="H29" s="65"/>
      <c r="I29" s="65"/>
      <c r="J29" s="66"/>
      <c r="K29" s="59"/>
      <c r="M29" s="239"/>
      <c r="N29" s="239"/>
      <c r="O29" s="239"/>
      <c r="P29" s="239"/>
      <c r="Q29" s="239"/>
      <c r="R29" s="241">
        <f t="shared" si="0"/>
        <v>0</v>
      </c>
    </row>
    <row r="30" spans="2:18" s="53" customFormat="1" x14ac:dyDescent="0.25">
      <c r="B30" s="61" t="s">
        <v>124</v>
      </c>
      <c r="C30" s="62"/>
      <c r="D30" s="86">
        <v>20</v>
      </c>
      <c r="E30" s="86"/>
      <c r="F30" s="63"/>
      <c r="G30" s="65"/>
      <c r="H30" s="65"/>
      <c r="I30" s="65"/>
      <c r="J30" s="66"/>
      <c r="K30" s="59"/>
      <c r="M30" s="239"/>
      <c r="N30" s="239"/>
      <c r="O30" s="239"/>
      <c r="P30" s="239"/>
      <c r="Q30" s="239"/>
      <c r="R30" s="241">
        <f t="shared" si="0"/>
        <v>0</v>
      </c>
    </row>
    <row r="31" spans="2:18" s="53" customFormat="1" x14ac:dyDescent="0.25">
      <c r="B31" s="61" t="s">
        <v>125</v>
      </c>
      <c r="C31" s="62"/>
      <c r="D31" s="86">
        <v>4</v>
      </c>
      <c r="E31" s="86"/>
      <c r="F31" s="63"/>
      <c r="G31" s="65"/>
      <c r="H31" s="65"/>
      <c r="I31" s="65"/>
      <c r="J31" s="66"/>
      <c r="K31" s="59"/>
      <c r="M31" s="239"/>
      <c r="N31" s="239"/>
      <c r="O31" s="239"/>
      <c r="P31" s="239"/>
      <c r="Q31" s="239"/>
      <c r="R31" s="241">
        <f t="shared" si="0"/>
        <v>0</v>
      </c>
    </row>
    <row r="32" spans="2:18" s="53" customFormat="1" x14ac:dyDescent="0.25">
      <c r="B32" s="61" t="s">
        <v>126</v>
      </c>
      <c r="C32" s="62"/>
      <c r="D32" s="86">
        <v>20</v>
      </c>
      <c r="E32" s="86"/>
      <c r="F32" s="63"/>
      <c r="G32" s="65"/>
      <c r="H32" s="65"/>
      <c r="I32" s="65"/>
      <c r="J32" s="66"/>
      <c r="K32" s="59"/>
      <c r="M32" s="239"/>
      <c r="N32" s="239"/>
      <c r="O32" s="239"/>
      <c r="P32" s="239"/>
      <c r="Q32" s="239"/>
      <c r="R32" s="241">
        <f t="shared" si="0"/>
        <v>0</v>
      </c>
    </row>
    <row r="33" spans="2:18" s="53" customFormat="1" x14ac:dyDescent="0.25">
      <c r="B33" s="61" t="s">
        <v>136</v>
      </c>
      <c r="C33" s="62"/>
      <c r="D33" s="86">
        <v>4</v>
      </c>
      <c r="E33" s="86"/>
      <c r="F33" s="63"/>
      <c r="G33" s="65"/>
      <c r="H33" s="65"/>
      <c r="I33" s="65"/>
      <c r="J33" s="66"/>
      <c r="K33" s="59"/>
      <c r="M33" s="239"/>
      <c r="N33" s="239"/>
      <c r="O33" s="239"/>
      <c r="P33" s="239"/>
      <c r="Q33" s="239"/>
      <c r="R33" s="241">
        <f t="shared" si="0"/>
        <v>0</v>
      </c>
    </row>
    <row r="34" spans="2:18" x14ac:dyDescent="0.25">
      <c r="B34" s="91" t="s">
        <v>120</v>
      </c>
      <c r="C34" s="32"/>
      <c r="D34" s="33"/>
      <c r="E34" s="33"/>
      <c r="F34" s="33">
        <f>SUM(F35:F38)</f>
        <v>448800</v>
      </c>
      <c r="G34" s="34"/>
      <c r="H34" s="34">
        <f>F34</f>
        <v>448800</v>
      </c>
      <c r="I34" s="34"/>
      <c r="J34" s="50" t="s">
        <v>24</v>
      </c>
      <c r="K34" s="111"/>
      <c r="M34" s="232"/>
      <c r="N34" s="232"/>
      <c r="O34" s="232"/>
      <c r="P34" s="232"/>
      <c r="Q34" s="232"/>
      <c r="R34" s="241">
        <f t="shared" si="0"/>
        <v>0</v>
      </c>
    </row>
    <row r="35" spans="2:18" x14ac:dyDescent="0.25">
      <c r="B35" s="61" t="s">
        <v>61</v>
      </c>
      <c r="C35" s="62" t="s">
        <v>132</v>
      </c>
      <c r="D35" s="86">
        <f>12*D7*4</f>
        <v>624</v>
      </c>
      <c r="E35" s="86">
        <v>250</v>
      </c>
      <c r="F35" s="86">
        <f>D35*E35</f>
        <v>156000</v>
      </c>
      <c r="G35" s="34"/>
      <c r="H35" s="34"/>
      <c r="I35" s="34"/>
      <c r="J35" s="50"/>
      <c r="K35" s="59"/>
      <c r="M35" s="232"/>
      <c r="N35" s="232"/>
      <c r="O35" s="232"/>
      <c r="P35" s="232"/>
      <c r="Q35" s="232"/>
      <c r="R35" s="241">
        <f t="shared" si="0"/>
        <v>0</v>
      </c>
    </row>
    <row r="36" spans="2:18" x14ac:dyDescent="0.25">
      <c r="B36" s="61" t="s">
        <v>119</v>
      </c>
      <c r="C36" s="62" t="s">
        <v>133</v>
      </c>
      <c r="D36" s="86">
        <f>D11*12*4</f>
        <v>5760</v>
      </c>
      <c r="E36" s="86">
        <v>50</v>
      </c>
      <c r="F36" s="86">
        <f t="shared" ref="F36:F38" si="1">D36*E36</f>
        <v>288000</v>
      </c>
      <c r="G36" s="34"/>
      <c r="H36" s="34"/>
      <c r="I36" s="34"/>
      <c r="J36" s="50"/>
      <c r="K36" s="59"/>
      <c r="M36" s="232"/>
      <c r="N36" s="232"/>
      <c r="O36" s="232"/>
      <c r="P36" s="232"/>
      <c r="Q36" s="232"/>
      <c r="R36" s="241">
        <f t="shared" si="0"/>
        <v>0</v>
      </c>
    </row>
    <row r="37" spans="2:18" ht="30" x14ac:dyDescent="0.25">
      <c r="B37" s="61" t="s">
        <v>66</v>
      </c>
      <c r="C37" s="62" t="s">
        <v>134</v>
      </c>
      <c r="D37" s="86">
        <f>D14*12*4</f>
        <v>0</v>
      </c>
      <c r="E37" s="86">
        <v>20</v>
      </c>
      <c r="F37" s="86">
        <f t="shared" si="1"/>
        <v>0</v>
      </c>
      <c r="G37" s="34"/>
      <c r="H37" s="34"/>
      <c r="I37" s="34"/>
      <c r="J37" s="50"/>
      <c r="K37" s="59"/>
      <c r="M37" s="232"/>
      <c r="N37" s="232"/>
      <c r="O37" s="232"/>
      <c r="P37" s="232"/>
      <c r="Q37" s="232"/>
      <c r="R37" s="241">
        <f t="shared" si="0"/>
        <v>0</v>
      </c>
    </row>
    <row r="38" spans="2:18" ht="30" x14ac:dyDescent="0.25">
      <c r="B38" s="61" t="s">
        <v>63</v>
      </c>
      <c r="C38" s="62" t="s">
        <v>135</v>
      </c>
      <c r="D38" s="86">
        <f>D17*12*4</f>
        <v>240</v>
      </c>
      <c r="E38" s="86">
        <v>20</v>
      </c>
      <c r="F38" s="86">
        <f t="shared" si="1"/>
        <v>4800</v>
      </c>
      <c r="G38" s="34"/>
      <c r="H38" s="34"/>
      <c r="I38" s="34"/>
      <c r="J38" s="50"/>
      <c r="K38" s="59"/>
      <c r="M38" s="232"/>
      <c r="N38" s="232"/>
      <c r="O38" s="232"/>
      <c r="P38" s="232"/>
      <c r="Q38" s="232"/>
      <c r="R38" s="241">
        <f t="shared" si="0"/>
        <v>0</v>
      </c>
    </row>
    <row r="39" spans="2:18" ht="31.5" customHeight="1" x14ac:dyDescent="0.25">
      <c r="B39" s="91" t="s">
        <v>122</v>
      </c>
      <c r="C39" s="32"/>
      <c r="D39" s="33"/>
      <c r="E39" s="33"/>
      <c r="F39" s="33">
        <f>SUM(F40:F44)</f>
        <v>328000</v>
      </c>
      <c r="G39" s="34"/>
      <c r="H39" s="34">
        <f>F39</f>
        <v>328000</v>
      </c>
      <c r="I39" s="34"/>
      <c r="J39" s="50" t="s">
        <v>68</v>
      </c>
      <c r="K39" s="111"/>
      <c r="M39" s="232"/>
      <c r="N39" s="232"/>
      <c r="O39" s="232"/>
      <c r="P39" s="232"/>
      <c r="Q39" s="232"/>
      <c r="R39" s="241">
        <f t="shared" si="0"/>
        <v>0</v>
      </c>
    </row>
    <row r="40" spans="2:18" x14ac:dyDescent="0.25">
      <c r="B40" s="61" t="s">
        <v>61</v>
      </c>
      <c r="C40" s="62" t="s">
        <v>918</v>
      </c>
      <c r="D40" s="86">
        <f>D7*4</f>
        <v>52</v>
      </c>
      <c r="E40" s="86">
        <v>2000</v>
      </c>
      <c r="F40" s="86">
        <f>D40*E40</f>
        <v>104000</v>
      </c>
      <c r="G40" s="34"/>
      <c r="H40" s="34"/>
      <c r="I40" s="34"/>
      <c r="J40" s="50"/>
      <c r="K40" s="59"/>
      <c r="M40" s="232"/>
      <c r="N40" s="232"/>
      <c r="O40" s="232"/>
      <c r="P40" s="232"/>
      <c r="Q40" s="232"/>
      <c r="R40" s="241">
        <f t="shared" si="0"/>
        <v>0</v>
      </c>
    </row>
    <row r="41" spans="2:18" x14ac:dyDescent="0.25">
      <c r="B41" s="61" t="s">
        <v>119</v>
      </c>
      <c r="C41" s="62" t="s">
        <v>919</v>
      </c>
      <c r="D41" s="86">
        <f>100*4</f>
        <v>400</v>
      </c>
      <c r="E41" s="86">
        <v>500</v>
      </c>
      <c r="F41" s="86">
        <f t="shared" ref="F41:F44" si="2">D41*E41</f>
        <v>200000</v>
      </c>
      <c r="G41" s="34"/>
      <c r="H41" s="34"/>
      <c r="I41" s="34"/>
      <c r="J41" s="50"/>
      <c r="K41" s="59"/>
      <c r="M41" s="232"/>
      <c r="N41" s="232"/>
      <c r="O41" s="232"/>
      <c r="P41" s="232"/>
      <c r="Q41" s="232"/>
      <c r="R41" s="241">
        <f t="shared" si="0"/>
        <v>0</v>
      </c>
    </row>
    <row r="42" spans="2:18" ht="30" x14ac:dyDescent="0.25">
      <c r="B42" s="61" t="s">
        <v>66</v>
      </c>
      <c r="C42" s="62" t="s">
        <v>920</v>
      </c>
      <c r="D42" s="86">
        <f>D14*4</f>
        <v>0</v>
      </c>
      <c r="E42" s="86">
        <v>200</v>
      </c>
      <c r="F42" s="86">
        <f t="shared" si="2"/>
        <v>0</v>
      </c>
      <c r="G42" s="34"/>
      <c r="H42" s="34"/>
      <c r="I42" s="34"/>
      <c r="J42" s="50"/>
      <c r="K42" s="59"/>
      <c r="M42" s="232"/>
      <c r="N42" s="232"/>
      <c r="O42" s="232"/>
      <c r="P42" s="232"/>
      <c r="Q42" s="232"/>
      <c r="R42" s="241">
        <f t="shared" si="0"/>
        <v>0</v>
      </c>
    </row>
    <row r="43" spans="2:18" ht="30" x14ac:dyDescent="0.25">
      <c r="B43" s="61" t="s">
        <v>63</v>
      </c>
      <c r="C43" s="62" t="s">
        <v>921</v>
      </c>
      <c r="D43" s="86">
        <f>D17*4</f>
        <v>20</v>
      </c>
      <c r="E43" s="86">
        <v>200</v>
      </c>
      <c r="F43" s="86">
        <f t="shared" si="2"/>
        <v>4000</v>
      </c>
      <c r="G43" s="34"/>
      <c r="H43" s="34"/>
      <c r="I43" s="34"/>
      <c r="J43" s="50"/>
      <c r="K43" s="59"/>
      <c r="M43" s="232"/>
      <c r="N43" s="232"/>
      <c r="O43" s="232"/>
      <c r="P43" s="232"/>
      <c r="Q43" s="232"/>
      <c r="R43" s="241">
        <f t="shared" si="0"/>
        <v>0</v>
      </c>
    </row>
    <row r="44" spans="2:18" x14ac:dyDescent="0.25">
      <c r="B44" s="61" t="s">
        <v>129</v>
      </c>
      <c r="C44" s="112" t="s">
        <v>907</v>
      </c>
      <c r="D44" s="86">
        <v>4</v>
      </c>
      <c r="E44" s="86">
        <v>5000</v>
      </c>
      <c r="F44" s="86">
        <f t="shared" si="2"/>
        <v>20000</v>
      </c>
      <c r="G44" s="34"/>
      <c r="H44" s="34"/>
      <c r="I44" s="34"/>
      <c r="J44" s="50"/>
      <c r="K44" s="59"/>
      <c r="M44" s="232"/>
      <c r="N44" s="232"/>
      <c r="O44" s="232"/>
      <c r="P44" s="232"/>
      <c r="Q44" s="232"/>
      <c r="R44" s="241">
        <f t="shared" si="0"/>
        <v>0</v>
      </c>
    </row>
    <row r="45" spans="2:18" x14ac:dyDescent="0.25">
      <c r="B45" s="91" t="s">
        <v>130</v>
      </c>
      <c r="C45" s="32"/>
      <c r="D45" s="33"/>
      <c r="E45" s="33"/>
      <c r="F45" s="33">
        <f>F46+F47</f>
        <v>86400</v>
      </c>
      <c r="G45" s="34"/>
      <c r="H45" s="34">
        <f>F45</f>
        <v>86400</v>
      </c>
      <c r="I45" s="34"/>
      <c r="J45" s="50"/>
      <c r="K45" s="111"/>
      <c r="M45" s="232"/>
      <c r="N45" s="232"/>
      <c r="O45" s="232"/>
      <c r="P45" s="232"/>
      <c r="Q45" s="232"/>
      <c r="R45" s="241">
        <f t="shared" si="0"/>
        <v>0</v>
      </c>
    </row>
    <row r="46" spans="2:18" x14ac:dyDescent="0.25">
      <c r="B46" s="61" t="s">
        <v>131</v>
      </c>
      <c r="C46" s="62" t="s">
        <v>121</v>
      </c>
      <c r="D46" s="63">
        <v>48</v>
      </c>
      <c r="E46" s="63">
        <v>1000</v>
      </c>
      <c r="F46" s="63">
        <f>D46*E46</f>
        <v>48000</v>
      </c>
      <c r="G46" s="34"/>
      <c r="H46" s="34"/>
      <c r="I46" s="34"/>
      <c r="J46" s="50"/>
      <c r="K46" s="59"/>
      <c r="M46" s="232"/>
      <c r="N46" s="232"/>
      <c r="O46" s="232"/>
      <c r="P46" s="232"/>
      <c r="Q46" s="232"/>
      <c r="R46" s="241">
        <f t="shared" si="0"/>
        <v>0</v>
      </c>
    </row>
    <row r="47" spans="2:18" x14ac:dyDescent="0.25">
      <c r="B47" s="61" t="s">
        <v>139</v>
      </c>
      <c r="C47" s="62" t="s">
        <v>121</v>
      </c>
      <c r="D47" s="63">
        <v>48</v>
      </c>
      <c r="E47" s="63">
        <v>800</v>
      </c>
      <c r="F47" s="63">
        <f>D47*E47</f>
        <v>38400</v>
      </c>
      <c r="G47" s="34"/>
      <c r="H47" s="34"/>
      <c r="I47" s="34"/>
      <c r="J47" s="50"/>
      <c r="K47" s="59"/>
      <c r="M47" s="232"/>
      <c r="N47" s="232"/>
      <c r="O47" s="232"/>
      <c r="P47" s="232"/>
      <c r="Q47" s="232"/>
      <c r="R47" s="241">
        <f t="shared" si="0"/>
        <v>0</v>
      </c>
    </row>
    <row r="49" spans="2:2" x14ac:dyDescent="0.25">
      <c r="B49" s="188" t="s">
        <v>1083</v>
      </c>
    </row>
  </sheetData>
  <pageMargins left="0.2" right="0.2" top="0.25" bottom="0.25" header="0.3" footer="0.3"/>
  <pageSetup paperSize="5" scale="68"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9"/>
  <sheetViews>
    <sheetView zoomScale="70" zoomScaleNormal="7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31.28515625" customWidth="1"/>
  </cols>
  <sheetData>
    <row r="2" spans="2:18" x14ac:dyDescent="0.25">
      <c r="B2" s="22" t="s">
        <v>939</v>
      </c>
    </row>
    <row r="4" spans="2:18" ht="90" x14ac:dyDescent="0.25">
      <c r="B4" s="48" t="s">
        <v>1</v>
      </c>
      <c r="C4" s="29" t="s">
        <v>2</v>
      </c>
      <c r="D4" s="30" t="s">
        <v>4</v>
      </c>
      <c r="E4" s="30" t="s">
        <v>3</v>
      </c>
      <c r="F4" s="14" t="s">
        <v>917</v>
      </c>
      <c r="G4" s="15" t="s">
        <v>6</v>
      </c>
      <c r="H4" s="31" t="s">
        <v>941</v>
      </c>
      <c r="I4" s="15" t="s">
        <v>204</v>
      </c>
      <c r="J4" s="49" t="s">
        <v>8</v>
      </c>
      <c r="K4" s="49" t="s">
        <v>22</v>
      </c>
      <c r="M4" s="211">
        <v>2015</v>
      </c>
      <c r="N4" s="211">
        <v>2016</v>
      </c>
      <c r="O4" s="211">
        <v>2017</v>
      </c>
      <c r="P4" s="211">
        <v>2018</v>
      </c>
      <c r="Q4" s="211">
        <v>2019</v>
      </c>
      <c r="R4" s="206" t="s">
        <v>28</v>
      </c>
    </row>
    <row r="5" spans="2:18" x14ac:dyDescent="0.25">
      <c r="B5" s="48" t="s">
        <v>28</v>
      </c>
      <c r="C5" s="29"/>
      <c r="D5" s="30"/>
      <c r="E5" s="30"/>
      <c r="F5" s="30">
        <f>SUM(F6:F9)</f>
        <v>166500</v>
      </c>
      <c r="G5" s="31">
        <f>SUM(G6:G9)</f>
        <v>166500</v>
      </c>
      <c r="H5" s="31">
        <f>SUM(H7:H9)</f>
        <v>0</v>
      </c>
      <c r="I5" s="31"/>
      <c r="J5" s="49"/>
      <c r="K5" s="49">
        <f>G5+H5</f>
        <v>166500</v>
      </c>
      <c r="M5" s="211"/>
      <c r="N5" s="211"/>
      <c r="O5" s="211"/>
      <c r="P5" s="211"/>
      <c r="Q5" s="211"/>
      <c r="R5" s="211"/>
    </row>
    <row r="6" spans="2:18" ht="45" x14ac:dyDescent="0.25">
      <c r="B6" s="46" t="s">
        <v>108</v>
      </c>
      <c r="C6" s="32" t="s">
        <v>115</v>
      </c>
      <c r="D6" s="33">
        <v>1</v>
      </c>
      <c r="E6" s="33">
        <v>1500</v>
      </c>
      <c r="F6" s="57">
        <f>D6*E6</f>
        <v>1500</v>
      </c>
      <c r="G6" s="34">
        <f>F6</f>
        <v>1500</v>
      </c>
      <c r="H6" s="34"/>
      <c r="I6" s="34"/>
      <c r="J6" s="50" t="s">
        <v>1191</v>
      </c>
      <c r="K6" s="50"/>
      <c r="M6" s="211"/>
      <c r="N6" s="211"/>
      <c r="O6" s="210">
        <f>F6</f>
        <v>1500</v>
      </c>
      <c r="P6" s="211"/>
      <c r="Q6" s="211"/>
      <c r="R6" s="206">
        <f>SUM(M6:Q6)</f>
        <v>1500</v>
      </c>
    </row>
    <row r="7" spans="2:18" ht="60" x14ac:dyDescent="0.25">
      <c r="B7" s="46" t="s">
        <v>111</v>
      </c>
      <c r="C7" s="32" t="s">
        <v>218</v>
      </c>
      <c r="D7" s="33">
        <v>30</v>
      </c>
      <c r="E7" s="33">
        <v>1000</v>
      </c>
      <c r="F7" s="57">
        <f>D7*E7</f>
        <v>30000</v>
      </c>
      <c r="G7" s="34">
        <f t="shared" ref="G7:G9" si="0">F7</f>
        <v>30000</v>
      </c>
      <c r="H7" s="34"/>
      <c r="I7" s="34"/>
      <c r="J7" s="50" t="s">
        <v>26</v>
      </c>
      <c r="K7" s="50"/>
      <c r="M7" s="211"/>
      <c r="N7" s="211"/>
      <c r="O7" s="210">
        <f>G7</f>
        <v>30000</v>
      </c>
      <c r="P7" s="211"/>
      <c r="Q7" s="211"/>
      <c r="R7" s="206">
        <f t="shared" ref="R7:R9" si="1">SUM(M7:Q7)</f>
        <v>30000</v>
      </c>
    </row>
    <row r="8" spans="2:18" ht="30" x14ac:dyDescent="0.25">
      <c r="B8" s="46" t="s">
        <v>112</v>
      </c>
      <c r="C8" s="32" t="s">
        <v>907</v>
      </c>
      <c r="D8" s="33">
        <v>3</v>
      </c>
      <c r="E8" s="33">
        <v>25000</v>
      </c>
      <c r="F8" s="57">
        <f>D8*E8</f>
        <v>75000</v>
      </c>
      <c r="G8" s="34">
        <f t="shared" si="0"/>
        <v>75000</v>
      </c>
      <c r="H8" s="34"/>
      <c r="I8" s="34"/>
      <c r="J8" s="50" t="s">
        <v>67</v>
      </c>
      <c r="K8" s="50" t="s">
        <v>110</v>
      </c>
      <c r="M8" s="210">
        <f>E8</f>
        <v>25000</v>
      </c>
      <c r="N8" s="211"/>
      <c r="O8" s="211"/>
      <c r="P8" s="210">
        <f>E8</f>
        <v>25000</v>
      </c>
      <c r="Q8" s="210">
        <f>E8</f>
        <v>25000</v>
      </c>
      <c r="R8" s="206">
        <f t="shared" si="1"/>
        <v>75000</v>
      </c>
    </row>
    <row r="9" spans="2:18" ht="107.25" customHeight="1" x14ac:dyDescent="0.25">
      <c r="B9" s="46" t="s">
        <v>109</v>
      </c>
      <c r="C9" s="32" t="s">
        <v>907</v>
      </c>
      <c r="D9" s="33">
        <v>2</v>
      </c>
      <c r="E9" s="33">
        <v>30000</v>
      </c>
      <c r="F9" s="57">
        <f>D9*E9</f>
        <v>60000</v>
      </c>
      <c r="G9" s="34">
        <f t="shared" si="0"/>
        <v>60000</v>
      </c>
      <c r="H9" s="34"/>
      <c r="I9" s="34"/>
      <c r="J9" s="50" t="s">
        <v>67</v>
      </c>
      <c r="K9" s="50" t="s">
        <v>912</v>
      </c>
      <c r="M9" s="211"/>
      <c r="N9" s="211"/>
      <c r="O9" s="211"/>
      <c r="P9" s="210">
        <f>E9</f>
        <v>30000</v>
      </c>
      <c r="Q9" s="210">
        <f>E9</f>
        <v>30000</v>
      </c>
      <c r="R9" s="206">
        <f t="shared" si="1"/>
        <v>60000</v>
      </c>
    </row>
  </sheetData>
  <pageMargins left="0.2" right="0.2" top="0.25" bottom="0.25" header="0.3" footer="0.3"/>
  <pageSetup paperSize="5" scale="72"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
  <sheetViews>
    <sheetView zoomScale="80" zoomScaleNormal="80" workbookViewId="0">
      <selection activeCell="B42" sqref="B42"/>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22.28515625" customWidth="1"/>
  </cols>
  <sheetData>
    <row r="2" spans="2:18" x14ac:dyDescent="0.25">
      <c r="B2" s="22" t="s">
        <v>53</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SUM(F6:F11)</f>
        <v>305000</v>
      </c>
      <c r="G5" s="31">
        <f>SUM(G6:G11)</f>
        <v>305000</v>
      </c>
      <c r="H5" s="31">
        <f>SUM(H6:H11)</f>
        <v>0</v>
      </c>
      <c r="I5" s="31"/>
      <c r="J5" s="49"/>
      <c r="K5" s="49">
        <f>G5+H5</f>
        <v>305000</v>
      </c>
      <c r="M5" s="211"/>
      <c r="N5" s="211"/>
      <c r="O5" s="211"/>
      <c r="P5" s="211"/>
      <c r="Q5" s="211"/>
      <c r="R5" s="211"/>
    </row>
    <row r="6" spans="2:18" ht="90" x14ac:dyDescent="0.25">
      <c r="B6" s="45" t="s">
        <v>290</v>
      </c>
      <c r="C6" s="32" t="s">
        <v>152</v>
      </c>
      <c r="D6" s="33">
        <v>7</v>
      </c>
      <c r="E6" s="33">
        <v>25000</v>
      </c>
      <c r="F6" s="33">
        <f>D6*E6</f>
        <v>175000</v>
      </c>
      <c r="G6" s="34">
        <f>F6</f>
        <v>175000</v>
      </c>
      <c r="H6" s="34"/>
      <c r="I6" s="34"/>
      <c r="J6" s="37" t="s">
        <v>1189</v>
      </c>
      <c r="K6" s="50" t="s">
        <v>102</v>
      </c>
      <c r="M6" s="211"/>
      <c r="N6" s="211"/>
      <c r="O6" s="211"/>
      <c r="P6" s="245">
        <v>305000</v>
      </c>
      <c r="Q6" s="211"/>
      <c r="R6" s="256">
        <f>P6</f>
        <v>305000</v>
      </c>
    </row>
    <row r="7" spans="2:18" ht="30" x14ac:dyDescent="0.25">
      <c r="B7" s="45" t="s">
        <v>100</v>
      </c>
      <c r="C7" s="32" t="s">
        <v>218</v>
      </c>
      <c r="D7" s="33">
        <v>40</v>
      </c>
      <c r="E7" s="33">
        <v>1000</v>
      </c>
      <c r="F7" s="33">
        <f>D7*E7</f>
        <v>40000</v>
      </c>
      <c r="G7" s="34">
        <f t="shared" ref="G7:G11" si="0">F7</f>
        <v>40000</v>
      </c>
      <c r="H7" s="34"/>
      <c r="I7" s="34"/>
      <c r="J7" s="50" t="s">
        <v>1190</v>
      </c>
      <c r="K7" s="50" t="s">
        <v>102</v>
      </c>
      <c r="M7" s="211"/>
      <c r="N7" s="211"/>
      <c r="O7" s="211"/>
      <c r="P7" s="245"/>
      <c r="Q7" s="211"/>
      <c r="R7" s="256"/>
    </row>
    <row r="8" spans="2:18" ht="45" x14ac:dyDescent="0.25">
      <c r="B8" s="45" t="s">
        <v>101</v>
      </c>
      <c r="C8" s="32" t="s">
        <v>218</v>
      </c>
      <c r="D8" s="33">
        <v>40</v>
      </c>
      <c r="E8" s="33">
        <v>1000</v>
      </c>
      <c r="F8" s="33">
        <f t="shared" ref="F8:F11" si="1">D8*E8</f>
        <v>40000</v>
      </c>
      <c r="G8" s="34">
        <f t="shared" si="0"/>
        <v>40000</v>
      </c>
      <c r="H8" s="34"/>
      <c r="I8" s="34"/>
      <c r="J8" s="50" t="s">
        <v>1190</v>
      </c>
      <c r="K8" s="50" t="s">
        <v>102</v>
      </c>
      <c r="M8" s="211"/>
      <c r="N8" s="211"/>
      <c r="O8" s="211"/>
      <c r="P8" s="245"/>
      <c r="Q8" s="211"/>
      <c r="R8" s="256"/>
    </row>
    <row r="9" spans="2:18" ht="45" x14ac:dyDescent="0.25">
      <c r="B9" s="45" t="s">
        <v>97</v>
      </c>
      <c r="C9" s="32" t="s">
        <v>218</v>
      </c>
      <c r="D9" s="33">
        <v>30</v>
      </c>
      <c r="E9" s="33">
        <v>1000</v>
      </c>
      <c r="F9" s="33">
        <f t="shared" si="1"/>
        <v>30000</v>
      </c>
      <c r="G9" s="34">
        <f t="shared" si="0"/>
        <v>30000</v>
      </c>
      <c r="H9" s="34"/>
      <c r="I9" s="34"/>
      <c r="J9" s="50" t="s">
        <v>1190</v>
      </c>
      <c r="K9" s="50" t="s">
        <v>98</v>
      </c>
      <c r="M9" s="211"/>
      <c r="N9" s="211"/>
      <c r="O9" s="211"/>
      <c r="P9" s="245"/>
      <c r="Q9" s="211"/>
      <c r="R9" s="256"/>
    </row>
    <row r="10" spans="2:18" ht="46.5" customHeight="1" x14ac:dyDescent="0.25">
      <c r="B10" s="45" t="s">
        <v>99</v>
      </c>
      <c r="C10" s="32" t="s">
        <v>218</v>
      </c>
      <c r="D10" s="33">
        <v>30</v>
      </c>
      <c r="E10" s="33">
        <v>400</v>
      </c>
      <c r="F10" s="33">
        <f t="shared" si="1"/>
        <v>12000</v>
      </c>
      <c r="G10" s="34">
        <f t="shared" si="0"/>
        <v>12000</v>
      </c>
      <c r="H10" s="34"/>
      <c r="I10" s="34"/>
      <c r="J10" s="50" t="s">
        <v>96</v>
      </c>
      <c r="K10" s="50" t="s">
        <v>105</v>
      </c>
      <c r="M10" s="211"/>
      <c r="N10" s="211"/>
      <c r="O10" s="211"/>
      <c r="P10" s="245"/>
      <c r="Q10" s="211"/>
      <c r="R10" s="256"/>
    </row>
    <row r="11" spans="2:18" ht="45" x14ac:dyDescent="0.25">
      <c r="B11" s="45" t="s">
        <v>104</v>
      </c>
      <c r="C11" s="32" t="s">
        <v>218</v>
      </c>
      <c r="D11" s="33">
        <v>20</v>
      </c>
      <c r="E11" s="33">
        <v>400</v>
      </c>
      <c r="F11" s="33">
        <f t="shared" si="1"/>
        <v>8000</v>
      </c>
      <c r="G11" s="34">
        <f t="shared" si="0"/>
        <v>8000</v>
      </c>
      <c r="H11" s="34"/>
      <c r="I11" s="34"/>
      <c r="J11" s="50" t="s">
        <v>96</v>
      </c>
      <c r="K11" s="50" t="s">
        <v>103</v>
      </c>
      <c r="M11" s="211"/>
      <c r="N11" s="211"/>
      <c r="O11" s="211"/>
      <c r="P11" s="245"/>
      <c r="Q11" s="211"/>
      <c r="R11" s="256"/>
    </row>
    <row r="13" spans="2:18" x14ac:dyDescent="0.25">
      <c r="B13" s="28" t="s">
        <v>1200</v>
      </c>
    </row>
  </sheetData>
  <mergeCells count="2">
    <mergeCell ref="P6:P11"/>
    <mergeCell ref="R6:R11"/>
  </mergeCells>
  <pageMargins left="0.2" right="0.2" top="0.25" bottom="0.25" header="0.3" footer="0.3"/>
  <pageSetup paperSize="5" scale="75" fitToHeight="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0"/>
  <sheetViews>
    <sheetView zoomScale="80" zoomScaleNormal="80" workbookViewId="0">
      <selection activeCell="C9" sqref="C9"/>
    </sheetView>
  </sheetViews>
  <sheetFormatPr defaultRowHeight="15" x14ac:dyDescent="0.25"/>
  <cols>
    <col min="1" max="1" width="3" customWidth="1"/>
    <col min="2" max="2" width="35.42578125" style="1" customWidth="1"/>
    <col min="3" max="3" width="13.85546875" style="13" customWidth="1"/>
    <col min="4" max="4" width="9.5703125" style="19" customWidth="1"/>
    <col min="5" max="5" width="9.140625" style="19" customWidth="1"/>
    <col min="6" max="6" width="10.140625" style="19" customWidth="1"/>
    <col min="7" max="7" width="9.28515625" style="19" customWidth="1"/>
    <col min="8" max="9" width="15.42578125" style="19" customWidth="1"/>
    <col min="10" max="10" width="22" style="1" customWidth="1"/>
    <col min="11" max="11" width="17.7109375" customWidth="1"/>
  </cols>
  <sheetData>
    <row r="2" spans="2:18" x14ac:dyDescent="0.25">
      <c r="B2" s="22" t="s">
        <v>36</v>
      </c>
    </row>
    <row r="4" spans="2: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SUM(F6:F10)</f>
        <v>820000</v>
      </c>
      <c r="G5" s="31">
        <f>SUM(G6:G10)</f>
        <v>820000</v>
      </c>
      <c r="H5" s="31">
        <f>SUM(H6:H10)</f>
        <v>0</v>
      </c>
      <c r="I5" s="31"/>
      <c r="J5" s="49"/>
      <c r="K5" s="49">
        <f>G5+H5</f>
        <v>820000</v>
      </c>
      <c r="M5" s="211"/>
      <c r="N5" s="211"/>
      <c r="O5" s="211"/>
      <c r="P5" s="211"/>
      <c r="Q5" s="211"/>
      <c r="R5" s="206"/>
    </row>
    <row r="6" spans="2:18" x14ac:dyDescent="0.25">
      <c r="B6" s="91" t="s">
        <v>42</v>
      </c>
      <c r="C6" s="32" t="s">
        <v>43</v>
      </c>
      <c r="D6" s="33">
        <v>5</v>
      </c>
      <c r="E6" s="33">
        <v>35000</v>
      </c>
      <c r="F6" s="33">
        <f>E6*D6</f>
        <v>175000</v>
      </c>
      <c r="G6" s="34">
        <f>F6</f>
        <v>175000</v>
      </c>
      <c r="H6" s="34"/>
      <c r="I6" s="34"/>
      <c r="J6" s="50" t="s">
        <v>51</v>
      </c>
      <c r="K6" s="50"/>
      <c r="M6" s="211"/>
      <c r="N6" s="210">
        <f>$E$6</f>
        <v>35000</v>
      </c>
      <c r="O6" s="210">
        <f t="shared" ref="O6:P6" si="0">$E$6</f>
        <v>35000</v>
      </c>
      <c r="P6" s="210">
        <f t="shared" si="0"/>
        <v>35000</v>
      </c>
      <c r="Q6" s="210">
        <v>70000</v>
      </c>
      <c r="R6" s="205">
        <f>SUM(M6:Q6)</f>
        <v>175000</v>
      </c>
    </row>
    <row r="7" spans="2:18" ht="30" x14ac:dyDescent="0.25">
      <c r="B7" s="91" t="s">
        <v>48</v>
      </c>
      <c r="C7" s="85" t="s">
        <v>1118</v>
      </c>
      <c r="D7" s="55">
        <v>3</v>
      </c>
      <c r="E7" s="55">
        <v>15000</v>
      </c>
      <c r="F7" s="55">
        <f>D7*E7</f>
        <v>45000</v>
      </c>
      <c r="G7" s="117">
        <f>F7</f>
        <v>45000</v>
      </c>
      <c r="H7" s="34"/>
      <c r="I7" s="34"/>
      <c r="J7" s="50" t="s">
        <v>931</v>
      </c>
      <c r="K7" s="50" t="s">
        <v>46</v>
      </c>
      <c r="M7" s="250">
        <v>150000</v>
      </c>
      <c r="N7" s="250">
        <v>150000</v>
      </c>
      <c r="O7" s="250">
        <v>145000</v>
      </c>
      <c r="P7" s="259"/>
      <c r="Q7" s="259"/>
      <c r="R7" s="257">
        <f>SUM(M7:Q8)</f>
        <v>445000</v>
      </c>
    </row>
    <row r="8" spans="2:18" ht="90" x14ac:dyDescent="0.25">
      <c r="B8" s="91" t="s">
        <v>47</v>
      </c>
      <c r="C8" s="85" t="s">
        <v>52</v>
      </c>
      <c r="D8" s="55">
        <v>7000</v>
      </c>
      <c r="E8" s="55">
        <v>70</v>
      </c>
      <c r="F8" s="55">
        <f>D8*E8</f>
        <v>490000</v>
      </c>
      <c r="G8" s="117">
        <f>F8</f>
        <v>490000</v>
      </c>
      <c r="H8" s="34"/>
      <c r="I8" s="34"/>
      <c r="J8" s="50" t="s">
        <v>50</v>
      </c>
      <c r="K8" s="50" t="s">
        <v>930</v>
      </c>
      <c r="M8" s="252"/>
      <c r="N8" s="252"/>
      <c r="O8" s="252"/>
      <c r="P8" s="260"/>
      <c r="Q8" s="260"/>
      <c r="R8" s="258"/>
    </row>
    <row r="9" spans="2:18" ht="46.5" customHeight="1" x14ac:dyDescent="0.25">
      <c r="B9" s="91" t="s">
        <v>49</v>
      </c>
      <c r="C9" s="32" t="s">
        <v>25</v>
      </c>
      <c r="D9" s="33">
        <v>40</v>
      </c>
      <c r="E9" s="33">
        <v>1000</v>
      </c>
      <c r="F9" s="33">
        <f t="shared" ref="F9:F10" si="1">D9*E9</f>
        <v>40000</v>
      </c>
      <c r="G9" s="34">
        <f>F9</f>
        <v>40000</v>
      </c>
      <c r="H9" s="34"/>
      <c r="I9" s="34"/>
      <c r="J9" s="50" t="s">
        <v>1117</v>
      </c>
      <c r="K9" s="50"/>
      <c r="M9" s="211"/>
      <c r="N9" s="211"/>
      <c r="O9" s="211">
        <v>40000</v>
      </c>
      <c r="P9" s="211"/>
      <c r="Q9" s="211"/>
      <c r="R9" s="206">
        <f>O9</f>
        <v>40000</v>
      </c>
    </row>
    <row r="10" spans="2:18" ht="210" x14ac:dyDescent="0.25">
      <c r="B10" s="91" t="s">
        <v>1164</v>
      </c>
      <c r="C10" s="32" t="s">
        <v>25</v>
      </c>
      <c r="D10" s="33">
        <v>70</v>
      </c>
      <c r="E10" s="33">
        <v>1000</v>
      </c>
      <c r="F10" s="33">
        <f t="shared" si="1"/>
        <v>70000</v>
      </c>
      <c r="G10" s="34">
        <f>F10</f>
        <v>70000</v>
      </c>
      <c r="H10" s="34"/>
      <c r="I10" s="34"/>
      <c r="J10" s="50" t="s">
        <v>1165</v>
      </c>
      <c r="K10" s="50" t="s">
        <v>1166</v>
      </c>
      <c r="M10" s="211"/>
      <c r="N10" s="211"/>
      <c r="O10" s="211"/>
      <c r="P10" s="211"/>
      <c r="Q10" s="211">
        <v>100000</v>
      </c>
      <c r="R10" s="206">
        <f>Q10</f>
        <v>100000</v>
      </c>
    </row>
  </sheetData>
  <mergeCells count="6">
    <mergeCell ref="R7:R8"/>
    <mergeCell ref="M7:M8"/>
    <mergeCell ref="N7:N8"/>
    <mergeCell ref="O7:O8"/>
    <mergeCell ref="P7:P8"/>
    <mergeCell ref="Q7:Q8"/>
  </mergeCells>
  <pageMargins left="0.2" right="0.2" top="0.25" bottom="0.25" header="0.3" footer="0.3"/>
  <pageSetup paperSize="5" scale="77" fitToHeight="0"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6"/>
  <sheetViews>
    <sheetView zoomScale="80" zoomScaleNormal="80" workbookViewId="0">
      <selection activeCell="E9" sqref="E9"/>
    </sheetView>
  </sheetViews>
  <sheetFormatPr defaultRowHeight="15" x14ac:dyDescent="0.25"/>
  <cols>
    <col min="1" max="1" width="3" customWidth="1"/>
    <col min="2" max="2" width="40.140625" style="1" customWidth="1"/>
    <col min="3" max="3" width="13.85546875" style="13" customWidth="1"/>
    <col min="4" max="4" width="12.140625" style="19" customWidth="1"/>
    <col min="5" max="5" width="9.140625" style="19" customWidth="1"/>
    <col min="6" max="9" width="16" style="19" customWidth="1"/>
    <col min="10" max="10" width="16" style="1" customWidth="1"/>
    <col min="11" max="11" width="16" customWidth="1"/>
  </cols>
  <sheetData>
    <row r="2" spans="2:18" x14ac:dyDescent="0.25">
      <c r="B2" s="22" t="s">
        <v>35</v>
      </c>
    </row>
    <row r="4" spans="2:18" ht="45"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57"/>
      <c r="E5" s="30"/>
      <c r="F5" s="30">
        <f>SUM(F6:F13)</f>
        <v>1057500</v>
      </c>
      <c r="G5" s="31">
        <f>SUM(G6:G13)</f>
        <v>982500</v>
      </c>
      <c r="H5" s="31">
        <f>SUM(H6:H13)</f>
        <v>75000</v>
      </c>
      <c r="I5" s="31"/>
      <c r="J5" s="49"/>
      <c r="K5" s="49">
        <f>G5+H5</f>
        <v>1057500</v>
      </c>
      <c r="M5" s="211"/>
      <c r="N5" s="211"/>
      <c r="O5" s="211"/>
      <c r="P5" s="211"/>
      <c r="Q5" s="211"/>
      <c r="R5" s="211"/>
    </row>
    <row r="6" spans="2:18" ht="75" x14ac:dyDescent="0.25">
      <c r="B6" s="91" t="s">
        <v>1080</v>
      </c>
      <c r="C6" s="32" t="s">
        <v>41</v>
      </c>
      <c r="D6" s="33">
        <f>5*13</f>
        <v>65</v>
      </c>
      <c r="E6" s="33">
        <v>3500</v>
      </c>
      <c r="F6" s="33">
        <f>D6*E6</f>
        <v>227500</v>
      </c>
      <c r="G6" s="34">
        <f>F6</f>
        <v>227500</v>
      </c>
      <c r="H6" s="34"/>
      <c r="I6" s="34"/>
      <c r="J6" s="50" t="s">
        <v>1084</v>
      </c>
      <c r="K6" s="50" t="s">
        <v>1082</v>
      </c>
      <c r="M6" s="211">
        <f>$G$6/5</f>
        <v>45500</v>
      </c>
      <c r="N6" s="211">
        <f t="shared" ref="N6:Q6" si="0">$G$6/5</f>
        <v>45500</v>
      </c>
      <c r="O6" s="211">
        <f t="shared" si="0"/>
        <v>45500</v>
      </c>
      <c r="P6" s="211">
        <f t="shared" si="0"/>
        <v>45500</v>
      </c>
      <c r="Q6" s="211">
        <f t="shared" si="0"/>
        <v>45500</v>
      </c>
      <c r="R6" s="206">
        <f>SUM(M6:Q6)</f>
        <v>227500</v>
      </c>
    </row>
    <row r="7" spans="2:18" ht="60" x14ac:dyDescent="0.25">
      <c r="B7" s="91" t="s">
        <v>1023</v>
      </c>
      <c r="C7" s="56" t="s">
        <v>115</v>
      </c>
      <c r="D7" s="57">
        <v>1</v>
      </c>
      <c r="E7" s="57">
        <v>40000</v>
      </c>
      <c r="F7" s="57">
        <f>D7*E7</f>
        <v>40000</v>
      </c>
      <c r="G7" s="58">
        <f>F7</f>
        <v>40000</v>
      </c>
      <c r="H7" s="31"/>
      <c r="I7" s="31"/>
      <c r="J7" s="50" t="s">
        <v>1198</v>
      </c>
      <c r="K7" s="50" t="s">
        <v>1082</v>
      </c>
      <c r="M7" s="211">
        <v>40000</v>
      </c>
      <c r="N7" s="211"/>
      <c r="O7" s="211"/>
      <c r="P7" s="211"/>
      <c r="Q7" s="211"/>
      <c r="R7" s="206">
        <f t="shared" ref="R7:R12" si="1">SUM(M7:Q7)</f>
        <v>40000</v>
      </c>
    </row>
    <row r="8" spans="2:18" ht="75" x14ac:dyDescent="0.25">
      <c r="B8" s="91" t="s">
        <v>37</v>
      </c>
      <c r="C8" s="56" t="s">
        <v>41</v>
      </c>
      <c r="D8" s="57">
        <f t="shared" ref="D8:D11" si="2">5*13</f>
        <v>65</v>
      </c>
      <c r="E8" s="33">
        <v>3500</v>
      </c>
      <c r="F8" s="33">
        <f>D8*E8</f>
        <v>227500</v>
      </c>
      <c r="G8" s="34">
        <f>F8</f>
        <v>227500</v>
      </c>
      <c r="H8" s="34"/>
      <c r="I8" s="34"/>
      <c r="J8" s="50" t="s">
        <v>1084</v>
      </c>
      <c r="K8" s="50" t="s">
        <v>1082</v>
      </c>
      <c r="M8" s="211">
        <f>$G$8/5</f>
        <v>45500</v>
      </c>
      <c r="N8" s="211">
        <f t="shared" ref="N8:Q8" si="3">$G$8/5</f>
        <v>45500</v>
      </c>
      <c r="O8" s="211">
        <f t="shared" si="3"/>
        <v>45500</v>
      </c>
      <c r="P8" s="211">
        <f t="shared" si="3"/>
        <v>45500</v>
      </c>
      <c r="Q8" s="211">
        <f t="shared" si="3"/>
        <v>45500</v>
      </c>
      <c r="R8" s="206">
        <f t="shared" si="1"/>
        <v>227500</v>
      </c>
    </row>
    <row r="9" spans="2:18" ht="75" x14ac:dyDescent="0.25">
      <c r="B9" s="91" t="s">
        <v>38</v>
      </c>
      <c r="C9" s="56" t="s">
        <v>41</v>
      </c>
      <c r="D9" s="57">
        <f t="shared" si="2"/>
        <v>65</v>
      </c>
      <c r="E9" s="33">
        <v>3000</v>
      </c>
      <c r="F9" s="33">
        <f t="shared" ref="F9:F11" si="4">D9*E9</f>
        <v>195000</v>
      </c>
      <c r="G9" s="34">
        <f t="shared" ref="G9:G11" si="5">F9</f>
        <v>195000</v>
      </c>
      <c r="H9" s="34"/>
      <c r="I9" s="34"/>
      <c r="J9" s="50" t="s">
        <v>1084</v>
      </c>
      <c r="K9" s="50" t="s">
        <v>1082</v>
      </c>
      <c r="M9" s="211">
        <f>$G$9/5</f>
        <v>39000</v>
      </c>
      <c r="N9" s="211">
        <f t="shared" ref="N9:Q9" si="6">$G$9/5</f>
        <v>39000</v>
      </c>
      <c r="O9" s="211">
        <f t="shared" si="6"/>
        <v>39000</v>
      </c>
      <c r="P9" s="211">
        <f t="shared" si="6"/>
        <v>39000</v>
      </c>
      <c r="Q9" s="211">
        <f t="shared" si="6"/>
        <v>39000</v>
      </c>
      <c r="R9" s="206">
        <f t="shared" si="1"/>
        <v>195000</v>
      </c>
    </row>
    <row r="10" spans="2:18" ht="75" customHeight="1" x14ac:dyDescent="0.25">
      <c r="B10" s="91" t="s">
        <v>40</v>
      </c>
      <c r="C10" s="56" t="s">
        <v>41</v>
      </c>
      <c r="D10" s="57">
        <f t="shared" si="2"/>
        <v>65</v>
      </c>
      <c r="E10" s="33">
        <v>3000</v>
      </c>
      <c r="F10" s="33">
        <f t="shared" si="4"/>
        <v>195000</v>
      </c>
      <c r="G10" s="34">
        <f t="shared" si="5"/>
        <v>195000</v>
      </c>
      <c r="H10" s="34"/>
      <c r="I10" s="34"/>
      <c r="J10" s="242" t="s">
        <v>1084</v>
      </c>
      <c r="K10" s="242" t="s">
        <v>1199</v>
      </c>
      <c r="M10" s="245">
        <v>150000</v>
      </c>
      <c r="N10" s="245">
        <v>100000</v>
      </c>
      <c r="O10" s="245">
        <v>425000</v>
      </c>
      <c r="P10" s="211"/>
      <c r="Q10" s="211"/>
      <c r="R10" s="206">
        <f t="shared" si="1"/>
        <v>675000</v>
      </c>
    </row>
    <row r="11" spans="2:18" ht="75" customHeight="1" x14ac:dyDescent="0.25">
      <c r="B11" s="91" t="s">
        <v>39</v>
      </c>
      <c r="C11" s="56" t="s">
        <v>41</v>
      </c>
      <c r="D11" s="57">
        <f t="shared" si="2"/>
        <v>65</v>
      </c>
      <c r="E11" s="33">
        <v>1500</v>
      </c>
      <c r="F11" s="33">
        <f t="shared" si="4"/>
        <v>97500</v>
      </c>
      <c r="G11" s="34">
        <f t="shared" si="5"/>
        <v>97500</v>
      </c>
      <c r="H11" s="34"/>
      <c r="I11" s="34"/>
      <c r="J11" s="244"/>
      <c r="K11" s="244"/>
      <c r="M11" s="245"/>
      <c r="N11" s="245"/>
      <c r="O11" s="245"/>
      <c r="P11" s="211"/>
      <c r="Q11" s="211"/>
      <c r="R11" s="206">
        <f t="shared" si="1"/>
        <v>0</v>
      </c>
    </row>
    <row r="12" spans="2:18" ht="46.5" customHeight="1" x14ac:dyDescent="0.25">
      <c r="B12" s="91" t="s">
        <v>44</v>
      </c>
      <c r="C12" s="56" t="s">
        <v>45</v>
      </c>
      <c r="D12" s="33"/>
      <c r="E12" s="33"/>
      <c r="F12" s="33"/>
      <c r="G12" s="34"/>
      <c r="H12" s="34"/>
      <c r="I12" s="34"/>
      <c r="J12" s="50"/>
      <c r="K12" s="50" t="s">
        <v>177</v>
      </c>
      <c r="M12" s="211">
        <f>$H$13/5</f>
        <v>15000</v>
      </c>
      <c r="N12" s="211">
        <f t="shared" ref="N12:Q12" si="7">$H$13/5</f>
        <v>15000</v>
      </c>
      <c r="O12" s="211">
        <f t="shared" si="7"/>
        <v>15000</v>
      </c>
      <c r="P12" s="211">
        <f t="shared" si="7"/>
        <v>15000</v>
      </c>
      <c r="Q12" s="211">
        <f t="shared" si="7"/>
        <v>15000</v>
      </c>
      <c r="R12" s="206">
        <f t="shared" si="1"/>
        <v>75000</v>
      </c>
    </row>
    <row r="13" spans="2:18" x14ac:dyDescent="0.25">
      <c r="B13" s="91" t="s">
        <v>911</v>
      </c>
      <c r="C13" s="56" t="s">
        <v>907</v>
      </c>
      <c r="D13" s="33">
        <v>5</v>
      </c>
      <c r="E13" s="33">
        <v>15000</v>
      </c>
      <c r="F13" s="33">
        <f>D13*E13</f>
        <v>75000</v>
      </c>
      <c r="G13" s="34"/>
      <c r="H13" s="34">
        <f>F13</f>
        <v>75000</v>
      </c>
      <c r="I13" s="34"/>
      <c r="J13" s="50"/>
      <c r="K13" s="50"/>
    </row>
    <row r="15" spans="2:18" x14ac:dyDescent="0.25">
      <c r="B15" s="28" t="s">
        <v>1024</v>
      </c>
      <c r="G15" s="19">
        <f>G9+G8+G6</f>
        <v>650000</v>
      </c>
    </row>
    <row r="16" spans="2:18" x14ac:dyDescent="0.25">
      <c r="G16" s="19">
        <f>G15/5</f>
        <v>130000</v>
      </c>
    </row>
  </sheetData>
  <mergeCells count="5">
    <mergeCell ref="J10:J11"/>
    <mergeCell ref="K10:K11"/>
    <mergeCell ref="M10:M11"/>
    <mergeCell ref="N10:N11"/>
    <mergeCell ref="O10:O11"/>
  </mergeCells>
  <pageMargins left="0.2" right="0.2" top="0.25" bottom="0.25" header="0.3" footer="0.3"/>
  <pageSetup paperSize="5"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2"/>
  <sheetViews>
    <sheetView topLeftCell="A5" zoomScale="60" zoomScaleNormal="60" workbookViewId="0">
      <selection activeCell="G6" sqref="G6:G10"/>
    </sheetView>
  </sheetViews>
  <sheetFormatPr defaultRowHeight="15" x14ac:dyDescent="0.25"/>
  <cols>
    <col min="1" max="1" width="2.7109375" customWidth="1"/>
    <col min="2" max="2" width="32.7109375" customWidth="1"/>
    <col min="4" max="4" width="9.140625" customWidth="1"/>
    <col min="5" max="5" width="7.7109375" customWidth="1"/>
    <col min="6" max="6" width="18.7109375" customWidth="1"/>
    <col min="7" max="7" width="9.42578125" customWidth="1"/>
    <col min="8" max="8" width="15.7109375" customWidth="1"/>
    <col min="9" max="9" width="15.140625" customWidth="1"/>
    <col min="10" max="10" width="29.140625" customWidth="1"/>
    <col min="11" max="11" width="59" customWidth="1"/>
  </cols>
  <sheetData>
    <row r="2" spans="2:18" s="20" customFormat="1" ht="15.75" x14ac:dyDescent="0.25">
      <c r="B2" s="25" t="s">
        <v>1124</v>
      </c>
    </row>
    <row r="4" spans="2:18" ht="63.75" customHeight="1"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SUM(F6:F25)</f>
        <v>140200</v>
      </c>
      <c r="G5" s="31">
        <f>SUM(G6:G25)</f>
        <v>140200</v>
      </c>
      <c r="H5" s="31">
        <f>SUM(H6:H25)</f>
        <v>0</v>
      </c>
      <c r="I5" s="31"/>
      <c r="J5" s="49"/>
      <c r="K5" s="49">
        <f>G5+H5</f>
        <v>140200</v>
      </c>
      <c r="M5" s="211"/>
      <c r="N5" s="211"/>
      <c r="O5" s="211"/>
      <c r="P5" s="211"/>
      <c r="Q5" s="211"/>
      <c r="R5" s="211"/>
    </row>
    <row r="6" spans="2:18" ht="78" customHeight="1" x14ac:dyDescent="0.25">
      <c r="B6" s="91" t="s">
        <v>206</v>
      </c>
      <c r="C6" s="32" t="s">
        <v>218</v>
      </c>
      <c r="D6" s="33">
        <v>24</v>
      </c>
      <c r="E6" s="33">
        <v>400</v>
      </c>
      <c r="F6" s="33">
        <f>D6*E6</f>
        <v>9600</v>
      </c>
      <c r="G6" s="34">
        <f>F6</f>
        <v>9600</v>
      </c>
      <c r="H6" s="34"/>
      <c r="I6" s="34"/>
      <c r="J6" s="50" t="s">
        <v>1169</v>
      </c>
      <c r="K6" s="50" t="s">
        <v>219</v>
      </c>
      <c r="M6" s="210">
        <f>G6</f>
        <v>9600</v>
      </c>
      <c r="N6" s="211"/>
      <c r="O6" s="211"/>
      <c r="P6" s="211"/>
      <c r="Q6" s="211"/>
      <c r="R6" s="205">
        <f>M6</f>
        <v>9600</v>
      </c>
    </row>
    <row r="7" spans="2:18" ht="110.25" customHeight="1" x14ac:dyDescent="0.25">
      <c r="B7" s="91" t="s">
        <v>910</v>
      </c>
      <c r="C7" s="32" t="s">
        <v>218</v>
      </c>
      <c r="D7" s="33">
        <v>60</v>
      </c>
      <c r="E7" s="33">
        <v>400</v>
      </c>
      <c r="F7" s="33">
        <f t="shared" ref="F7:F10" si="0">D7*E7</f>
        <v>24000</v>
      </c>
      <c r="G7" s="34">
        <f t="shared" ref="G7:G10" si="1">F7</f>
        <v>24000</v>
      </c>
      <c r="H7" s="34"/>
      <c r="I7" s="34"/>
      <c r="J7" s="50" t="s">
        <v>1170</v>
      </c>
      <c r="K7" s="50" t="s">
        <v>220</v>
      </c>
      <c r="M7" s="210">
        <f t="shared" ref="M7:M10" si="2">G7</f>
        <v>24000</v>
      </c>
      <c r="N7" s="211"/>
      <c r="O7" s="211"/>
      <c r="P7" s="211"/>
      <c r="Q7" s="211"/>
      <c r="R7" s="205">
        <f t="shared" ref="R7:R10" si="3">M7</f>
        <v>24000</v>
      </c>
    </row>
    <row r="8" spans="2:18" ht="209.25" customHeight="1" x14ac:dyDescent="0.25">
      <c r="B8" s="91" t="s">
        <v>207</v>
      </c>
      <c r="C8" s="32" t="s">
        <v>218</v>
      </c>
      <c r="D8" s="33">
        <v>24</v>
      </c>
      <c r="E8" s="33">
        <v>400</v>
      </c>
      <c r="F8" s="33">
        <f t="shared" si="0"/>
        <v>9600</v>
      </c>
      <c r="G8" s="34">
        <f t="shared" si="1"/>
        <v>9600</v>
      </c>
      <c r="H8" s="34"/>
      <c r="I8" s="34"/>
      <c r="J8" s="50" t="s">
        <v>222</v>
      </c>
      <c r="K8" s="50" t="s">
        <v>1013</v>
      </c>
      <c r="M8" s="210">
        <f t="shared" si="2"/>
        <v>9600</v>
      </c>
      <c r="N8" s="211"/>
      <c r="O8" s="211"/>
      <c r="P8" s="211"/>
      <c r="Q8" s="211"/>
      <c r="R8" s="205">
        <f t="shared" si="3"/>
        <v>9600</v>
      </c>
    </row>
    <row r="9" spans="2:18" ht="115.5" customHeight="1" x14ac:dyDescent="0.25">
      <c r="B9" s="91" t="s">
        <v>208</v>
      </c>
      <c r="C9" s="32" t="s">
        <v>218</v>
      </c>
      <c r="D9" s="33">
        <v>90</v>
      </c>
      <c r="E9" s="33">
        <v>800</v>
      </c>
      <c r="F9" s="33">
        <f t="shared" si="0"/>
        <v>72000</v>
      </c>
      <c r="G9" s="34">
        <f t="shared" si="1"/>
        <v>72000</v>
      </c>
      <c r="H9" s="34"/>
      <c r="I9" s="34"/>
      <c r="J9" s="50" t="s">
        <v>223</v>
      </c>
      <c r="K9" s="50" t="s">
        <v>221</v>
      </c>
      <c r="M9" s="210">
        <f t="shared" si="2"/>
        <v>72000</v>
      </c>
      <c r="N9" s="211"/>
      <c r="O9" s="211"/>
      <c r="P9" s="211"/>
      <c r="Q9" s="211"/>
      <c r="R9" s="205">
        <f t="shared" si="3"/>
        <v>72000</v>
      </c>
    </row>
    <row r="10" spans="2:18" ht="105" x14ac:dyDescent="0.25">
      <c r="B10" s="91" t="s">
        <v>1162</v>
      </c>
      <c r="C10" s="32" t="s">
        <v>218</v>
      </c>
      <c r="D10" s="33">
        <v>100</v>
      </c>
      <c r="E10" s="33">
        <v>250</v>
      </c>
      <c r="F10" s="33">
        <f t="shared" si="0"/>
        <v>25000</v>
      </c>
      <c r="G10" s="34">
        <f t="shared" si="1"/>
        <v>25000</v>
      </c>
      <c r="H10" s="34"/>
      <c r="I10" s="34"/>
      <c r="J10" s="50" t="s">
        <v>27</v>
      </c>
      <c r="K10" s="50" t="s">
        <v>1163</v>
      </c>
      <c r="M10" s="210">
        <f t="shared" si="2"/>
        <v>25000</v>
      </c>
      <c r="N10" s="211"/>
      <c r="O10" s="211"/>
      <c r="P10" s="211"/>
      <c r="Q10" s="211"/>
      <c r="R10" s="205">
        <f t="shared" si="3"/>
        <v>25000</v>
      </c>
    </row>
    <row r="12" spans="2:18" x14ac:dyDescent="0.25">
      <c r="B12" s="139" t="s">
        <v>1012</v>
      </c>
    </row>
  </sheetData>
  <pageMargins left="0.2" right="0.2" top="0.25" bottom="0.25" header="0.3" footer="0.3"/>
  <pageSetup paperSize="5"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
  <sheetViews>
    <sheetView topLeftCell="A4" zoomScale="70" zoomScaleNormal="70" workbookViewId="0">
      <selection activeCell="B42" sqref="B42"/>
    </sheetView>
  </sheetViews>
  <sheetFormatPr defaultRowHeight="15" x14ac:dyDescent="0.25"/>
  <cols>
    <col min="2" max="2" width="25" customWidth="1"/>
    <col min="3" max="3" width="15" customWidth="1"/>
    <col min="6" max="6" width="15.28515625" customWidth="1"/>
    <col min="10" max="10" width="29.140625" customWidth="1"/>
    <col min="11" max="11" width="30.28515625" customWidth="1"/>
  </cols>
  <sheetData>
    <row r="1" spans="1:18" x14ac:dyDescent="0.25">
      <c r="A1" s="20"/>
      <c r="B1" s="20"/>
    </row>
    <row r="2" spans="1:18" ht="15.75" x14ac:dyDescent="0.25">
      <c r="A2" s="20"/>
      <c r="B2" s="25" t="s">
        <v>1010</v>
      </c>
    </row>
    <row r="4" spans="1:18" ht="9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1:18" x14ac:dyDescent="0.25">
      <c r="B5" s="48" t="s">
        <v>28</v>
      </c>
      <c r="C5" s="29"/>
      <c r="D5" s="30"/>
      <c r="E5" s="30"/>
      <c r="F5" s="30">
        <f>SUM(F6:F22)</f>
        <v>340000</v>
      </c>
      <c r="G5" s="31">
        <f>SUM(G6:G22)</f>
        <v>340000</v>
      </c>
      <c r="H5" s="31">
        <f>SUM(H6:H22)</f>
        <v>0</v>
      </c>
      <c r="I5" s="31"/>
      <c r="J5" s="49"/>
      <c r="K5" s="49">
        <f>G5+H5</f>
        <v>340000</v>
      </c>
      <c r="M5" s="211"/>
      <c r="N5" s="211"/>
      <c r="O5" s="211"/>
      <c r="P5" s="211"/>
      <c r="Q5" s="211"/>
      <c r="R5" s="211"/>
    </row>
    <row r="6" spans="1:18" ht="372" customHeight="1" x14ac:dyDescent="0.25">
      <c r="B6" s="91" t="s">
        <v>60</v>
      </c>
      <c r="C6" s="32" t="s">
        <v>19</v>
      </c>
      <c r="D6" s="33">
        <v>1</v>
      </c>
      <c r="E6" s="33">
        <v>300000</v>
      </c>
      <c r="F6" s="33">
        <f>D6*E6</f>
        <v>300000</v>
      </c>
      <c r="G6" s="34">
        <f>F6</f>
        <v>300000</v>
      </c>
      <c r="H6" s="34"/>
      <c r="I6" s="34"/>
      <c r="J6" s="50" t="s">
        <v>117</v>
      </c>
      <c r="K6" s="50" t="s">
        <v>1137</v>
      </c>
      <c r="M6" s="232">
        <f>0.35*G6</f>
        <v>105000</v>
      </c>
      <c r="N6" s="232">
        <f>G6/10</f>
        <v>30000</v>
      </c>
      <c r="O6" s="232">
        <f>G6/10</f>
        <v>30000</v>
      </c>
      <c r="P6" s="232">
        <f>G6/5</f>
        <v>60000</v>
      </c>
      <c r="Q6" s="232">
        <f>G6/4</f>
        <v>75000</v>
      </c>
      <c r="R6" s="236">
        <f>SUM(M6:Q6)</f>
        <v>300000</v>
      </c>
    </row>
    <row r="7" spans="1:18" ht="51.75" customHeight="1" x14ac:dyDescent="0.25">
      <c r="B7" s="90" t="s">
        <v>113</v>
      </c>
      <c r="C7" s="85" t="s">
        <v>905</v>
      </c>
      <c r="D7" s="55">
        <v>20</v>
      </c>
      <c r="E7" s="55">
        <v>2000</v>
      </c>
      <c r="F7" s="55">
        <f>D7*E7</f>
        <v>40000</v>
      </c>
      <c r="G7" s="117">
        <f>F7</f>
        <v>40000</v>
      </c>
      <c r="H7" s="117"/>
      <c r="I7" s="117"/>
      <c r="J7" s="118" t="s">
        <v>116</v>
      </c>
      <c r="K7" s="50" t="s">
        <v>1125</v>
      </c>
      <c r="M7" s="232"/>
      <c r="N7" s="232">
        <v>10000</v>
      </c>
      <c r="O7" s="232">
        <v>10000</v>
      </c>
      <c r="P7" s="232">
        <v>10000</v>
      </c>
      <c r="Q7" s="232">
        <v>10000</v>
      </c>
      <c r="R7" s="236">
        <f>SUM(M7:Q7)</f>
        <v>40000</v>
      </c>
    </row>
  </sheetData>
  <pageMargins left="0.2" right="0.2" top="0.25" bottom="0.25" header="0.3" footer="0.3"/>
  <pageSetup paperSize="5" scale="7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6"/>
  <sheetViews>
    <sheetView topLeftCell="B1" zoomScale="70" zoomScaleNormal="70" workbookViewId="0">
      <selection activeCell="B42" sqref="B42"/>
    </sheetView>
  </sheetViews>
  <sheetFormatPr defaultRowHeight="15" x14ac:dyDescent="0.25"/>
  <cols>
    <col min="2" max="2" width="55.5703125" customWidth="1"/>
    <col min="6" max="6" width="15.85546875" customWidth="1"/>
    <col min="7" max="7" width="13.42578125" customWidth="1"/>
    <col min="8" max="8" width="12.5703125" customWidth="1"/>
    <col min="9" max="9" width="13.28515625" customWidth="1"/>
    <col min="10" max="10" width="21" customWidth="1"/>
    <col min="11" max="11" width="38.7109375" customWidth="1"/>
  </cols>
  <sheetData>
    <row r="2" spans="2:18" s="20" customFormat="1" ht="15.75" x14ac:dyDescent="0.25">
      <c r="B2" s="25" t="s">
        <v>937</v>
      </c>
    </row>
    <row r="4" spans="2:18" ht="60"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SUM(F6:F22)</f>
        <v>650000</v>
      </c>
      <c r="G5" s="31">
        <f>SUM(G6:G22)</f>
        <v>620000</v>
      </c>
      <c r="H5" s="31">
        <f>SUM(H6:H22)</f>
        <v>30000</v>
      </c>
      <c r="I5" s="31"/>
      <c r="J5" s="49"/>
      <c r="K5" s="49">
        <f>G5+H5</f>
        <v>650000</v>
      </c>
      <c r="M5" s="211"/>
      <c r="N5" s="211"/>
      <c r="O5" s="211"/>
      <c r="P5" s="211"/>
      <c r="Q5" s="211"/>
      <c r="R5" s="211"/>
    </row>
    <row r="6" spans="2:18" ht="73.5" customHeight="1" x14ac:dyDescent="0.25">
      <c r="B6" s="52" t="s">
        <v>1138</v>
      </c>
      <c r="C6" s="56" t="s">
        <v>115</v>
      </c>
      <c r="D6" s="57">
        <v>1</v>
      </c>
      <c r="E6" s="57">
        <v>520000</v>
      </c>
      <c r="F6" s="57">
        <f>D6*E6</f>
        <v>520000</v>
      </c>
      <c r="G6" s="58">
        <f>F6</f>
        <v>520000</v>
      </c>
      <c r="H6" s="58"/>
      <c r="I6" s="58"/>
      <c r="J6" s="50" t="s">
        <v>117</v>
      </c>
      <c r="K6" s="59" t="s">
        <v>1139</v>
      </c>
      <c r="M6" s="211"/>
      <c r="N6" s="211">
        <f>30%*G6</f>
        <v>156000</v>
      </c>
      <c r="O6" s="211">
        <f>25%*G6</f>
        <v>130000</v>
      </c>
      <c r="P6" s="211">
        <f>20%*G6</f>
        <v>104000</v>
      </c>
      <c r="Q6" s="211">
        <f>25%*G6</f>
        <v>130000</v>
      </c>
      <c r="R6" s="206">
        <f>SUM(M6:Q6)</f>
        <v>520000</v>
      </c>
    </row>
    <row r="7" spans="2:18" ht="79.5" customHeight="1" x14ac:dyDescent="0.25">
      <c r="B7" s="46" t="s">
        <v>906</v>
      </c>
      <c r="C7" s="56" t="s">
        <v>45</v>
      </c>
      <c r="D7" s="57">
        <v>1</v>
      </c>
      <c r="E7" s="57">
        <v>100000</v>
      </c>
      <c r="F7" s="57">
        <f t="shared" ref="F7" si="0">E7</f>
        <v>100000</v>
      </c>
      <c r="G7" s="58">
        <f t="shared" ref="G7" si="1">F7</f>
        <v>100000</v>
      </c>
      <c r="H7" s="58"/>
      <c r="I7" s="58"/>
      <c r="J7" s="59" t="s">
        <v>1181</v>
      </c>
      <c r="K7" s="59" t="s">
        <v>114</v>
      </c>
      <c r="M7" s="211"/>
      <c r="N7" s="211"/>
      <c r="O7" s="211">
        <f>G7/6*3</f>
        <v>50000</v>
      </c>
      <c r="P7" s="211">
        <f>G7/6*2</f>
        <v>33333.333333333336</v>
      </c>
      <c r="Q7" s="211">
        <f>G7/6</f>
        <v>16666.666666666668</v>
      </c>
      <c r="R7" s="206">
        <f t="shared" ref="R7:R8" si="2">SUM(M7:Q7)</f>
        <v>100000.00000000001</v>
      </c>
    </row>
    <row r="8" spans="2:18" ht="30" x14ac:dyDescent="0.25">
      <c r="B8" s="46" t="s">
        <v>922</v>
      </c>
      <c r="C8" s="85" t="s">
        <v>907</v>
      </c>
      <c r="D8" s="55">
        <v>4</v>
      </c>
      <c r="E8" s="55">
        <v>7500</v>
      </c>
      <c r="F8" s="55">
        <f>D8*E8</f>
        <v>30000</v>
      </c>
      <c r="G8" s="117"/>
      <c r="H8" s="117">
        <f>F8</f>
        <v>30000</v>
      </c>
      <c r="I8" s="117"/>
      <c r="J8" s="118"/>
      <c r="K8" s="118"/>
      <c r="M8" s="211"/>
      <c r="N8" s="211"/>
      <c r="O8" s="211">
        <v>10000</v>
      </c>
      <c r="P8" s="211">
        <v>10000</v>
      </c>
      <c r="Q8" s="211">
        <v>10000</v>
      </c>
      <c r="R8" s="206">
        <f t="shared" si="2"/>
        <v>30000</v>
      </c>
    </row>
    <row r="10" spans="2:18" x14ac:dyDescent="0.25">
      <c r="B10" t="s">
        <v>1140</v>
      </c>
    </row>
    <row r="11" spans="2:18" x14ac:dyDescent="0.25">
      <c r="B11" s="218" t="s">
        <v>1141</v>
      </c>
    </row>
    <row r="12" spans="2:18" x14ac:dyDescent="0.25">
      <c r="B12" s="219" t="s">
        <v>1142</v>
      </c>
    </row>
    <row r="13" spans="2:18" x14ac:dyDescent="0.25">
      <c r="B13" s="219" t="s">
        <v>1143</v>
      </c>
    </row>
    <row r="14" spans="2:18" x14ac:dyDescent="0.25">
      <c r="B14" s="219" t="s">
        <v>1144</v>
      </c>
    </row>
    <row r="15" spans="2:18" x14ac:dyDescent="0.25">
      <c r="B15" s="219" t="s">
        <v>1145</v>
      </c>
    </row>
    <row r="16" spans="2:18" x14ac:dyDescent="0.25">
      <c r="C16" s="219"/>
    </row>
  </sheetData>
  <pageMargins left="0.2" right="0.2" top="0.25" bottom="0.25" header="0.3" footer="0.3"/>
  <pageSetup paperSize="5" scale="6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7"/>
  <sheetViews>
    <sheetView topLeftCell="C3" zoomScale="80" zoomScaleNormal="80" workbookViewId="0">
      <selection activeCell="B42" sqref="B42"/>
    </sheetView>
  </sheetViews>
  <sheetFormatPr defaultRowHeight="15" x14ac:dyDescent="0.25"/>
  <cols>
    <col min="1" max="1" width="3" customWidth="1"/>
    <col min="2" max="2" width="35.42578125" style="1" customWidth="1"/>
    <col min="3" max="3" width="15.42578125" style="13" customWidth="1"/>
    <col min="4" max="4" width="9.5703125" style="19" customWidth="1"/>
    <col min="5" max="5" width="9.140625" style="19" customWidth="1"/>
    <col min="6" max="6" width="17" style="19" customWidth="1"/>
    <col min="7" max="7" width="9.28515625" style="19" customWidth="1"/>
    <col min="8" max="9" width="15.42578125" style="19" customWidth="1"/>
    <col min="10" max="10" width="22" style="1" customWidth="1"/>
    <col min="11" max="11" width="39.140625" customWidth="1"/>
  </cols>
  <sheetData>
    <row r="2" spans="2:18" x14ac:dyDescent="0.25">
      <c r="B2" s="22" t="s">
        <v>1091</v>
      </c>
    </row>
    <row r="4" spans="2:18" ht="45"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SUM(F8:F17)</f>
        <v>440550</v>
      </c>
      <c r="G5" s="31">
        <f>SUM(G6:G17)</f>
        <v>400550</v>
      </c>
      <c r="H5" s="31">
        <f>SUM(H6:H17)</f>
        <v>40000</v>
      </c>
      <c r="I5" s="31">
        <f>SUM(I6:I17)</f>
        <v>1040000</v>
      </c>
      <c r="J5" s="49"/>
      <c r="K5" s="49">
        <f>G5+H5</f>
        <v>440550</v>
      </c>
      <c r="M5" s="211"/>
      <c r="N5" s="211"/>
      <c r="O5" s="211"/>
      <c r="P5" s="211"/>
      <c r="Q5" s="211"/>
      <c r="R5" s="211"/>
    </row>
    <row r="6" spans="2:18" ht="30" x14ac:dyDescent="0.25">
      <c r="B6" s="128" t="s">
        <v>924</v>
      </c>
      <c r="C6" s="32" t="s">
        <v>923</v>
      </c>
      <c r="D6" s="33">
        <f>80*4</f>
        <v>320</v>
      </c>
      <c r="E6" s="33">
        <f>250*13</f>
        <v>3250</v>
      </c>
      <c r="F6" s="33">
        <f>D6*E6</f>
        <v>1040000</v>
      </c>
      <c r="G6" s="34"/>
      <c r="H6" s="34"/>
      <c r="I6" s="34">
        <f>F6</f>
        <v>1040000</v>
      </c>
      <c r="J6" s="50" t="s">
        <v>27</v>
      </c>
      <c r="K6" s="118" t="s">
        <v>944</v>
      </c>
      <c r="M6" s="211"/>
      <c r="N6" s="211"/>
      <c r="O6" s="211"/>
      <c r="P6" s="211"/>
      <c r="Q6" s="211"/>
      <c r="R6" s="211"/>
    </row>
    <row r="7" spans="2:18" ht="30" x14ac:dyDescent="0.25">
      <c r="B7" s="128" t="s">
        <v>9</v>
      </c>
      <c r="C7" s="69"/>
      <c r="D7" s="51"/>
      <c r="E7" s="51"/>
      <c r="F7" s="33"/>
      <c r="G7" s="34"/>
      <c r="H7" s="34"/>
      <c r="I7" s="34"/>
      <c r="J7" s="50" t="s">
        <v>24</v>
      </c>
      <c r="K7" s="118" t="s">
        <v>177</v>
      </c>
      <c r="M7" s="211"/>
      <c r="N7" s="211"/>
      <c r="O7" s="211"/>
      <c r="P7" s="211"/>
      <c r="Q7" s="211"/>
      <c r="R7" s="211"/>
    </row>
    <row r="8" spans="2:18" ht="30" x14ac:dyDescent="0.25">
      <c r="B8" s="128" t="s">
        <v>10</v>
      </c>
      <c r="C8" s="85" t="s">
        <v>907</v>
      </c>
      <c r="D8" s="55">
        <v>4</v>
      </c>
      <c r="E8" s="55">
        <v>10000</v>
      </c>
      <c r="F8" s="33">
        <f>D8*E8</f>
        <v>40000</v>
      </c>
      <c r="G8" s="34"/>
      <c r="H8" s="34">
        <f>F8</f>
        <v>40000</v>
      </c>
      <c r="I8" s="34"/>
      <c r="J8" s="50" t="s">
        <v>24</v>
      </c>
      <c r="K8" s="111"/>
      <c r="M8" s="211"/>
      <c r="N8" s="211">
        <f>H8/2</f>
        <v>20000</v>
      </c>
      <c r="O8" s="211">
        <v>20000</v>
      </c>
      <c r="P8" s="211"/>
      <c r="Q8" s="211"/>
      <c r="R8" s="206">
        <f>SUM(M8:Q8)</f>
        <v>40000</v>
      </c>
    </row>
    <row r="9" spans="2:18" ht="46.5" customHeight="1" x14ac:dyDescent="0.25">
      <c r="B9" s="128" t="s">
        <v>11</v>
      </c>
      <c r="C9" s="32" t="s">
        <v>162</v>
      </c>
      <c r="D9" s="33">
        <v>1</v>
      </c>
      <c r="E9" s="33">
        <v>200000</v>
      </c>
      <c r="F9" s="55">
        <f>D9*E9</f>
        <v>200000</v>
      </c>
      <c r="G9" s="34">
        <f>F9</f>
        <v>200000</v>
      </c>
      <c r="H9" s="34"/>
      <c r="I9" s="34"/>
      <c r="J9" s="50" t="s">
        <v>26</v>
      </c>
      <c r="K9" s="50" t="s">
        <v>164</v>
      </c>
      <c r="M9" s="211"/>
      <c r="N9" s="211">
        <f>G9/4*3</f>
        <v>150000</v>
      </c>
      <c r="O9" s="211">
        <f>G9/4</f>
        <v>50000</v>
      </c>
      <c r="P9" s="211"/>
      <c r="Q9" s="211"/>
      <c r="R9" s="206">
        <f t="shared" ref="R9:R17" si="0">SUM(M9:Q9)</f>
        <v>200000</v>
      </c>
    </row>
    <row r="10" spans="2:18" ht="27.75" customHeight="1" x14ac:dyDescent="0.25">
      <c r="B10" s="128" t="s">
        <v>12</v>
      </c>
      <c r="C10" s="32"/>
      <c r="D10" s="33"/>
      <c r="E10" s="33"/>
      <c r="F10" s="51"/>
      <c r="G10" s="34">
        <f>F10</f>
        <v>0</v>
      </c>
      <c r="H10" s="34"/>
      <c r="I10" s="34"/>
      <c r="J10" s="50"/>
      <c r="K10" s="50"/>
      <c r="M10" s="211"/>
      <c r="N10" s="211"/>
      <c r="O10" s="211"/>
      <c r="P10" s="211"/>
      <c r="Q10" s="211"/>
      <c r="R10" s="206">
        <f t="shared" si="0"/>
        <v>0</v>
      </c>
    </row>
    <row r="11" spans="2:18" ht="27.75" customHeight="1" x14ac:dyDescent="0.25">
      <c r="B11" s="191" t="s">
        <v>997</v>
      </c>
      <c r="C11" s="112" t="s">
        <v>2</v>
      </c>
      <c r="D11" s="86">
        <v>50</v>
      </c>
      <c r="E11" s="86">
        <v>1100</v>
      </c>
      <c r="F11" s="86">
        <f>D11*E11</f>
        <v>55000</v>
      </c>
      <c r="G11" s="34">
        <f>F11</f>
        <v>55000</v>
      </c>
      <c r="H11" s="34"/>
      <c r="I11" s="34"/>
      <c r="J11" s="242" t="s">
        <v>1171</v>
      </c>
      <c r="K11" s="50"/>
      <c r="M11" s="210"/>
      <c r="N11" s="210">
        <f>G11</f>
        <v>55000</v>
      </c>
      <c r="O11" s="211"/>
      <c r="P11" s="211"/>
      <c r="Q11" s="211"/>
      <c r="R11" s="206">
        <f t="shared" si="0"/>
        <v>55000</v>
      </c>
    </row>
    <row r="12" spans="2:18" ht="27.75" customHeight="1" x14ac:dyDescent="0.25">
      <c r="B12" s="191" t="s">
        <v>998</v>
      </c>
      <c r="C12" s="112" t="s">
        <v>2</v>
      </c>
      <c r="D12" s="86">
        <v>50</v>
      </c>
      <c r="E12" s="86">
        <v>2490</v>
      </c>
      <c r="F12" s="86">
        <f t="shared" ref="F12:F17" si="1">D12*E12</f>
        <v>124500</v>
      </c>
      <c r="G12" s="34">
        <f t="shared" ref="G12:G17" si="2">F12</f>
        <v>124500</v>
      </c>
      <c r="H12" s="34"/>
      <c r="I12" s="34"/>
      <c r="J12" s="243"/>
      <c r="K12" s="50"/>
      <c r="M12" s="210"/>
      <c r="N12" s="210">
        <f t="shared" ref="N12:N17" si="3">G12</f>
        <v>124500</v>
      </c>
      <c r="O12" s="211"/>
      <c r="P12" s="211"/>
      <c r="Q12" s="211"/>
      <c r="R12" s="206">
        <f t="shared" si="0"/>
        <v>124500</v>
      </c>
    </row>
    <row r="13" spans="2:18" ht="27.75" customHeight="1" x14ac:dyDescent="0.25">
      <c r="B13" s="191" t="s">
        <v>999</v>
      </c>
      <c r="C13" s="112" t="s">
        <v>2</v>
      </c>
      <c r="D13" s="86">
        <v>50</v>
      </c>
      <c r="E13" s="86">
        <v>40</v>
      </c>
      <c r="F13" s="86">
        <f t="shared" si="1"/>
        <v>2000</v>
      </c>
      <c r="G13" s="34">
        <f t="shared" si="2"/>
        <v>2000</v>
      </c>
      <c r="H13" s="34"/>
      <c r="I13" s="34"/>
      <c r="J13" s="243"/>
      <c r="K13" s="50"/>
      <c r="M13" s="210"/>
      <c r="N13" s="210">
        <f t="shared" si="3"/>
        <v>2000</v>
      </c>
      <c r="O13" s="211"/>
      <c r="P13" s="211"/>
      <c r="Q13" s="211"/>
      <c r="R13" s="206">
        <f t="shared" si="0"/>
        <v>2000</v>
      </c>
    </row>
    <row r="14" spans="2:18" ht="27.75" customHeight="1" x14ac:dyDescent="0.25">
      <c r="B14" s="191" t="s">
        <v>1000</v>
      </c>
      <c r="C14" s="112" t="s">
        <v>2</v>
      </c>
      <c r="D14" s="86">
        <v>100</v>
      </c>
      <c r="E14" s="86">
        <v>20</v>
      </c>
      <c r="F14" s="86">
        <f t="shared" si="1"/>
        <v>2000</v>
      </c>
      <c r="G14" s="34">
        <f t="shared" si="2"/>
        <v>2000</v>
      </c>
      <c r="H14" s="34"/>
      <c r="I14" s="34"/>
      <c r="J14" s="243"/>
      <c r="K14" s="50"/>
      <c r="M14" s="210"/>
      <c r="N14" s="210">
        <f t="shared" si="3"/>
        <v>2000</v>
      </c>
      <c r="O14" s="211"/>
      <c r="P14" s="211"/>
      <c r="Q14" s="211"/>
      <c r="R14" s="206">
        <f t="shared" si="0"/>
        <v>2000</v>
      </c>
    </row>
    <row r="15" spans="2:18" ht="27.75" customHeight="1" x14ac:dyDescent="0.25">
      <c r="B15" s="191" t="s">
        <v>1001</v>
      </c>
      <c r="C15" s="112" t="s">
        <v>2</v>
      </c>
      <c r="D15" s="86">
        <v>50</v>
      </c>
      <c r="E15" s="86">
        <v>25</v>
      </c>
      <c r="F15" s="86">
        <f t="shared" si="1"/>
        <v>1250</v>
      </c>
      <c r="G15" s="34">
        <f t="shared" si="2"/>
        <v>1250</v>
      </c>
      <c r="H15" s="34"/>
      <c r="I15" s="34"/>
      <c r="J15" s="243"/>
      <c r="K15" s="50"/>
      <c r="M15" s="210"/>
      <c r="N15" s="210">
        <f t="shared" si="3"/>
        <v>1250</v>
      </c>
      <c r="O15" s="211"/>
      <c r="P15" s="211"/>
      <c r="Q15" s="211"/>
      <c r="R15" s="206">
        <f t="shared" si="0"/>
        <v>1250</v>
      </c>
    </row>
    <row r="16" spans="2:18" ht="27.75" customHeight="1" x14ac:dyDescent="0.25">
      <c r="B16" s="191" t="s">
        <v>1014</v>
      </c>
      <c r="C16" s="112" t="s">
        <v>1015</v>
      </c>
      <c r="D16" s="86">
        <v>100</v>
      </c>
      <c r="E16" s="86">
        <v>8</v>
      </c>
      <c r="F16" s="86">
        <f t="shared" si="1"/>
        <v>800</v>
      </c>
      <c r="G16" s="34">
        <f t="shared" si="2"/>
        <v>800</v>
      </c>
      <c r="H16" s="34"/>
      <c r="I16" s="34"/>
      <c r="J16" s="243"/>
      <c r="K16" s="50"/>
      <c r="M16" s="210"/>
      <c r="N16" s="210">
        <f t="shared" si="3"/>
        <v>800</v>
      </c>
      <c r="O16" s="211"/>
      <c r="P16" s="211"/>
      <c r="Q16" s="211"/>
      <c r="R16" s="206">
        <f t="shared" si="0"/>
        <v>800</v>
      </c>
    </row>
    <row r="17" spans="2:18" ht="18.75" customHeight="1" x14ac:dyDescent="0.25">
      <c r="B17" s="191" t="s">
        <v>1002</v>
      </c>
      <c r="C17" s="112" t="s">
        <v>2</v>
      </c>
      <c r="D17" s="86">
        <v>100</v>
      </c>
      <c r="E17" s="86">
        <v>150</v>
      </c>
      <c r="F17" s="86">
        <f t="shared" si="1"/>
        <v>15000</v>
      </c>
      <c r="G17" s="34">
        <f t="shared" si="2"/>
        <v>15000</v>
      </c>
      <c r="H17" s="34"/>
      <c r="I17" s="34"/>
      <c r="J17" s="244"/>
      <c r="K17" s="50"/>
      <c r="M17" s="210"/>
      <c r="N17" s="210">
        <f t="shared" si="3"/>
        <v>15000</v>
      </c>
      <c r="O17" s="211"/>
      <c r="P17" s="211"/>
      <c r="Q17" s="211"/>
      <c r="R17" s="206">
        <f t="shared" si="0"/>
        <v>15000</v>
      </c>
    </row>
  </sheetData>
  <mergeCells count="1">
    <mergeCell ref="J11:J17"/>
  </mergeCells>
  <pageMargins left="0.2" right="0.2" top="0.25" bottom="0.25" header="0.3" footer="0.3"/>
  <pageSetup paperSize="5" scale="68"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R9"/>
  <sheetViews>
    <sheetView zoomScale="70" zoomScaleNormal="70" workbookViewId="0">
      <selection activeCell="B42" sqref="B42"/>
    </sheetView>
  </sheetViews>
  <sheetFormatPr defaultRowHeight="15" x14ac:dyDescent="0.25"/>
  <cols>
    <col min="1" max="1" width="3" customWidth="1"/>
    <col min="2" max="2" width="35.42578125" style="1" customWidth="1"/>
    <col min="3" max="3" width="15.42578125" style="13" customWidth="1"/>
    <col min="4" max="4" width="9.5703125" style="19" customWidth="1"/>
    <col min="5" max="5" width="9.140625" style="19" customWidth="1"/>
    <col min="6" max="6" width="17" style="19" customWidth="1"/>
    <col min="7" max="7" width="9.28515625" style="19" customWidth="1"/>
    <col min="8" max="9" width="15.42578125" style="19" customWidth="1"/>
    <col min="10" max="10" width="22" style="1" customWidth="1"/>
    <col min="11" max="11" width="39.140625" customWidth="1"/>
  </cols>
  <sheetData>
    <row r="2" spans="2:18" x14ac:dyDescent="0.25">
      <c r="B2" s="22" t="s">
        <v>1101</v>
      </c>
    </row>
    <row r="4" spans="2:18" ht="45"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SUM(F6:F9)</f>
        <v>294200</v>
      </c>
      <c r="G5" s="31">
        <f>SUM(G6:G9)</f>
        <v>294200</v>
      </c>
      <c r="H5" s="31">
        <f>SUM(H6:H9)</f>
        <v>0</v>
      </c>
      <c r="I5" s="31">
        <f>SUM(I6:I9)</f>
        <v>0</v>
      </c>
      <c r="J5" s="49"/>
      <c r="K5" s="49">
        <f>G5+H5</f>
        <v>294200</v>
      </c>
      <c r="M5" s="230"/>
      <c r="N5" s="211"/>
      <c r="O5" s="211"/>
      <c r="P5" s="211"/>
      <c r="Q5" s="211"/>
      <c r="R5" s="211"/>
    </row>
    <row r="6" spans="2:18" ht="75" x14ac:dyDescent="0.25">
      <c r="B6" s="192" t="s">
        <v>165</v>
      </c>
      <c r="C6" s="32"/>
      <c r="D6" s="33">
        <f>12*4</f>
        <v>48</v>
      </c>
      <c r="E6" s="33">
        <v>400</v>
      </c>
      <c r="F6" s="33">
        <f>D6*E6</f>
        <v>19200</v>
      </c>
      <c r="G6" s="34">
        <f>F6</f>
        <v>19200</v>
      </c>
      <c r="H6" s="34"/>
      <c r="I6" s="34"/>
      <c r="J6" s="50" t="s">
        <v>24</v>
      </c>
      <c r="K6" s="50" t="s">
        <v>163</v>
      </c>
      <c r="M6" s="211"/>
      <c r="N6" s="210">
        <f>G6</f>
        <v>19200</v>
      </c>
      <c r="O6" s="211"/>
      <c r="P6" s="211"/>
      <c r="Q6" s="211"/>
      <c r="R6" s="206">
        <f>SUM(M6:Q6)</f>
        <v>19200</v>
      </c>
    </row>
    <row r="7" spans="2:18" ht="60" x14ac:dyDescent="0.25">
      <c r="B7" s="192" t="s">
        <v>15</v>
      </c>
      <c r="C7" s="32"/>
      <c r="D7" s="33"/>
      <c r="E7" s="33"/>
      <c r="F7" s="33"/>
      <c r="G7" s="34"/>
      <c r="H7" s="34"/>
      <c r="I7" s="34"/>
      <c r="J7" s="50"/>
      <c r="K7" s="50" t="s">
        <v>926</v>
      </c>
      <c r="M7" s="211"/>
      <c r="N7" s="211"/>
      <c r="O7" s="211"/>
      <c r="P7" s="211"/>
      <c r="Q7" s="211"/>
      <c r="R7" s="206">
        <f t="shared" ref="R7:R9" si="0">SUM(M7:Q7)</f>
        <v>0</v>
      </c>
    </row>
    <row r="8" spans="2:18" ht="30" x14ac:dyDescent="0.25">
      <c r="B8" s="193" t="s">
        <v>16</v>
      </c>
      <c r="C8" s="32" t="s">
        <v>925</v>
      </c>
      <c r="D8" s="55">
        <v>5500</v>
      </c>
      <c r="E8" s="55">
        <v>10</v>
      </c>
      <c r="F8" s="33">
        <f>D8*E8</f>
        <v>55000</v>
      </c>
      <c r="G8" s="34">
        <f>F8</f>
        <v>55000</v>
      </c>
      <c r="H8" s="34"/>
      <c r="I8" s="34"/>
      <c r="J8" s="50" t="s">
        <v>14</v>
      </c>
      <c r="K8" s="50"/>
      <c r="M8" s="211"/>
      <c r="N8" s="210">
        <f>G8</f>
        <v>55000</v>
      </c>
      <c r="O8" s="211"/>
      <c r="P8" s="211"/>
      <c r="Q8" s="211"/>
      <c r="R8" s="206">
        <f t="shared" si="0"/>
        <v>55000</v>
      </c>
    </row>
    <row r="9" spans="2:18" ht="64.5" customHeight="1" x14ac:dyDescent="0.25">
      <c r="B9" s="193" t="s">
        <v>17</v>
      </c>
      <c r="C9" s="32" t="s">
        <v>18</v>
      </c>
      <c r="D9" s="55">
        <f>10*4*550</f>
        <v>22000</v>
      </c>
      <c r="E9" s="55">
        <v>10</v>
      </c>
      <c r="F9" s="33">
        <f>E9*D9</f>
        <v>220000</v>
      </c>
      <c r="G9" s="34">
        <f>F9</f>
        <v>220000</v>
      </c>
      <c r="H9" s="34"/>
      <c r="I9" s="34"/>
      <c r="J9" s="50" t="s">
        <v>24</v>
      </c>
      <c r="K9" s="50" t="s">
        <v>1151</v>
      </c>
      <c r="M9" s="211"/>
      <c r="N9" s="211">
        <f>$G$9/4</f>
        <v>55000</v>
      </c>
      <c r="O9" s="211">
        <f t="shared" ref="O9:Q9" si="1">$G$9/4</f>
        <v>55000</v>
      </c>
      <c r="P9" s="211">
        <f t="shared" si="1"/>
        <v>55000</v>
      </c>
      <c r="Q9" s="211">
        <f t="shared" si="1"/>
        <v>55000</v>
      </c>
      <c r="R9" s="206">
        <f t="shared" si="0"/>
        <v>220000</v>
      </c>
    </row>
  </sheetData>
  <pageMargins left="0.2" right="0.2" top="0.25" bottom="0.25" header="0.3" footer="0.3"/>
  <pageSetup paperSize="5" scale="68" fitToHeight="0"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R9"/>
  <sheetViews>
    <sheetView zoomScale="70" zoomScaleNormal="70" workbookViewId="0">
      <selection activeCell="B42" sqref="B42"/>
    </sheetView>
  </sheetViews>
  <sheetFormatPr defaultRowHeight="15" x14ac:dyDescent="0.25"/>
  <cols>
    <col min="1" max="1" width="3" customWidth="1"/>
    <col min="2" max="2" width="35.42578125" style="1" customWidth="1"/>
    <col min="3" max="3" width="15.42578125" style="13" customWidth="1"/>
    <col min="4" max="4" width="9.5703125" style="19" customWidth="1"/>
    <col min="5" max="5" width="9.140625" style="19" customWidth="1"/>
    <col min="6" max="6" width="17" style="19" customWidth="1"/>
    <col min="7" max="7" width="9.28515625" style="19" customWidth="1"/>
    <col min="8" max="9" width="15.42578125" style="19" customWidth="1"/>
    <col min="10" max="10" width="22" style="1" customWidth="1"/>
    <col min="11" max="11" width="39.140625" customWidth="1"/>
  </cols>
  <sheetData>
    <row r="2" spans="2:18" x14ac:dyDescent="0.25">
      <c r="B2" s="22" t="s">
        <v>1110</v>
      </c>
    </row>
    <row r="4" spans="2:18" ht="45" x14ac:dyDescent="0.25">
      <c r="B4" s="48" t="s">
        <v>1</v>
      </c>
      <c r="C4" s="29" t="s">
        <v>2</v>
      </c>
      <c r="D4" s="30" t="s">
        <v>4</v>
      </c>
      <c r="E4" s="30" t="s">
        <v>3</v>
      </c>
      <c r="F4" s="30" t="s">
        <v>917</v>
      </c>
      <c r="G4" s="31" t="s">
        <v>6</v>
      </c>
      <c r="H4" s="31" t="s">
        <v>941</v>
      </c>
      <c r="I4" s="31" t="s">
        <v>204</v>
      </c>
      <c r="J4" s="49" t="s">
        <v>8</v>
      </c>
      <c r="K4" s="49" t="s">
        <v>22</v>
      </c>
      <c r="M4" s="211">
        <v>2015</v>
      </c>
      <c r="N4" s="211">
        <v>2016</v>
      </c>
      <c r="O4" s="211">
        <v>2017</v>
      </c>
      <c r="P4" s="211">
        <v>2018</v>
      </c>
      <c r="Q4" s="211">
        <v>2019</v>
      </c>
      <c r="R4" s="206" t="s">
        <v>28</v>
      </c>
    </row>
    <row r="5" spans="2:18" x14ac:dyDescent="0.25">
      <c r="B5" s="48" t="s">
        <v>28</v>
      </c>
      <c r="C5" s="29"/>
      <c r="D5" s="30"/>
      <c r="E5" s="30"/>
      <c r="F5" s="30">
        <f>SUM(F6:F9)</f>
        <v>125000</v>
      </c>
      <c r="G5" s="31">
        <f>SUM(G6:G9)</f>
        <v>50000</v>
      </c>
      <c r="H5" s="31">
        <f>SUM(H6:H9)</f>
        <v>75000</v>
      </c>
      <c r="I5" s="31">
        <f>SUM(I6:I9)</f>
        <v>0</v>
      </c>
      <c r="J5" s="49"/>
      <c r="K5" s="49">
        <f>G5+H5</f>
        <v>125000</v>
      </c>
      <c r="M5" s="230"/>
      <c r="N5" s="211"/>
      <c r="O5" s="211"/>
      <c r="P5" s="211"/>
      <c r="Q5" s="211"/>
      <c r="R5" s="211"/>
    </row>
    <row r="6" spans="2:18" ht="30" x14ac:dyDescent="0.25">
      <c r="B6" s="192" t="s">
        <v>21</v>
      </c>
      <c r="C6" s="32"/>
      <c r="D6" s="33"/>
      <c r="E6" s="33"/>
      <c r="F6" s="33"/>
      <c r="G6" s="34"/>
      <c r="H6" s="34"/>
      <c r="I6" s="34"/>
      <c r="J6" s="50"/>
      <c r="K6" s="50" t="s">
        <v>23</v>
      </c>
      <c r="M6" s="211"/>
      <c r="N6" s="211"/>
      <c r="O6" s="211"/>
      <c r="P6" s="245">
        <f>SUM(G7:H9)/2</f>
        <v>62500</v>
      </c>
      <c r="Q6" s="245">
        <f>62500</f>
        <v>62500</v>
      </c>
      <c r="R6" s="245">
        <f>Q6+P6</f>
        <v>125000</v>
      </c>
    </row>
    <row r="7" spans="2:18" x14ac:dyDescent="0.25">
      <c r="B7" s="192" t="s">
        <v>167</v>
      </c>
      <c r="C7" s="32" t="s">
        <v>115</v>
      </c>
      <c r="D7" s="33">
        <v>1</v>
      </c>
      <c r="E7" s="33">
        <v>10000</v>
      </c>
      <c r="F7" s="33">
        <f>D7*E7</f>
        <v>10000</v>
      </c>
      <c r="G7" s="34">
        <f>F7</f>
        <v>10000</v>
      </c>
      <c r="H7" s="34"/>
      <c r="I7" s="34"/>
      <c r="J7" s="50"/>
      <c r="K7" s="50"/>
      <c r="M7" s="211"/>
      <c r="N7" s="211"/>
      <c r="O7" s="211"/>
      <c r="P7" s="245"/>
      <c r="Q7" s="245"/>
      <c r="R7" s="245"/>
    </row>
    <row r="8" spans="2:18" ht="30" x14ac:dyDescent="0.25">
      <c r="B8" s="192" t="s">
        <v>168</v>
      </c>
      <c r="C8" s="32" t="s">
        <v>907</v>
      </c>
      <c r="D8" s="55">
        <v>4</v>
      </c>
      <c r="E8" s="55">
        <v>10000</v>
      </c>
      <c r="F8" s="33">
        <f>D8*E8</f>
        <v>40000</v>
      </c>
      <c r="G8" s="34">
        <f>F8</f>
        <v>40000</v>
      </c>
      <c r="H8" s="34"/>
      <c r="I8" s="34"/>
      <c r="J8" s="50"/>
      <c r="K8" s="50" t="s">
        <v>169</v>
      </c>
      <c r="M8" s="211"/>
      <c r="N8" s="211"/>
      <c r="O8" s="211"/>
      <c r="P8" s="245"/>
      <c r="Q8" s="245"/>
      <c r="R8" s="245"/>
    </row>
    <row r="9" spans="2:18" ht="53.25" customHeight="1" x14ac:dyDescent="0.25">
      <c r="B9" s="192" t="s">
        <v>20</v>
      </c>
      <c r="C9" s="32" t="s">
        <v>2</v>
      </c>
      <c r="D9" s="33">
        <f>5500*12*2</f>
        <v>132000</v>
      </c>
      <c r="E9" s="119">
        <f>25/44</f>
        <v>0.56818181818181823</v>
      </c>
      <c r="F9" s="33">
        <f>D9*E9</f>
        <v>75000</v>
      </c>
      <c r="G9" s="34"/>
      <c r="H9" s="34">
        <f>F9</f>
        <v>75000</v>
      </c>
      <c r="I9" s="34"/>
      <c r="J9" s="50" t="s">
        <v>1182</v>
      </c>
      <c r="K9" s="50" t="s">
        <v>1202</v>
      </c>
      <c r="M9" s="211"/>
      <c r="N9" s="211"/>
      <c r="O9" s="211"/>
      <c r="P9" s="245"/>
      <c r="Q9" s="245"/>
      <c r="R9" s="245"/>
    </row>
  </sheetData>
  <mergeCells count="3">
    <mergeCell ref="P6:P9"/>
    <mergeCell ref="Q6:Q9"/>
    <mergeCell ref="R6:R9"/>
  </mergeCells>
  <pageMargins left="0.2" right="0.2" top="0.25" bottom="0.25" header="0.3" footer="0.3"/>
  <pageSetup paperSize="5" scale="68"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38776268</IDBDocs_x0020_Number>
    <TaxCatchAll xmlns="9c571b2f-e523-4ab2-ba2e-09e151a03ef4">
      <Value>4</Value>
      <Value>3</Value>
    </TaxCatchAll>
    <Phase xmlns="9c571b2f-e523-4ab2-ba2e-09e151a03ef4" xsi:nil="true"/>
    <SISCOR_x0020_Number xmlns="9c571b2f-e523-4ab2-ba2e-09e151a03ef4" xsi:nil="true"/>
    <Division_x0020_or_x0020_Unit xmlns="9c571b2f-e523-4ab2-ba2e-09e151a03ef4">INE/RND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Le Pommellec, Marion</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HA-L1094</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Proposal&lt;/USER_STAGE&gt;&lt;PD_OBJ_TYPE&gt;0&lt;/PD_OBJ_TYPE&gt;&lt;MAKERECORD&gt;N&lt;/MAKERECORD&gt;&lt;/Data&gt;</Migration_x0020_Info>
    <Operation_x0020_Type xmlns="9c571b2f-e523-4ab2-ba2e-09e151a03ef4" xsi:nil="true"/>
    <Document_x0020_Language_x0020_IDB xmlns="9c571b2f-e523-4ab2-ba2e-09e151a03ef4">French</Document_x0020_Language_x0020_IDB>
    <Identifier xmlns="9c571b2f-e523-4ab2-ba2e-09e151a03ef4"> TECFILE</Identifier>
    <Disclosure_x0020_Activity xmlns="9c571b2f-e523-4ab2-ba2e-09e151a03ef4">Loan Proposal</Disclosure_x0020_Activity>
    <Webtopic xmlns="9c571b2f-e523-4ab2-ba2e-09e151a03ef4">sa-nut</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6F65162EE4AE946B1B03F12037A46C0" ma:contentTypeVersion="0" ma:contentTypeDescription="A content type to manage public (operations) IDB documents" ma:contentTypeScope="" ma:versionID="3112414245d14e63aaea75a238d39095">
  <xsd:schema xmlns:xsd="http://www.w3.org/2001/XMLSchema" xmlns:xs="http://www.w3.org/2001/XMLSchema" xmlns:p="http://schemas.microsoft.com/office/2006/metadata/properties" xmlns:ns2="9c571b2f-e523-4ab2-ba2e-09e151a03ef4" targetNamespace="http://schemas.microsoft.com/office/2006/metadata/properties" ma:root="true" ma:fieldsID="d09c5b69cee1cd2827bb8c1849e9b8ae"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76c0645e-ed38-4b88-bd09-bd924f75b1ca}" ma:internalName="TaxCatchAll" ma:showField="CatchAllData" ma:web="62d80119-c9e5-4234-a178-fa32f7f2f46e">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76c0645e-ed38-4b88-bd09-bd924f75b1ca}" ma:internalName="TaxCatchAllLabel" ma:readOnly="true" ma:showField="CatchAllDataLabel" ma:web="62d80119-c9e5-4234-a178-fa32f7f2f46e">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3988F4D6-55E5-4221-9333-FF5824B0AF44}"/>
</file>

<file path=customXml/itemProps2.xml><?xml version="1.0" encoding="utf-8"?>
<ds:datastoreItem xmlns:ds="http://schemas.openxmlformats.org/officeDocument/2006/customXml" ds:itemID="{5E486C60-6D4D-47BE-9A46-18BB5284FCCA}"/>
</file>

<file path=customXml/itemProps3.xml><?xml version="1.0" encoding="utf-8"?>
<ds:datastoreItem xmlns:ds="http://schemas.openxmlformats.org/officeDocument/2006/customXml" ds:itemID="{C6B8B226-25C1-44CD-90B7-AF329F06544E}"/>
</file>

<file path=customXml/itemProps4.xml><?xml version="1.0" encoding="utf-8"?>
<ds:datastoreItem xmlns:ds="http://schemas.openxmlformats.org/officeDocument/2006/customXml" ds:itemID="{CBA1D757-9D44-4DA7-BB5C-C6FB2BA28359}"/>
</file>

<file path=customXml/itemProps5.xml><?xml version="1.0" encoding="utf-8"?>
<ds:datastoreItem xmlns:ds="http://schemas.openxmlformats.org/officeDocument/2006/customXml" ds:itemID="{8DFC5657-65DA-4780-9D13-A0C2D9651B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vt:i4>
      </vt:variant>
    </vt:vector>
  </HeadingPairs>
  <TitlesOfParts>
    <vt:vector size="34" baseType="lpstr">
      <vt:lpstr>TOTAL</vt:lpstr>
      <vt:lpstr>1.1. Infrastruct. construites</vt:lpstr>
      <vt:lpstr>1.2. Infrastruct. équipées</vt:lpstr>
      <vt:lpstr>1.3. Procédures-Manuels-Plans</vt:lpstr>
      <vt:lpstr>1.4. Recouvrement coûts </vt:lpstr>
      <vt:lpstr>1.5. Système d'information</vt:lpstr>
      <vt:lpstr>2.1. Liste pestes et maladies</vt:lpstr>
      <vt:lpstr>2.2. Réseau GSBP formés</vt:lpstr>
      <vt:lpstr>2.3. Bulletin épidémio vég</vt:lpstr>
      <vt:lpstr>2.4. Mouche des Fruits</vt:lpstr>
      <vt:lpstr>2.4b. MdF Calculs</vt:lpstr>
      <vt:lpstr>2.5. Fourmi folle</vt:lpstr>
      <vt:lpstr>2.5b. FF Calculs</vt:lpstr>
      <vt:lpstr>2.6. Labo DPV construit-équipé</vt:lpstr>
      <vt:lpstr>2.7. Plans-Protoc labo DPV</vt:lpstr>
      <vt:lpstr>2.8. Personnel labo DPV formé</vt:lpstr>
      <vt:lpstr>2.9. Analyse de risques</vt:lpstr>
      <vt:lpstr>3.1. GSB formés</vt:lpstr>
      <vt:lpstr>3.2. Echantillons collectés</vt:lpstr>
      <vt:lpstr>3.3. Enquêtes épidémio</vt:lpstr>
      <vt:lpstr>3.4. Bulletins épidémio</vt:lpstr>
      <vt:lpstr>3.5. Paraprof privés formés</vt:lpstr>
      <vt:lpstr>3.6. Anx vaccinés PPC-Teschen</vt:lpstr>
      <vt:lpstr>3.7. Services - Unités Froid</vt:lpstr>
      <vt:lpstr>3.8. Analyse Risques</vt:lpstr>
      <vt:lpstr>3.9. Système Acrréditation</vt:lpstr>
      <vt:lpstr>Prof privés-publics formés</vt:lpstr>
      <vt:lpstr>4.1. Infrastructure LVCQAT</vt:lpstr>
      <vt:lpstr>4.2. LVCQAT équipé</vt:lpstr>
      <vt:lpstr>4.3. Procédures LVCQAT</vt:lpstr>
      <vt:lpstr>4.4. Personnel LVCQAT formé</vt:lpstr>
      <vt:lpstr>Suivi-Evaluation-Audit</vt:lpstr>
      <vt:lpstr>Administration</vt:lpstr>
      <vt:lpstr>Qté_pièges__80__du_total</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Link - Detailed Budget (HA-L1094) </dc:title>
  <dc:creator>Test</dc:creator>
  <cp:lastModifiedBy>Inter-American Development Bank</cp:lastModifiedBy>
  <cp:lastPrinted>2014-04-28T19:20:38Z</cp:lastPrinted>
  <dcterms:created xsi:type="dcterms:W3CDTF">2014-03-17T12:27:18Z</dcterms:created>
  <dcterms:modified xsi:type="dcterms:W3CDTF">2014-05-06T13:56:23Z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0x01010046CF21643EE8D14686A648AA6DAD089200D6F65162EE4AE946B1B03F12037A46C0</vt:lpwstr>
  </property>
  <property fmtid="{D5CDD505-2E9C-101B-9397-08002B2CF9AE}" pid="3" name="TaxKeyword">
    <vt:lpwstr/>
  </property>
  <property fmtid="{D5CDD505-2E9C-101B-9397-08002B2CF9AE}" pid="4" name="Function Operations IDB">
    <vt:lpwstr>4;#IDBDocs|cca77002-e150-4b2d-ab1f-1d7a7cdcae16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