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dbg.sharepoint.com/sites/BR-T1351WSAAGUASSP/Shared Documents/SIMA/SISCOR/ENTRADAS/Plano de Aquisição (PA) - Versão 07/"/>
    </mc:Choice>
  </mc:AlternateContent>
  <xr:revisionPtr revIDLastSave="0" documentId="8_{27522380-0D6F-4077-9D28-E3884A2FF7B5}" xr6:coauthVersionLast="47" xr6:coauthVersionMax="47" xr10:uidLastSave="{00000000-0000-0000-0000-000000000000}"/>
  <bookViews>
    <workbookView xWindow="-108" yWindow="-108" windowWidth="23256" windowHeight="12576" firstSheet="4" activeTab="5" xr2:uid="{8D29C811-9CF3-4212-92D5-C75C82B45232}"/>
  </bookViews>
  <sheets>
    <sheet name="Planilha1" sheetId="1" state="hidden" r:id="rId1"/>
    <sheet name="PA R5 aprovado atual" sheetId="7" state="hidden" r:id="rId2"/>
    <sheet name="Estudos Complementares" sheetId="6" state="hidden" r:id="rId3"/>
    <sheet name="Demonstrativo Proposta PA R6" sheetId="11" state="hidden" r:id="rId4"/>
    <sheet name="PA Atual Aprovado R6" sheetId="10" r:id="rId5"/>
    <sheet name="Proposta PA R7" sheetId="12" r:id="rId6"/>
    <sheet name="Estimativa Estudos Compls. " sheetId="14" r:id="rId7"/>
    <sheet name="Sabesp Mai22" sheetId="13" r:id="rId8"/>
    <sheet name="Cronograma de Desembolso US$ at" sheetId="8" state="hidden" r:id="rId9"/>
    <sheet name="Cronograma de Desembolsos AC3" sheetId="5" state="hidden" r:id="rId10"/>
  </sheets>
  <externalReferences>
    <externalReference r:id="rId11"/>
    <externalReference r:id="rId12"/>
  </externalReferences>
  <definedNames>
    <definedName name="_ftn1" localSheetId="8">#REF!</definedName>
    <definedName name="_ftn1" localSheetId="6">#REF!</definedName>
    <definedName name="_ftn1" localSheetId="7">#REF!</definedName>
    <definedName name="_ftn1">#REF!</definedName>
    <definedName name="_ftn2" localSheetId="8">#REF!</definedName>
    <definedName name="_ftn2">#REF!</definedName>
    <definedName name="_ftn3">#REF!</definedName>
    <definedName name="_ftnref1">#REF!</definedName>
    <definedName name="_ftnref3">#REF!</definedName>
    <definedName name="_xlnm.Print_Area" localSheetId="8">'Cronograma de Desembolso US$ at'!$A$1:$D$38</definedName>
    <definedName name="_xlnm.Print_Area" localSheetId="9">'Cronograma de Desembolsos AC3'!#REF!</definedName>
    <definedName name="_xlnm.Print_Area" localSheetId="4">'PA Atual Aprovado R6'!$A$1:$K$39</definedName>
    <definedName name="_xlnm.Print_Area" localSheetId="1">'PA R5 aprovado atual'!$A$1:$K$37</definedName>
    <definedName name="_xlnm.Print_Area" localSheetId="5">'Proposta PA R7'!$A$1:$K$38</definedName>
    <definedName name="_xlnm.Print_Titles" localSheetId="8">'Cronograma de Desembolso US$ at'!$9:$10</definedName>
    <definedName name="_xlnm.Print_Titles" localSheetId="9">'Cronograma de Desembolsos AC3'!$9:$10</definedName>
    <definedName name="_xlnm.Print_Titles" localSheetId="4">'PA Atual Aprovado R6'!$8:$9</definedName>
    <definedName name="_xlnm.Print_Titles" localSheetId="1">'PA R5 aprovado atual'!$8:$9</definedName>
    <definedName name="_xlnm.Print_Titles" localSheetId="5">'Proposta PA R7'!$8:$9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6" i="14" l="1"/>
  <c r="E25" i="14" s="1"/>
  <c r="G25" i="14" s="1"/>
  <c r="G26" i="14" s="1"/>
  <c r="I26" i="14"/>
  <c r="I17" i="14"/>
  <c r="G5" i="14"/>
  <c r="G6" i="14" s="1"/>
  <c r="D26" i="12"/>
  <c r="D25" i="12"/>
  <c r="D23" i="12" s="1"/>
  <c r="D22" i="12"/>
  <c r="D21" i="12"/>
  <c r="D20" i="12"/>
  <c r="D15" i="12" s="1"/>
  <c r="D12" i="12"/>
  <c r="D10" i="12" s="1"/>
  <c r="R22" i="10"/>
  <c r="R14" i="10"/>
  <c r="Q28" i="10"/>
  <c r="Q22" i="10"/>
  <c r="Q14" i="10"/>
  <c r="D27" i="10"/>
  <c r="D26" i="10"/>
  <c r="D25" i="10"/>
  <c r="D22" i="10"/>
  <c r="D21" i="10"/>
  <c r="D20" i="10"/>
  <c r="D14" i="10"/>
  <c r="D12" i="10"/>
  <c r="H20" i="11"/>
  <c r="J19" i="11"/>
  <c r="K19" i="11" s="1"/>
  <c r="I19" i="11"/>
  <c r="G16" i="14" l="1"/>
  <c r="G17" i="14" s="1"/>
  <c r="D17" i="12"/>
  <c r="D27" i="12"/>
  <c r="H17" i="11"/>
  <c r="H12" i="11"/>
  <c r="K20" i="11"/>
  <c r="O22" i="11" s="1"/>
  <c r="Q22" i="11" s="1"/>
  <c r="K12" i="11"/>
  <c r="D17" i="11"/>
  <c r="D12" i="11"/>
  <c r="D6" i="11"/>
  <c r="D15" i="10"/>
  <c r="D17" i="10"/>
  <c r="D23" i="10"/>
  <c r="CG33" i="8"/>
  <c r="CF33" i="8"/>
  <c r="CE33" i="8"/>
  <c r="CD33" i="8"/>
  <c r="CC33" i="8"/>
  <c r="CB33" i="8"/>
  <c r="CA33" i="8"/>
  <c r="BZ33" i="8"/>
  <c r="BY33" i="8"/>
  <c r="BX33" i="8"/>
  <c r="BW33" i="8"/>
  <c r="BV33" i="8"/>
  <c r="BU33" i="8"/>
  <c r="BT33" i="8"/>
  <c r="BS33" i="8"/>
  <c r="BQ33" i="8"/>
  <c r="BP33" i="8"/>
  <c r="BO33" i="8"/>
  <c r="BN33" i="8"/>
  <c r="BM33" i="8"/>
  <c r="BL33" i="8"/>
  <c r="BK33" i="8"/>
  <c r="BJ33" i="8"/>
  <c r="BI33" i="8"/>
  <c r="BH33" i="8"/>
  <c r="BG33" i="8"/>
  <c r="BF33" i="8"/>
  <c r="BE33" i="8"/>
  <c r="BD33" i="8"/>
  <c r="BC33" i="8"/>
  <c r="BB33" i="8"/>
  <c r="BR33" i="8" s="1"/>
  <c r="CH33" i="8" s="1"/>
  <c r="N32" i="8"/>
  <c r="CG32" i="8" s="1"/>
  <c r="CG31" i="8"/>
  <c r="CD31" i="8"/>
  <c r="CC31" i="8"/>
  <c r="BZ31" i="8"/>
  <c r="BY31" i="8"/>
  <c r="BV31" i="8"/>
  <c r="BN31" i="8"/>
  <c r="BJ31" i="8"/>
  <c r="BF31" i="8"/>
  <c r="BB31" i="8"/>
  <c r="AO31" i="8"/>
  <c r="BU31" i="8" s="1"/>
  <c r="AM31" i="8"/>
  <c r="BS31" i="8" s="1"/>
  <c r="AL31" i="8"/>
  <c r="BQ31" i="8" s="1"/>
  <c r="AK31" i="8"/>
  <c r="BP31" i="8" s="1"/>
  <c r="AI31" i="8"/>
  <c r="AH31" i="8"/>
  <c r="BM31" i="8" s="1"/>
  <c r="AG31" i="8"/>
  <c r="BL31" i="8" s="1"/>
  <c r="AE31" i="8"/>
  <c r="AD31" i="8"/>
  <c r="BI31" i="8" s="1"/>
  <c r="AC31" i="8"/>
  <c r="BH31" i="8" s="1"/>
  <c r="AA31" i="8"/>
  <c r="Z31" i="8"/>
  <c r="BE31" i="8" s="1"/>
  <c r="Y31" i="8"/>
  <c r="BD31" i="8" s="1"/>
  <c r="N31" i="8"/>
  <c r="CF31" i="8" s="1"/>
  <c r="I31" i="8"/>
  <c r="D31" i="8"/>
  <c r="CG30" i="8"/>
  <c r="CG29" i="8" s="1"/>
  <c r="CF30" i="8"/>
  <c r="CD30" i="8"/>
  <c r="CC30" i="8"/>
  <c r="CB30" i="8"/>
  <c r="BZ30" i="8"/>
  <c r="BY30" i="8"/>
  <c r="BX30" i="8"/>
  <c r="BV30" i="8"/>
  <c r="BU30" i="8"/>
  <c r="BQ30" i="8"/>
  <c r="BP30" i="8"/>
  <c r="BM30" i="8"/>
  <c r="BI30" i="8"/>
  <c r="BE30" i="8"/>
  <c r="BB30" i="8"/>
  <c r="AO30" i="8"/>
  <c r="AN30" i="8"/>
  <c r="BT30" i="8" s="1"/>
  <c r="AL30" i="8"/>
  <c r="AK30" i="8"/>
  <c r="AJ30" i="8"/>
  <c r="BO30" i="8" s="1"/>
  <c r="AH30" i="8"/>
  <c r="AG30" i="8"/>
  <c r="BL30" i="8" s="1"/>
  <c r="AF30" i="8"/>
  <c r="BK30" i="8" s="1"/>
  <c r="AD30" i="8"/>
  <c r="AC30" i="8"/>
  <c r="BH30" i="8" s="1"/>
  <c r="AB30" i="8"/>
  <c r="BG30" i="8" s="1"/>
  <c r="Z30" i="8"/>
  <c r="Y30" i="8"/>
  <c r="BD30" i="8" s="1"/>
  <c r="X30" i="8"/>
  <c r="BC30" i="8" s="1"/>
  <c r="N30" i="8"/>
  <c r="AN31" i="8" s="1"/>
  <c r="BT31" i="8" s="1"/>
  <c r="BR28" i="8"/>
  <c r="CH28" i="8" s="1"/>
  <c r="N28" i="8"/>
  <c r="I28" i="8"/>
  <c r="D28" i="8"/>
  <c r="N26" i="8"/>
  <c r="CF25" i="8"/>
  <c r="CE25" i="8"/>
  <c r="CB25" i="8"/>
  <c r="CA25" i="8"/>
  <c r="BX25" i="8"/>
  <c r="BW25" i="8"/>
  <c r="BT25" i="8"/>
  <c r="BS25" i="8"/>
  <c r="BP25" i="8"/>
  <c r="BO25" i="8"/>
  <c r="BL25" i="8"/>
  <c r="BK25" i="8"/>
  <c r="BH25" i="8"/>
  <c r="BG25" i="8"/>
  <c r="BD25" i="8"/>
  <c r="BC25" i="8"/>
  <c r="N25" i="8"/>
  <c r="CD25" i="8" s="1"/>
  <c r="N22" i="8"/>
  <c r="CF22" i="8" s="1"/>
  <c r="BR21" i="8"/>
  <c r="CH21" i="8" s="1"/>
  <c r="I21" i="8"/>
  <c r="D21" i="8"/>
  <c r="BR20" i="8"/>
  <c r="CH20" i="8" s="1"/>
  <c r="CD19" i="8"/>
  <c r="CA19" i="8"/>
  <c r="BZ19" i="8"/>
  <c r="BW19" i="8"/>
  <c r="BV19" i="8"/>
  <c r="BS19" i="8"/>
  <c r="BO19" i="8"/>
  <c r="BN19" i="8"/>
  <c r="BK19" i="8"/>
  <c r="BJ19" i="8"/>
  <c r="BG19" i="8"/>
  <c r="BF19" i="8"/>
  <c r="CG19" i="8" s="1"/>
  <c r="BC19" i="8"/>
  <c r="BB19" i="8"/>
  <c r="CC19" i="8" s="1"/>
  <c r="N19" i="8"/>
  <c r="BY19" i="8" s="1"/>
  <c r="CG18" i="8"/>
  <c r="CF18" i="8"/>
  <c r="CC18" i="8"/>
  <c r="CB18" i="8"/>
  <c r="CA18" i="8"/>
  <c r="BZ18" i="8"/>
  <c r="BY18" i="8"/>
  <c r="BX18" i="8"/>
  <c r="BW18" i="8"/>
  <c r="BV18" i="8"/>
  <c r="BU18" i="8"/>
  <c r="BT18" i="8"/>
  <c r="BS18" i="8"/>
  <c r="BQ18" i="8"/>
  <c r="BP18" i="8"/>
  <c r="BO18" i="8"/>
  <c r="BN18" i="8"/>
  <c r="BM18" i="8"/>
  <c r="BL18" i="8"/>
  <c r="BK18" i="8"/>
  <c r="BJ18" i="8"/>
  <c r="BI18" i="8"/>
  <c r="BH18" i="8"/>
  <c r="BG18" i="8"/>
  <c r="BF18" i="8"/>
  <c r="BE18" i="8"/>
  <c r="BD18" i="8"/>
  <c r="CE18" i="8" s="1"/>
  <c r="BC18" i="8"/>
  <c r="CD18" i="8" s="1"/>
  <c r="BB18" i="8"/>
  <c r="BR18" i="8" s="1"/>
  <c r="CH18" i="8" s="1"/>
  <c r="CG17" i="8"/>
  <c r="CF17" i="8"/>
  <c r="CE17" i="8"/>
  <c r="CD17" i="8"/>
  <c r="CC17" i="8"/>
  <c r="CB17" i="8"/>
  <c r="CA17" i="8"/>
  <c r="BZ17" i="8"/>
  <c r="BY17" i="8"/>
  <c r="BX17" i="8"/>
  <c r="BW17" i="8"/>
  <c r="BV17" i="8"/>
  <c r="BU17" i="8"/>
  <c r="BT17" i="8"/>
  <c r="BS17" i="8"/>
  <c r="BQ17" i="8"/>
  <c r="BP17" i="8"/>
  <c r="BO17" i="8"/>
  <c r="BN17" i="8"/>
  <c r="BM17" i="8"/>
  <c r="BL17" i="8"/>
  <c r="BK17" i="8"/>
  <c r="BJ17" i="8"/>
  <c r="BI17" i="8"/>
  <c r="BH17" i="8"/>
  <c r="BG17" i="8"/>
  <c r="BF17" i="8"/>
  <c r="BE17" i="8"/>
  <c r="BD17" i="8"/>
  <c r="BC17" i="8"/>
  <c r="BB17" i="8"/>
  <c r="BR17" i="8" s="1"/>
  <c r="CH17" i="8" s="1"/>
  <c r="CH16" i="8"/>
  <c r="BR16" i="8"/>
  <c r="N16" i="8"/>
  <c r="I16" i="8"/>
  <c r="I33" i="8" s="1"/>
  <c r="D16" i="8"/>
  <c r="D33" i="8" s="1"/>
  <c r="AT14" i="8"/>
  <c r="BZ14" i="8" s="1"/>
  <c r="AS14" i="8"/>
  <c r="BY14" i="8" s="1"/>
  <c r="AR14" i="8"/>
  <c r="BX14" i="8" s="1"/>
  <c r="AQ14" i="8"/>
  <c r="BW14" i="8" s="1"/>
  <c r="AP14" i="8"/>
  <c r="BV14" i="8" s="1"/>
  <c r="AO14" i="8"/>
  <c r="BU14" i="8" s="1"/>
  <c r="AN14" i="8"/>
  <c r="BT14" i="8" s="1"/>
  <c r="AM14" i="8"/>
  <c r="BS14" i="8" s="1"/>
  <c r="AL14" i="8"/>
  <c r="BQ14" i="8" s="1"/>
  <c r="N14" i="8"/>
  <c r="N15" i="8" s="1"/>
  <c r="N11" i="8"/>
  <c r="I11" i="8"/>
  <c r="D11" i="8"/>
  <c r="O19" i="11" l="1"/>
  <c r="O17" i="11" s="1"/>
  <c r="K17" i="11"/>
  <c r="D22" i="11"/>
  <c r="BI29" i="8"/>
  <c r="CB29" i="8"/>
  <c r="CD15" i="8"/>
  <c r="BZ15" i="8"/>
  <c r="BV15" i="8"/>
  <c r="BV13" i="8" s="1"/>
  <c r="BQ15" i="8"/>
  <c r="BQ13" i="8" s="1"/>
  <c r="BR13" i="8" s="1"/>
  <c r="BM15" i="8"/>
  <c r="BI15" i="8"/>
  <c r="BE15" i="8"/>
  <c r="CG15" i="8"/>
  <c r="CC15" i="8"/>
  <c r="BY15" i="8"/>
  <c r="BY13" i="8" s="1"/>
  <c r="BU15" i="8"/>
  <c r="BP15" i="8"/>
  <c r="BL15" i="8"/>
  <c r="BH15" i="8"/>
  <c r="BD15" i="8"/>
  <c r="BS15" i="8"/>
  <c r="BS13" i="8" s="1"/>
  <c r="BF15" i="8"/>
  <c r="CF15" i="8"/>
  <c r="CB15" i="8"/>
  <c r="BX15" i="8"/>
  <c r="BX13" i="8" s="1"/>
  <c r="BT15" i="8"/>
  <c r="BT13" i="8" s="1"/>
  <c r="BO15" i="8"/>
  <c r="BK15" i="8"/>
  <c r="BG15" i="8"/>
  <c r="BC15" i="8"/>
  <c r="CE15" i="8"/>
  <c r="CA15" i="8"/>
  <c r="BW15" i="8"/>
  <c r="BW13" i="8" s="1"/>
  <c r="BN15" i="8"/>
  <c r="BJ15" i="8"/>
  <c r="BB15" i="8"/>
  <c r="BU13" i="8"/>
  <c r="BZ13" i="8"/>
  <c r="BL29" i="8"/>
  <c r="D32" i="8"/>
  <c r="D34" i="8"/>
  <c r="BD14" i="8"/>
  <c r="CC14" i="8"/>
  <c r="BE22" i="8"/>
  <c r="BI22" i="8"/>
  <c r="BM22" i="8"/>
  <c r="BQ22" i="8"/>
  <c r="BU22" i="8"/>
  <c r="BY22" i="8"/>
  <c r="CC22" i="8"/>
  <c r="CG22" i="8"/>
  <c r="BZ26" i="8"/>
  <c r="BV26" i="8"/>
  <c r="BN26" i="8"/>
  <c r="BJ26" i="8"/>
  <c r="BF26" i="8"/>
  <c r="CG26" i="8" s="1"/>
  <c r="BE26" i="8"/>
  <c r="CF26" i="8" s="1"/>
  <c r="BK26" i="8"/>
  <c r="BP26" i="8"/>
  <c r="BU26" i="8"/>
  <c r="CA26" i="8"/>
  <c r="BL14" i="8"/>
  <c r="BE14" i="8"/>
  <c r="BI14" i="8"/>
  <c r="BM14" i="8"/>
  <c r="CD14" i="8"/>
  <c r="CD13" i="8" s="1"/>
  <c r="N20" i="8"/>
  <c r="N34" i="8" s="1"/>
  <c r="BB22" i="8"/>
  <c r="BF22" i="8"/>
  <c r="BJ22" i="8"/>
  <c r="BN22" i="8"/>
  <c r="BV22" i="8"/>
  <c r="BZ22" i="8"/>
  <c r="CD22" i="8"/>
  <c r="BB26" i="8"/>
  <c r="BG26" i="8"/>
  <c r="BL26" i="8"/>
  <c r="BQ26" i="8"/>
  <c r="BW26" i="8"/>
  <c r="CB26" i="8"/>
  <c r="I32" i="8"/>
  <c r="I34" i="8"/>
  <c r="BH14" i="8"/>
  <c r="BP14" i="8"/>
  <c r="CG14" i="8"/>
  <c r="BB14" i="8"/>
  <c r="BF14" i="8"/>
  <c r="BJ14" i="8"/>
  <c r="BN14" i="8"/>
  <c r="CA14" i="8"/>
  <c r="CA13" i="8" s="1"/>
  <c r="CE14" i="8"/>
  <c r="BD19" i="8"/>
  <c r="CE19" i="8" s="1"/>
  <c r="BH19" i="8"/>
  <c r="BL19" i="8"/>
  <c r="BP19" i="8"/>
  <c r="BT19" i="8"/>
  <c r="BX19" i="8"/>
  <c r="CB19" i="8"/>
  <c r="BC22" i="8"/>
  <c r="BG22" i="8"/>
  <c r="BK22" i="8"/>
  <c r="BO22" i="8"/>
  <c r="BS22" i="8"/>
  <c r="BW22" i="8"/>
  <c r="CA22" i="8"/>
  <c r="CE22" i="8"/>
  <c r="N23" i="8"/>
  <c r="N24" i="8" s="1"/>
  <c r="BE25" i="8"/>
  <c r="BI25" i="8"/>
  <c r="BM25" i="8"/>
  <c r="BQ25" i="8"/>
  <c r="BU25" i="8"/>
  <c r="BY25" i="8"/>
  <c r="CC25" i="8"/>
  <c r="CG25" i="8"/>
  <c r="BC26" i="8"/>
  <c r="CD26" i="8" s="1"/>
  <c r="BH26" i="8"/>
  <c r="BM26" i="8"/>
  <c r="BS26" i="8"/>
  <c r="BX26" i="8"/>
  <c r="N27" i="8"/>
  <c r="BC14" i="8"/>
  <c r="BG14" i="8"/>
  <c r="BK14" i="8"/>
  <c r="BO14" i="8"/>
  <c r="CB14" i="8"/>
  <c r="CB13" i="8" s="1"/>
  <c r="CF14" i="8"/>
  <c r="BE19" i="8"/>
  <c r="CF19" i="8" s="1"/>
  <c r="BI19" i="8"/>
  <c r="BM19" i="8"/>
  <c r="BQ19" i="8"/>
  <c r="BU19" i="8"/>
  <c r="BD22" i="8"/>
  <c r="BH22" i="8"/>
  <c r="BL22" i="8"/>
  <c r="BP22" i="8"/>
  <c r="BT22" i="8"/>
  <c r="BX22" i="8"/>
  <c r="CB22" i="8"/>
  <c r="BB25" i="8"/>
  <c r="BF25" i="8"/>
  <c r="BJ25" i="8"/>
  <c r="BN25" i="8"/>
  <c r="BV25" i="8"/>
  <c r="BZ25" i="8"/>
  <c r="BD26" i="8"/>
  <c r="CE26" i="8" s="1"/>
  <c r="BI26" i="8"/>
  <c r="BO26" i="8"/>
  <c r="BT26" i="8"/>
  <c r="BY26" i="8"/>
  <c r="BB32" i="8"/>
  <c r="BF32" i="8"/>
  <c r="BJ32" i="8"/>
  <c r="BN32" i="8"/>
  <c r="BV32" i="8"/>
  <c r="BV29" i="8" s="1"/>
  <c r="BZ32" i="8"/>
  <c r="BZ29" i="8" s="1"/>
  <c r="CD32" i="8"/>
  <c r="CD29" i="8" s="1"/>
  <c r="BW31" i="8"/>
  <c r="CA31" i="8"/>
  <c r="CE31" i="8"/>
  <c r="BC32" i="8"/>
  <c r="BG32" i="8"/>
  <c r="BG29" i="8" s="1"/>
  <c r="BK32" i="8"/>
  <c r="BO32" i="8"/>
  <c r="BS32" i="8"/>
  <c r="BW32" i="8"/>
  <c r="CA32" i="8"/>
  <c r="CE32" i="8"/>
  <c r="AA30" i="8"/>
  <c r="BF30" i="8" s="1"/>
  <c r="BF29" i="8" s="1"/>
  <c r="AE30" i="8"/>
  <c r="BJ30" i="8" s="1"/>
  <c r="BJ29" i="8" s="1"/>
  <c r="AI30" i="8"/>
  <c r="BN30" i="8" s="1"/>
  <c r="AM30" i="8"/>
  <c r="BS30" i="8" s="1"/>
  <c r="BW30" i="8"/>
  <c r="CA30" i="8"/>
  <c r="CA29" i="8" s="1"/>
  <c r="CE30" i="8"/>
  <c r="CE29" i="8" s="1"/>
  <c r="X31" i="8"/>
  <c r="BC31" i="8" s="1"/>
  <c r="BC29" i="8" s="1"/>
  <c r="AB31" i="8"/>
  <c r="BG31" i="8" s="1"/>
  <c r="AF31" i="8"/>
  <c r="BK31" i="8" s="1"/>
  <c r="BK29" i="8" s="1"/>
  <c r="AJ31" i="8"/>
  <c r="BO31" i="8" s="1"/>
  <c r="BO29" i="8" s="1"/>
  <c r="BX31" i="8"/>
  <c r="CB31" i="8"/>
  <c r="BD32" i="8"/>
  <c r="BD29" i="8" s="1"/>
  <c r="BH32" i="8"/>
  <c r="BH29" i="8" s="1"/>
  <c r="BL32" i="8"/>
  <c r="BP32" i="8"/>
  <c r="BP29" i="8" s="1"/>
  <c r="BT32" i="8"/>
  <c r="BT29" i="8" s="1"/>
  <c r="BX32" i="8"/>
  <c r="CB32" i="8"/>
  <c r="CF32" i="8"/>
  <c r="CF29" i="8" s="1"/>
  <c r="BE32" i="8"/>
  <c r="BE29" i="8" s="1"/>
  <c r="BI32" i="8"/>
  <c r="BM32" i="8"/>
  <c r="BM29" i="8" s="1"/>
  <c r="BQ32" i="8"/>
  <c r="BQ29" i="8" s="1"/>
  <c r="BU32" i="8"/>
  <c r="BU29" i="8" s="1"/>
  <c r="BY32" i="8"/>
  <c r="BY29" i="8" s="1"/>
  <c r="CC32" i="8"/>
  <c r="CC29" i="8" s="1"/>
  <c r="CF13" i="8" l="1"/>
  <c r="CE13" i="8"/>
  <c r="CC13" i="8"/>
  <c r="CB24" i="8"/>
  <c r="BX24" i="8"/>
  <c r="BT24" i="8"/>
  <c r="BP24" i="8"/>
  <c r="BL24" i="8"/>
  <c r="BH24" i="8"/>
  <c r="BD24" i="8"/>
  <c r="CE24" i="8" s="1"/>
  <c r="CA24" i="8"/>
  <c r="BW24" i="8"/>
  <c r="BS24" i="8"/>
  <c r="BO24" i="8"/>
  <c r="BK24" i="8"/>
  <c r="BG24" i="8"/>
  <c r="BC24" i="8"/>
  <c r="CD24" i="8" s="1"/>
  <c r="BZ24" i="8"/>
  <c r="BV24" i="8"/>
  <c r="BN24" i="8"/>
  <c r="BJ24" i="8"/>
  <c r="BF24" i="8"/>
  <c r="CG24" i="8" s="1"/>
  <c r="BB24" i="8"/>
  <c r="BY24" i="8"/>
  <c r="BU24" i="8"/>
  <c r="BQ24" i="8"/>
  <c r="BM24" i="8"/>
  <c r="BI24" i="8"/>
  <c r="BE24" i="8"/>
  <c r="CF24" i="8" s="1"/>
  <c r="BW29" i="8"/>
  <c r="CG13" i="8"/>
  <c r="CH13" i="8" s="1"/>
  <c r="BR26" i="8"/>
  <c r="CH26" i="8" s="1"/>
  <c r="CC26" i="8"/>
  <c r="BE34" i="8"/>
  <c r="BR22" i="8"/>
  <c r="CH22" i="8" s="1"/>
  <c r="BP34" i="8"/>
  <c r="CB27" i="8"/>
  <c r="BX27" i="8"/>
  <c r="BT27" i="8"/>
  <c r="BT34" i="8" s="1"/>
  <c r="BP27" i="8"/>
  <c r="BL27" i="8"/>
  <c r="BH27" i="8"/>
  <c r="BD27" i="8"/>
  <c r="CE27" i="8" s="1"/>
  <c r="BW27" i="8"/>
  <c r="BM27" i="8"/>
  <c r="BG27" i="8"/>
  <c r="BB27" i="8"/>
  <c r="CA27" i="8"/>
  <c r="BV27" i="8"/>
  <c r="BQ27" i="8"/>
  <c r="BK27" i="8"/>
  <c r="BF27" i="8"/>
  <c r="CG27" i="8" s="1"/>
  <c r="BZ27" i="8"/>
  <c r="BU27" i="8"/>
  <c r="BO27" i="8"/>
  <c r="BJ27" i="8"/>
  <c r="BE27" i="8"/>
  <c r="CF27" i="8" s="1"/>
  <c r="BY27" i="8"/>
  <c r="BS27" i="8"/>
  <c r="BN27" i="8"/>
  <c r="BI27" i="8"/>
  <c r="BC27" i="8"/>
  <c r="CD27" i="8" s="1"/>
  <c r="BX29" i="8"/>
  <c r="BS29" i="8"/>
  <c r="BR31" i="8"/>
  <c r="CH31" i="8" s="1"/>
  <c r="CH14" i="8"/>
  <c r="CJ14" i="8" s="1"/>
  <c r="CH15" i="8"/>
  <c r="BU34" i="8"/>
  <c r="CD34" i="8"/>
  <c r="BN29" i="8"/>
  <c r="BN34" i="8" s="1"/>
  <c r="BV34" i="8"/>
  <c r="BR32" i="8"/>
  <c r="CH32" i="8" s="1"/>
  <c r="BR25" i="8"/>
  <c r="CH25" i="8" s="1"/>
  <c r="BR30" i="8"/>
  <c r="CH30" i="8" s="1"/>
  <c r="CJ30" i="8" s="1"/>
  <c r="BZ23" i="8"/>
  <c r="BZ34" i="8" s="1"/>
  <c r="BV23" i="8"/>
  <c r="BN23" i="8"/>
  <c r="BJ23" i="8"/>
  <c r="BJ34" i="8" s="1"/>
  <c r="BF23" i="8"/>
  <c r="CG23" i="8" s="1"/>
  <c r="CG34" i="8" s="1"/>
  <c r="BB23" i="8"/>
  <c r="BY23" i="8"/>
  <c r="BY34" i="8" s="1"/>
  <c r="BU23" i="8"/>
  <c r="BQ23" i="8"/>
  <c r="BQ34" i="8" s="1"/>
  <c r="BM23" i="8"/>
  <c r="BM34" i="8" s="1"/>
  <c r="BI23" i="8"/>
  <c r="BI34" i="8" s="1"/>
  <c r="BE23" i="8"/>
  <c r="CF23" i="8" s="1"/>
  <c r="CF34" i="8" s="1"/>
  <c r="CB23" i="8"/>
  <c r="CB34" i="8" s="1"/>
  <c r="BX23" i="8"/>
  <c r="BT23" i="8"/>
  <c r="BP23" i="8"/>
  <c r="BL23" i="8"/>
  <c r="BL34" i="8" s="1"/>
  <c r="BH23" i="8"/>
  <c r="BH34" i="8" s="1"/>
  <c r="BD23" i="8"/>
  <c r="CE23" i="8" s="1"/>
  <c r="CE34" i="8" s="1"/>
  <c r="CA23" i="8"/>
  <c r="CA34" i="8" s="1"/>
  <c r="BW23" i="8"/>
  <c r="BS23" i="8"/>
  <c r="BO23" i="8"/>
  <c r="BO34" i="8" s="1"/>
  <c r="BK23" i="8"/>
  <c r="BK34" i="8" s="1"/>
  <c r="BG23" i="8"/>
  <c r="BG34" i="8" s="1"/>
  <c r="BC23" i="8"/>
  <c r="CD23" i="8" s="1"/>
  <c r="BR19" i="8"/>
  <c r="CH19" i="8" s="1"/>
  <c r="BW34" i="8" l="1"/>
  <c r="BC34" i="8"/>
  <c r="BS34" i="8"/>
  <c r="BX34" i="8"/>
  <c r="BR24" i="8"/>
  <c r="CC24" i="8"/>
  <c r="BR29" i="8"/>
  <c r="CH29" i="8" s="1"/>
  <c r="CC27" i="8"/>
  <c r="BR27" i="8"/>
  <c r="BR23" i="8"/>
  <c r="CC23" i="8"/>
  <c r="BF34" i="8"/>
  <c r="BB34" i="8"/>
  <c r="BD34" i="8"/>
  <c r="CC34" i="8" l="1"/>
  <c r="CH23" i="8"/>
  <c r="BR34" i="8"/>
  <c r="BB37" i="8"/>
  <c r="CH27" i="8"/>
  <c r="CH24" i="8"/>
  <c r="BC37" i="8" l="1"/>
  <c r="CH34" i="8"/>
  <c r="BB40" i="8" s="1"/>
  <c r="BR37" i="8"/>
  <c r="BR40" i="8" s="1"/>
  <c r="BD37" i="8" l="1"/>
  <c r="BC40" i="8"/>
  <c r="BE37" i="8" l="1"/>
  <c r="BD40" i="8"/>
  <c r="BE40" i="8" l="1"/>
  <c r="BF37" i="8"/>
  <c r="BG37" i="8" l="1"/>
  <c r="BF40" i="8"/>
  <c r="BH37" i="8" l="1"/>
  <c r="BG40" i="8"/>
  <c r="BI37" i="8" l="1"/>
  <c r="BH40" i="8"/>
  <c r="BI40" i="8" l="1"/>
  <c r="BJ37" i="8"/>
  <c r="BK37" i="8" l="1"/>
  <c r="BJ40" i="8"/>
  <c r="BL37" i="8" l="1"/>
  <c r="BK40" i="8"/>
  <c r="BM37" i="8" l="1"/>
  <c r="BL40" i="8"/>
  <c r="BM40" i="8" l="1"/>
  <c r="BN37" i="8"/>
  <c r="BO37" i="8" l="1"/>
  <c r="BN40" i="8"/>
  <c r="BP37" i="8" l="1"/>
  <c r="BO40" i="8"/>
  <c r="BQ37" i="8" l="1"/>
  <c r="BP40" i="8"/>
  <c r="BQ40" i="8" l="1"/>
  <c r="BS37" i="8"/>
  <c r="BT37" i="8" l="1"/>
  <c r="BS40" i="8"/>
  <c r="BU37" i="8" l="1"/>
  <c r="BT40" i="8"/>
  <c r="BU40" i="8" l="1"/>
  <c r="BV37" i="8"/>
  <c r="BW37" i="8" l="1"/>
  <c r="BV40" i="8"/>
  <c r="BX37" i="8" l="1"/>
  <c r="BW40" i="8"/>
  <c r="BY37" i="8" l="1"/>
  <c r="BX40" i="8"/>
  <c r="BY40" i="8" l="1"/>
  <c r="BZ37" i="8"/>
  <c r="CA37" i="8" l="1"/>
  <c r="BZ40" i="8"/>
  <c r="CB37" i="8" l="1"/>
  <c r="CA40" i="8"/>
  <c r="CC37" i="8" l="1"/>
  <c r="CB40" i="8"/>
  <c r="CC40" i="8" l="1"/>
  <c r="CD37" i="8"/>
  <c r="CE37" i="8" l="1"/>
  <c r="CD40" i="8"/>
  <c r="CF37" i="8" l="1"/>
  <c r="CE40" i="8"/>
  <c r="D26" i="7"/>
  <c r="D22" i="7"/>
  <c r="D17" i="7"/>
  <c r="D15" i="7"/>
  <c r="D10" i="7"/>
  <c r="K11" i="6"/>
  <c r="CG37" i="8" l="1"/>
  <c r="CG40" i="8" s="1"/>
  <c r="CF40" i="8"/>
  <c r="D17" i="5"/>
  <c r="D16" i="5" s="1"/>
  <c r="D11" i="5" s="1"/>
  <c r="D21" i="5"/>
  <c r="D20" i="5"/>
  <c r="CA28" i="5" l="1"/>
  <c r="BZ28" i="5"/>
  <c r="BY28" i="5"/>
  <c r="BX28" i="5"/>
  <c r="BW28" i="5"/>
  <c r="CB25" i="5"/>
  <c r="CB24" i="5"/>
  <c r="CB23" i="5"/>
  <c r="CB19" i="5"/>
  <c r="CB18" i="5"/>
  <c r="CB16" i="5"/>
  <c r="CB13" i="5"/>
  <c r="BV28" i="5"/>
  <c r="BU28" i="5"/>
  <c r="BT28" i="5"/>
  <c r="BS28" i="5"/>
  <c r="BR28" i="5"/>
  <c r="BQ28" i="5"/>
  <c r="BP28" i="5"/>
  <c r="BO28" i="5"/>
  <c r="BN28" i="5"/>
  <c r="BM28" i="5"/>
  <c r="BL28" i="5"/>
  <c r="BK28" i="5"/>
  <c r="BJ28" i="5"/>
  <c r="BI28" i="5"/>
  <c r="BH28" i="5"/>
  <c r="BG28" i="5"/>
  <c r="BF28" i="5"/>
  <c r="BE28" i="5"/>
  <c r="BD28" i="5"/>
  <c r="BA28" i="5"/>
  <c r="AZ28" i="5"/>
  <c r="AY28" i="5"/>
  <c r="AX28" i="5"/>
  <c r="AW28" i="5"/>
  <c r="AV28" i="5"/>
  <c r="AU28" i="5"/>
  <c r="AT28" i="5"/>
  <c r="U28" i="5"/>
  <c r="D26" i="5"/>
  <c r="BU26" i="5" s="1"/>
  <c r="D24" i="5"/>
  <c r="U22" i="5"/>
  <c r="U21" i="5"/>
  <c r="BS21" i="5"/>
  <c r="U20" i="5"/>
  <c r="CA20" i="5"/>
  <c r="BW17" i="5"/>
  <c r="U15" i="5"/>
  <c r="AL14" i="5"/>
  <c r="AK14" i="5"/>
  <c r="AJ14" i="5"/>
  <c r="AI14" i="5"/>
  <c r="AH14" i="5"/>
  <c r="AG14" i="5"/>
  <c r="AF14" i="5"/>
  <c r="AE14" i="5"/>
  <c r="U14" i="5"/>
  <c r="D14" i="5"/>
  <c r="BD14" i="5" s="1"/>
  <c r="U13" i="5"/>
  <c r="AU17" i="5" l="1"/>
  <c r="BD17" i="5"/>
  <c r="BL17" i="5"/>
  <c r="BT17" i="5"/>
  <c r="AV17" i="5"/>
  <c r="BE17" i="5"/>
  <c r="BM17" i="5"/>
  <c r="BU17" i="5"/>
  <c r="AY17" i="5"/>
  <c r="BH17" i="5"/>
  <c r="BP17" i="5"/>
  <c r="BX17" i="5"/>
  <c r="AZ17" i="5"/>
  <c r="BI17" i="5"/>
  <c r="BQ17" i="5"/>
  <c r="BY17" i="5"/>
  <c r="BN14" i="5"/>
  <c r="BR14" i="5"/>
  <c r="BF14" i="5"/>
  <c r="BX14" i="5"/>
  <c r="BX20" i="5"/>
  <c r="BW21" i="5"/>
  <c r="CA21" i="5"/>
  <c r="BZ26" i="5"/>
  <c r="BY14" i="5"/>
  <c r="BY20" i="5"/>
  <c r="BX21" i="5"/>
  <c r="BW26" i="5"/>
  <c r="CA26" i="5"/>
  <c r="BP14" i="5"/>
  <c r="BG20" i="5"/>
  <c r="Y26" i="5"/>
  <c r="BG26" i="5" s="1"/>
  <c r="BZ14" i="5"/>
  <c r="BZ20" i="5"/>
  <c r="BY21" i="5"/>
  <c r="BX26" i="5"/>
  <c r="AW17" i="5"/>
  <c r="BA17" i="5"/>
  <c r="BF17" i="5"/>
  <c r="BJ17" i="5"/>
  <c r="BN17" i="5"/>
  <c r="BR17" i="5"/>
  <c r="BV17" i="5"/>
  <c r="BZ17" i="5"/>
  <c r="AU14" i="5"/>
  <c r="BW14" i="5"/>
  <c r="CA14" i="5"/>
  <c r="BW20" i="5"/>
  <c r="BZ21" i="5"/>
  <c r="BY26" i="5"/>
  <c r="AT17" i="5"/>
  <c r="CA17" i="5" s="1"/>
  <c r="AX17" i="5"/>
  <c r="BC17" i="5"/>
  <c r="BG17" i="5"/>
  <c r="BK17" i="5"/>
  <c r="BO17" i="5"/>
  <c r="BS17" i="5"/>
  <c r="BP20" i="5"/>
  <c r="Z26" i="5"/>
  <c r="BH26" i="5" s="1"/>
  <c r="BD21" i="5"/>
  <c r="N26" i="5"/>
  <c r="AU26" i="5" s="1"/>
  <c r="AT26" i="5"/>
  <c r="AU20" i="5"/>
  <c r="P26" i="5"/>
  <c r="AW26" i="5" s="1"/>
  <c r="BO26" i="5"/>
  <c r="BC28" i="5"/>
  <c r="CB28" i="5" s="1"/>
  <c r="BO14" i="5"/>
  <c r="AV20" i="5"/>
  <c r="BQ20" i="5"/>
  <c r="Q26" i="5"/>
  <c r="AX26" i="5" s="1"/>
  <c r="AD26" i="5"/>
  <c r="BL26" i="5" s="1"/>
  <c r="BR26" i="5"/>
  <c r="BE20" i="5"/>
  <c r="AW21" i="5"/>
  <c r="V26" i="5"/>
  <c r="BD26" i="5" s="1"/>
  <c r="AF26" i="5"/>
  <c r="BN26" i="5" s="1"/>
  <c r="D27" i="5"/>
  <c r="BQ27" i="5" s="1"/>
  <c r="BJ14" i="5"/>
  <c r="AZ14" i="5"/>
  <c r="BK14" i="5"/>
  <c r="BV14" i="5"/>
  <c r="AZ20" i="5"/>
  <c r="BK20" i="5"/>
  <c r="BU20" i="5"/>
  <c r="BK21" i="5"/>
  <c r="BS26" i="5"/>
  <c r="BV27" i="5"/>
  <c r="BS14" i="5"/>
  <c r="AY14" i="5"/>
  <c r="BT14" i="5"/>
  <c r="BM14" i="5"/>
  <c r="BQ14" i="5"/>
  <c r="AT14" i="5"/>
  <c r="BA20" i="5"/>
  <c r="BL20" i="5"/>
  <c r="T26" i="5"/>
  <c r="BA26" i="5" s="1"/>
  <c r="AB26" i="5"/>
  <c r="BJ26" i="5" s="1"/>
  <c r="BA27" i="5"/>
  <c r="BV21" i="5"/>
  <c r="BR21" i="5"/>
  <c r="BN21" i="5"/>
  <c r="BJ21" i="5"/>
  <c r="BF21" i="5"/>
  <c r="AX21" i="5"/>
  <c r="AT21" i="5"/>
  <c r="BQ21" i="5"/>
  <c r="BL21" i="5"/>
  <c r="BG21" i="5"/>
  <c r="BA21" i="5"/>
  <c r="AV21" i="5"/>
  <c r="AY21" i="5"/>
  <c r="BE21" i="5"/>
  <c r="BM21" i="5"/>
  <c r="BT21" i="5"/>
  <c r="BU14" i="5"/>
  <c r="BI14" i="5"/>
  <c r="BE14" i="5"/>
  <c r="BA14" i="5"/>
  <c r="AW14" i="5"/>
  <c r="AV14" i="5"/>
  <c r="BG14" i="5"/>
  <c r="BL14" i="5"/>
  <c r="BV20" i="5"/>
  <c r="BR20" i="5"/>
  <c r="BN20" i="5"/>
  <c r="BJ20" i="5"/>
  <c r="BF20" i="5"/>
  <c r="AX20" i="5"/>
  <c r="AT20" i="5"/>
  <c r="AW20" i="5"/>
  <c r="BH20" i="5"/>
  <c r="BM20" i="5"/>
  <c r="BS20" i="5"/>
  <c r="AZ21" i="5"/>
  <c r="BH21" i="5"/>
  <c r="BO21" i="5"/>
  <c r="BU21" i="5"/>
  <c r="AX14" i="5"/>
  <c r="BH14" i="5"/>
  <c r="D15" i="5"/>
  <c r="AY20" i="5"/>
  <c r="BD20" i="5"/>
  <c r="BI20" i="5"/>
  <c r="BO20" i="5"/>
  <c r="BT20" i="5"/>
  <c r="AU21" i="5"/>
  <c r="BI21" i="5"/>
  <c r="BP21" i="5"/>
  <c r="BT26" i="5"/>
  <c r="BP26" i="5"/>
  <c r="AE26" i="5"/>
  <c r="BM26" i="5" s="1"/>
  <c r="AA26" i="5"/>
  <c r="BI26" i="5" s="1"/>
  <c r="W26" i="5"/>
  <c r="BE26" i="5" s="1"/>
  <c r="S26" i="5"/>
  <c r="AZ26" i="5" s="1"/>
  <c r="O26" i="5"/>
  <c r="AV26" i="5" s="1"/>
  <c r="R26" i="5"/>
  <c r="AY26" i="5" s="1"/>
  <c r="X26" i="5"/>
  <c r="BF26" i="5" s="1"/>
  <c r="AC26" i="5"/>
  <c r="BK26" i="5" s="1"/>
  <c r="BQ26" i="5"/>
  <c r="BV26" i="5"/>
  <c r="BU27" i="5"/>
  <c r="AU27" i="5" l="1"/>
  <c r="BJ27" i="5"/>
  <c r="CB17" i="5"/>
  <c r="AY27" i="5"/>
  <c r="BT27" i="5"/>
  <c r="BS27" i="5"/>
  <c r="BZ15" i="5"/>
  <c r="BY15" i="5"/>
  <c r="BX15" i="5"/>
  <c r="CA15" i="5"/>
  <c r="BW15" i="5"/>
  <c r="AW27" i="5"/>
  <c r="BN27" i="5"/>
  <c r="BM27" i="5"/>
  <c r="BZ27" i="5"/>
  <c r="BY27" i="5"/>
  <c r="BX27" i="5"/>
  <c r="CA27" i="5"/>
  <c r="BW27" i="5"/>
  <c r="BE27" i="5"/>
  <c r="BI27" i="5"/>
  <c r="BK27" i="5"/>
  <c r="BR27" i="5"/>
  <c r="AZ27" i="5"/>
  <c r="AX27" i="5"/>
  <c r="BO27" i="5"/>
  <c r="AV27" i="5"/>
  <c r="BF27" i="5"/>
  <c r="D23" i="5"/>
  <c r="BP27" i="5"/>
  <c r="AT27" i="5"/>
  <c r="BD27" i="5"/>
  <c r="BG27" i="5"/>
  <c r="BL27" i="5"/>
  <c r="BH27" i="5"/>
  <c r="BC26" i="5"/>
  <c r="CB26" i="5" s="1"/>
  <c r="BC21" i="5"/>
  <c r="CB21" i="5" s="1"/>
  <c r="BU15" i="5"/>
  <c r="BQ15" i="5"/>
  <c r="BM15" i="5"/>
  <c r="BI15" i="5"/>
  <c r="BE15" i="5"/>
  <c r="BA15" i="5"/>
  <c r="AW15" i="5"/>
  <c r="BR15" i="5"/>
  <c r="BL15" i="5"/>
  <c r="BG15" i="5"/>
  <c r="AV15" i="5"/>
  <c r="BV15" i="5"/>
  <c r="BP15" i="5"/>
  <c r="BK15" i="5"/>
  <c r="BF15" i="5"/>
  <c r="AZ15" i="5"/>
  <c r="AU15" i="5"/>
  <c r="BT15" i="5"/>
  <c r="BO15" i="5"/>
  <c r="BJ15" i="5"/>
  <c r="BD15" i="5"/>
  <c r="AY15" i="5"/>
  <c r="AT15" i="5"/>
  <c r="BS15" i="5"/>
  <c r="BN15" i="5"/>
  <c r="BH15" i="5"/>
  <c r="AX15" i="5"/>
  <c r="BC20" i="5"/>
  <c r="CB20" i="5" s="1"/>
  <c r="U26" i="5"/>
  <c r="BC14" i="5"/>
  <c r="CB14" i="5" s="1"/>
  <c r="BC27" i="5" l="1"/>
  <c r="CB27" i="5"/>
  <c r="BC15" i="5"/>
  <c r="CB15" i="5" s="1"/>
  <c r="D24" i="1" l="1"/>
  <c r="D25" i="1" s="1"/>
  <c r="D21" i="1" s="1"/>
  <c r="D22" i="1"/>
  <c r="D18" i="1"/>
  <c r="D15" i="1"/>
  <c r="D13" i="1"/>
  <c r="D12" i="1"/>
  <c r="D9" i="1"/>
  <c r="D7" i="1"/>
  <c r="D8" i="1" s="1"/>
  <c r="D4" i="1"/>
  <c r="D27" i="1" l="1"/>
  <c r="D19" i="1"/>
  <c r="D20" i="1" s="1"/>
  <c r="D16" i="1"/>
  <c r="D17" i="1" s="1"/>
  <c r="D22" i="5" l="1"/>
  <c r="CA22" i="5" l="1"/>
  <c r="CA29" i="5" s="1"/>
  <c r="BM22" i="5"/>
  <c r="BM29" i="5" s="1"/>
  <c r="BL22" i="5"/>
  <c r="BL29" i="5" s="1"/>
  <c r="AV22" i="5"/>
  <c r="AV29" i="5" s="1"/>
  <c r="AU22" i="5"/>
  <c r="AU29" i="5" s="1"/>
  <c r="AU30" i="5" s="1"/>
  <c r="BD22" i="5"/>
  <c r="BD29" i="5" s="1"/>
  <c r="AY22" i="5"/>
  <c r="AY29" i="5" s="1"/>
  <c r="AZ22" i="5"/>
  <c r="AZ29" i="5" s="1"/>
  <c r="AW22" i="5"/>
  <c r="AW29" i="5" s="1"/>
  <c r="BN22" i="5"/>
  <c r="BN29" i="5" s="1"/>
  <c r="AX22" i="5"/>
  <c r="AX29" i="5" s="1"/>
  <c r="BS22" i="5"/>
  <c r="BS29" i="5" s="1"/>
  <c r="BT22" i="5"/>
  <c r="BT29" i="5" s="1"/>
  <c r="BH22" i="5"/>
  <c r="BH29" i="5" s="1"/>
  <c r="BI22" i="5"/>
  <c r="BI29" i="5" s="1"/>
  <c r="BA22" i="5"/>
  <c r="BA29" i="5" s="1"/>
  <c r="BR22" i="5"/>
  <c r="BR29" i="5" s="1"/>
  <c r="BG22" i="5"/>
  <c r="BG29" i="5" s="1"/>
  <c r="BW22" i="5"/>
  <c r="BW29" i="5" s="1"/>
  <c r="BE22" i="5"/>
  <c r="BE29" i="5" s="1"/>
  <c r="BP22" i="5"/>
  <c r="BP29" i="5" s="1"/>
  <c r="BQ22" i="5"/>
  <c r="BQ29" i="5" s="1"/>
  <c r="BF22" i="5"/>
  <c r="BF29" i="5" s="1"/>
  <c r="BV22" i="5"/>
  <c r="BV29" i="5" s="1"/>
  <c r="BK22" i="5"/>
  <c r="BK29" i="5" s="1"/>
  <c r="D18" i="5"/>
  <c r="D29" i="5" s="1"/>
  <c r="BB22" i="5" s="1"/>
  <c r="BU22" i="5"/>
  <c r="BU29" i="5" s="1"/>
  <c r="BX22" i="5"/>
  <c r="BX29" i="5" s="1"/>
  <c r="BY22" i="5"/>
  <c r="BY29" i="5" s="1"/>
  <c r="BJ22" i="5"/>
  <c r="BJ29" i="5" s="1"/>
  <c r="BZ22" i="5"/>
  <c r="BZ29" i="5" s="1"/>
  <c r="BO22" i="5"/>
  <c r="BO29" i="5" s="1"/>
  <c r="AT22" i="5"/>
  <c r="BC22" i="5" l="1"/>
  <c r="AT29" i="5"/>
  <c r="BB26" i="5"/>
  <c r="BB15" i="5"/>
  <c r="BB25" i="5"/>
  <c r="BB20" i="5"/>
  <c r="BB21" i="5"/>
  <c r="BB28" i="5"/>
  <c r="BB14" i="5"/>
  <c r="BB17" i="5"/>
  <c r="BB27" i="5"/>
  <c r="AV30" i="5"/>
  <c r="AW30" i="5" l="1"/>
  <c r="BC29" i="5"/>
  <c r="CB22" i="5"/>
  <c r="BC30" i="5" l="1"/>
  <c r="CB29" i="5"/>
  <c r="AW31" i="5" s="1"/>
  <c r="AX30" i="5"/>
  <c r="BD30" i="5" l="1"/>
  <c r="BC31" i="5"/>
  <c r="AX31" i="5"/>
  <c r="AY30" i="5"/>
  <c r="AU31" i="5"/>
  <c r="AV31" i="5"/>
  <c r="AZ30" i="5" l="1"/>
  <c r="AY31" i="5"/>
  <c r="BE30" i="5"/>
  <c r="BD31" i="5"/>
  <c r="BE31" i="5" l="1"/>
  <c r="BF30" i="5"/>
  <c r="AZ31" i="5"/>
  <c r="BA30" i="5"/>
  <c r="BA31" i="5" s="1"/>
  <c r="BF31" i="5" l="1"/>
  <c r="BG30" i="5"/>
  <c r="BH30" i="5" l="1"/>
  <c r="BG31" i="5"/>
  <c r="BI30" i="5" l="1"/>
  <c r="BH31" i="5"/>
  <c r="BI31" i="5" l="1"/>
  <c r="BJ30" i="5"/>
  <c r="BJ31" i="5" l="1"/>
  <c r="BK30" i="5"/>
  <c r="BL30" i="5" l="1"/>
  <c r="BK31" i="5"/>
  <c r="BM30" i="5" l="1"/>
  <c r="BL31" i="5"/>
  <c r="BM31" i="5" l="1"/>
  <c r="BN30" i="5"/>
  <c r="BN31" i="5" l="1"/>
  <c r="BO30" i="5"/>
  <c r="BP30" i="5" l="1"/>
  <c r="BO31" i="5"/>
  <c r="BQ30" i="5" l="1"/>
  <c r="BP31" i="5"/>
  <c r="BQ31" i="5" l="1"/>
  <c r="BR30" i="5"/>
  <c r="BR31" i="5" l="1"/>
  <c r="BS30" i="5"/>
  <c r="BT30" i="5" l="1"/>
  <c r="BS31" i="5"/>
  <c r="BU30" i="5" l="1"/>
  <c r="BT31" i="5"/>
  <c r="BU31" i="5" l="1"/>
  <c r="BV30" i="5"/>
  <c r="BV31" i="5" l="1"/>
  <c r="BW30" i="5"/>
  <c r="BX30" i="5" l="1"/>
  <c r="BW31" i="5"/>
  <c r="BY30" i="5" l="1"/>
  <c r="BX31" i="5"/>
  <c r="BZ30" i="5" l="1"/>
  <c r="BY31" i="5"/>
  <c r="BZ31" i="5" l="1"/>
  <c r="CA30" i="5"/>
  <c r="CA31" i="5" s="1"/>
  <c r="D10" i="10" l="1"/>
  <c r="D28" i="10" s="1"/>
  <c r="J8" i="11"/>
  <c r="K8" i="11" s="1"/>
  <c r="O8" i="11" l="1"/>
  <c r="K9" i="11"/>
  <c r="O11" i="11" s="1"/>
  <c r="H9" i="11"/>
  <c r="H6" i="11" s="1"/>
  <c r="H22" i="11" s="1"/>
  <c r="Q11" i="11" l="1"/>
  <c r="O16" i="11"/>
  <c r="O6" i="11"/>
  <c r="K6" i="11"/>
  <c r="K22" i="11" s="1"/>
  <c r="Q16" i="11" l="1"/>
  <c r="O15" i="11"/>
  <c r="O14" i="11"/>
  <c r="O12" i="11" s="1"/>
  <c r="O23" i="11" s="1"/>
  <c r="Q23" i="11"/>
</calcChain>
</file>

<file path=xl/sharedStrings.xml><?xml version="1.0" encoding="utf-8"?>
<sst xmlns="http://schemas.openxmlformats.org/spreadsheetml/2006/main" count="714" uniqueCount="157">
  <si>
    <t>COMPONENTE 1</t>
  </si>
  <si>
    <t>1.1</t>
  </si>
  <si>
    <t>Firmas de Consultoria</t>
  </si>
  <si>
    <t>1.1.1</t>
  </si>
  <si>
    <t>Elaboração de Estudos e Propostas para Aperfeiçoar os Instrumentos de Gestão de Recursos Hídricos (anteriores 1.1 à 1.4 e 3.1)</t>
  </si>
  <si>
    <t>1.1.1.1</t>
  </si>
  <si>
    <t>Elaboração de Estudos e Propostas para Aperfeiçoar os Instrumentos de Gestão de Recursos Hídricos - Contratado</t>
  </si>
  <si>
    <t>1.1.1.2</t>
  </si>
  <si>
    <t>Elaboração de Estudos e Propostas para Aperfeiçoar os Instrumentos de Gestão de Recursos Hídricos - Saldo</t>
  </si>
  <si>
    <t>Consultor Individual</t>
  </si>
  <si>
    <t>1.2.1</t>
  </si>
  <si>
    <t>Estudos complementares</t>
  </si>
  <si>
    <t>1.2.1.1</t>
  </si>
  <si>
    <t>Estudos complementares - Estimativa atual</t>
  </si>
  <si>
    <t>1.2.1.2</t>
  </si>
  <si>
    <t>Estudos complementares - Saldo</t>
  </si>
  <si>
    <t>COMPONENTE 3</t>
  </si>
  <si>
    <t>3.1</t>
  </si>
  <si>
    <t>3.1.1</t>
  </si>
  <si>
    <t>Organização e execução de eventos de intercâmbio de experiências</t>
  </si>
  <si>
    <t>3.1.1.1</t>
  </si>
  <si>
    <t>Organização e execução de eventos de intercâmbio de experiências - Reduzido</t>
  </si>
  <si>
    <t>3.1.1.2</t>
  </si>
  <si>
    <t>Organização e execução de eventos de intercâmbio de experiências - Saldo</t>
  </si>
  <si>
    <t>3.1.2</t>
  </si>
  <si>
    <t>Notas Tecnicas de Conhecimento dos Produtos da CT</t>
  </si>
  <si>
    <t>3.1.2.1</t>
  </si>
  <si>
    <t>Notas Tecnicas de Conhecimento dos Produtos da CT - Reduzido</t>
  </si>
  <si>
    <t>3.1.2.2</t>
  </si>
  <si>
    <t>Notas Tecnicas de Conhecimento dos Produtos da CT - Saldo</t>
  </si>
  <si>
    <t>COMPONENTE - Outros custos de execução</t>
  </si>
  <si>
    <t>OUTROS CUSTOS DE EXECUÇÃO</t>
  </si>
  <si>
    <t>4.1</t>
  </si>
  <si>
    <t>Apoio à Unidade Executora da Cooperação Técnica</t>
  </si>
  <si>
    <t>4.1.1</t>
  </si>
  <si>
    <t>Apoio à Unidade Executora da CT - Contratado</t>
  </si>
  <si>
    <t>4.1.2</t>
  </si>
  <si>
    <t>Apoio à Unidade Executora da CT - Saldo</t>
  </si>
  <si>
    <t>4.2</t>
  </si>
  <si>
    <t>Auditoria e Relatório Final</t>
  </si>
  <si>
    <t>Total</t>
  </si>
  <si>
    <t>Nº Item</t>
  </si>
  <si>
    <t>Descrição das Aquisições
(1)</t>
  </si>
  <si>
    <t>Custo Estimado da Aquisição      (US$)</t>
  </si>
  <si>
    <t>CONTRATAÇÕES E SALDOS</t>
  </si>
  <si>
    <t>Estudos Complementares</t>
  </si>
  <si>
    <t>R$</t>
  </si>
  <si>
    <t>Observações</t>
  </si>
  <si>
    <t>Método de Aquisição
(2)</t>
  </si>
  <si>
    <t>Revisão das Aquisições
 (3)</t>
  </si>
  <si>
    <t>Fonte de Financiamento e Percentual</t>
  </si>
  <si>
    <t>Data Estimada do Anúncio da Aquisição ou do Início da Contratação</t>
  </si>
  <si>
    <t>Revisão Técnica do Chefe de Equipe
(4)</t>
  </si>
  <si>
    <t>Comentários</t>
  </si>
  <si>
    <t>Acumulado até mai-21</t>
  </si>
  <si>
    <t>Part %</t>
  </si>
  <si>
    <t>BID %</t>
  </si>
  <si>
    <t>Local %</t>
  </si>
  <si>
    <t>SBQC</t>
  </si>
  <si>
    <t>Ex-Ante</t>
  </si>
  <si>
    <t>Sim</t>
  </si>
  <si>
    <t>contratado</t>
  </si>
  <si>
    <t>CI</t>
  </si>
  <si>
    <t>Ex Post</t>
  </si>
  <si>
    <t>à contratar</t>
  </si>
  <si>
    <t>Acumulado</t>
  </si>
  <si>
    <t xml:space="preserve">Cronograma de Execução </t>
  </si>
  <si>
    <t>3.1.3</t>
  </si>
  <si>
    <t>1.2</t>
  </si>
  <si>
    <t>% Acumulado</t>
  </si>
  <si>
    <t xml:space="preserve">Banco Interamericano de Desarrollo </t>
  </si>
  <si>
    <t>VPC/FMP</t>
  </si>
  <si>
    <t>PLANO DE AQUISIÇÕES (PA)</t>
  </si>
  <si>
    <r>
      <t xml:space="preserve">País: </t>
    </r>
    <r>
      <rPr>
        <sz val="12"/>
        <rFont val="Times New Roman"/>
        <family val="1"/>
      </rPr>
      <t>Brasil</t>
    </r>
  </si>
  <si>
    <r>
      <t xml:space="preserve">Agência Executora (AE): Estado de São Paulo, </t>
    </r>
    <r>
      <rPr>
        <sz val="12"/>
        <rFont val="Times New Roman"/>
        <family val="1"/>
      </rPr>
      <t>por meio da</t>
    </r>
    <r>
      <rPr>
        <sz val="12"/>
        <color rgb="FF0070C0"/>
        <rFont val="Times New Roman"/>
        <family val="1"/>
      </rPr>
      <t xml:space="preserve"> Secretaria de Saneamento e Recursos Hídricos do Estado de São Paulo</t>
    </r>
    <r>
      <rPr>
        <sz val="12"/>
        <rFont val="Times New Roman"/>
        <family val="1"/>
      </rPr>
      <t>.</t>
    </r>
  </si>
  <si>
    <r>
      <t xml:space="preserve">Setor Público ou  Privado: </t>
    </r>
    <r>
      <rPr>
        <sz val="12"/>
        <rFont val="Times New Roman"/>
        <family val="1"/>
      </rPr>
      <t xml:space="preserve"> Público</t>
    </r>
  </si>
  <si>
    <r>
      <t xml:space="preserve">Número da Cooperação Técnica: </t>
    </r>
    <r>
      <rPr>
        <sz val="12"/>
        <rFont val="Times New Roman"/>
        <family val="1"/>
      </rPr>
      <t>BR-T1351</t>
    </r>
  </si>
  <si>
    <r>
      <t xml:space="preserve">Nome do Projeto: </t>
    </r>
    <r>
      <rPr>
        <sz val="12"/>
        <rFont val="Times New Roman"/>
        <family val="1"/>
      </rPr>
      <t>Fortalecimento da Capacidade de Prevenção e Gestão de Crises Hídricas pelo Estado de São Paulo</t>
    </r>
  </si>
  <si>
    <t>Período do Plano: 18 meses</t>
  </si>
  <si>
    <t>SIMULAÇÃO</t>
  </si>
  <si>
    <t>bid</t>
  </si>
  <si>
    <t>local</t>
  </si>
  <si>
    <t>PROPOSTA DE ALTERAÇÃO</t>
  </si>
  <si>
    <t>%</t>
  </si>
  <si>
    <t>Elaboração de Estudos e Propostas para Aperfeiçoar os Instrumentos de Gestão de Recursos Hídricos</t>
  </si>
  <si>
    <t>Sub-Total Comp 3</t>
  </si>
  <si>
    <t>3.2</t>
  </si>
  <si>
    <t>Consultores Individuais</t>
  </si>
  <si>
    <t>Mai-2022</t>
  </si>
  <si>
    <t xml:space="preserve">Revisto por: </t>
  </si>
  <si>
    <t>23/10/2019</t>
  </si>
  <si>
    <t>Notas:</t>
  </si>
  <si>
    <r>
      <rPr>
        <b/>
        <vertAlign val="superscript"/>
        <sz val="12"/>
        <rFont val="Times New Roman"/>
        <family val="1"/>
      </rPr>
      <t>(1)</t>
    </r>
    <r>
      <rPr>
        <sz val="12"/>
        <rFont val="Times New Roman"/>
        <family val="1"/>
      </rPr>
      <t xml:space="preserve"> Se recomenda o agrupamento das aquisições de natureza similar tais como equipamentos de informática , mobiliário, publicações, passagens etc. Se existirem grupos de contratos individuais similares que irão ser executados em períodos distintos , os mesmos podem ser incluídos agrupados com um mesmo título adicionando uma explicação na  coluna "Comentários", indicando o valor promédio individual e o período durante o qual seriam executados.  Por exemplo: Em um projeto para promoção de exportações que incluisse viagens para participação em feiras, seria inserido um item com o seguinte texto “Passagens Aéreas para Feiras", o valor total estimado em US$ X mil e uma explicação na coluna "Comentários":  Este é um agrupamento de aproximadamente 4 passagens para participação em feiras da região  durante os anos X e X1.</t>
    </r>
  </si>
  <si>
    <r>
      <rPr>
        <b/>
        <vertAlign val="superscript"/>
        <sz val="12"/>
        <rFont val="Times New Roman"/>
        <family val="1"/>
      </rPr>
      <t>(2)</t>
    </r>
    <r>
      <rPr>
        <sz val="12"/>
        <rFont val="Times New Roman"/>
        <family val="1"/>
      </rPr>
      <t xml:space="preserve"> </t>
    </r>
    <r>
      <rPr>
        <b/>
        <u/>
        <sz val="12"/>
        <rFont val="Times New Roman"/>
        <family val="1"/>
      </rPr>
      <t>Bens e Serviços</t>
    </r>
    <r>
      <rPr>
        <sz val="12"/>
        <rFont val="Times New Roman"/>
        <family val="1"/>
      </rPr>
      <t xml:space="preserve">: LPI: Licitação Pública Internacional;  LPN: Licitação Pública Nacional;  CP: Comparação de Preços;  CD: Contratação Direta, SN: Sistema Nacional.    </t>
    </r>
  </si>
  <si>
    <r>
      <rPr>
        <b/>
        <vertAlign val="superscript"/>
        <sz val="12"/>
        <rFont val="Times New Roman"/>
        <family val="1"/>
      </rPr>
      <t>(2)</t>
    </r>
    <r>
      <rPr>
        <sz val="12"/>
        <rFont val="Times New Roman"/>
        <family val="1"/>
      </rPr>
      <t xml:space="preserve"> </t>
    </r>
    <r>
      <rPr>
        <b/>
        <u/>
        <sz val="12"/>
        <rFont val="Times New Roman"/>
        <family val="1"/>
      </rPr>
      <t>Firmas de Consultoria</t>
    </r>
    <r>
      <rPr>
        <sz val="12"/>
        <rFont val="Times New Roman"/>
        <family val="1"/>
      </rPr>
      <t>:  SBQ: Seleção Baseada na Qualidade, SQC: Seleção Baseada nas Qualificações do Consultor; SBQC: Seleção Baseada na Qualidade e Custo; SBMC: Seleção Baseada  no Menor Custo; SBOF: Seleção Baseada  no Orçamento Fixo, CD: Contratação Direta;  SN: Sistema Nacional.</t>
    </r>
  </si>
  <si>
    <r>
      <rPr>
        <b/>
        <vertAlign val="superscript"/>
        <sz val="12"/>
        <rFont val="Times New Roman"/>
        <family val="1"/>
      </rPr>
      <t xml:space="preserve">(2) </t>
    </r>
    <r>
      <rPr>
        <b/>
        <u/>
        <sz val="12"/>
        <rFont val="Times New Roman"/>
        <family val="1"/>
      </rPr>
      <t>Consultores Individuais</t>
    </r>
    <r>
      <rPr>
        <sz val="12"/>
        <rFont val="Times New Roman"/>
        <family val="1"/>
      </rPr>
      <t>: CI: Seleção Baseada na Comparação de Qualificações de Consultores Individuais - 3 Currículos Vitae (3 CV) ; CD: Contratação Direta, SN: Sistema Nacional.</t>
    </r>
  </si>
  <si>
    <r>
      <rPr>
        <b/>
        <vertAlign val="superscript"/>
        <sz val="12"/>
        <rFont val="Times New Roman"/>
        <family val="1"/>
      </rPr>
      <t xml:space="preserve">(2) </t>
    </r>
    <r>
      <rPr>
        <b/>
        <u/>
        <sz val="12"/>
        <rFont val="Times New Roman"/>
        <family val="1"/>
      </rPr>
      <t>Sistema Nacional</t>
    </r>
    <r>
      <rPr>
        <sz val="12"/>
        <rFont val="Times New Roman"/>
        <family val="1"/>
      </rPr>
      <t>: SN: Para CTNR do Setor Público quando o sistema nacional está aprovado para o método associado à aquisição.</t>
    </r>
  </si>
  <si>
    <r>
      <rPr>
        <b/>
        <vertAlign val="superscript"/>
        <sz val="12"/>
        <rFont val="Times New Roman"/>
        <family val="1"/>
      </rPr>
      <t>(3)</t>
    </r>
    <r>
      <rPr>
        <sz val="12"/>
        <rFont val="Times New Roman"/>
        <family val="1"/>
      </rPr>
      <t xml:space="preserve"> </t>
    </r>
    <r>
      <rPr>
        <b/>
        <u/>
        <sz val="12"/>
        <rFont val="Times New Roman"/>
        <family val="1"/>
      </rPr>
      <t xml:space="preserve"> Revisão Ex-ante/ Ex-post / SN</t>
    </r>
    <r>
      <rPr>
        <sz val="12"/>
        <rFont val="Times New Roman"/>
        <family val="1"/>
      </rPr>
      <t>. Em geral, dependendo da capacidade institucional e do nivel de risco associados às aquisições a modalidade padrão de revisão é a revisão ex-post. Para processos críticos ou complexos poderá ser estabelecida a revisão ex-ante. Nos casos que o sistema nacional esteja aprovado para o método associado com a aquisição, a supervisão será feita pelo sistema nacional.</t>
    </r>
  </si>
  <si>
    <r>
      <t>(4)</t>
    </r>
    <r>
      <rPr>
        <sz val="12"/>
        <rFont val="Times New Roman"/>
        <family val="1"/>
      </rPr>
      <t xml:space="preserve">  </t>
    </r>
    <r>
      <rPr>
        <b/>
        <u/>
        <sz val="12"/>
        <rFont val="Times New Roman"/>
        <family val="1"/>
      </rPr>
      <t>Revisão Técnica</t>
    </r>
    <r>
      <rPr>
        <sz val="12"/>
        <rFont val="Times New Roman"/>
        <family val="1"/>
      </rPr>
      <t>: Esta coluna será utilizada pelo Chefe de Equipe do Projeto do BID (JEP) para definir aquelas aquisições que considere "críticas" ou "complexas" que requeiram a revisão ex- ante dos Termos de Referência (TDR), Especificações Técnicas (ET), relatórios, produtos e outros.</t>
    </r>
  </si>
  <si>
    <r>
      <t>(5)</t>
    </r>
    <r>
      <rPr>
        <sz val="12"/>
        <rFont val="Times New Roman"/>
        <family val="1"/>
      </rPr>
      <t xml:space="preserve">  </t>
    </r>
    <r>
      <rPr>
        <b/>
        <u/>
        <sz val="12"/>
        <rFont val="Times New Roman"/>
        <family val="1"/>
      </rPr>
      <t>Elaboração de Programas de Fortalecimento Institucional</t>
    </r>
    <r>
      <rPr>
        <sz val="12"/>
        <rFont val="Times New Roman"/>
        <family val="1"/>
      </rPr>
      <t xml:space="preserve">: Neste item foi feito um remanejamento do valor proposto. Dos US$ 100 mil previstos, foram relocados US$ 30 mil para o item "Consultores para apoiar à UPP ". O entendimento dos membros da UPP, após avaliação do TDR de Fortalecimento Institucional, é de que US$ 70 mil é suficiente para garantir o objetivo.   </t>
    </r>
  </si>
  <si>
    <r>
      <t>(6)</t>
    </r>
    <r>
      <rPr>
        <sz val="12"/>
        <rFont val="Times New Roman"/>
        <family val="1"/>
      </rPr>
      <t xml:space="preserve">  </t>
    </r>
    <r>
      <rPr>
        <b/>
        <u/>
        <sz val="12"/>
        <rFont val="Times New Roman"/>
        <family val="1"/>
      </rPr>
      <t>Preparar diretrizes para atualização do plano de saneamento básico</t>
    </r>
    <r>
      <rPr>
        <sz val="12"/>
        <rFont val="Times New Roman"/>
        <family val="1"/>
      </rPr>
      <t xml:space="preserve">: Neste item foi feito o remanejamento total do valor proposto. Considerando a contratação de um consultor para apoiar a UPP na área de saneamento, os US$ 20 mil previsto passam a integrar o item "Consultores para apoiar a UPP", sendo incluída na contratação deste consultor a tarefa de definir tais diretrizes. </t>
    </r>
  </si>
  <si>
    <r>
      <t>(7)</t>
    </r>
    <r>
      <rPr>
        <sz val="12"/>
        <rFont val="Times New Roman"/>
        <family val="1"/>
      </rPr>
      <t xml:space="preserve">  </t>
    </r>
    <r>
      <rPr>
        <b/>
        <u/>
        <sz val="12"/>
        <rFont val="Times New Roman"/>
        <family val="1"/>
      </rPr>
      <t>Consultores para apoiar a UPP</t>
    </r>
    <r>
      <rPr>
        <sz val="12"/>
        <rFont val="Times New Roman"/>
        <family val="1"/>
      </rPr>
      <t>: Neste item, houve o acréscimo de US$ 30 mil, conforme explicam as notas 5 e 6. Com o valor anterior, US$ 120 mil, foram contratados três consultores de apoio à UPP: um consultor socioambiental por 09 meses; um consultor de saneamento por 12 meses; e um consultor de urbanização, por 15 meses. Com o acréscimo de US$ 30 mil será contratado o Consultor da área Social e Reassentamento para apoiar a UPP por 9 meses.</t>
    </r>
  </si>
  <si>
    <t>Carta Convênio de Cooperação Técnica de 13/11/2018</t>
  </si>
  <si>
    <t>1o. Aditivo de 12/08/2019</t>
  </si>
  <si>
    <t>Cronograma de Execução - Planejamento Atual</t>
  </si>
  <si>
    <t xml:space="preserve"> </t>
  </si>
  <si>
    <t xml:space="preserve">Montante limite para revisão Ex -post das aquisições: </t>
  </si>
  <si>
    <t>Serviços (montante em U$S): Todos</t>
  </si>
  <si>
    <t>Executor</t>
  </si>
  <si>
    <t>Acumulado até fev-22</t>
  </si>
  <si>
    <t>1 à 16</t>
  </si>
  <si>
    <t>SIMA</t>
  </si>
  <si>
    <t>Consultoria para Aperfeiçoamento dos Instrumentos de Outorga de Direitos de Uso da Água</t>
  </si>
  <si>
    <t>Consultoria para Aperfeiçoamento dos Instrumentos de Monitoramento e Fiscalização do Uso da Água</t>
  </si>
  <si>
    <t xml:space="preserve">Elaboração de Estudos e Propostas para Aperfeiçoar os Instrumentos de Gestão de Recursos Hídricos </t>
  </si>
  <si>
    <t>1.3</t>
  </si>
  <si>
    <t>Consultoria para Aperfeiçoamento dos Instrumentos de Cobrança pelo Uso da Água</t>
  </si>
  <si>
    <t>1.4</t>
  </si>
  <si>
    <t>Consultoria para Aperfeiçoamento dos Conteúdos e Conceitos dos Planos de Bacias Hidrográficas</t>
  </si>
  <si>
    <t>COMPONENTE 2</t>
  </si>
  <si>
    <t>Sabesp</t>
  </si>
  <si>
    <t>Consultoria para sistematizar e disseminar experiências de estratégias e instrumentos de gestão operacional dos serviços de abastecimento de água</t>
  </si>
  <si>
    <t>Consultoria para elaborar projetos de inovação tecnológica vinculados a prevenção e gestão de crise hídrica</t>
  </si>
  <si>
    <t>Estudos de alternativas para melhorar o modelo de governança dos Recursos Hídricos do Estado</t>
  </si>
  <si>
    <t>Organização e Realização de Eventos de Intercâmbio de Experiências</t>
  </si>
  <si>
    <t>TOTAL SIMA</t>
  </si>
  <si>
    <t>Apoio à Unidade Executora da CT - INSS  sobre contratado</t>
  </si>
  <si>
    <t>4.1.3</t>
  </si>
  <si>
    <t>TOTAL Sabesp</t>
  </si>
  <si>
    <t>TOTAL</t>
  </si>
  <si>
    <t>2.2</t>
  </si>
  <si>
    <r>
      <t>(5)</t>
    </r>
    <r>
      <rPr>
        <sz val="12"/>
        <rFont val="Times New Roman"/>
        <family val="1"/>
      </rPr>
      <t xml:space="preserve">  </t>
    </r>
    <r>
      <rPr>
        <b/>
        <u/>
        <sz val="12"/>
        <rFont val="Times New Roman"/>
        <family val="1"/>
      </rPr>
      <t>Estudos Complementares</t>
    </r>
    <r>
      <rPr>
        <sz val="12"/>
        <rFont val="Times New Roman"/>
        <family val="1"/>
      </rPr>
      <t>: Estamos propondo utilizar as economias conseguidas nas contratações das atividades 1.1.1 e 4.1.1 somadas a um remanejamento de verbas das atividades 3.1.1 e 3.1.2 para contratação dos Estudos Complementares: Enquadramento dos Corpos D'águaProteção e Conservação da Área de Afloramento do Sistema Aquífero Guarani (SAG) com custo previsto de US$ 159 mil (atividades 1.2.1, 3.1.3 e 4.1.3).</t>
    </r>
  </si>
  <si>
    <t>(5)</t>
  </si>
  <si>
    <t>PLANO DE AQUISIÇÕES ATUAL (PA R5)</t>
  </si>
  <si>
    <t>PLANO DE AQUISIÇÕES - PROPOSTA (PA R6)</t>
  </si>
  <si>
    <t>Saldo</t>
  </si>
  <si>
    <t>1o. C.Câmbio</t>
  </si>
  <si>
    <t>2o. C.Câmbio</t>
  </si>
  <si>
    <t>Custo Estimado da Aquisição Anterior     (US$)</t>
  </si>
  <si>
    <t>Custo Estimado da Aquisição  Atual    (US$)</t>
  </si>
  <si>
    <t>Custo Estimado da Aquisição Atual     (US$)</t>
  </si>
  <si>
    <t>Item</t>
  </si>
  <si>
    <t>Unidade</t>
  </si>
  <si>
    <t>Quantidade</t>
  </si>
  <si>
    <t>Valor Unitário</t>
  </si>
  <si>
    <t>Valor Total</t>
  </si>
  <si>
    <t>h</t>
  </si>
  <si>
    <t>Ref. Banco de Preços para Estudos, Projetos e Serviços de Apoio Sabesp Maio 2022</t>
  </si>
  <si>
    <t>Câmbio (R$/US$)</t>
  </si>
  <si>
    <t>Consultor Externo</t>
  </si>
  <si>
    <t>Estudo complementar: Enquadramento dos Corpos D'água</t>
  </si>
  <si>
    <t>Estudo complementar: Proteção do SAG - Aquífero Guarani</t>
  </si>
  <si>
    <t>Orçamento Consultoria - Estudos Complementares</t>
  </si>
  <si>
    <t>Orçamento Consultoria - Estudo Complementar:  Proteção do SAG - Aquífero Guarani</t>
  </si>
  <si>
    <t>Orçamento Consultoria - Estudo Complementar:  Enquadramento dos Corpos D'água</t>
  </si>
  <si>
    <r>
      <t>(5)</t>
    </r>
    <r>
      <rPr>
        <sz val="12"/>
        <rFont val="Times New Roman"/>
        <family val="1"/>
      </rPr>
      <t xml:space="preserve">  </t>
    </r>
    <r>
      <rPr>
        <b/>
        <u/>
        <sz val="12"/>
        <rFont val="Times New Roman"/>
        <family val="1"/>
      </rPr>
      <t>Estudos Complementares</t>
    </r>
    <r>
      <rPr>
        <sz val="12"/>
        <rFont val="Times New Roman"/>
        <family val="1"/>
      </rPr>
      <t>: Estamos propondo utilizar as economias conseguidas nas contratações das atividades 1.1.1 e 4.1.1 somadas a um remanejamento de verbas das atividades 3.1.1 e 3.1.2 para contratação dos Estudos Complementares: Enquadramento dos Corpos D'águaProteção e Conservação da Área de Afloramento do Sistema Aquífero Guarani (SAG) com custo previsto de US$ 159 mil (atividades 1.2.1 e 3.1.3).</t>
    </r>
  </si>
  <si>
    <t>PA R7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</si>
</sst>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-;\-* #,##0.00_-;_-* &quot;-&quot;??_-;_-@_-"/>
    <numFmt numFmtId="165" formatCode="[$-416]mmm\-yy;@"/>
    <numFmt numFmtId="166" formatCode="[$-416]mmmm\-yy;@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Times New Roman"/>
      <family val="1"/>
    </font>
    <font>
      <sz val="12"/>
      <name val="Times New Roman"/>
      <family val="1"/>
    </font>
    <font>
      <b/>
      <sz val="12"/>
      <color theme="0"/>
      <name val="Times New Roman"/>
      <family val="1"/>
    </font>
    <font>
      <sz val="28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4"/>
      <name val="Times New Roman"/>
      <family val="1"/>
    </font>
    <font>
      <sz val="12"/>
      <color theme="0"/>
      <name val="Times New Roman"/>
      <family val="1"/>
    </font>
    <font>
      <sz val="12"/>
      <color rgb="FF0070C0"/>
      <name val="Times New Roman"/>
      <family val="1"/>
    </font>
    <font>
      <vertAlign val="superscript"/>
      <sz val="12"/>
      <name val="Times New Roman"/>
      <family val="1"/>
    </font>
    <font>
      <b/>
      <vertAlign val="superscript"/>
      <sz val="12"/>
      <name val="Times New Roman"/>
      <family val="1"/>
    </font>
    <font>
      <b/>
      <u/>
      <sz val="12"/>
      <name val="Times New Roman"/>
      <family val="1"/>
    </font>
    <font>
      <sz val="12"/>
      <color rgb="FF000000"/>
      <name val="Calibri"/>
      <family val="2"/>
      <scheme val="minor"/>
    </font>
    <font>
      <sz val="12"/>
      <color rgb="FF000000"/>
      <name val="ControlIcons"/>
    </font>
    <font>
      <b/>
      <sz val="12"/>
      <color theme="1"/>
      <name val="Times New Roman"/>
      <family val="1"/>
    </font>
    <font>
      <b/>
      <sz val="9"/>
      <name val="Arial"/>
      <family val="2"/>
    </font>
    <font>
      <sz val="9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8DB4E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tted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282">
    <xf numFmtId="0" fontId="0" fillId="0" borderId="0" xfId="0"/>
    <xf numFmtId="0" fontId="3" fillId="0" borderId="1" xfId="3" applyFont="1" applyBorder="1" applyAlignment="1">
      <alignment horizontal="center" vertical="center"/>
    </xf>
    <xf numFmtId="0" fontId="3" fillId="0" borderId="1" xfId="3" applyFont="1" applyBorder="1"/>
    <xf numFmtId="4" fontId="3" fillId="0" borderId="1" xfId="3" applyNumberFormat="1" applyFont="1" applyBorder="1" applyAlignment="1">
      <alignment horizontal="center"/>
    </xf>
    <xf numFmtId="0" fontId="3" fillId="0" borderId="1" xfId="3" applyFont="1" applyBorder="1" applyAlignment="1">
      <alignment vertical="center"/>
    </xf>
    <xf numFmtId="0" fontId="4" fillId="2" borderId="1" xfId="3" applyFont="1" applyFill="1" applyBorder="1" applyAlignment="1">
      <alignment horizontal="center" vertical="center"/>
    </xf>
    <xf numFmtId="0" fontId="4" fillId="2" borderId="1" xfId="3" applyFont="1" applyFill="1" applyBorder="1" applyAlignment="1">
      <alignment vertical="center" wrapText="1"/>
    </xf>
    <xf numFmtId="4" fontId="4" fillId="2" borderId="1" xfId="3" applyNumberFormat="1" applyFont="1" applyFill="1" applyBorder="1" applyAlignment="1">
      <alignment horizontal="center" vertical="center"/>
    </xf>
    <xf numFmtId="0" fontId="4" fillId="3" borderId="1" xfId="3" applyFont="1" applyFill="1" applyBorder="1" applyAlignment="1">
      <alignment horizontal="center" vertical="center"/>
    </xf>
    <xf numFmtId="0" fontId="4" fillId="3" borderId="1" xfId="3" applyFont="1" applyFill="1" applyBorder="1" applyAlignment="1">
      <alignment vertical="center" wrapText="1"/>
    </xf>
    <xf numFmtId="4" fontId="4" fillId="3" borderId="1" xfId="3" applyNumberFormat="1" applyFont="1" applyFill="1" applyBorder="1" applyAlignment="1">
      <alignment horizontal="center" vertical="center"/>
    </xf>
    <xf numFmtId="0" fontId="4" fillId="4" borderId="1" xfId="3" applyFont="1" applyFill="1" applyBorder="1" applyAlignment="1">
      <alignment horizontal="center" vertical="center"/>
    </xf>
    <xf numFmtId="0" fontId="4" fillId="4" borderId="1" xfId="3" applyFont="1" applyFill="1" applyBorder="1" applyAlignment="1">
      <alignment vertical="center" wrapText="1"/>
    </xf>
    <xf numFmtId="4" fontId="4" fillId="4" borderId="1" xfId="3" applyNumberFormat="1" applyFont="1" applyFill="1" applyBorder="1" applyAlignment="1">
      <alignment horizontal="center" vertical="center"/>
    </xf>
    <xf numFmtId="4" fontId="3" fillId="0" borderId="1" xfId="3" applyNumberFormat="1" applyFont="1" applyBorder="1" applyAlignment="1">
      <alignment horizontal="center" vertical="center"/>
    </xf>
    <xf numFmtId="0" fontId="4" fillId="5" borderId="1" xfId="3" applyFont="1" applyFill="1" applyBorder="1" applyAlignment="1">
      <alignment horizontal="center" vertical="center"/>
    </xf>
    <xf numFmtId="0" fontId="4" fillId="5" borderId="1" xfId="3" applyFont="1" applyFill="1" applyBorder="1" applyAlignment="1">
      <alignment vertical="center" wrapText="1"/>
    </xf>
    <xf numFmtId="4" fontId="4" fillId="5" borderId="1" xfId="3" applyNumberFormat="1" applyFont="1" applyFill="1" applyBorder="1" applyAlignment="1">
      <alignment horizontal="center" vertical="center"/>
    </xf>
    <xf numFmtId="0" fontId="3" fillId="6" borderId="1" xfId="3" applyFont="1" applyFill="1" applyBorder="1" applyAlignment="1">
      <alignment vertical="center" wrapText="1"/>
    </xf>
    <xf numFmtId="4" fontId="4" fillId="0" borderId="1" xfId="3" applyNumberFormat="1" applyFont="1" applyBorder="1" applyAlignment="1">
      <alignment horizontal="center" vertical="center"/>
    </xf>
    <xf numFmtId="0" fontId="4" fillId="7" borderId="1" xfId="3" applyFont="1" applyFill="1" applyBorder="1" applyAlignment="1">
      <alignment horizontal="center" vertical="center"/>
    </xf>
    <xf numFmtId="0" fontId="4" fillId="7" borderId="1" xfId="3" applyFont="1" applyFill="1" applyBorder="1" applyAlignment="1">
      <alignment vertical="center" wrapText="1"/>
    </xf>
    <xf numFmtId="4" fontId="4" fillId="7" borderId="1" xfId="3" applyNumberFormat="1" applyFont="1" applyFill="1" applyBorder="1" applyAlignment="1">
      <alignment horizontal="center" vertical="center"/>
    </xf>
    <xf numFmtId="0" fontId="4" fillId="0" borderId="1" xfId="3" applyFont="1" applyBorder="1" applyAlignment="1">
      <alignment horizontal="center" vertical="center"/>
    </xf>
    <xf numFmtId="0" fontId="4" fillId="0" borderId="1" xfId="3" applyFont="1" applyBorder="1" applyAlignment="1">
      <alignment vertical="center" wrapText="1"/>
    </xf>
    <xf numFmtId="0" fontId="3" fillId="0" borderId="1" xfId="3" applyFont="1" applyBorder="1" applyAlignment="1">
      <alignment vertical="center" wrapText="1"/>
    </xf>
    <xf numFmtId="0" fontId="3" fillId="0" borderId="2" xfId="3" applyFont="1" applyBorder="1" applyAlignment="1">
      <alignment horizontal="center" vertical="center"/>
    </xf>
    <xf numFmtId="0" fontId="4" fillId="8" borderId="1" xfId="3" applyFont="1" applyFill="1" applyBorder="1" applyAlignment="1">
      <alignment horizontal="center" vertical="center"/>
    </xf>
    <xf numFmtId="0" fontId="4" fillId="8" borderId="1" xfId="3" applyFont="1" applyFill="1" applyBorder="1" applyAlignment="1">
      <alignment vertical="center" wrapText="1"/>
    </xf>
    <xf numFmtId="4" fontId="4" fillId="8" borderId="1" xfId="3" applyNumberFormat="1" applyFont="1" applyFill="1" applyBorder="1" applyAlignment="1">
      <alignment horizontal="center" vertical="center"/>
    </xf>
    <xf numFmtId="0" fontId="4" fillId="9" borderId="1" xfId="3" applyFont="1" applyFill="1" applyBorder="1" applyAlignment="1">
      <alignment horizontal="center" vertical="center"/>
    </xf>
    <xf numFmtId="0" fontId="4" fillId="9" borderId="1" xfId="3" applyFont="1" applyFill="1" applyBorder="1" applyAlignment="1">
      <alignment vertical="center" wrapText="1"/>
    </xf>
    <xf numFmtId="4" fontId="4" fillId="9" borderId="1" xfId="3" applyNumberFormat="1" applyFont="1" applyFill="1" applyBorder="1" applyAlignment="1">
      <alignment horizontal="center" vertical="center"/>
    </xf>
    <xf numFmtId="0" fontId="5" fillId="10" borderId="1" xfId="3" applyFont="1" applyFill="1" applyBorder="1" applyAlignment="1">
      <alignment horizontal="center" vertical="center" wrapText="1"/>
    </xf>
    <xf numFmtId="0" fontId="4" fillId="0" borderId="0" xfId="3" applyFont="1"/>
    <xf numFmtId="0" fontId="4" fillId="0" borderId="0" xfId="3" applyFont="1" applyAlignment="1">
      <alignment vertical="center"/>
    </xf>
    <xf numFmtId="0" fontId="6" fillId="0" borderId="0" xfId="0" applyFont="1"/>
    <xf numFmtId="0" fontId="8" fillId="6" borderId="0" xfId="3" applyFont="1" applyFill="1"/>
    <xf numFmtId="0" fontId="8" fillId="6" borderId="0" xfId="3" applyFont="1" applyFill="1" applyAlignment="1">
      <alignment horizontal="left" vertical="center" wrapText="1"/>
    </xf>
    <xf numFmtId="0" fontId="4" fillId="6" borderId="0" xfId="3" applyFont="1" applyFill="1"/>
    <xf numFmtId="0" fontId="4" fillId="6" borderId="0" xfId="3" applyFont="1" applyFill="1" applyAlignment="1">
      <alignment horizontal="left" vertical="center" wrapText="1"/>
    </xf>
    <xf numFmtId="0" fontId="4" fillId="0" borderId="0" xfId="3" applyFont="1" applyAlignment="1">
      <alignment horizontal="left" vertical="center" wrapText="1"/>
    </xf>
    <xf numFmtId="0" fontId="4" fillId="0" borderId="0" xfId="3" applyFont="1" applyAlignment="1">
      <alignment horizontal="center" vertical="center"/>
    </xf>
    <xf numFmtId="17" fontId="5" fillId="10" borderId="1" xfId="3" applyNumberFormat="1" applyFont="1" applyFill="1" applyBorder="1" applyAlignment="1">
      <alignment horizontal="center" vertical="center" wrapText="1"/>
    </xf>
    <xf numFmtId="165" fontId="5" fillId="10" borderId="1" xfId="3" applyNumberFormat="1" applyFont="1" applyFill="1" applyBorder="1" applyAlignment="1">
      <alignment horizontal="center" vertical="center" wrapText="1"/>
    </xf>
    <xf numFmtId="4" fontId="3" fillId="0" borderId="1" xfId="3" applyNumberFormat="1" applyFont="1" applyBorder="1" applyAlignment="1">
      <alignment horizontal="left" vertical="center" wrapText="1"/>
    </xf>
    <xf numFmtId="0" fontId="4" fillId="0" borderId="1" xfId="3" applyFont="1" applyBorder="1" applyAlignment="1">
      <alignment horizontal="center"/>
    </xf>
    <xf numFmtId="0" fontId="4" fillId="0" borderId="1" xfId="3" applyFont="1" applyBorder="1"/>
    <xf numFmtId="17" fontId="4" fillId="0" borderId="1" xfId="3" applyNumberFormat="1" applyFont="1" applyBorder="1" applyAlignment="1">
      <alignment horizontal="center"/>
    </xf>
    <xf numFmtId="0" fontId="3" fillId="0" borderId="1" xfId="3" applyFont="1" applyBorder="1" applyAlignment="1">
      <alignment horizontal="center"/>
    </xf>
    <xf numFmtId="10" fontId="4" fillId="0" borderId="1" xfId="2" applyNumberFormat="1" applyFont="1" applyBorder="1"/>
    <xf numFmtId="4" fontId="4" fillId="0" borderId="1" xfId="3" applyNumberFormat="1" applyFont="1" applyBorder="1" applyAlignment="1">
      <alignment horizontal="left" vertical="center" wrapText="1"/>
    </xf>
    <xf numFmtId="17" fontId="4" fillId="0" borderId="1" xfId="3" applyNumberFormat="1" applyFont="1" applyBorder="1" applyAlignment="1">
      <alignment horizontal="center" vertical="center"/>
    </xf>
    <xf numFmtId="0" fontId="4" fillId="0" borderId="1" xfId="3" applyFont="1" applyBorder="1" applyAlignment="1">
      <alignment vertical="center"/>
    </xf>
    <xf numFmtId="10" fontId="4" fillId="0" borderId="1" xfId="4" applyNumberFormat="1" applyFont="1" applyBorder="1" applyAlignment="1">
      <alignment vertical="center"/>
    </xf>
    <xf numFmtId="10" fontId="4" fillId="0" borderId="1" xfId="3" applyNumberFormat="1" applyFont="1" applyBorder="1" applyAlignment="1">
      <alignment vertical="center"/>
    </xf>
    <xf numFmtId="164" fontId="4" fillId="0" borderId="1" xfId="5" applyFont="1" applyBorder="1" applyAlignment="1">
      <alignment vertical="center"/>
    </xf>
    <xf numFmtId="10" fontId="4" fillId="0" borderId="1" xfId="2" applyNumberFormat="1" applyFont="1" applyBorder="1" applyAlignment="1">
      <alignment vertical="center"/>
    </xf>
    <xf numFmtId="164" fontId="3" fillId="0" borderId="1" xfId="5" applyFont="1" applyBorder="1" applyAlignment="1">
      <alignment vertical="center"/>
    </xf>
    <xf numFmtId="0" fontId="4" fillId="0" borderId="1" xfId="3" applyFont="1" applyBorder="1" applyAlignment="1">
      <alignment horizontal="center" vertical="center" wrapText="1"/>
    </xf>
    <xf numFmtId="10" fontId="4" fillId="0" borderId="1" xfId="4" applyNumberFormat="1" applyFont="1" applyFill="1" applyBorder="1" applyAlignment="1">
      <alignment vertical="center"/>
    </xf>
    <xf numFmtId="164" fontId="4" fillId="0" borderId="1" xfId="5" applyFont="1" applyFill="1" applyBorder="1" applyAlignment="1">
      <alignment vertical="center"/>
    </xf>
    <xf numFmtId="14" fontId="3" fillId="0" borderId="1" xfId="3" applyNumberFormat="1" applyFont="1" applyBorder="1" applyAlignment="1">
      <alignment vertical="center"/>
    </xf>
    <xf numFmtId="164" fontId="3" fillId="0" borderId="1" xfId="3" applyNumberFormat="1" applyFont="1" applyBorder="1" applyAlignment="1">
      <alignment vertical="center"/>
    </xf>
    <xf numFmtId="10" fontId="4" fillId="0" borderId="0" xfId="2" applyNumberFormat="1" applyFont="1" applyAlignment="1">
      <alignment vertical="center"/>
    </xf>
    <xf numFmtId="0" fontId="9" fillId="0" borderId="0" xfId="3" applyFont="1"/>
    <xf numFmtId="0" fontId="4" fillId="0" borderId="1" xfId="3" applyFont="1" applyBorder="1" applyAlignment="1">
      <alignment horizontal="left" vertical="center" wrapText="1"/>
    </xf>
    <xf numFmtId="0" fontId="3" fillId="0" borderId="0" xfId="3" applyFont="1"/>
    <xf numFmtId="0" fontId="3" fillId="0" borderId="1" xfId="3" applyFont="1" applyBorder="1" applyAlignment="1">
      <alignment horizontal="left" vertical="center" wrapText="1"/>
    </xf>
    <xf numFmtId="10" fontId="3" fillId="0" borderId="1" xfId="2" applyNumberFormat="1" applyFont="1" applyBorder="1" applyAlignment="1">
      <alignment vertical="center"/>
    </xf>
    <xf numFmtId="164" fontId="0" fillId="0" borderId="0" xfId="1" applyFont="1"/>
    <xf numFmtId="164" fontId="0" fillId="0" borderId="0" xfId="1" applyFont="1" applyAlignment="1">
      <alignment vertical="center"/>
    </xf>
    <xf numFmtId="0" fontId="4" fillId="0" borderId="0" xfId="3" applyFont="1" applyAlignment="1">
      <alignment horizontal="left"/>
    </xf>
    <xf numFmtId="0" fontId="4" fillId="0" borderId="0" xfId="3" applyFont="1" applyAlignment="1">
      <alignment horizontal="center"/>
    </xf>
    <xf numFmtId="0" fontId="4" fillId="6" borderId="14" xfId="3" applyFont="1" applyFill="1" applyBorder="1" applyAlignment="1">
      <alignment horizontal="left"/>
    </xf>
    <xf numFmtId="0" fontId="4" fillId="6" borderId="15" xfId="3" applyFont="1" applyFill="1" applyBorder="1"/>
    <xf numFmtId="0" fontId="4" fillId="6" borderId="18" xfId="3" applyFont="1" applyFill="1" applyBorder="1" applyAlignment="1">
      <alignment horizontal="center"/>
    </xf>
    <xf numFmtId="0" fontId="3" fillId="0" borderId="1" xfId="3" applyFont="1" applyBorder="1" applyAlignment="1">
      <alignment horizontal="center" vertical="center" wrapText="1"/>
    </xf>
    <xf numFmtId="0" fontId="4" fillId="4" borderId="1" xfId="3" applyFont="1" applyFill="1" applyBorder="1" applyAlignment="1">
      <alignment vertical="center"/>
    </xf>
    <xf numFmtId="0" fontId="3" fillId="6" borderId="1" xfId="3" applyFont="1" applyFill="1" applyBorder="1" applyAlignment="1">
      <alignment vertical="top" wrapText="1"/>
    </xf>
    <xf numFmtId="0" fontId="3" fillId="6" borderId="1" xfId="3" applyFont="1" applyFill="1" applyBorder="1" applyAlignment="1">
      <alignment vertical="center"/>
    </xf>
    <xf numFmtId="17" fontId="4" fillId="4" borderId="1" xfId="3" applyNumberFormat="1" applyFont="1" applyFill="1" applyBorder="1" applyAlignment="1">
      <alignment horizontal="center" vertical="center"/>
    </xf>
    <xf numFmtId="0" fontId="3" fillId="6" borderId="1" xfId="3" applyFont="1" applyFill="1" applyBorder="1"/>
    <xf numFmtId="0" fontId="3" fillId="0" borderId="1" xfId="3" applyFont="1" applyBorder="1" applyAlignment="1">
      <alignment vertical="top" wrapText="1"/>
    </xf>
    <xf numFmtId="0" fontId="4" fillId="6" borderId="1" xfId="3" applyFont="1" applyFill="1" applyBorder="1" applyAlignment="1">
      <alignment horizontal="center" vertical="center"/>
    </xf>
    <xf numFmtId="4" fontId="3" fillId="0" borderId="23" xfId="3" applyNumberFormat="1" applyFont="1" applyBorder="1" applyAlignment="1">
      <alignment horizontal="center"/>
    </xf>
    <xf numFmtId="0" fontId="4" fillId="0" borderId="24" xfId="3" applyFont="1" applyBorder="1" applyAlignment="1">
      <alignment horizontal="center"/>
    </xf>
    <xf numFmtId="0" fontId="3" fillId="0" borderId="26" xfId="3" applyFont="1" applyBorder="1" applyAlignment="1">
      <alignment horizontal="left"/>
    </xf>
    <xf numFmtId="0" fontId="4" fillId="0" borderId="27" xfId="3" applyFont="1" applyBorder="1" applyAlignment="1">
      <alignment horizontal="right"/>
    </xf>
    <xf numFmtId="3" fontId="4" fillId="0" borderId="27" xfId="3" applyNumberFormat="1" applyFont="1" applyBorder="1"/>
    <xf numFmtId="0" fontId="3" fillId="0" borderId="27" xfId="3" applyFont="1" applyBorder="1"/>
    <xf numFmtId="0" fontId="4" fillId="0" borderId="27" xfId="3" applyFont="1" applyBorder="1"/>
    <xf numFmtId="0" fontId="4" fillId="0" borderId="27" xfId="3" applyFont="1" applyBorder="1" applyAlignment="1">
      <alignment horizontal="center"/>
    </xf>
    <xf numFmtId="0" fontId="8" fillId="6" borderId="0" xfId="3" applyFont="1" applyFill="1" applyAlignment="1">
      <alignment horizontal="left" vertical="top"/>
    </xf>
    <xf numFmtId="0" fontId="4" fillId="6" borderId="0" xfId="3" applyFont="1" applyFill="1" applyAlignment="1">
      <alignment horizontal="left" vertical="top"/>
    </xf>
    <xf numFmtId="0" fontId="3" fillId="6" borderId="0" xfId="3" applyFont="1" applyFill="1"/>
    <xf numFmtId="0" fontId="3" fillId="0" borderId="29" xfId="3" applyFont="1" applyBorder="1" applyAlignment="1">
      <alignment horizontal="left" vertical="top"/>
    </xf>
    <xf numFmtId="0" fontId="4" fillId="6" borderId="14" xfId="3" applyFont="1" applyFill="1" applyBorder="1" applyAlignment="1">
      <alignment horizontal="left" vertical="top"/>
    </xf>
    <xf numFmtId="0" fontId="3" fillId="0" borderId="2" xfId="3" applyFont="1" applyBorder="1" applyAlignment="1">
      <alignment horizontal="left" vertical="top"/>
    </xf>
    <xf numFmtId="0" fontId="4" fillId="2" borderId="2" xfId="3" applyFont="1" applyFill="1" applyBorder="1" applyAlignment="1">
      <alignment horizontal="left" vertical="top"/>
    </xf>
    <xf numFmtId="164" fontId="4" fillId="0" borderId="1" xfId="1" applyFont="1" applyBorder="1" applyAlignment="1">
      <alignment vertical="center"/>
    </xf>
    <xf numFmtId="164" fontId="3" fillId="0" borderId="1" xfId="1" applyFont="1" applyBorder="1" applyAlignment="1">
      <alignment vertical="center"/>
    </xf>
    <xf numFmtId="164" fontId="4" fillId="0" borderId="0" xfId="3" applyNumberFormat="1" applyFont="1" applyAlignment="1">
      <alignment vertical="center"/>
    </xf>
    <xf numFmtId="0" fontId="4" fillId="11" borderId="2" xfId="3" applyFont="1" applyFill="1" applyBorder="1" applyAlignment="1">
      <alignment horizontal="left" vertical="top"/>
    </xf>
    <xf numFmtId="0" fontId="4" fillId="11" borderId="1" xfId="3" applyFont="1" applyFill="1" applyBorder="1" applyAlignment="1">
      <alignment vertical="top" wrapText="1"/>
    </xf>
    <xf numFmtId="4" fontId="4" fillId="11" borderId="1" xfId="3" applyNumberFormat="1" applyFont="1" applyFill="1" applyBorder="1" applyAlignment="1">
      <alignment horizontal="center" vertical="center"/>
    </xf>
    <xf numFmtId="0" fontId="3" fillId="11" borderId="2" xfId="3" applyFont="1" applyFill="1" applyBorder="1" applyAlignment="1">
      <alignment horizontal="left" vertical="top"/>
    </xf>
    <xf numFmtId="0" fontId="3" fillId="11" borderId="1" xfId="3" applyFont="1" applyFill="1" applyBorder="1"/>
    <xf numFmtId="4" fontId="3" fillId="11" borderId="1" xfId="3" applyNumberFormat="1" applyFont="1" applyFill="1" applyBorder="1" applyAlignment="1">
      <alignment horizontal="center" vertical="center"/>
    </xf>
    <xf numFmtId="0" fontId="4" fillId="11" borderId="2" xfId="3" applyFont="1" applyFill="1" applyBorder="1" applyAlignment="1">
      <alignment horizontal="left" vertical="center"/>
    </xf>
    <xf numFmtId="0" fontId="4" fillId="11" borderId="1" xfId="3" applyFont="1" applyFill="1" applyBorder="1" applyAlignment="1">
      <alignment vertical="center" wrapText="1"/>
    </xf>
    <xf numFmtId="0" fontId="3" fillId="0" borderId="2" xfId="3" applyFont="1" applyBorder="1" applyAlignment="1">
      <alignment horizontal="left" vertical="center"/>
    </xf>
    <xf numFmtId="0" fontId="4" fillId="2" borderId="1" xfId="3" applyFont="1" applyFill="1" applyBorder="1" applyAlignment="1">
      <alignment vertical="top" wrapText="1"/>
    </xf>
    <xf numFmtId="0" fontId="4" fillId="0" borderId="2" xfId="3" applyFont="1" applyBorder="1" applyAlignment="1">
      <alignment horizontal="left" vertical="top"/>
    </xf>
    <xf numFmtId="0" fontId="4" fillId="7" borderId="2" xfId="3" applyFont="1" applyFill="1" applyBorder="1" applyAlignment="1">
      <alignment horizontal="left" vertical="center"/>
    </xf>
    <xf numFmtId="0" fontId="4" fillId="8" borderId="2" xfId="3" applyFont="1" applyFill="1" applyBorder="1" applyAlignment="1">
      <alignment horizontal="left" vertical="top"/>
    </xf>
    <xf numFmtId="0" fontId="4" fillId="9" borderId="2" xfId="3" applyFont="1" applyFill="1" applyBorder="1" applyAlignment="1">
      <alignment horizontal="left" vertical="top"/>
    </xf>
    <xf numFmtId="164" fontId="4" fillId="0" borderId="0" xfId="3" applyNumberFormat="1" applyFont="1"/>
    <xf numFmtId="4" fontId="4" fillId="3" borderId="1" xfId="3" applyNumberFormat="1" applyFont="1" applyFill="1" applyBorder="1" applyAlignment="1">
      <alignment horizontal="left" vertical="center" wrapText="1"/>
    </xf>
    <xf numFmtId="0" fontId="3" fillId="11" borderId="1" xfId="3" applyFont="1" applyFill="1" applyBorder="1" applyAlignment="1">
      <alignment vertical="top" wrapText="1"/>
    </xf>
    <xf numFmtId="0" fontId="3" fillId="12" borderId="1" xfId="3" applyFont="1" applyFill="1" applyBorder="1" applyAlignment="1">
      <alignment vertical="center"/>
    </xf>
    <xf numFmtId="0" fontId="4" fillId="0" borderId="2" xfId="3" applyFont="1" applyBorder="1" applyAlignment="1">
      <alignment horizontal="left" vertical="center"/>
    </xf>
    <xf numFmtId="4" fontId="3" fillId="0" borderId="33" xfId="3" applyNumberFormat="1" applyFont="1" applyBorder="1" applyAlignment="1">
      <alignment horizontal="left" vertical="center" wrapText="1"/>
    </xf>
    <xf numFmtId="0" fontId="3" fillId="0" borderId="0" xfId="3" applyFont="1" applyAlignment="1">
      <alignment horizontal="center" vertical="center"/>
    </xf>
    <xf numFmtId="0" fontId="3" fillId="4" borderId="2" xfId="3" applyFont="1" applyFill="1" applyBorder="1" applyAlignment="1">
      <alignment horizontal="left" vertical="top"/>
    </xf>
    <xf numFmtId="0" fontId="3" fillId="4" borderId="1" xfId="3" applyFont="1" applyFill="1" applyBorder="1" applyAlignment="1">
      <alignment vertical="top" wrapText="1"/>
    </xf>
    <xf numFmtId="0" fontId="3" fillId="4" borderId="3" xfId="3" applyFont="1" applyFill="1" applyBorder="1" applyAlignment="1">
      <alignment vertical="center"/>
    </xf>
    <xf numFmtId="0" fontId="4" fillId="0" borderId="31" xfId="3" applyFont="1" applyBorder="1" applyAlignment="1">
      <alignment horizontal="left" vertical="top"/>
    </xf>
    <xf numFmtId="0" fontId="4" fillId="0" borderId="3" xfId="3" applyFont="1" applyBorder="1" applyAlignment="1">
      <alignment vertical="center" wrapText="1"/>
    </xf>
    <xf numFmtId="4" fontId="4" fillId="0" borderId="3" xfId="3" applyNumberFormat="1" applyFont="1" applyBorder="1" applyAlignment="1">
      <alignment horizontal="center" vertical="center"/>
    </xf>
    <xf numFmtId="0" fontId="3" fillId="0" borderId="4" xfId="3" applyFont="1" applyBorder="1" applyAlignment="1">
      <alignment vertical="center"/>
    </xf>
    <xf numFmtId="0" fontId="3" fillId="0" borderId="0" xfId="3" applyFont="1" applyAlignment="1">
      <alignment horizontal="left" vertical="top"/>
    </xf>
    <xf numFmtId="0" fontId="3" fillId="0" borderId="0" xfId="3" applyFont="1" applyAlignment="1">
      <alignment vertical="center"/>
    </xf>
    <xf numFmtId="4" fontId="3" fillId="0" borderId="0" xfId="3" applyNumberFormat="1" applyFont="1" applyAlignment="1">
      <alignment horizontal="center" vertical="center"/>
    </xf>
    <xf numFmtId="0" fontId="4" fillId="0" borderId="19" xfId="3" applyFont="1" applyBorder="1" applyAlignment="1">
      <alignment horizontal="left" vertical="center" wrapText="1"/>
    </xf>
    <xf numFmtId="0" fontId="4" fillId="0" borderId="20" xfId="3" applyFont="1" applyBorder="1" applyAlignment="1">
      <alignment vertical="center"/>
    </xf>
    <xf numFmtId="0" fontId="3" fillId="0" borderId="0" xfId="3" applyFont="1" applyAlignment="1">
      <alignment vertical="top" wrapText="1"/>
    </xf>
    <xf numFmtId="0" fontId="4" fillId="0" borderId="0" xfId="3" applyFont="1" applyAlignment="1">
      <alignment horizontal="left" vertical="top"/>
    </xf>
    <xf numFmtId="0" fontId="4" fillId="0" borderId="0" xfId="3" applyFont="1" applyAlignment="1">
      <alignment vertical="center" wrapText="1"/>
    </xf>
    <xf numFmtId="4" fontId="4" fillId="0" borderId="0" xfId="3" applyNumberFormat="1" applyFont="1" applyAlignment="1">
      <alignment horizontal="center" vertical="center"/>
    </xf>
    <xf numFmtId="0" fontId="4" fillId="0" borderId="0" xfId="3" quotePrefix="1" applyFont="1"/>
    <xf numFmtId="0" fontId="4" fillId="0" borderId="0" xfId="3" applyFont="1" applyAlignment="1">
      <alignment horizontal="right" vertical="center" wrapText="1"/>
    </xf>
    <xf numFmtId="10" fontId="4" fillId="0" borderId="0" xfId="2" applyNumberFormat="1" applyFont="1"/>
    <xf numFmtId="0" fontId="4" fillId="0" borderId="0" xfId="3" applyFont="1" applyAlignment="1">
      <alignment horizontal="center" vertical="center" wrapText="1"/>
    </xf>
    <xf numFmtId="164" fontId="4" fillId="0" borderId="0" xfId="1" applyFont="1" applyBorder="1"/>
    <xf numFmtId="164" fontId="4" fillId="0" borderId="0" xfId="1" applyFont="1"/>
    <xf numFmtId="10" fontId="4" fillId="0" borderId="0" xfId="2" applyNumberFormat="1" applyFont="1" applyAlignment="1">
      <alignment horizontal="left" vertical="center" wrapText="1"/>
    </xf>
    <xf numFmtId="164" fontId="4" fillId="0" borderId="0" xfId="1" applyFont="1" applyFill="1" applyBorder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5" fillId="0" borderId="0" xfId="0" applyFont="1" applyAlignment="1">
      <alignment vertical="center" wrapText="1"/>
    </xf>
    <xf numFmtId="0" fontId="4" fillId="0" borderId="0" xfId="0" applyFont="1" applyAlignment="1">
      <alignment wrapText="1"/>
    </xf>
    <xf numFmtId="0" fontId="3" fillId="0" borderId="21" xfId="3" applyFont="1" applyBorder="1" applyAlignment="1">
      <alignment horizontal="right"/>
    </xf>
    <xf numFmtId="0" fontId="3" fillId="0" borderId="22" xfId="3" applyFont="1" applyBorder="1" applyAlignment="1">
      <alignment horizontal="right"/>
    </xf>
    <xf numFmtId="0" fontId="3" fillId="0" borderId="20" xfId="3" applyFont="1" applyBorder="1" applyAlignment="1">
      <alignment horizontal="center" vertical="center" wrapText="1"/>
    </xf>
    <xf numFmtId="0" fontId="4" fillId="0" borderId="20" xfId="3" applyFont="1" applyBorder="1"/>
    <xf numFmtId="0" fontId="4" fillId="6" borderId="29" xfId="3" applyFont="1" applyFill="1" applyBorder="1" applyAlignment="1">
      <alignment horizontal="left"/>
    </xf>
    <xf numFmtId="0" fontId="4" fillId="6" borderId="30" xfId="3" applyFont="1" applyFill="1" applyBorder="1" applyAlignment="1">
      <alignment horizontal="center"/>
    </xf>
    <xf numFmtId="0" fontId="4" fillId="0" borderId="38" xfId="3" applyFont="1" applyBorder="1" applyAlignment="1">
      <alignment horizontal="center"/>
    </xf>
    <xf numFmtId="0" fontId="3" fillId="0" borderId="38" xfId="3" applyFont="1" applyBorder="1" applyAlignment="1">
      <alignment horizontal="center"/>
    </xf>
    <xf numFmtId="0" fontId="4" fillId="0" borderId="2" xfId="3" applyFont="1" applyBorder="1" applyAlignment="1">
      <alignment horizontal="center" vertical="center"/>
    </xf>
    <xf numFmtId="0" fontId="4" fillId="0" borderId="38" xfId="3" applyFont="1" applyBorder="1" applyAlignment="1">
      <alignment horizontal="center" vertical="center"/>
    </xf>
    <xf numFmtId="0" fontId="3" fillId="0" borderId="38" xfId="3" applyFont="1" applyBorder="1" applyAlignment="1">
      <alignment horizontal="center" vertical="center"/>
    </xf>
    <xf numFmtId="0" fontId="4" fillId="0" borderId="38" xfId="3" quotePrefix="1" applyFont="1" applyBorder="1" applyAlignment="1">
      <alignment horizontal="center" vertical="center"/>
    </xf>
    <xf numFmtId="0" fontId="4" fillId="0" borderId="38" xfId="3" applyFont="1" applyBorder="1" applyAlignment="1">
      <alignment horizontal="center" vertical="center" wrapText="1"/>
    </xf>
    <xf numFmtId="0" fontId="4" fillId="6" borderId="2" xfId="3" applyFont="1" applyFill="1" applyBorder="1" applyAlignment="1">
      <alignment horizontal="center" vertical="center"/>
    </xf>
    <xf numFmtId="0" fontId="4" fillId="0" borderId="39" xfId="3" applyFont="1" applyBorder="1" applyAlignment="1">
      <alignment horizontal="center"/>
    </xf>
    <xf numFmtId="0" fontId="4" fillId="0" borderId="28" xfId="3" applyFont="1" applyBorder="1" applyAlignment="1">
      <alignment horizontal="center"/>
    </xf>
    <xf numFmtId="0" fontId="0" fillId="0" borderId="1" xfId="0" applyBorder="1"/>
    <xf numFmtId="4" fontId="0" fillId="0" borderId="0" xfId="0" applyNumberFormat="1"/>
    <xf numFmtId="164" fontId="7" fillId="0" borderId="0" xfId="1" applyFont="1"/>
    <xf numFmtId="164" fontId="16" fillId="0" borderId="0" xfId="1" applyFont="1"/>
    <xf numFmtId="164" fontId="4" fillId="0" borderId="1" xfId="1" applyFont="1" applyBorder="1" applyAlignment="1">
      <alignment vertical="center" wrapText="1"/>
    </xf>
    <xf numFmtId="164" fontId="4" fillId="0" borderId="1" xfId="3" applyNumberFormat="1" applyFont="1" applyBorder="1" applyAlignment="1">
      <alignment vertical="center" wrapText="1"/>
    </xf>
    <xf numFmtId="4" fontId="4" fillId="0" borderId="0" xfId="3" applyNumberFormat="1" applyFont="1" applyAlignment="1">
      <alignment vertical="center"/>
    </xf>
    <xf numFmtId="4" fontId="4" fillId="0" borderId="0" xfId="3" applyNumberFormat="1" applyFont="1"/>
    <xf numFmtId="0" fontId="18" fillId="0" borderId="0" xfId="0" applyFont="1" applyAlignment="1">
      <alignment horizontal="justify" vertical="center" wrapText="1"/>
    </xf>
    <xf numFmtId="0" fontId="0" fillId="4" borderId="0" xfId="0" applyFill="1"/>
    <xf numFmtId="164" fontId="0" fillId="4" borderId="0" xfId="1" applyFont="1" applyFill="1"/>
    <xf numFmtId="0" fontId="17" fillId="4" borderId="40" xfId="0" applyFont="1" applyFill="1" applyBorder="1" applyAlignment="1">
      <alignment horizontal="center" vertical="center" wrapText="1"/>
    </xf>
    <xf numFmtId="164" fontId="17" fillId="4" borderId="40" xfId="1" applyFont="1" applyFill="1" applyBorder="1" applyAlignment="1">
      <alignment horizontal="center" vertical="center" wrapText="1"/>
    </xf>
    <xf numFmtId="164" fontId="17" fillId="4" borderId="41" xfId="1" applyFont="1" applyFill="1" applyBorder="1" applyAlignment="1">
      <alignment horizontal="center" vertical="center" wrapText="1"/>
    </xf>
    <xf numFmtId="0" fontId="18" fillId="4" borderId="42" xfId="0" applyFont="1" applyFill="1" applyBorder="1" applyAlignment="1">
      <alignment horizontal="justify" vertical="center" wrapText="1"/>
    </xf>
    <xf numFmtId="0" fontId="18" fillId="4" borderId="42" xfId="0" applyFont="1" applyFill="1" applyBorder="1" applyAlignment="1">
      <alignment horizontal="center" vertical="center" wrapText="1"/>
    </xf>
    <xf numFmtId="164" fontId="18" fillId="4" borderId="42" xfId="1" applyFont="1" applyFill="1" applyBorder="1" applyAlignment="1">
      <alignment horizontal="center" vertical="center" wrapText="1"/>
    </xf>
    <xf numFmtId="164" fontId="18" fillId="4" borderId="43" xfId="1" applyFont="1" applyFill="1" applyBorder="1" applyAlignment="1">
      <alignment vertical="center" wrapText="1"/>
    </xf>
    <xf numFmtId="164" fontId="0" fillId="4" borderId="0" xfId="0" applyNumberFormat="1" applyFill="1"/>
    <xf numFmtId="0" fontId="0" fillId="0" borderId="0" xfId="0" applyAlignment="1">
      <alignment horizontal="center"/>
    </xf>
    <xf numFmtId="9" fontId="0" fillId="0" borderId="0" xfId="0" applyNumberFormat="1"/>
    <xf numFmtId="164" fontId="0" fillId="0" borderId="0" xfId="0" applyNumberFormat="1"/>
    <xf numFmtId="0" fontId="0" fillId="13" borderId="0" xfId="0" applyFill="1"/>
    <xf numFmtId="164" fontId="0" fillId="13" borderId="0" xfId="1" applyFont="1" applyFill="1"/>
    <xf numFmtId="0" fontId="17" fillId="13" borderId="40" xfId="0" applyFont="1" applyFill="1" applyBorder="1" applyAlignment="1">
      <alignment horizontal="center" vertical="center" wrapText="1"/>
    </xf>
    <xf numFmtId="164" fontId="17" fillId="13" borderId="40" xfId="1" applyFont="1" applyFill="1" applyBorder="1" applyAlignment="1">
      <alignment horizontal="center" vertical="center" wrapText="1"/>
    </xf>
    <xf numFmtId="164" fontId="17" fillId="13" borderId="41" xfId="1" applyFont="1" applyFill="1" applyBorder="1" applyAlignment="1">
      <alignment horizontal="center" vertical="center" wrapText="1"/>
    </xf>
    <xf numFmtId="164" fontId="0" fillId="13" borderId="0" xfId="0" applyNumberFormat="1" applyFill="1"/>
    <xf numFmtId="0" fontId="17" fillId="13" borderId="40" xfId="0" applyFont="1" applyFill="1" applyBorder="1" applyAlignment="1">
      <alignment horizontal="left" vertical="center" wrapText="1"/>
    </xf>
    <xf numFmtId="0" fontId="18" fillId="13" borderId="40" xfId="0" applyFont="1" applyFill="1" applyBorder="1" applyAlignment="1">
      <alignment horizontal="justify" vertical="center" wrapText="1"/>
    </xf>
    <xf numFmtId="0" fontId="18" fillId="13" borderId="40" xfId="0" applyFont="1" applyFill="1" applyBorder="1" applyAlignment="1">
      <alignment horizontal="center" vertical="center" wrapText="1"/>
    </xf>
    <xf numFmtId="164" fontId="18" fillId="13" borderId="40" xfId="1" applyFont="1" applyFill="1" applyBorder="1" applyAlignment="1">
      <alignment horizontal="center" vertical="center" wrapText="1"/>
    </xf>
    <xf numFmtId="164" fontId="18" fillId="13" borderId="41" xfId="1" applyFont="1" applyFill="1" applyBorder="1" applyAlignment="1">
      <alignment vertical="center" wrapText="1"/>
    </xf>
    <xf numFmtId="0" fontId="5" fillId="10" borderId="1" xfId="3" applyFont="1" applyFill="1" applyBorder="1" applyAlignment="1">
      <alignment horizontal="left" vertical="center" wrapText="1"/>
    </xf>
    <xf numFmtId="0" fontId="5" fillId="10" borderId="1" xfId="3" applyFont="1" applyFill="1" applyBorder="1" applyAlignment="1">
      <alignment horizontal="center" vertical="center" wrapText="1"/>
    </xf>
    <xf numFmtId="0" fontId="3" fillId="0" borderId="1" xfId="3" applyFont="1" applyBorder="1" applyAlignment="1">
      <alignment horizontal="left" vertical="center"/>
    </xf>
    <xf numFmtId="0" fontId="5" fillId="10" borderId="6" xfId="3" applyFont="1" applyFill="1" applyBorder="1" applyAlignment="1">
      <alignment horizontal="center"/>
    </xf>
    <xf numFmtId="0" fontId="9" fillId="10" borderId="7" xfId="3" applyFont="1" applyFill="1" applyBorder="1" applyAlignment="1">
      <alignment horizontal="center"/>
    </xf>
    <xf numFmtId="0" fontId="5" fillId="10" borderId="7" xfId="3" applyFont="1" applyFill="1" applyBorder="1" applyAlignment="1">
      <alignment horizontal="center"/>
    </xf>
    <xf numFmtId="0" fontId="5" fillId="10" borderId="8" xfId="3" applyFont="1" applyFill="1" applyBorder="1" applyAlignment="1">
      <alignment horizontal="center"/>
    </xf>
    <xf numFmtId="0" fontId="3" fillId="6" borderId="9" xfId="3" applyFont="1" applyFill="1" applyBorder="1" applyAlignment="1">
      <alignment horizontal="left" vertical="center"/>
    </xf>
    <xf numFmtId="0" fontId="4" fillId="6" borderId="10" xfId="3" applyFont="1" applyFill="1" applyBorder="1" applyAlignment="1">
      <alignment vertical="center"/>
    </xf>
    <xf numFmtId="0" fontId="4" fillId="6" borderId="11" xfId="3" applyFont="1" applyFill="1" applyBorder="1" applyAlignment="1">
      <alignment vertical="center"/>
    </xf>
    <xf numFmtId="0" fontId="3" fillId="6" borderId="12" xfId="3" applyFont="1" applyFill="1" applyBorder="1" applyAlignment="1">
      <alignment horizontal="left" vertical="center" wrapText="1"/>
    </xf>
    <xf numFmtId="0" fontId="4" fillId="6" borderId="10" xfId="3" applyFont="1" applyFill="1" applyBorder="1" applyAlignment="1">
      <alignment horizontal="left" vertical="center" wrapText="1"/>
    </xf>
    <xf numFmtId="0" fontId="3" fillId="6" borderId="10" xfId="3" applyFont="1" applyFill="1" applyBorder="1" applyAlignment="1">
      <alignment vertical="center" wrapText="1"/>
    </xf>
    <xf numFmtId="0" fontId="3" fillId="6" borderId="13" xfId="3" applyFont="1" applyFill="1" applyBorder="1" applyAlignment="1">
      <alignment vertical="center" wrapText="1"/>
    </xf>
    <xf numFmtId="0" fontId="3" fillId="6" borderId="14" xfId="3" applyFont="1" applyFill="1" applyBorder="1" applyAlignment="1">
      <alignment horizontal="left" vertical="center"/>
    </xf>
    <xf numFmtId="0" fontId="4" fillId="6" borderId="15" xfId="3" applyFont="1" applyFill="1" applyBorder="1" applyAlignment="1">
      <alignment horizontal="left" vertical="center"/>
    </xf>
    <xf numFmtId="0" fontId="4" fillId="6" borderId="16" xfId="3" applyFont="1" applyFill="1" applyBorder="1" applyAlignment="1">
      <alignment horizontal="left" vertical="center"/>
    </xf>
    <xf numFmtId="0" fontId="3" fillId="6" borderId="17" xfId="3" applyFont="1" applyFill="1" applyBorder="1" applyAlignment="1">
      <alignment horizontal="left" vertical="center" wrapText="1"/>
    </xf>
    <xf numFmtId="0" fontId="4" fillId="6" borderId="15" xfId="3" applyFont="1" applyFill="1" applyBorder="1" applyAlignment="1">
      <alignment horizontal="left" vertical="center" wrapText="1"/>
    </xf>
    <xf numFmtId="0" fontId="4" fillId="6" borderId="18" xfId="3" applyFont="1" applyFill="1" applyBorder="1" applyAlignment="1">
      <alignment horizontal="left" vertical="center" wrapText="1"/>
    </xf>
    <xf numFmtId="0" fontId="3" fillId="6" borderId="9" xfId="3" applyFont="1" applyFill="1" applyBorder="1"/>
    <xf numFmtId="0" fontId="4" fillId="6" borderId="10" xfId="3" applyFont="1" applyFill="1" applyBorder="1"/>
    <xf numFmtId="0" fontId="4" fillId="6" borderId="13" xfId="3" applyFont="1" applyFill="1" applyBorder="1"/>
    <xf numFmtId="0" fontId="11" fillId="0" borderId="26" xfId="3" applyFont="1" applyBorder="1" applyAlignment="1">
      <alignment horizontal="left" vertical="top" wrapText="1"/>
    </xf>
    <xf numFmtId="0" fontId="11" fillId="0" borderId="27" xfId="3" applyFont="1" applyBorder="1" applyAlignment="1">
      <alignment horizontal="left" vertical="top" wrapText="1"/>
    </xf>
    <xf numFmtId="0" fontId="11" fillId="0" borderId="28" xfId="3" applyFont="1" applyBorder="1" applyAlignment="1">
      <alignment horizontal="left" vertical="top" wrapText="1"/>
    </xf>
    <xf numFmtId="0" fontId="3" fillId="0" borderId="1" xfId="3" applyFont="1" applyBorder="1" applyAlignment="1">
      <alignment horizontal="center"/>
    </xf>
    <xf numFmtId="0" fontId="4" fillId="0" borderId="19" xfId="3" applyFont="1" applyBorder="1" applyAlignment="1">
      <alignment horizontal="center" wrapText="1"/>
    </xf>
    <xf numFmtId="0" fontId="4" fillId="0" borderId="20" xfId="3" applyFont="1" applyBorder="1" applyAlignment="1">
      <alignment horizontal="center" wrapText="1"/>
    </xf>
    <xf numFmtId="0" fontId="3" fillId="0" borderId="3" xfId="3" applyFont="1" applyBorder="1" applyAlignment="1">
      <alignment horizontal="center"/>
    </xf>
    <xf numFmtId="0" fontId="3" fillId="0" borderId="5" xfId="3" applyFont="1" applyBorder="1" applyAlignment="1">
      <alignment horizontal="center"/>
    </xf>
    <xf numFmtId="0" fontId="3" fillId="0" borderId="21" xfId="3" applyFont="1" applyBorder="1" applyAlignment="1">
      <alignment horizontal="right"/>
    </xf>
    <xf numFmtId="0" fontId="3" fillId="0" borderId="22" xfId="3" applyFont="1" applyBorder="1" applyAlignment="1">
      <alignment horizontal="right"/>
    </xf>
    <xf numFmtId="0" fontId="3" fillId="0" borderId="24" xfId="3" applyFont="1" applyBorder="1"/>
    <xf numFmtId="0" fontId="4" fillId="0" borderId="25" xfId="3" applyFont="1" applyBorder="1"/>
    <xf numFmtId="0" fontId="4" fillId="0" borderId="22" xfId="3" applyFont="1" applyBorder="1"/>
    <xf numFmtId="0" fontId="4" fillId="0" borderId="27" xfId="3" applyFont="1" applyBorder="1" applyAlignment="1">
      <alignment horizontal="left" vertical="top" wrapText="1"/>
    </xf>
    <xf numFmtId="0" fontId="4" fillId="0" borderId="28" xfId="3" applyFont="1" applyBorder="1" applyAlignment="1">
      <alignment horizontal="left" vertical="top" wrapText="1"/>
    </xf>
    <xf numFmtId="0" fontId="11" fillId="0" borderId="29" xfId="3" applyFont="1" applyBorder="1" applyAlignment="1">
      <alignment horizontal="left" vertical="top" wrapText="1"/>
    </xf>
    <xf numFmtId="0" fontId="11" fillId="0" borderId="0" xfId="3" applyFont="1" applyAlignment="1">
      <alignment horizontal="left" vertical="top" wrapText="1"/>
    </xf>
    <xf numFmtId="0" fontId="11" fillId="0" borderId="30" xfId="3" applyFont="1" applyBorder="1" applyAlignment="1">
      <alignment horizontal="left" vertical="top" wrapText="1"/>
    </xf>
    <xf numFmtId="0" fontId="11" fillId="0" borderId="26" xfId="3" applyFont="1" applyBorder="1" applyAlignment="1">
      <alignment horizontal="left" wrapText="1"/>
    </xf>
    <xf numFmtId="0" fontId="4" fillId="0" borderId="27" xfId="3" applyFont="1" applyBorder="1" applyAlignment="1">
      <alignment horizontal="left" wrapText="1"/>
    </xf>
    <xf numFmtId="0" fontId="4" fillId="0" borderId="28" xfId="3" applyFont="1" applyBorder="1" applyAlignment="1">
      <alignment horizontal="left" wrapText="1"/>
    </xf>
    <xf numFmtId="0" fontId="13" fillId="0" borderId="26" xfId="3" applyFont="1" applyBorder="1" applyAlignment="1">
      <alignment horizontal="left" vertical="top" wrapText="1"/>
    </xf>
    <xf numFmtId="0" fontId="11" fillId="0" borderId="29" xfId="3" applyFont="1" applyBorder="1" applyAlignment="1">
      <alignment horizontal="left" vertical="center" wrapText="1"/>
    </xf>
    <xf numFmtId="0" fontId="4" fillId="0" borderId="0" xfId="3" applyFont="1" applyAlignment="1">
      <alignment horizontal="left" vertical="center" wrapText="1"/>
    </xf>
    <xf numFmtId="0" fontId="4" fillId="0" borderId="30" xfId="3" applyFont="1" applyBorder="1" applyAlignment="1">
      <alignment horizontal="left" vertical="center" wrapText="1"/>
    </xf>
    <xf numFmtId="0" fontId="5" fillId="10" borderId="36" xfId="3" applyFont="1" applyFill="1" applyBorder="1" applyAlignment="1">
      <alignment horizontal="center" vertical="center" wrapText="1"/>
    </xf>
    <xf numFmtId="0" fontId="5" fillId="10" borderId="35" xfId="3" applyFont="1" applyFill="1" applyBorder="1" applyAlignment="1">
      <alignment horizontal="left" vertical="center" wrapText="1"/>
    </xf>
    <xf numFmtId="0" fontId="5" fillId="10" borderId="2" xfId="3" applyFont="1" applyFill="1" applyBorder="1" applyAlignment="1">
      <alignment horizontal="left" vertical="center" wrapText="1"/>
    </xf>
    <xf numFmtId="0" fontId="3" fillId="0" borderId="20" xfId="3" applyFont="1" applyBorder="1" applyAlignment="1">
      <alignment horizontal="center"/>
    </xf>
    <xf numFmtId="0" fontId="3" fillId="0" borderId="11" xfId="3" applyFont="1" applyBorder="1" applyAlignment="1">
      <alignment horizontal="center"/>
    </xf>
    <xf numFmtId="0" fontId="3" fillId="0" borderId="16" xfId="3" applyFont="1" applyBorder="1" applyAlignment="1">
      <alignment horizontal="center"/>
    </xf>
    <xf numFmtId="14" fontId="3" fillId="0" borderId="24" xfId="3" applyNumberFormat="1" applyFont="1" applyBorder="1" applyAlignment="1">
      <alignment horizontal="left"/>
    </xf>
    <xf numFmtId="0" fontId="4" fillId="0" borderId="25" xfId="3" applyFont="1" applyBorder="1" applyAlignment="1">
      <alignment horizontal="left"/>
    </xf>
    <xf numFmtId="0" fontId="4" fillId="0" borderId="22" xfId="3" applyFont="1" applyBorder="1" applyAlignment="1">
      <alignment horizontal="left"/>
    </xf>
    <xf numFmtId="0" fontId="5" fillId="10" borderId="37" xfId="3" applyFont="1" applyFill="1" applyBorder="1" applyAlignment="1">
      <alignment horizontal="center" vertical="center" wrapText="1"/>
    </xf>
    <xf numFmtId="0" fontId="5" fillId="10" borderId="38" xfId="3" applyFont="1" applyFill="1" applyBorder="1" applyAlignment="1">
      <alignment horizontal="center" vertical="center" wrapText="1"/>
    </xf>
    <xf numFmtId="0" fontId="5" fillId="10" borderId="31" xfId="3" applyFont="1" applyFill="1" applyBorder="1" applyAlignment="1">
      <alignment horizontal="center" vertical="center" wrapText="1"/>
    </xf>
    <xf numFmtId="0" fontId="5" fillId="10" borderId="32" xfId="3" applyFont="1" applyFill="1" applyBorder="1" applyAlignment="1">
      <alignment horizontal="center" vertical="center" wrapText="1"/>
    </xf>
    <xf numFmtId="0" fontId="5" fillId="10" borderId="3" xfId="3" applyFont="1" applyFill="1" applyBorder="1" applyAlignment="1">
      <alignment horizontal="center" vertical="center" wrapText="1"/>
    </xf>
    <xf numFmtId="0" fontId="5" fillId="10" borderId="4" xfId="3" applyFont="1" applyFill="1" applyBorder="1" applyAlignment="1">
      <alignment horizontal="center" vertical="center" wrapText="1"/>
    </xf>
    <xf numFmtId="166" fontId="5" fillId="10" borderId="1" xfId="3" applyNumberFormat="1" applyFont="1" applyFill="1" applyBorder="1" applyAlignment="1">
      <alignment horizontal="center" vertical="center" wrapText="1"/>
    </xf>
    <xf numFmtId="0" fontId="5" fillId="10" borderId="3" xfId="3" applyFont="1" applyFill="1" applyBorder="1" applyAlignment="1">
      <alignment horizontal="left" vertical="center" wrapText="1"/>
    </xf>
    <xf numFmtId="0" fontId="5" fillId="10" borderId="5" xfId="3" applyFont="1" applyFill="1" applyBorder="1" applyAlignment="1">
      <alignment horizontal="left" vertical="center" wrapText="1"/>
    </xf>
    <xf numFmtId="9" fontId="4" fillId="0" borderId="3" xfId="2" applyFont="1" applyFill="1" applyBorder="1" applyAlignment="1">
      <alignment horizontal="left" vertical="center" wrapText="1"/>
    </xf>
    <xf numFmtId="9" fontId="4" fillId="0" borderId="4" xfId="2" applyFont="1" applyFill="1" applyBorder="1" applyAlignment="1">
      <alignment horizontal="left" vertical="center" wrapText="1"/>
    </xf>
    <xf numFmtId="9" fontId="4" fillId="0" borderId="5" xfId="2" applyFont="1" applyFill="1" applyBorder="1" applyAlignment="1">
      <alignment horizontal="left" vertical="center" wrapText="1"/>
    </xf>
    <xf numFmtId="0" fontId="3" fillId="12" borderId="1" xfId="3" applyFont="1" applyFill="1" applyBorder="1" applyAlignment="1">
      <alignment horizontal="center" vertical="center"/>
    </xf>
    <xf numFmtId="0" fontId="3" fillId="0" borderId="34" xfId="3" applyFont="1" applyBorder="1" applyAlignment="1">
      <alignment horizontal="center" vertical="center"/>
    </xf>
    <xf numFmtId="0" fontId="3" fillId="0" borderId="0" xfId="3" applyFont="1" applyAlignment="1">
      <alignment horizontal="center" vertical="center"/>
    </xf>
    <xf numFmtId="0" fontId="3" fillId="0" borderId="1" xfId="3" applyFont="1" applyBorder="1" applyAlignment="1">
      <alignment horizontal="center" vertical="center"/>
    </xf>
    <xf numFmtId="0" fontId="3" fillId="0" borderId="3" xfId="3" applyFont="1" applyBorder="1" applyAlignment="1">
      <alignment horizontal="center" vertical="center"/>
    </xf>
    <xf numFmtId="0" fontId="3" fillId="0" borderId="4" xfId="3" applyFont="1" applyBorder="1" applyAlignment="1">
      <alignment horizontal="center" vertical="center"/>
    </xf>
    <xf numFmtId="0" fontId="3" fillId="0" borderId="5" xfId="3" applyFont="1" applyBorder="1" applyAlignment="1">
      <alignment horizontal="center" vertical="center"/>
    </xf>
    <xf numFmtId="0" fontId="3" fillId="11" borderId="3" xfId="3" applyFont="1" applyFill="1" applyBorder="1" applyAlignment="1">
      <alignment horizontal="center" vertical="center"/>
    </xf>
    <xf numFmtId="0" fontId="3" fillId="11" borderId="4" xfId="3" applyFont="1" applyFill="1" applyBorder="1" applyAlignment="1">
      <alignment horizontal="center" vertical="center"/>
    </xf>
    <xf numFmtId="0" fontId="3" fillId="11" borderId="5" xfId="3" applyFont="1" applyFill="1" applyBorder="1" applyAlignment="1">
      <alignment horizontal="center" vertical="center"/>
    </xf>
    <xf numFmtId="165" fontId="5" fillId="10" borderId="3" xfId="3" applyNumberFormat="1" applyFont="1" applyFill="1" applyBorder="1" applyAlignment="1">
      <alignment horizontal="center" vertical="center" wrapText="1"/>
    </xf>
    <xf numFmtId="165" fontId="5" fillId="10" borderId="5" xfId="3" applyNumberFormat="1" applyFont="1" applyFill="1" applyBorder="1" applyAlignment="1">
      <alignment horizontal="center" vertical="center" wrapText="1"/>
    </xf>
  </cellXfs>
  <cellStyles count="6">
    <cellStyle name="Comma" xfId="1" builtinId="3"/>
    <cellStyle name="Normal" xfId="0" builtinId="0"/>
    <cellStyle name="Normal 2" xfId="3" xr:uid="{D1A66F06-1555-47D8-99B1-35BE262E08FC}"/>
    <cellStyle name="Percent" xfId="2" builtinId="5"/>
    <cellStyle name="Porcentagem 2" xfId="4" xr:uid="{9184F19A-4B02-4E26-A99B-4DA34CABD8C6}"/>
    <cellStyle name="Vírgula 2" xfId="5" xr:uid="{59C303AE-EC38-47B3-A0AC-0D7C9218BD51}"/>
  </cellStyles>
  <dxfs count="0"/>
  <tableStyles count="0" defaultTableStyle="TableStyleMedium2" defaultPivotStyle="PivotStyleLight16"/>
  <colors>
    <mruColors>
      <color rgb="FFFFC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8.xml" Id="rId8" /><Relationship Type="http://schemas.openxmlformats.org/officeDocument/2006/relationships/theme" Target="theme/theme1.xml" Id="rId13" /><Relationship Type="http://schemas.openxmlformats.org/officeDocument/2006/relationships/worksheet" Target="worksheets/sheet3.xml" Id="rId3" /><Relationship Type="http://schemas.openxmlformats.org/officeDocument/2006/relationships/worksheet" Target="worksheets/sheet7.xml" Id="rId7" /><Relationship Type="http://schemas.openxmlformats.org/officeDocument/2006/relationships/externalLink" Target="externalLinks/externalLink2.xml" Id="rId12" /><Relationship Type="http://schemas.openxmlformats.org/officeDocument/2006/relationships/worksheet" Target="worksheets/sheet2.xml" Id="rId2" /><Relationship Type="http://schemas.openxmlformats.org/officeDocument/2006/relationships/calcChain" Target="calcChain.xml" Id="rId16" /><Relationship Type="http://schemas.openxmlformats.org/officeDocument/2006/relationships/worksheet" Target="worksheets/sheet1.xml" Id="rId1" /><Relationship Type="http://schemas.openxmlformats.org/officeDocument/2006/relationships/worksheet" Target="worksheets/sheet6.xml" Id="rId6" /><Relationship Type="http://schemas.openxmlformats.org/officeDocument/2006/relationships/externalLink" Target="externalLinks/externalLink1.xml" Id="rId11" /><Relationship Type="http://schemas.openxmlformats.org/officeDocument/2006/relationships/worksheet" Target="worksheets/sheet5.xml" Id="rId5" /><Relationship Type="http://schemas.openxmlformats.org/officeDocument/2006/relationships/sharedStrings" Target="sharedStrings.xml" Id="rId15" /><Relationship Type="http://schemas.openxmlformats.org/officeDocument/2006/relationships/worksheet" Target="worksheets/sheet10.xml" Id="rId10" /><Relationship Type="http://schemas.openxmlformats.org/officeDocument/2006/relationships/worksheet" Target="worksheets/sheet4.xml" Id="rId4" /><Relationship Type="http://schemas.openxmlformats.org/officeDocument/2006/relationships/worksheet" Target="worksheets/sheet9.xml" Id="rId9" /><Relationship Type="http://schemas.openxmlformats.org/officeDocument/2006/relationships/styles" Target="styles.xml" Id="rId14" 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209550</xdr:colOff>
      <xdr:row>1</xdr:row>
      <xdr:rowOff>76200</xdr:rowOff>
    </xdr:from>
    <xdr:to>
      <xdr:col>9</xdr:col>
      <xdr:colOff>504825</xdr:colOff>
      <xdr:row>36</xdr:row>
      <xdr:rowOff>66675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836DF62A-7A88-D0C9-79D4-C9C485F866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9150" y="266700"/>
          <a:ext cx="5172075" cy="6762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15</xdr:col>
      <xdr:colOff>333375</xdr:colOff>
      <xdr:row>68</xdr:row>
      <xdr:rowOff>38100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36204FD4-1890-4B8E-A5D6-126AE551B5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9477375" cy="12992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16</xdr:col>
      <xdr:colOff>0</xdr:colOff>
      <xdr:row>0</xdr:row>
      <xdr:rowOff>0</xdr:rowOff>
    </xdr:from>
    <xdr:to>
      <xdr:col>31</xdr:col>
      <xdr:colOff>295275</xdr:colOff>
      <xdr:row>52</xdr:row>
      <xdr:rowOff>161925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B024DD9E-0416-4F9B-B352-7985912A72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53600" y="0"/>
          <a:ext cx="9439275" cy="10067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/HP%20220510/EAG%2021/SIMA/Pendrive%20220126/2%20Prev%20e%20Gest&#227;o%20de%20Cr&#237;ses%20H&#237;dricas%20BR-T1351/BID%20-%20pasta%20Maira/Solicita&#231;&#227;o%20de%20Desembolso/2o.%20Desembolso/OLD/2%20Plano%20Financeiro%20-%20Adiantamento%20de%20Recursos%20R12.xlsx?0CDE28D6" TargetMode="External"/><Relationship Id="rId1" Type="http://schemas.openxmlformats.org/officeDocument/2006/relationships/externalLinkPath" Target="file:///\\0CDE28D6\2%20Plano%20Financeiro%20-%20Adiantamento%20de%20Recursos%20R1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HP%20220510/EAG%2021/SIMA/Pendrive%20220126/2%20Prev%20e%20Gest&#227;o%20de%20Cr&#237;ses%20H&#237;dricas%20BR-T1351/Apresenta&#231;&#227;o%20Revis&#227;o%20de%20Carteira%20BID/2%20Plano%20Financeiro%20-%20Adiantamento%20de%20Recursos%20R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F 200512"/>
      <sheetName val="PF 210524"/>
      <sheetName val="PA R8 (US$)"/>
      <sheetName val="PA R8 (R$)"/>
      <sheetName val="Slides 1 e 2"/>
      <sheetName val="Slides 1 e 2 (2)"/>
      <sheetName val="Plano Financeiro"/>
      <sheetName val="Hist e Proj Slide 3 est Cons"/>
      <sheetName val="Medições"/>
      <sheetName val="Vigência CP"/>
      <sheetName val="Cronograma Exec Contrato 1.1.1"/>
      <sheetName val="Cronograma Exec 1.1.1 Revisado"/>
      <sheetName val="Cronograma de Execução R2 R$"/>
      <sheetName val="Cronograma de Empenho R2 R$"/>
      <sheetName val="Cronograma de Desembolso R2 R$"/>
      <sheetName val="Cronograma de Desembolso R2 US$"/>
      <sheetName val="Cronograma de Desembolso R3 US$"/>
      <sheetName val="2o. Plano Financeiro"/>
      <sheetName val="Contrato 4.1.1 Geraldo"/>
      <sheetName val="Contrato 1.1.1 Cobrape"/>
      <sheetName val="Aditivos da Coop. Técnica"/>
      <sheetName val="Planilha1"/>
      <sheetName val="Planilha2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0">
          <cell r="M10">
            <v>5.486594053368811E-2</v>
          </cell>
          <cell r="N10">
            <v>0.34513405946631187</v>
          </cell>
          <cell r="O10">
            <v>0.18</v>
          </cell>
          <cell r="P10">
            <v>6.0000000000000005E-2</v>
          </cell>
          <cell r="Q10">
            <v>6.0000000000000005E-2</v>
          </cell>
          <cell r="R10">
            <v>0.12000000000000001</v>
          </cell>
          <cell r="S10">
            <v>0.04</v>
          </cell>
          <cell r="T10">
            <v>0.04</v>
          </cell>
          <cell r="U10">
            <v>0.1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F 200512"/>
      <sheetName val="PF 210524"/>
      <sheetName val="PA R8 (US$)"/>
      <sheetName val="PA R8 (R$)"/>
      <sheetName val="Slides 1 e 2 (2)"/>
      <sheetName val="Plano Financeiro"/>
      <sheetName val="Hist e Proj Slide 3 est Cons"/>
      <sheetName val="Medições"/>
      <sheetName val="Vigência CP"/>
      <sheetName val="Cronograma Exec Contrato 1.1.1"/>
      <sheetName val="Cronograma Exec 1.1.1 Revisado"/>
      <sheetName val="Cronograma de Execução Revisado"/>
      <sheetName val="Cronograma de Desembolsos Rev"/>
      <sheetName val="Cronograma de Execução R2 Compl"/>
      <sheetName val="Cronograma de Desembolso R2 US$"/>
      <sheetName val="Cronograma de Desembolso R2 R$"/>
      <sheetName val="Contrato 4.1.1 Geraldo"/>
      <sheetName val="Contrato 1.1.1 Cobrape"/>
      <sheetName val="Aditivos da Coop. Técnica"/>
      <sheetName val="Slides 1 e 2"/>
      <sheetName val="Slides 1 e 2 (3)"/>
      <sheetName val="Cronograma de Desembolsos R (2)"/>
      <sheetName val="Planilha1"/>
      <sheetName val="Planilha2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0">
          <cell r="M10">
            <v>8.0000000000000016E-2</v>
          </cell>
          <cell r="N10">
            <v>0.32</v>
          </cell>
          <cell r="O10">
            <v>0.18</v>
          </cell>
          <cell r="P10">
            <v>6.0000000000000005E-2</v>
          </cell>
          <cell r="Q10">
            <v>6.0000000000000005E-2</v>
          </cell>
          <cell r="R10">
            <v>0.12000000000000001</v>
          </cell>
          <cell r="S10">
            <v>0.04</v>
          </cell>
          <cell r="T10">
            <v>0.04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0213E2-8840-471D-948D-D631CECF71EE}">
  <dimension ref="B2:D29"/>
  <sheetViews>
    <sheetView workbookViewId="0"/>
  </sheetViews>
  <sheetFormatPr defaultRowHeight="14.4"/>
  <cols>
    <col min="2" max="2" width="15.6640625" customWidth="1"/>
    <col min="3" max="3" width="60.6640625" customWidth="1"/>
    <col min="4" max="4" width="20.6640625" customWidth="1"/>
  </cols>
  <sheetData>
    <row r="2" spans="2:4">
      <c r="B2" s="201" t="s">
        <v>41</v>
      </c>
      <c r="C2" s="202" t="s">
        <v>42</v>
      </c>
      <c r="D2" s="202" t="s">
        <v>43</v>
      </c>
    </row>
    <row r="3" spans="2:4">
      <c r="B3" s="201"/>
      <c r="C3" s="202"/>
      <c r="D3" s="202"/>
    </row>
    <row r="4" spans="2:4" ht="15.6">
      <c r="B4" s="1">
        <v>1</v>
      </c>
      <c r="C4" s="2" t="s">
        <v>0</v>
      </c>
      <c r="D4" s="3">
        <f>D6+D10</f>
        <v>412879</v>
      </c>
    </row>
    <row r="5" spans="2:4" ht="15.6">
      <c r="B5" s="1" t="s">
        <v>1</v>
      </c>
      <c r="C5" s="4" t="s">
        <v>2</v>
      </c>
      <c r="D5" s="3"/>
    </row>
    <row r="6" spans="2:4" ht="46.8">
      <c r="B6" s="5" t="s">
        <v>3</v>
      </c>
      <c r="C6" s="6" t="s">
        <v>4</v>
      </c>
      <c r="D6" s="7">
        <v>372000</v>
      </c>
    </row>
    <row r="7" spans="2:4" ht="31.2">
      <c r="B7" s="8" t="s">
        <v>5</v>
      </c>
      <c r="C7" s="9" t="s">
        <v>6</v>
      </c>
      <c r="D7" s="10">
        <f>1763935.86/5.336</f>
        <v>330572.68740629684</v>
      </c>
    </row>
    <row r="8" spans="2:4" ht="31.2">
      <c r="B8" s="11" t="s">
        <v>7</v>
      </c>
      <c r="C8" s="12" t="s">
        <v>8</v>
      </c>
      <c r="D8" s="13">
        <f>D6-D7</f>
        <v>41427.312593703158</v>
      </c>
    </row>
    <row r="9" spans="2:4" ht="15.6">
      <c r="B9" s="1">
        <v>1.2</v>
      </c>
      <c r="C9" s="2" t="s">
        <v>9</v>
      </c>
      <c r="D9" s="14">
        <f>D10</f>
        <v>40879</v>
      </c>
    </row>
    <row r="10" spans="2:4" ht="15.6">
      <c r="B10" s="15" t="s">
        <v>10</v>
      </c>
      <c r="C10" s="16" t="s">
        <v>11</v>
      </c>
      <c r="D10" s="17">
        <v>40879</v>
      </c>
    </row>
    <row r="11" spans="2:4" ht="15.6">
      <c r="B11" s="8" t="s">
        <v>12</v>
      </c>
      <c r="C11" s="9" t="s">
        <v>13</v>
      </c>
      <c r="D11" s="10">
        <v>0</v>
      </c>
    </row>
    <row r="12" spans="2:4" ht="15.6">
      <c r="B12" s="11" t="s">
        <v>14</v>
      </c>
      <c r="C12" s="12" t="s">
        <v>15</v>
      </c>
      <c r="D12" s="13">
        <f>D10-D11</f>
        <v>40879</v>
      </c>
    </row>
    <row r="13" spans="2:4" ht="15.6">
      <c r="B13" s="1">
        <v>3</v>
      </c>
      <c r="C13" s="18" t="s">
        <v>16</v>
      </c>
      <c r="D13" s="14">
        <f>+D15+D18</f>
        <v>109090.7</v>
      </c>
    </row>
    <row r="14" spans="2:4" ht="15.6">
      <c r="B14" s="1" t="s">
        <v>17</v>
      </c>
      <c r="C14" s="18" t="s">
        <v>9</v>
      </c>
      <c r="D14" s="19"/>
    </row>
    <row r="15" spans="2:4" ht="31.2">
      <c r="B15" s="20" t="s">
        <v>18</v>
      </c>
      <c r="C15" s="21" t="s">
        <v>19</v>
      </c>
      <c r="D15" s="22">
        <f>60606.06</f>
        <v>60606.06</v>
      </c>
    </row>
    <row r="16" spans="2:4" ht="31.2">
      <c r="B16" s="23" t="s">
        <v>20</v>
      </c>
      <c r="C16" s="24" t="s">
        <v>21</v>
      </c>
      <c r="D16" s="19">
        <f>D15*E15</f>
        <v>0</v>
      </c>
    </row>
    <row r="17" spans="2:4" ht="31.2">
      <c r="B17" s="11" t="s">
        <v>22</v>
      </c>
      <c r="C17" s="12" t="s">
        <v>23</v>
      </c>
      <c r="D17" s="13">
        <f>D15-D16</f>
        <v>60606.06</v>
      </c>
    </row>
    <row r="18" spans="2:4" ht="15.6">
      <c r="B18" s="15" t="s">
        <v>24</v>
      </c>
      <c r="C18" s="16" t="s">
        <v>25</v>
      </c>
      <c r="D18" s="17">
        <f>48484.64</f>
        <v>48484.639999999999</v>
      </c>
    </row>
    <row r="19" spans="2:4" ht="15.6">
      <c r="B19" s="23" t="s">
        <v>26</v>
      </c>
      <c r="C19" s="24" t="s">
        <v>27</v>
      </c>
      <c r="D19" s="19">
        <f>D18*E15</f>
        <v>0</v>
      </c>
    </row>
    <row r="20" spans="2:4" ht="15.6">
      <c r="B20" s="11" t="s">
        <v>28</v>
      </c>
      <c r="C20" s="12" t="s">
        <v>29</v>
      </c>
      <c r="D20" s="13">
        <f>D18-D19</f>
        <v>48484.639999999999</v>
      </c>
    </row>
    <row r="21" spans="2:4" ht="15.6">
      <c r="B21" s="1">
        <v>4</v>
      </c>
      <c r="C21" s="25" t="s">
        <v>30</v>
      </c>
      <c r="D21" s="14">
        <f>SUM(D25:D26)</f>
        <v>46002.934782608696</v>
      </c>
    </row>
    <row r="22" spans="2:4" ht="15.6">
      <c r="B22" s="26">
        <v>4</v>
      </c>
      <c r="C22" s="4" t="s">
        <v>31</v>
      </c>
      <c r="D22" s="14">
        <f>D23+D26</f>
        <v>100000</v>
      </c>
    </row>
    <row r="23" spans="2:4" ht="15.6">
      <c r="B23" s="27" t="s">
        <v>32</v>
      </c>
      <c r="C23" s="28" t="s">
        <v>33</v>
      </c>
      <c r="D23" s="29">
        <v>81818.179999999993</v>
      </c>
    </row>
    <row r="24" spans="2:4" ht="15.6">
      <c r="B24" s="8" t="s">
        <v>34</v>
      </c>
      <c r="C24" s="9" t="s">
        <v>35</v>
      </c>
      <c r="D24" s="10">
        <f>16007.13*18/5.336</f>
        <v>53997.065217391297</v>
      </c>
    </row>
    <row r="25" spans="2:4" ht="15.6">
      <c r="B25" s="11" t="s">
        <v>36</v>
      </c>
      <c r="C25" s="12" t="s">
        <v>37</v>
      </c>
      <c r="D25" s="13">
        <f>D23-D24</f>
        <v>27821.114782608696</v>
      </c>
    </row>
    <row r="26" spans="2:4" ht="15.6">
      <c r="B26" s="30" t="s">
        <v>38</v>
      </c>
      <c r="C26" s="31" t="s">
        <v>39</v>
      </c>
      <c r="D26" s="32">
        <v>18181.82</v>
      </c>
    </row>
    <row r="27" spans="2:4" ht="15.6">
      <c r="B27" s="203" t="s">
        <v>40</v>
      </c>
      <c r="C27" s="203"/>
      <c r="D27" s="14">
        <f>D22+D13+D4</f>
        <v>621969.69999999995</v>
      </c>
    </row>
    <row r="28" spans="2:4" ht="15.6">
      <c r="B28" s="34"/>
      <c r="C28" s="34"/>
      <c r="D28" s="34"/>
    </row>
    <row r="29" spans="2:4" ht="15.6">
      <c r="B29" s="35"/>
      <c r="C29" s="35"/>
      <c r="D29" s="35"/>
    </row>
  </sheetData>
  <mergeCells count="4">
    <mergeCell ref="B2:B3"/>
    <mergeCell ref="C2:C3"/>
    <mergeCell ref="D2:D3"/>
    <mergeCell ref="B27:C27"/>
  </mergeCells>
  <pageMargins left="0.511811024" right="0.511811024" top="0.78740157499999996" bottom="0.78740157499999996" header="0.31496062000000002" footer="0.3149606200000000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6D710-5C89-46D9-9083-B69D731DBE96}">
  <sheetPr>
    <tabColor rgb="FFFFFF00"/>
  </sheetPr>
  <dimension ref="B1:CC34"/>
  <sheetViews>
    <sheetView topLeftCell="A9" zoomScale="70" zoomScaleNormal="70" zoomScalePageLayoutView="78" workbookViewId="0">
      <pane xSplit="5" ySplit="2" topLeftCell="AI21" activePane="bottomRight" state="frozen"/>
      <selection activeCell="A9" sqref="A9"/>
      <selection pane="topRight" activeCell="F9" sqref="F9"/>
      <selection pane="bottomLeft" activeCell="A11" sqref="A11"/>
      <selection pane="bottomRight" activeCell="D20" sqref="D20"/>
    </sheetView>
  </sheetViews>
  <sheetFormatPr defaultColWidth="9.109375" defaultRowHeight="15.6"/>
  <cols>
    <col min="1" max="1" width="12.44140625" style="34" bestFit="1" customWidth="1"/>
    <col min="2" max="2" width="9.109375" style="34"/>
    <col min="3" max="3" width="56.5546875" style="34" customWidth="1"/>
    <col min="4" max="4" width="20.6640625" style="34" customWidth="1"/>
    <col min="5" max="5" width="41.33203125" style="41" hidden="1" customWidth="1"/>
    <col min="6" max="6" width="12.5546875" style="34" customWidth="1"/>
    <col min="7" max="7" width="13" style="34" customWidth="1"/>
    <col min="8" max="9" width="9.109375" style="34" customWidth="1"/>
    <col min="10" max="10" width="16.5546875" style="34" customWidth="1"/>
    <col min="11" max="11" width="9.109375" style="34" customWidth="1"/>
    <col min="12" max="12" width="11.5546875" style="34" bestFit="1" customWidth="1"/>
    <col min="13" max="13" width="11.5546875" style="34" customWidth="1"/>
    <col min="14" max="14" width="13.5546875" style="34" customWidth="1"/>
    <col min="15" max="20" width="9.109375" style="34" customWidth="1"/>
    <col min="21" max="21" width="9.109375" style="34" hidden="1" customWidth="1"/>
    <col min="22" max="33" width="9.109375" style="34" customWidth="1"/>
    <col min="34" max="34" width="10" style="34" bestFit="1" customWidth="1"/>
    <col min="35" max="35" width="9.109375" style="34" customWidth="1"/>
    <col min="36" max="36" width="10.5546875" style="34" customWidth="1"/>
    <col min="37" max="38" width="9.109375" style="34" customWidth="1"/>
    <col min="39" max="40" width="10" style="34" bestFit="1" customWidth="1"/>
    <col min="41" max="45" width="10" style="34" customWidth="1"/>
    <col min="46" max="49" width="11.5546875" style="34" customWidth="1"/>
    <col min="50" max="53" width="12.88671875" style="34" bestFit="1" customWidth="1"/>
    <col min="54" max="54" width="11.5546875" style="34" hidden="1" customWidth="1"/>
    <col min="55" max="55" width="12.88671875" style="34" hidden="1" customWidth="1"/>
    <col min="56" max="58" width="12.88671875" style="34" bestFit="1" customWidth="1"/>
    <col min="59" max="67" width="14" style="34" bestFit="1" customWidth="1"/>
    <col min="68" max="80" width="14" style="34" customWidth="1"/>
    <col min="81" max="16384" width="9.109375" style="34"/>
  </cols>
  <sheetData>
    <row r="1" spans="2:80" s="37" customFormat="1" ht="20.25" customHeight="1">
      <c r="B1" s="37" t="s">
        <v>66</v>
      </c>
      <c r="E1" s="38"/>
    </row>
    <row r="2" spans="2:80" s="39" customFormat="1" ht="20.25" customHeight="1">
      <c r="E2" s="40"/>
    </row>
    <row r="3" spans="2:80" ht="21" hidden="1" customHeight="1"/>
    <row r="4" spans="2:80" ht="40.950000000000003" hidden="1" customHeight="1"/>
    <row r="5" spans="2:80" ht="37.5" hidden="1" customHeight="1"/>
    <row r="6" spans="2:80" ht="21" hidden="1" customHeight="1"/>
    <row r="7" spans="2:80" ht="22.5" hidden="1" customHeight="1"/>
    <row r="8" spans="2:80" ht="12" hidden="1" customHeight="1"/>
    <row r="9" spans="2:80" s="42" customFormat="1" ht="84" customHeight="1">
      <c r="B9" s="201" t="s">
        <v>41</v>
      </c>
      <c r="C9" s="202" t="s">
        <v>42</v>
      </c>
      <c r="D9" s="202" t="s">
        <v>43</v>
      </c>
      <c r="E9" s="201" t="s">
        <v>47</v>
      </c>
      <c r="F9" s="202" t="s">
        <v>48</v>
      </c>
      <c r="G9" s="202" t="s">
        <v>49</v>
      </c>
      <c r="H9" s="202" t="s">
        <v>50</v>
      </c>
      <c r="I9" s="202"/>
      <c r="J9" s="202" t="s">
        <v>51</v>
      </c>
      <c r="K9" s="202" t="s">
        <v>52</v>
      </c>
      <c r="L9" s="202" t="s">
        <v>53</v>
      </c>
      <c r="M9" s="43">
        <v>44105</v>
      </c>
      <c r="N9" s="44">
        <v>44136</v>
      </c>
      <c r="O9" s="44">
        <v>44166</v>
      </c>
      <c r="P9" s="44">
        <v>44197</v>
      </c>
      <c r="Q9" s="44">
        <v>44228</v>
      </c>
      <c r="R9" s="44">
        <v>44256</v>
      </c>
      <c r="S9" s="44">
        <v>44287</v>
      </c>
      <c r="T9" s="44">
        <v>44317</v>
      </c>
      <c r="U9" s="44" t="s">
        <v>54</v>
      </c>
      <c r="V9" s="44">
        <v>44348</v>
      </c>
      <c r="W9" s="44">
        <v>44378</v>
      </c>
      <c r="X9" s="44">
        <v>44409</v>
      </c>
      <c r="Y9" s="44">
        <v>44440</v>
      </c>
      <c r="Z9" s="44">
        <v>44470</v>
      </c>
      <c r="AA9" s="44">
        <v>44501</v>
      </c>
      <c r="AB9" s="44">
        <v>44531</v>
      </c>
      <c r="AC9" s="44">
        <v>44562</v>
      </c>
      <c r="AD9" s="44">
        <v>44593</v>
      </c>
      <c r="AE9" s="44">
        <v>44621</v>
      </c>
      <c r="AF9" s="44">
        <v>44652</v>
      </c>
      <c r="AG9" s="44">
        <v>44682</v>
      </c>
      <c r="AH9" s="44">
        <v>44713</v>
      </c>
      <c r="AI9" s="44">
        <v>44743</v>
      </c>
      <c r="AJ9" s="44">
        <v>44774</v>
      </c>
      <c r="AK9" s="44">
        <v>44805</v>
      </c>
      <c r="AL9" s="44">
        <v>44835</v>
      </c>
      <c r="AM9" s="44">
        <v>44866</v>
      </c>
      <c r="AN9" s="44">
        <v>44896</v>
      </c>
      <c r="AO9" s="44">
        <v>44927</v>
      </c>
      <c r="AP9" s="44">
        <v>44958</v>
      </c>
      <c r="AQ9" s="44">
        <v>44986</v>
      </c>
      <c r="AR9" s="44">
        <v>45017</v>
      </c>
      <c r="AS9" s="44">
        <v>45047</v>
      </c>
      <c r="AT9" s="44">
        <v>44105</v>
      </c>
      <c r="AU9" s="44">
        <v>44136</v>
      </c>
      <c r="AV9" s="44">
        <v>44166</v>
      </c>
      <c r="AW9" s="44">
        <v>44197</v>
      </c>
      <c r="AX9" s="44">
        <v>44228</v>
      </c>
      <c r="AY9" s="44">
        <v>44256</v>
      </c>
      <c r="AZ9" s="44">
        <v>44287</v>
      </c>
      <c r="BA9" s="44">
        <v>44317</v>
      </c>
      <c r="BB9" s="280" t="s">
        <v>55</v>
      </c>
      <c r="BC9" s="44" t="s">
        <v>54</v>
      </c>
      <c r="BD9" s="44">
        <v>44348</v>
      </c>
      <c r="BE9" s="44">
        <v>44378</v>
      </c>
      <c r="BF9" s="44">
        <v>44409</v>
      </c>
      <c r="BG9" s="44">
        <v>44440</v>
      </c>
      <c r="BH9" s="44">
        <v>44470</v>
      </c>
      <c r="BI9" s="44">
        <v>44501</v>
      </c>
      <c r="BJ9" s="44">
        <v>44531</v>
      </c>
      <c r="BK9" s="44">
        <v>44562</v>
      </c>
      <c r="BL9" s="44">
        <v>44593</v>
      </c>
      <c r="BM9" s="44">
        <v>44621</v>
      </c>
      <c r="BN9" s="44">
        <v>44652</v>
      </c>
      <c r="BO9" s="44">
        <v>44682</v>
      </c>
      <c r="BP9" s="44">
        <v>44713</v>
      </c>
      <c r="BQ9" s="44">
        <v>44743</v>
      </c>
      <c r="BR9" s="44">
        <v>44774</v>
      </c>
      <c r="BS9" s="44">
        <v>44805</v>
      </c>
      <c r="BT9" s="44">
        <v>44835</v>
      </c>
      <c r="BU9" s="44">
        <v>44866</v>
      </c>
      <c r="BV9" s="44">
        <v>44896</v>
      </c>
      <c r="BW9" s="44">
        <v>44927</v>
      </c>
      <c r="BX9" s="44">
        <v>44958</v>
      </c>
      <c r="BY9" s="44">
        <v>44986</v>
      </c>
      <c r="BZ9" s="44">
        <v>45017</v>
      </c>
      <c r="CA9" s="44">
        <v>45047</v>
      </c>
      <c r="CB9" s="264" t="s">
        <v>40</v>
      </c>
    </row>
    <row r="10" spans="2:80" s="42" customFormat="1" ht="27.75" customHeight="1">
      <c r="B10" s="201"/>
      <c r="C10" s="202"/>
      <c r="D10" s="202"/>
      <c r="E10" s="201"/>
      <c r="F10" s="202"/>
      <c r="G10" s="202"/>
      <c r="H10" s="33" t="s">
        <v>56</v>
      </c>
      <c r="I10" s="33" t="s">
        <v>57</v>
      </c>
      <c r="J10" s="202"/>
      <c r="K10" s="202"/>
      <c r="L10" s="202"/>
      <c r="M10" s="33">
        <v>0</v>
      </c>
      <c r="N10" s="33">
        <v>1</v>
      </c>
      <c r="O10" s="33">
        <v>2</v>
      </c>
      <c r="P10" s="33">
        <v>3</v>
      </c>
      <c r="Q10" s="33">
        <v>4</v>
      </c>
      <c r="R10" s="33">
        <v>5</v>
      </c>
      <c r="S10" s="33">
        <v>6</v>
      </c>
      <c r="T10" s="33">
        <v>7</v>
      </c>
      <c r="U10" s="33">
        <v>0</v>
      </c>
      <c r="V10" s="33">
        <v>1</v>
      </c>
      <c r="W10" s="33">
        <v>2</v>
      </c>
      <c r="X10" s="33">
        <v>3</v>
      </c>
      <c r="Y10" s="33">
        <v>4</v>
      </c>
      <c r="Z10" s="33">
        <v>5</v>
      </c>
      <c r="AA10" s="33">
        <v>6</v>
      </c>
      <c r="AB10" s="33">
        <v>7</v>
      </c>
      <c r="AC10" s="33">
        <v>8</v>
      </c>
      <c r="AD10" s="33">
        <v>9</v>
      </c>
      <c r="AE10" s="33">
        <v>10</v>
      </c>
      <c r="AF10" s="33">
        <v>11</v>
      </c>
      <c r="AG10" s="33">
        <v>12</v>
      </c>
      <c r="AH10" s="33">
        <v>13</v>
      </c>
      <c r="AI10" s="33">
        <v>14</v>
      </c>
      <c r="AJ10" s="33">
        <v>15</v>
      </c>
      <c r="AK10" s="33">
        <v>16</v>
      </c>
      <c r="AL10" s="33">
        <v>17</v>
      </c>
      <c r="AM10" s="33">
        <v>18</v>
      </c>
      <c r="AN10" s="33">
        <v>19</v>
      </c>
      <c r="AO10" s="33">
        <v>20</v>
      </c>
      <c r="AP10" s="33">
        <v>21</v>
      </c>
      <c r="AQ10" s="33">
        <v>22</v>
      </c>
      <c r="AR10" s="33">
        <v>23</v>
      </c>
      <c r="AS10" s="33">
        <v>24</v>
      </c>
      <c r="AT10" s="33">
        <v>0</v>
      </c>
      <c r="AU10" s="33">
        <v>1</v>
      </c>
      <c r="AV10" s="33">
        <v>2</v>
      </c>
      <c r="AW10" s="33">
        <v>3</v>
      </c>
      <c r="AX10" s="33">
        <v>4</v>
      </c>
      <c r="AY10" s="33">
        <v>5</v>
      </c>
      <c r="AZ10" s="33">
        <v>6</v>
      </c>
      <c r="BA10" s="33">
        <v>7</v>
      </c>
      <c r="BB10" s="281"/>
      <c r="BC10" s="33">
        <v>0</v>
      </c>
      <c r="BD10" s="33">
        <v>1</v>
      </c>
      <c r="BE10" s="33">
        <v>2</v>
      </c>
      <c r="BF10" s="33">
        <v>3</v>
      </c>
      <c r="BG10" s="33">
        <v>4</v>
      </c>
      <c r="BH10" s="33">
        <v>5</v>
      </c>
      <c r="BI10" s="33">
        <v>6</v>
      </c>
      <c r="BJ10" s="33">
        <v>7</v>
      </c>
      <c r="BK10" s="33">
        <v>8</v>
      </c>
      <c r="BL10" s="33">
        <v>9</v>
      </c>
      <c r="BM10" s="33">
        <v>10</v>
      </c>
      <c r="BN10" s="33">
        <v>11</v>
      </c>
      <c r="BO10" s="33">
        <v>12</v>
      </c>
      <c r="BP10" s="33">
        <v>13</v>
      </c>
      <c r="BQ10" s="33">
        <v>14</v>
      </c>
      <c r="BR10" s="33">
        <v>15</v>
      </c>
      <c r="BS10" s="33">
        <v>16</v>
      </c>
      <c r="BT10" s="33">
        <v>17</v>
      </c>
      <c r="BU10" s="33">
        <v>18</v>
      </c>
      <c r="BV10" s="33">
        <v>19</v>
      </c>
      <c r="BW10" s="33">
        <v>20</v>
      </c>
      <c r="BX10" s="33">
        <v>21</v>
      </c>
      <c r="BY10" s="33">
        <v>22</v>
      </c>
      <c r="BZ10" s="33">
        <v>23</v>
      </c>
      <c r="CA10" s="33">
        <v>24</v>
      </c>
      <c r="CB10" s="264"/>
    </row>
    <row r="11" spans="2:80" ht="44.25" customHeight="1">
      <c r="B11" s="1">
        <v>1</v>
      </c>
      <c r="C11" s="4" t="s">
        <v>0</v>
      </c>
      <c r="D11" s="14" t="e">
        <f>D13+D16</f>
        <v>#REF!</v>
      </c>
      <c r="E11" s="45"/>
      <c r="F11" s="46"/>
      <c r="G11" s="47"/>
      <c r="H11" s="46"/>
      <c r="I11" s="46"/>
      <c r="J11" s="48"/>
      <c r="K11" s="47"/>
      <c r="L11" s="46"/>
      <c r="M11" s="46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  <c r="BE11" s="47"/>
      <c r="BF11" s="47"/>
      <c r="BG11" s="47"/>
      <c r="BH11" s="47"/>
      <c r="BI11" s="47"/>
      <c r="BJ11" s="47"/>
      <c r="BK11" s="47"/>
      <c r="BL11" s="47"/>
      <c r="BM11" s="47"/>
      <c r="BN11" s="47"/>
      <c r="BO11" s="47"/>
      <c r="BP11" s="47"/>
      <c r="BQ11" s="47"/>
      <c r="BR11" s="47"/>
      <c r="BS11" s="47"/>
      <c r="BT11" s="47"/>
      <c r="BU11" s="47"/>
      <c r="BV11" s="47"/>
      <c r="BW11" s="47"/>
      <c r="BX11" s="47"/>
      <c r="BY11" s="47"/>
      <c r="BZ11" s="47"/>
      <c r="CA11" s="47"/>
      <c r="CB11" s="2"/>
    </row>
    <row r="12" spans="2:80" ht="30.6" customHeight="1">
      <c r="B12" s="1" t="s">
        <v>1</v>
      </c>
      <c r="C12" s="4" t="s">
        <v>2</v>
      </c>
      <c r="D12" s="14"/>
      <c r="E12" s="45"/>
      <c r="F12" s="49"/>
      <c r="G12" s="2"/>
      <c r="H12" s="46"/>
      <c r="I12" s="46"/>
      <c r="J12" s="48"/>
      <c r="K12" s="2"/>
      <c r="L12" s="49"/>
      <c r="M12" s="49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  <c r="AX12" s="47"/>
      <c r="AY12" s="47"/>
      <c r="AZ12" s="47"/>
      <c r="BA12" s="47"/>
      <c r="BB12" s="47"/>
      <c r="BC12" s="47"/>
      <c r="BD12" s="47"/>
      <c r="BE12" s="47"/>
      <c r="BF12" s="47"/>
      <c r="BG12" s="47"/>
      <c r="BH12" s="50"/>
      <c r="BI12" s="47"/>
      <c r="BJ12" s="47"/>
      <c r="BK12" s="47"/>
      <c r="BL12" s="47"/>
      <c r="BM12" s="47"/>
      <c r="BN12" s="47"/>
      <c r="BO12" s="47"/>
      <c r="BP12" s="47"/>
      <c r="BQ12" s="47"/>
      <c r="BR12" s="47"/>
      <c r="BS12" s="47"/>
      <c r="BT12" s="47"/>
      <c r="BU12" s="47"/>
      <c r="BV12" s="47"/>
      <c r="BW12" s="47"/>
      <c r="BX12" s="47"/>
      <c r="BY12" s="47"/>
      <c r="BZ12" s="47"/>
      <c r="CA12" s="47"/>
      <c r="CB12" s="2"/>
    </row>
    <row r="13" spans="2:80" s="35" customFormat="1" ht="30.6" customHeight="1">
      <c r="B13" s="23" t="s">
        <v>3</v>
      </c>
      <c r="C13" s="24" t="s">
        <v>4</v>
      </c>
      <c r="D13" s="19">
        <v>372000</v>
      </c>
      <c r="E13" s="51"/>
      <c r="F13" s="23" t="s">
        <v>58</v>
      </c>
      <c r="G13" s="23" t="s">
        <v>59</v>
      </c>
      <c r="H13" s="23">
        <v>100</v>
      </c>
      <c r="I13" s="23">
        <v>0</v>
      </c>
      <c r="J13" s="52"/>
      <c r="K13" s="23"/>
      <c r="L13" s="23" t="s">
        <v>61</v>
      </c>
      <c r="M13" s="23"/>
      <c r="N13" s="53"/>
      <c r="O13" s="53"/>
      <c r="P13" s="53"/>
      <c r="Q13" s="53"/>
      <c r="R13" s="53"/>
      <c r="S13" s="53"/>
      <c r="T13" s="53"/>
      <c r="U13" s="54">
        <f>SUM(N13:T13)</f>
        <v>0</v>
      </c>
      <c r="V13" s="53"/>
      <c r="W13" s="55"/>
      <c r="X13" s="55"/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55"/>
      <c r="AU13" s="56"/>
      <c r="AV13" s="56"/>
      <c r="AW13" s="56"/>
      <c r="AX13" s="56"/>
      <c r="AY13" s="56"/>
      <c r="AZ13" s="56"/>
      <c r="BA13" s="56"/>
      <c r="BB13" s="57"/>
      <c r="BC13" s="56"/>
      <c r="BD13" s="56"/>
      <c r="BE13" s="56"/>
      <c r="BF13" s="56"/>
      <c r="BG13" s="56"/>
      <c r="BH13" s="56"/>
      <c r="BI13" s="56"/>
      <c r="BJ13" s="56"/>
      <c r="BK13" s="56"/>
      <c r="BL13" s="56"/>
      <c r="BM13" s="56"/>
      <c r="BN13" s="56"/>
      <c r="BO13" s="56"/>
      <c r="BP13" s="56"/>
      <c r="BQ13" s="56"/>
      <c r="BR13" s="56"/>
      <c r="BS13" s="56"/>
      <c r="BT13" s="56"/>
      <c r="BU13" s="56"/>
      <c r="BV13" s="56"/>
      <c r="BW13" s="56"/>
      <c r="BX13" s="56"/>
      <c r="BY13" s="56"/>
      <c r="BZ13" s="56"/>
      <c r="CA13" s="56"/>
      <c r="CB13" s="58">
        <f>SUM(BC13:CA13)</f>
        <v>0</v>
      </c>
    </row>
    <row r="14" spans="2:80" s="35" customFormat="1" ht="30.6" customHeight="1">
      <c r="B14" s="8" t="s">
        <v>5</v>
      </c>
      <c r="C14" s="9" t="s">
        <v>6</v>
      </c>
      <c r="D14" s="10">
        <f>1763935.86/5.336</f>
        <v>330572.68740629684</v>
      </c>
      <c r="E14" s="51"/>
      <c r="F14" s="23" t="s">
        <v>58</v>
      </c>
      <c r="G14" s="23" t="s">
        <v>59</v>
      </c>
      <c r="H14" s="23">
        <v>100</v>
      </c>
      <c r="I14" s="23">
        <v>0</v>
      </c>
      <c r="J14" s="52"/>
      <c r="K14" s="23"/>
      <c r="L14" s="23" t="s">
        <v>61</v>
      </c>
      <c r="M14" s="23"/>
      <c r="N14" s="53"/>
      <c r="O14" s="53"/>
      <c r="P14" s="53"/>
      <c r="Q14" s="53"/>
      <c r="R14" s="53"/>
      <c r="S14" s="53"/>
      <c r="T14" s="53"/>
      <c r="U14" s="54">
        <f>SUM(N14:T14)</f>
        <v>0</v>
      </c>
      <c r="V14" s="53"/>
      <c r="W14" s="55"/>
      <c r="X14" s="55"/>
      <c r="Y14" s="55"/>
      <c r="Z14" s="55"/>
      <c r="AA14" s="55"/>
      <c r="AB14" s="55"/>
      <c r="AC14" s="55"/>
      <c r="AD14" s="55"/>
      <c r="AE14" s="55">
        <f>'[2]Cronograma Exec 1.1.1 Revisado'!M10</f>
        <v>8.0000000000000016E-2</v>
      </c>
      <c r="AF14" s="55">
        <f>'[2]Cronograma Exec 1.1.1 Revisado'!N10</f>
        <v>0.32</v>
      </c>
      <c r="AG14" s="55">
        <f>'[2]Cronograma Exec 1.1.1 Revisado'!O10</f>
        <v>0.18</v>
      </c>
      <c r="AH14" s="55">
        <f>'[2]Cronograma Exec 1.1.1 Revisado'!P10</f>
        <v>6.0000000000000005E-2</v>
      </c>
      <c r="AI14" s="55">
        <f>'[2]Cronograma Exec 1.1.1 Revisado'!Q10</f>
        <v>6.0000000000000005E-2</v>
      </c>
      <c r="AJ14" s="55">
        <f>'[2]Cronograma Exec 1.1.1 Revisado'!R10</f>
        <v>0.12000000000000001</v>
      </c>
      <c r="AK14" s="55">
        <f>'[2]Cronograma Exec 1.1.1 Revisado'!S10</f>
        <v>0.04</v>
      </c>
      <c r="AL14" s="55">
        <f>'[2]Cronograma Exec 1.1.1 Revisado'!T10</f>
        <v>0.04</v>
      </c>
      <c r="AM14" s="55">
        <v>0.1</v>
      </c>
      <c r="AN14" s="55"/>
      <c r="AO14" s="55"/>
      <c r="AP14" s="55"/>
      <c r="AQ14" s="55"/>
      <c r="AR14" s="55"/>
      <c r="AS14" s="55"/>
      <c r="AT14" s="56">
        <f t="shared" ref="AT14:BA14" si="0">M14*$D$14</f>
        <v>0</v>
      </c>
      <c r="AU14" s="56">
        <f t="shared" si="0"/>
        <v>0</v>
      </c>
      <c r="AV14" s="56">
        <f t="shared" si="0"/>
        <v>0</v>
      </c>
      <c r="AW14" s="56">
        <f t="shared" si="0"/>
        <v>0</v>
      </c>
      <c r="AX14" s="56">
        <f t="shared" si="0"/>
        <v>0</v>
      </c>
      <c r="AY14" s="56">
        <f t="shared" si="0"/>
        <v>0</v>
      </c>
      <c r="AZ14" s="56">
        <f t="shared" si="0"/>
        <v>0</v>
      </c>
      <c r="BA14" s="56">
        <f t="shared" si="0"/>
        <v>0</v>
      </c>
      <c r="BB14" s="57" t="e">
        <f>D14/$D$29</f>
        <v>#REF!</v>
      </c>
      <c r="BC14" s="56">
        <f t="shared" ref="BC14:BC15" si="1">SUM(AT14:BA14)</f>
        <v>0</v>
      </c>
      <c r="BD14" s="56">
        <f t="shared" ref="BD14:BV14" si="2">V14*$D$14</f>
        <v>0</v>
      </c>
      <c r="BE14" s="56">
        <f t="shared" si="2"/>
        <v>0</v>
      </c>
      <c r="BF14" s="56">
        <f t="shared" si="2"/>
        <v>0</v>
      </c>
      <c r="BG14" s="56">
        <f t="shared" si="2"/>
        <v>0</v>
      </c>
      <c r="BH14" s="56">
        <f t="shared" si="2"/>
        <v>0</v>
      </c>
      <c r="BI14" s="56">
        <f t="shared" si="2"/>
        <v>0</v>
      </c>
      <c r="BJ14" s="56">
        <f t="shared" si="2"/>
        <v>0</v>
      </c>
      <c r="BK14" s="56">
        <f t="shared" si="2"/>
        <v>0</v>
      </c>
      <c r="BL14" s="56">
        <f t="shared" si="2"/>
        <v>0</v>
      </c>
      <c r="BM14" s="56">
        <f t="shared" si="2"/>
        <v>26445.814992503754</v>
      </c>
      <c r="BN14" s="56">
        <f t="shared" si="2"/>
        <v>105783.25997001499</v>
      </c>
      <c r="BO14" s="56">
        <f t="shared" si="2"/>
        <v>59503.083733133426</v>
      </c>
      <c r="BP14" s="56">
        <f t="shared" si="2"/>
        <v>19834.361244377811</v>
      </c>
      <c r="BQ14" s="56">
        <f t="shared" si="2"/>
        <v>19834.361244377811</v>
      </c>
      <c r="BR14" s="56">
        <f t="shared" si="2"/>
        <v>39668.722488755622</v>
      </c>
      <c r="BS14" s="56">
        <f t="shared" si="2"/>
        <v>13222.907496251873</v>
      </c>
      <c r="BT14" s="56">
        <f t="shared" si="2"/>
        <v>13222.907496251873</v>
      </c>
      <c r="BU14" s="56">
        <f t="shared" si="2"/>
        <v>33057.268740629683</v>
      </c>
      <c r="BV14" s="56">
        <f t="shared" si="2"/>
        <v>0</v>
      </c>
      <c r="BW14" s="56">
        <f t="shared" ref="BW14:CA14" si="3">AO14*$D$14</f>
        <v>0</v>
      </c>
      <c r="BX14" s="56">
        <f t="shared" si="3"/>
        <v>0</v>
      </c>
      <c r="BY14" s="56">
        <f t="shared" si="3"/>
        <v>0</v>
      </c>
      <c r="BZ14" s="56">
        <f t="shared" si="3"/>
        <v>0</v>
      </c>
      <c r="CA14" s="56">
        <f t="shared" si="3"/>
        <v>0</v>
      </c>
      <c r="CB14" s="58">
        <f t="shared" ref="CB14:CB28" si="4">SUM(BC14:CA14)</f>
        <v>330572.68740629673</v>
      </c>
    </row>
    <row r="15" spans="2:80" s="35" customFormat="1" ht="30.6" customHeight="1">
      <c r="B15" s="11" t="s">
        <v>7</v>
      </c>
      <c r="C15" s="12" t="s">
        <v>11</v>
      </c>
      <c r="D15" s="13">
        <f>D13-D14</f>
        <v>41427.312593703158</v>
      </c>
      <c r="E15" s="51"/>
      <c r="F15" s="23" t="s">
        <v>58</v>
      </c>
      <c r="G15" s="23" t="s">
        <v>59</v>
      </c>
      <c r="H15" s="23">
        <v>100</v>
      </c>
      <c r="I15" s="23">
        <v>0</v>
      </c>
      <c r="J15" s="52">
        <v>44713</v>
      </c>
      <c r="K15" s="23" t="s">
        <v>60</v>
      </c>
      <c r="L15" s="23" t="s">
        <v>64</v>
      </c>
      <c r="M15" s="23"/>
      <c r="N15" s="53"/>
      <c r="O15" s="53"/>
      <c r="P15" s="53"/>
      <c r="Q15" s="53"/>
      <c r="R15" s="53"/>
      <c r="S15" s="53"/>
      <c r="T15" s="53"/>
      <c r="U15" s="54">
        <f>SUM(N15:T15)</f>
        <v>0</v>
      </c>
      <c r="V15" s="53"/>
      <c r="W15" s="55"/>
      <c r="X15" s="55"/>
      <c r="Y15" s="55"/>
      <c r="Z15" s="55"/>
      <c r="AA15" s="55"/>
      <c r="AB15" s="55"/>
      <c r="AC15" s="55"/>
      <c r="AD15" s="55"/>
      <c r="AE15" s="55"/>
      <c r="AF15" s="55"/>
      <c r="AG15" s="55"/>
      <c r="AH15" s="55"/>
      <c r="AI15" s="55"/>
      <c r="AJ15" s="55"/>
      <c r="AK15" s="55"/>
      <c r="AL15" s="55">
        <v>0.1</v>
      </c>
      <c r="AM15" s="55">
        <v>0.15</v>
      </c>
      <c r="AN15" s="55">
        <v>0.15</v>
      </c>
      <c r="AO15" s="55">
        <v>0.2</v>
      </c>
      <c r="AP15" s="55">
        <v>0.15</v>
      </c>
      <c r="AQ15" s="55">
        <v>0.15</v>
      </c>
      <c r="AR15" s="55">
        <v>0.1</v>
      </c>
      <c r="AS15" s="55"/>
      <c r="AT15" s="56">
        <f t="shared" ref="AT15:BA15" si="5">M15*$D$15</f>
        <v>0</v>
      </c>
      <c r="AU15" s="56">
        <f t="shared" si="5"/>
        <v>0</v>
      </c>
      <c r="AV15" s="56">
        <f t="shared" si="5"/>
        <v>0</v>
      </c>
      <c r="AW15" s="56">
        <f t="shared" si="5"/>
        <v>0</v>
      </c>
      <c r="AX15" s="56">
        <f t="shared" si="5"/>
        <v>0</v>
      </c>
      <c r="AY15" s="56">
        <f t="shared" si="5"/>
        <v>0</v>
      </c>
      <c r="AZ15" s="56">
        <f t="shared" si="5"/>
        <v>0</v>
      </c>
      <c r="BA15" s="56">
        <f t="shared" si="5"/>
        <v>0</v>
      </c>
      <c r="BB15" s="57" t="e">
        <f>D15/$D$29</f>
        <v>#REF!</v>
      </c>
      <c r="BC15" s="56">
        <f t="shared" si="1"/>
        <v>0</v>
      </c>
      <c r="BD15" s="56">
        <f t="shared" ref="BD15:BV15" si="6">V15*$D$15</f>
        <v>0</v>
      </c>
      <c r="BE15" s="56">
        <f t="shared" si="6"/>
        <v>0</v>
      </c>
      <c r="BF15" s="56">
        <f t="shared" si="6"/>
        <v>0</v>
      </c>
      <c r="BG15" s="56">
        <f t="shared" si="6"/>
        <v>0</v>
      </c>
      <c r="BH15" s="56">
        <f t="shared" si="6"/>
        <v>0</v>
      </c>
      <c r="BI15" s="56">
        <f t="shared" si="6"/>
        <v>0</v>
      </c>
      <c r="BJ15" s="56">
        <f t="shared" si="6"/>
        <v>0</v>
      </c>
      <c r="BK15" s="56">
        <f t="shared" si="6"/>
        <v>0</v>
      </c>
      <c r="BL15" s="56">
        <f t="shared" si="6"/>
        <v>0</v>
      </c>
      <c r="BM15" s="56">
        <f t="shared" si="6"/>
        <v>0</v>
      </c>
      <c r="BN15" s="56">
        <f t="shared" si="6"/>
        <v>0</v>
      </c>
      <c r="BO15" s="56">
        <f t="shared" si="6"/>
        <v>0</v>
      </c>
      <c r="BP15" s="56">
        <f t="shared" si="6"/>
        <v>0</v>
      </c>
      <c r="BQ15" s="56">
        <f t="shared" si="6"/>
        <v>0</v>
      </c>
      <c r="BR15" s="56">
        <f t="shared" si="6"/>
        <v>0</v>
      </c>
      <c r="BS15" s="56">
        <f t="shared" si="6"/>
        <v>0</v>
      </c>
      <c r="BT15" s="56">
        <f t="shared" si="6"/>
        <v>4142.7312593703164</v>
      </c>
      <c r="BU15" s="56">
        <f t="shared" si="6"/>
        <v>6214.0968890554732</v>
      </c>
      <c r="BV15" s="56">
        <f t="shared" si="6"/>
        <v>6214.0968890554732</v>
      </c>
      <c r="BW15" s="56">
        <f t="shared" ref="BW15:CA15" si="7">AO15*$D$15</f>
        <v>8285.4625187406327</v>
      </c>
      <c r="BX15" s="56">
        <f t="shared" si="7"/>
        <v>6214.0968890554732</v>
      </c>
      <c r="BY15" s="56">
        <f t="shared" si="7"/>
        <v>6214.0968890554732</v>
      </c>
      <c r="BZ15" s="56">
        <f t="shared" si="7"/>
        <v>4142.7312593703164</v>
      </c>
      <c r="CA15" s="56">
        <f t="shared" si="7"/>
        <v>0</v>
      </c>
      <c r="CB15" s="58">
        <f t="shared" si="4"/>
        <v>41427.312593703158</v>
      </c>
    </row>
    <row r="16" spans="2:80" s="35" customFormat="1" ht="30.6" customHeight="1">
      <c r="B16" s="1" t="s">
        <v>68</v>
      </c>
      <c r="C16" s="4" t="s">
        <v>9</v>
      </c>
      <c r="D16" s="14" t="e">
        <f>D17</f>
        <v>#REF!</v>
      </c>
      <c r="E16" s="51"/>
      <c r="F16" s="23"/>
      <c r="G16" s="23"/>
      <c r="H16" s="23"/>
      <c r="I16" s="23"/>
      <c r="J16" s="52"/>
      <c r="K16" s="23"/>
      <c r="L16" s="1"/>
      <c r="M16" s="1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  <c r="AA16" s="53"/>
      <c r="AB16" s="53"/>
      <c r="AC16" s="53"/>
      <c r="AD16" s="53"/>
      <c r="AE16" s="53"/>
      <c r="AF16" s="53"/>
      <c r="AG16" s="53"/>
      <c r="AH16" s="53"/>
      <c r="AI16" s="53"/>
      <c r="AJ16" s="53"/>
      <c r="AK16" s="53"/>
      <c r="AL16" s="53"/>
      <c r="AM16" s="53"/>
      <c r="AN16" s="53"/>
      <c r="AO16" s="53"/>
      <c r="AP16" s="53"/>
      <c r="AQ16" s="53"/>
      <c r="AR16" s="53"/>
      <c r="AS16" s="53"/>
      <c r="AT16" s="53"/>
      <c r="AU16" s="53"/>
      <c r="AV16" s="53"/>
      <c r="AW16" s="53"/>
      <c r="AX16" s="53"/>
      <c r="AY16" s="53"/>
      <c r="AZ16" s="53"/>
      <c r="BA16" s="53"/>
      <c r="BB16" s="53"/>
      <c r="BC16" s="53"/>
      <c r="BD16" s="53"/>
      <c r="BE16" s="53"/>
      <c r="BF16" s="53"/>
      <c r="BG16" s="53"/>
      <c r="BH16" s="53"/>
      <c r="BI16" s="53"/>
      <c r="BJ16" s="53"/>
      <c r="BK16" s="53"/>
      <c r="BL16" s="53"/>
      <c r="BM16" s="53"/>
      <c r="BN16" s="53"/>
      <c r="BO16" s="53"/>
      <c r="BP16" s="53"/>
      <c r="BQ16" s="53"/>
      <c r="BR16" s="53"/>
      <c r="BS16" s="53"/>
      <c r="BT16" s="53"/>
      <c r="BU16" s="53"/>
      <c r="BV16" s="53"/>
      <c r="BW16" s="53"/>
      <c r="BX16" s="53"/>
      <c r="BY16" s="53"/>
      <c r="BZ16" s="53"/>
      <c r="CA16" s="53"/>
      <c r="CB16" s="58">
        <f t="shared" si="4"/>
        <v>0</v>
      </c>
    </row>
    <row r="17" spans="2:81" ht="30.6" customHeight="1">
      <c r="B17" s="11" t="s">
        <v>10</v>
      </c>
      <c r="C17" s="12" t="s">
        <v>11</v>
      </c>
      <c r="D17" s="13" t="e">
        <f>#REF!</f>
        <v>#REF!</v>
      </c>
      <c r="E17" s="51"/>
      <c r="F17" s="23" t="s">
        <v>58</v>
      </c>
      <c r="G17" s="23" t="s">
        <v>59</v>
      </c>
      <c r="H17" s="23">
        <v>100</v>
      </c>
      <c r="I17" s="23">
        <v>0</v>
      </c>
      <c r="J17" s="52">
        <v>44713</v>
      </c>
      <c r="K17" s="23" t="s">
        <v>60</v>
      </c>
      <c r="L17" s="23" t="s">
        <v>64</v>
      </c>
      <c r="M17" s="1"/>
      <c r="N17" s="53"/>
      <c r="O17" s="53"/>
      <c r="P17" s="53"/>
      <c r="Q17" s="53"/>
      <c r="R17" s="53"/>
      <c r="S17" s="53"/>
      <c r="T17" s="53"/>
      <c r="U17" s="54"/>
      <c r="V17" s="53"/>
      <c r="W17" s="53"/>
      <c r="X17" s="53"/>
      <c r="Y17" s="53"/>
      <c r="Z17" s="53"/>
      <c r="AA17" s="53"/>
      <c r="AB17" s="53"/>
      <c r="AC17" s="54"/>
      <c r="AD17" s="55"/>
      <c r="AE17" s="55"/>
      <c r="AF17" s="55"/>
      <c r="AG17" s="55"/>
      <c r="AH17" s="55"/>
      <c r="AI17" s="55"/>
      <c r="AJ17" s="55"/>
      <c r="AK17" s="55"/>
      <c r="AL17" s="55">
        <v>0.1</v>
      </c>
      <c r="AM17" s="55">
        <v>0.15</v>
      </c>
      <c r="AN17" s="55">
        <v>0.15</v>
      </c>
      <c r="AO17" s="55">
        <v>0.2</v>
      </c>
      <c r="AP17" s="55">
        <v>0.15</v>
      </c>
      <c r="AQ17" s="55">
        <v>0.15</v>
      </c>
      <c r="AR17" s="55">
        <v>0.1</v>
      </c>
      <c r="AS17" s="53"/>
      <c r="AT17" s="56" t="e">
        <f>M17*$D$17</f>
        <v>#REF!</v>
      </c>
      <c r="AU17" s="56" t="e">
        <f t="shared" ref="AU17:BA17" si="8">N17*$D$17</f>
        <v>#REF!</v>
      </c>
      <c r="AV17" s="56" t="e">
        <f t="shared" si="8"/>
        <v>#REF!</v>
      </c>
      <c r="AW17" s="56" t="e">
        <f t="shared" si="8"/>
        <v>#REF!</v>
      </c>
      <c r="AX17" s="56" t="e">
        <f t="shared" si="8"/>
        <v>#REF!</v>
      </c>
      <c r="AY17" s="56" t="e">
        <f t="shared" si="8"/>
        <v>#REF!</v>
      </c>
      <c r="AZ17" s="56" t="e">
        <f t="shared" si="8"/>
        <v>#REF!</v>
      </c>
      <c r="BA17" s="56" t="e">
        <f t="shared" si="8"/>
        <v>#REF!</v>
      </c>
      <c r="BB17" s="57" t="e">
        <f>D17/$D$29</f>
        <v>#REF!</v>
      </c>
      <c r="BC17" s="56" t="e">
        <f t="shared" ref="BC17:CA17" si="9">V17*$D$17</f>
        <v>#REF!</v>
      </c>
      <c r="BD17" s="56" t="e">
        <f t="shared" si="9"/>
        <v>#REF!</v>
      </c>
      <c r="BE17" s="56" t="e">
        <f t="shared" si="9"/>
        <v>#REF!</v>
      </c>
      <c r="BF17" s="56" t="e">
        <f t="shared" si="9"/>
        <v>#REF!</v>
      </c>
      <c r="BG17" s="56" t="e">
        <f t="shared" si="9"/>
        <v>#REF!</v>
      </c>
      <c r="BH17" s="56" t="e">
        <f t="shared" si="9"/>
        <v>#REF!</v>
      </c>
      <c r="BI17" s="56" t="e">
        <f t="shared" si="9"/>
        <v>#REF!</v>
      </c>
      <c r="BJ17" s="56" t="e">
        <f t="shared" si="9"/>
        <v>#REF!</v>
      </c>
      <c r="BK17" s="56" t="e">
        <f t="shared" si="9"/>
        <v>#REF!</v>
      </c>
      <c r="BL17" s="56" t="e">
        <f t="shared" si="9"/>
        <v>#REF!</v>
      </c>
      <c r="BM17" s="56" t="e">
        <f t="shared" si="9"/>
        <v>#REF!</v>
      </c>
      <c r="BN17" s="56" t="e">
        <f t="shared" si="9"/>
        <v>#REF!</v>
      </c>
      <c r="BO17" s="56" t="e">
        <f t="shared" si="9"/>
        <v>#REF!</v>
      </c>
      <c r="BP17" s="56" t="e">
        <f t="shared" si="9"/>
        <v>#REF!</v>
      </c>
      <c r="BQ17" s="56" t="e">
        <f t="shared" si="9"/>
        <v>#REF!</v>
      </c>
      <c r="BR17" s="56" t="e">
        <f t="shared" si="9"/>
        <v>#REF!</v>
      </c>
      <c r="BS17" s="56" t="e">
        <f t="shared" si="9"/>
        <v>#REF!</v>
      </c>
      <c r="BT17" s="56" t="e">
        <f t="shared" si="9"/>
        <v>#REF!</v>
      </c>
      <c r="BU17" s="56" t="e">
        <f t="shared" si="9"/>
        <v>#REF!</v>
      </c>
      <c r="BV17" s="56" t="e">
        <f t="shared" si="9"/>
        <v>#REF!</v>
      </c>
      <c r="BW17" s="56" t="e">
        <f t="shared" si="9"/>
        <v>#REF!</v>
      </c>
      <c r="BX17" s="56" t="e">
        <f t="shared" si="9"/>
        <v>#REF!</v>
      </c>
      <c r="BY17" s="56" t="e">
        <f t="shared" si="9"/>
        <v>#REF!</v>
      </c>
      <c r="BZ17" s="56" t="e">
        <f t="shared" si="9"/>
        <v>#REF!</v>
      </c>
      <c r="CA17" s="56" t="e">
        <f t="shared" si="9"/>
        <v>#REF!</v>
      </c>
      <c r="CB17" s="58" t="e">
        <f t="shared" ref="CB17" si="10">SUM(BC17:CA17)</f>
        <v>#REF!</v>
      </c>
    </row>
    <row r="18" spans="2:81" s="35" customFormat="1" ht="30.6" customHeight="1">
      <c r="B18" s="1">
        <v>3</v>
      </c>
      <c r="C18" s="18" t="s">
        <v>16</v>
      </c>
      <c r="D18" s="14" t="e">
        <f>SUM(D20:D22)</f>
        <v>#REF!</v>
      </c>
      <c r="E18" s="45"/>
      <c r="F18" s="23"/>
      <c r="G18" s="23"/>
      <c r="H18" s="23"/>
      <c r="I18" s="23"/>
      <c r="J18" s="52"/>
      <c r="K18" s="23"/>
      <c r="L18" s="59"/>
      <c r="M18" s="59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  <c r="AJ18" s="53"/>
      <c r="AK18" s="53"/>
      <c r="AL18" s="53"/>
      <c r="AM18" s="53"/>
      <c r="AN18" s="53"/>
      <c r="AO18" s="53"/>
      <c r="AP18" s="53"/>
      <c r="AQ18" s="53"/>
      <c r="AR18" s="53"/>
      <c r="AS18" s="53"/>
      <c r="AT18" s="53"/>
      <c r="AU18" s="53"/>
      <c r="AV18" s="53"/>
      <c r="AW18" s="53"/>
      <c r="AX18" s="53"/>
      <c r="AY18" s="53"/>
      <c r="AZ18" s="53"/>
      <c r="BA18" s="53"/>
      <c r="BB18" s="53"/>
      <c r="BC18" s="53"/>
      <c r="BD18" s="53"/>
      <c r="BE18" s="53"/>
      <c r="BF18" s="53"/>
      <c r="BG18" s="53"/>
      <c r="BH18" s="53"/>
      <c r="BI18" s="53"/>
      <c r="BJ18" s="53"/>
      <c r="BK18" s="53"/>
      <c r="BL18" s="53"/>
      <c r="BM18" s="53"/>
      <c r="BN18" s="53"/>
      <c r="BO18" s="53"/>
      <c r="BP18" s="53"/>
      <c r="BQ18" s="53"/>
      <c r="BR18" s="53"/>
      <c r="BS18" s="53"/>
      <c r="BT18" s="53"/>
      <c r="BU18" s="53"/>
      <c r="BV18" s="53"/>
      <c r="BW18" s="53"/>
      <c r="BX18" s="53"/>
      <c r="BY18" s="53"/>
      <c r="BZ18" s="53"/>
      <c r="CA18" s="53"/>
      <c r="CB18" s="58">
        <f t="shared" si="4"/>
        <v>0</v>
      </c>
    </row>
    <row r="19" spans="2:81" s="35" customFormat="1" ht="30.6" customHeight="1">
      <c r="B19" s="1" t="s">
        <v>17</v>
      </c>
      <c r="C19" s="18" t="s">
        <v>9</v>
      </c>
      <c r="D19" s="19"/>
      <c r="E19" s="51"/>
      <c r="F19" s="23"/>
      <c r="G19" s="23"/>
      <c r="H19" s="23"/>
      <c r="I19" s="23"/>
      <c r="J19" s="52"/>
      <c r="K19" s="23"/>
      <c r="L19" s="46"/>
      <c r="M19" s="46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  <c r="BI19" s="47"/>
      <c r="BJ19" s="47"/>
      <c r="BK19" s="47"/>
      <c r="BL19" s="47"/>
      <c r="BM19" s="47"/>
      <c r="BN19" s="47"/>
      <c r="BO19" s="47"/>
      <c r="BP19" s="47"/>
      <c r="BQ19" s="47"/>
      <c r="BR19" s="47"/>
      <c r="BS19" s="47"/>
      <c r="BT19" s="47"/>
      <c r="BU19" s="47"/>
      <c r="BV19" s="47"/>
      <c r="BW19" s="47"/>
      <c r="BX19" s="47"/>
      <c r="BY19" s="47"/>
      <c r="BZ19" s="47"/>
      <c r="CA19" s="47"/>
      <c r="CB19" s="58">
        <f t="shared" si="4"/>
        <v>0</v>
      </c>
    </row>
    <row r="20" spans="2:81" s="35" customFormat="1" ht="30.6" customHeight="1">
      <c r="B20" s="20" t="s">
        <v>18</v>
      </c>
      <c r="C20" s="21" t="s">
        <v>19</v>
      </c>
      <c r="D20" s="22" t="e">
        <f>#REF!</f>
        <v>#REF!</v>
      </c>
      <c r="E20" s="267"/>
      <c r="F20" s="23" t="s">
        <v>62</v>
      </c>
      <c r="G20" s="23" t="s">
        <v>63</v>
      </c>
      <c r="H20" s="23">
        <v>100</v>
      </c>
      <c r="I20" s="23">
        <v>0</v>
      </c>
      <c r="J20" s="52"/>
      <c r="K20" s="23"/>
      <c r="L20" s="23" t="s">
        <v>64</v>
      </c>
      <c r="M20" s="23"/>
      <c r="N20" s="53"/>
      <c r="O20" s="53"/>
      <c r="P20" s="53"/>
      <c r="Q20" s="53"/>
      <c r="R20" s="53"/>
      <c r="S20" s="53"/>
      <c r="T20" s="53"/>
      <c r="U20" s="54">
        <f t="shared" ref="U20:U22" si="11">SUM(N20:T20)</f>
        <v>0</v>
      </c>
      <c r="V20" s="53"/>
      <c r="W20" s="53"/>
      <c r="X20" s="54"/>
      <c r="Y20" s="54"/>
      <c r="Z20" s="53"/>
      <c r="AA20" s="53"/>
      <c r="AB20" s="54"/>
      <c r="AC20" s="54"/>
      <c r="AD20" s="54"/>
      <c r="AE20" s="54"/>
      <c r="AF20" s="54"/>
      <c r="AG20" s="54"/>
      <c r="AH20" s="54"/>
      <c r="AI20" s="54"/>
      <c r="AJ20" s="54"/>
      <c r="AK20" s="54"/>
      <c r="AL20" s="55">
        <v>0.1</v>
      </c>
      <c r="AM20" s="55">
        <v>0.15</v>
      </c>
      <c r="AN20" s="55">
        <v>0.15</v>
      </c>
      <c r="AO20" s="55">
        <v>0.2</v>
      </c>
      <c r="AP20" s="55">
        <v>0.15</v>
      </c>
      <c r="AQ20" s="55">
        <v>0.15</v>
      </c>
      <c r="AR20" s="55">
        <v>0.1</v>
      </c>
      <c r="AS20" s="54"/>
      <c r="AT20" s="56" t="e">
        <f t="shared" ref="AT20:BA20" si="12">M20*$D$20</f>
        <v>#REF!</v>
      </c>
      <c r="AU20" s="56" t="e">
        <f t="shared" si="12"/>
        <v>#REF!</v>
      </c>
      <c r="AV20" s="56" t="e">
        <f t="shared" si="12"/>
        <v>#REF!</v>
      </c>
      <c r="AW20" s="56" t="e">
        <f t="shared" si="12"/>
        <v>#REF!</v>
      </c>
      <c r="AX20" s="56" t="e">
        <f t="shared" si="12"/>
        <v>#REF!</v>
      </c>
      <c r="AY20" s="56" t="e">
        <f t="shared" si="12"/>
        <v>#REF!</v>
      </c>
      <c r="AZ20" s="56" t="e">
        <f t="shared" si="12"/>
        <v>#REF!</v>
      </c>
      <c r="BA20" s="56" t="e">
        <f t="shared" si="12"/>
        <v>#REF!</v>
      </c>
      <c r="BB20" s="57" t="e">
        <f>D20/$D$29</f>
        <v>#REF!</v>
      </c>
      <c r="BC20" s="56" t="e">
        <f t="shared" ref="BC20:BC22" si="13">SUM(AT20:BA20)</f>
        <v>#REF!</v>
      </c>
      <c r="BD20" s="56" t="e">
        <f t="shared" ref="BD20:BV20" si="14">V20*$D$20</f>
        <v>#REF!</v>
      </c>
      <c r="BE20" s="56" t="e">
        <f t="shared" si="14"/>
        <v>#REF!</v>
      </c>
      <c r="BF20" s="56" t="e">
        <f t="shared" si="14"/>
        <v>#REF!</v>
      </c>
      <c r="BG20" s="56" t="e">
        <f t="shared" si="14"/>
        <v>#REF!</v>
      </c>
      <c r="BH20" s="56" t="e">
        <f t="shared" si="14"/>
        <v>#REF!</v>
      </c>
      <c r="BI20" s="56" t="e">
        <f t="shared" si="14"/>
        <v>#REF!</v>
      </c>
      <c r="BJ20" s="56" t="e">
        <f t="shared" si="14"/>
        <v>#REF!</v>
      </c>
      <c r="BK20" s="56" t="e">
        <f t="shared" si="14"/>
        <v>#REF!</v>
      </c>
      <c r="BL20" s="56" t="e">
        <f t="shared" si="14"/>
        <v>#REF!</v>
      </c>
      <c r="BM20" s="56" t="e">
        <f t="shared" si="14"/>
        <v>#REF!</v>
      </c>
      <c r="BN20" s="56" t="e">
        <f t="shared" si="14"/>
        <v>#REF!</v>
      </c>
      <c r="BO20" s="56" t="e">
        <f t="shared" si="14"/>
        <v>#REF!</v>
      </c>
      <c r="BP20" s="56" t="e">
        <f t="shared" si="14"/>
        <v>#REF!</v>
      </c>
      <c r="BQ20" s="56" t="e">
        <f t="shared" si="14"/>
        <v>#REF!</v>
      </c>
      <c r="BR20" s="56" t="e">
        <f t="shared" si="14"/>
        <v>#REF!</v>
      </c>
      <c r="BS20" s="56" t="e">
        <f t="shared" si="14"/>
        <v>#REF!</v>
      </c>
      <c r="BT20" s="56" t="e">
        <f t="shared" si="14"/>
        <v>#REF!</v>
      </c>
      <c r="BU20" s="56" t="e">
        <f t="shared" si="14"/>
        <v>#REF!</v>
      </c>
      <c r="BV20" s="56" t="e">
        <f t="shared" si="14"/>
        <v>#REF!</v>
      </c>
      <c r="BW20" s="56" t="e">
        <f t="shared" ref="BW20:CA20" si="15">AO20*$D$20</f>
        <v>#REF!</v>
      </c>
      <c r="BX20" s="56" t="e">
        <f t="shared" si="15"/>
        <v>#REF!</v>
      </c>
      <c r="BY20" s="56" t="e">
        <f t="shared" si="15"/>
        <v>#REF!</v>
      </c>
      <c r="BZ20" s="56" t="e">
        <f t="shared" si="15"/>
        <v>#REF!</v>
      </c>
      <c r="CA20" s="56" t="e">
        <f t="shared" si="15"/>
        <v>#REF!</v>
      </c>
      <c r="CB20" s="58" t="e">
        <f t="shared" si="4"/>
        <v>#REF!</v>
      </c>
    </row>
    <row r="21" spans="2:81" s="35" customFormat="1" ht="30.6" customHeight="1">
      <c r="B21" s="15" t="s">
        <v>24</v>
      </c>
      <c r="C21" s="16" t="s">
        <v>25</v>
      </c>
      <c r="D21" s="17" t="e">
        <f>#REF!</f>
        <v>#REF!</v>
      </c>
      <c r="E21" s="268"/>
      <c r="F21" s="19" t="s">
        <v>62</v>
      </c>
      <c r="G21" s="19" t="s">
        <v>63</v>
      </c>
      <c r="H21" s="23">
        <v>100</v>
      </c>
      <c r="I21" s="23">
        <v>0</v>
      </c>
      <c r="J21" s="52"/>
      <c r="K21" s="23"/>
      <c r="L21" s="23" t="s">
        <v>64</v>
      </c>
      <c r="M21" s="23"/>
      <c r="N21" s="53"/>
      <c r="O21" s="53"/>
      <c r="P21" s="53"/>
      <c r="Q21" s="53"/>
      <c r="R21" s="53"/>
      <c r="S21" s="53"/>
      <c r="T21" s="53"/>
      <c r="U21" s="54">
        <f t="shared" si="11"/>
        <v>0</v>
      </c>
      <c r="V21" s="53"/>
      <c r="W21" s="53"/>
      <c r="X21" s="53"/>
      <c r="Y21" s="53"/>
      <c r="Z21" s="53"/>
      <c r="AA21" s="53"/>
      <c r="AB21" s="53"/>
      <c r="AC21" s="53"/>
      <c r="AD21" s="55"/>
      <c r="AE21" s="55"/>
      <c r="AF21" s="55"/>
      <c r="AG21" s="55"/>
      <c r="AH21" s="55"/>
      <c r="AI21" s="55"/>
      <c r="AJ21" s="55"/>
      <c r="AK21" s="54"/>
      <c r="AL21" s="55">
        <v>0.1</v>
      </c>
      <c r="AM21" s="55">
        <v>0.15</v>
      </c>
      <c r="AN21" s="55">
        <v>0.15</v>
      </c>
      <c r="AO21" s="55">
        <v>0.2</v>
      </c>
      <c r="AP21" s="55">
        <v>0.15</v>
      </c>
      <c r="AQ21" s="55">
        <v>0.15</v>
      </c>
      <c r="AR21" s="55">
        <v>0.1</v>
      </c>
      <c r="AS21" s="54"/>
      <c r="AT21" s="56" t="e">
        <f t="shared" ref="AT21:BA21" si="16">M21*$D$21</f>
        <v>#REF!</v>
      </c>
      <c r="AU21" s="56" t="e">
        <f t="shared" si="16"/>
        <v>#REF!</v>
      </c>
      <c r="AV21" s="56" t="e">
        <f t="shared" si="16"/>
        <v>#REF!</v>
      </c>
      <c r="AW21" s="56" t="e">
        <f t="shared" si="16"/>
        <v>#REF!</v>
      </c>
      <c r="AX21" s="56" t="e">
        <f t="shared" si="16"/>
        <v>#REF!</v>
      </c>
      <c r="AY21" s="56" t="e">
        <f t="shared" si="16"/>
        <v>#REF!</v>
      </c>
      <c r="AZ21" s="56" t="e">
        <f t="shared" si="16"/>
        <v>#REF!</v>
      </c>
      <c r="BA21" s="56" t="e">
        <f t="shared" si="16"/>
        <v>#REF!</v>
      </c>
      <c r="BB21" s="57" t="e">
        <f>D21/$D$29</f>
        <v>#REF!</v>
      </c>
      <c r="BC21" s="56" t="e">
        <f t="shared" si="13"/>
        <v>#REF!</v>
      </c>
      <c r="BD21" s="56" t="e">
        <f t="shared" ref="BD21:BV21" si="17">V21*$D$21</f>
        <v>#REF!</v>
      </c>
      <c r="BE21" s="56" t="e">
        <f t="shared" si="17"/>
        <v>#REF!</v>
      </c>
      <c r="BF21" s="56" t="e">
        <f t="shared" si="17"/>
        <v>#REF!</v>
      </c>
      <c r="BG21" s="56" t="e">
        <f t="shared" si="17"/>
        <v>#REF!</v>
      </c>
      <c r="BH21" s="56" t="e">
        <f t="shared" si="17"/>
        <v>#REF!</v>
      </c>
      <c r="BI21" s="56" t="e">
        <f t="shared" si="17"/>
        <v>#REF!</v>
      </c>
      <c r="BJ21" s="56" t="e">
        <f t="shared" si="17"/>
        <v>#REF!</v>
      </c>
      <c r="BK21" s="56" t="e">
        <f t="shared" si="17"/>
        <v>#REF!</v>
      </c>
      <c r="BL21" s="56" t="e">
        <f t="shared" si="17"/>
        <v>#REF!</v>
      </c>
      <c r="BM21" s="56" t="e">
        <f t="shared" si="17"/>
        <v>#REF!</v>
      </c>
      <c r="BN21" s="56" t="e">
        <f t="shared" si="17"/>
        <v>#REF!</v>
      </c>
      <c r="BO21" s="56" t="e">
        <f t="shared" si="17"/>
        <v>#REF!</v>
      </c>
      <c r="BP21" s="56" t="e">
        <f t="shared" si="17"/>
        <v>#REF!</v>
      </c>
      <c r="BQ21" s="56" t="e">
        <f t="shared" si="17"/>
        <v>#REF!</v>
      </c>
      <c r="BR21" s="56" t="e">
        <f t="shared" si="17"/>
        <v>#REF!</v>
      </c>
      <c r="BS21" s="56" t="e">
        <f t="shared" si="17"/>
        <v>#REF!</v>
      </c>
      <c r="BT21" s="56" t="e">
        <f t="shared" si="17"/>
        <v>#REF!</v>
      </c>
      <c r="BU21" s="56" t="e">
        <f t="shared" si="17"/>
        <v>#REF!</v>
      </c>
      <c r="BV21" s="56" t="e">
        <f t="shared" si="17"/>
        <v>#REF!</v>
      </c>
      <c r="BW21" s="56" t="e">
        <f t="shared" ref="BW21:CA21" si="18">AO21*$D$21</f>
        <v>#REF!</v>
      </c>
      <c r="BX21" s="56" t="e">
        <f t="shared" si="18"/>
        <v>#REF!</v>
      </c>
      <c r="BY21" s="56" t="e">
        <f t="shared" si="18"/>
        <v>#REF!</v>
      </c>
      <c r="BZ21" s="56" t="e">
        <f t="shared" si="18"/>
        <v>#REF!</v>
      </c>
      <c r="CA21" s="56" t="e">
        <f t="shared" si="18"/>
        <v>#REF!</v>
      </c>
      <c r="CB21" s="58" t="e">
        <f t="shared" si="4"/>
        <v>#REF!</v>
      </c>
    </row>
    <row r="22" spans="2:81" s="35" customFormat="1" ht="30.6" customHeight="1">
      <c r="B22" s="11" t="s">
        <v>67</v>
      </c>
      <c r="C22" s="12" t="s">
        <v>45</v>
      </c>
      <c r="D22" s="13" t="e">
        <f>#REF!</f>
        <v>#REF!</v>
      </c>
      <c r="E22" s="269"/>
      <c r="F22" s="23" t="s">
        <v>58</v>
      </c>
      <c r="G22" s="23" t="s">
        <v>59</v>
      </c>
      <c r="H22" s="23">
        <v>100</v>
      </c>
      <c r="I22" s="23">
        <v>0</v>
      </c>
      <c r="J22" s="52">
        <v>44713</v>
      </c>
      <c r="K22" s="23" t="s">
        <v>60</v>
      </c>
      <c r="L22" s="23" t="s">
        <v>64</v>
      </c>
      <c r="M22" s="23"/>
      <c r="N22" s="53"/>
      <c r="O22" s="53"/>
      <c r="P22" s="53"/>
      <c r="Q22" s="53"/>
      <c r="R22" s="53"/>
      <c r="S22" s="53"/>
      <c r="T22" s="53"/>
      <c r="U22" s="54">
        <f t="shared" si="11"/>
        <v>0</v>
      </c>
      <c r="V22" s="53"/>
      <c r="W22" s="53"/>
      <c r="X22" s="53"/>
      <c r="Y22" s="53"/>
      <c r="Z22" s="53"/>
      <c r="AA22" s="53"/>
      <c r="AB22" s="53"/>
      <c r="AC22" s="53"/>
      <c r="AD22" s="55"/>
      <c r="AE22" s="55"/>
      <c r="AF22" s="55"/>
      <c r="AG22" s="55"/>
      <c r="AH22" s="55"/>
      <c r="AI22" s="55"/>
      <c r="AJ22" s="55"/>
      <c r="AK22" s="54"/>
      <c r="AL22" s="55">
        <v>0.1</v>
      </c>
      <c r="AM22" s="55">
        <v>0.15</v>
      </c>
      <c r="AN22" s="55">
        <v>0.15</v>
      </c>
      <c r="AO22" s="55">
        <v>0.2</v>
      </c>
      <c r="AP22" s="55">
        <v>0.15</v>
      </c>
      <c r="AQ22" s="55">
        <v>0.15</v>
      </c>
      <c r="AR22" s="55">
        <v>0.1</v>
      </c>
      <c r="AS22" s="54"/>
      <c r="AT22" s="56" t="e">
        <f t="shared" ref="AT22" si="19">M22*$D$22</f>
        <v>#REF!</v>
      </c>
      <c r="AU22" s="56" t="e">
        <f t="shared" ref="AU22" si="20">N22*$D$22</f>
        <v>#REF!</v>
      </c>
      <c r="AV22" s="56" t="e">
        <f t="shared" ref="AV22" si="21">O22*$D$22</f>
        <v>#REF!</v>
      </c>
      <c r="AW22" s="56" t="e">
        <f t="shared" ref="AW22" si="22">P22*$D$22</f>
        <v>#REF!</v>
      </c>
      <c r="AX22" s="56" t="e">
        <f t="shared" ref="AX22" si="23">Q22*$D$22</f>
        <v>#REF!</v>
      </c>
      <c r="AY22" s="56" t="e">
        <f t="shared" ref="AY22" si="24">R22*$D$22</f>
        <v>#REF!</v>
      </c>
      <c r="AZ22" s="56" t="e">
        <f t="shared" ref="AZ22" si="25">S22*$D$22</f>
        <v>#REF!</v>
      </c>
      <c r="BA22" s="56" t="e">
        <f t="shared" ref="BA22" si="26">T22*$D$22</f>
        <v>#REF!</v>
      </c>
      <c r="BB22" s="57" t="e">
        <f>D22/$D$29</f>
        <v>#REF!</v>
      </c>
      <c r="BC22" s="56" t="e">
        <f t="shared" si="13"/>
        <v>#REF!</v>
      </c>
      <c r="BD22" s="56" t="e">
        <f>V22*$D$22</f>
        <v>#REF!</v>
      </c>
      <c r="BE22" s="56" t="e">
        <f t="shared" ref="BE22:CA22" si="27">W22*$D$22</f>
        <v>#REF!</v>
      </c>
      <c r="BF22" s="56" t="e">
        <f t="shared" si="27"/>
        <v>#REF!</v>
      </c>
      <c r="BG22" s="56" t="e">
        <f t="shared" si="27"/>
        <v>#REF!</v>
      </c>
      <c r="BH22" s="56" t="e">
        <f t="shared" si="27"/>
        <v>#REF!</v>
      </c>
      <c r="BI22" s="56" t="e">
        <f t="shared" si="27"/>
        <v>#REF!</v>
      </c>
      <c r="BJ22" s="56" t="e">
        <f t="shared" si="27"/>
        <v>#REF!</v>
      </c>
      <c r="BK22" s="56" t="e">
        <f t="shared" si="27"/>
        <v>#REF!</v>
      </c>
      <c r="BL22" s="56" t="e">
        <f t="shared" si="27"/>
        <v>#REF!</v>
      </c>
      <c r="BM22" s="56" t="e">
        <f t="shared" si="27"/>
        <v>#REF!</v>
      </c>
      <c r="BN22" s="56" t="e">
        <f t="shared" si="27"/>
        <v>#REF!</v>
      </c>
      <c r="BO22" s="56" t="e">
        <f t="shared" si="27"/>
        <v>#REF!</v>
      </c>
      <c r="BP22" s="56" t="e">
        <f t="shared" si="27"/>
        <v>#REF!</v>
      </c>
      <c r="BQ22" s="56" t="e">
        <f t="shared" si="27"/>
        <v>#REF!</v>
      </c>
      <c r="BR22" s="56" t="e">
        <f t="shared" si="27"/>
        <v>#REF!</v>
      </c>
      <c r="BS22" s="56" t="e">
        <f t="shared" si="27"/>
        <v>#REF!</v>
      </c>
      <c r="BT22" s="56" t="e">
        <f t="shared" si="27"/>
        <v>#REF!</v>
      </c>
      <c r="BU22" s="56" t="e">
        <f t="shared" si="27"/>
        <v>#REF!</v>
      </c>
      <c r="BV22" s="56" t="e">
        <f t="shared" si="27"/>
        <v>#REF!</v>
      </c>
      <c r="BW22" s="56" t="e">
        <f t="shared" si="27"/>
        <v>#REF!</v>
      </c>
      <c r="BX22" s="56" t="e">
        <f t="shared" si="27"/>
        <v>#REF!</v>
      </c>
      <c r="BY22" s="56" t="e">
        <f t="shared" si="27"/>
        <v>#REF!</v>
      </c>
      <c r="BZ22" s="56" t="e">
        <f t="shared" si="27"/>
        <v>#REF!</v>
      </c>
      <c r="CA22" s="56" t="e">
        <f t="shared" si="27"/>
        <v>#REF!</v>
      </c>
      <c r="CB22" s="58" t="e">
        <f t="shared" si="4"/>
        <v>#REF!</v>
      </c>
    </row>
    <row r="23" spans="2:81" s="35" customFormat="1" ht="30.6" customHeight="1">
      <c r="B23" s="1">
        <v>4</v>
      </c>
      <c r="C23" s="25" t="s">
        <v>30</v>
      </c>
      <c r="D23" s="14">
        <f>SUM(D27:D28)</f>
        <v>46002.934782608696</v>
      </c>
      <c r="E23" s="45"/>
      <c r="F23" s="23"/>
      <c r="G23" s="23"/>
      <c r="H23" s="23"/>
      <c r="I23" s="23"/>
      <c r="J23" s="52"/>
      <c r="K23" s="23"/>
      <c r="L23" s="23"/>
      <c r="M23" s="2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  <c r="AA23" s="53"/>
      <c r="AB23" s="53"/>
      <c r="AC23" s="53"/>
      <c r="AD23" s="53"/>
      <c r="AE23" s="53"/>
      <c r="AF23" s="53"/>
      <c r="AG23" s="53"/>
      <c r="AH23" s="53"/>
      <c r="AI23" s="53"/>
      <c r="AJ23" s="53"/>
      <c r="AK23" s="53"/>
      <c r="AL23" s="53"/>
      <c r="AM23" s="53"/>
      <c r="AN23" s="53"/>
      <c r="AO23" s="53"/>
      <c r="AP23" s="53"/>
      <c r="AQ23" s="53"/>
      <c r="AR23" s="53"/>
      <c r="AS23" s="53"/>
      <c r="AT23" s="53"/>
      <c r="AU23" s="53"/>
      <c r="AV23" s="53"/>
      <c r="AW23" s="53"/>
      <c r="AX23" s="53"/>
      <c r="AY23" s="53"/>
      <c r="AZ23" s="53"/>
      <c r="BA23" s="53"/>
      <c r="BB23" s="53"/>
      <c r="BC23" s="53"/>
      <c r="BD23" s="53"/>
      <c r="BE23" s="53"/>
      <c r="BF23" s="53"/>
      <c r="BG23" s="53"/>
      <c r="BH23" s="53"/>
      <c r="BI23" s="53"/>
      <c r="BJ23" s="53"/>
      <c r="BK23" s="53"/>
      <c r="BL23" s="53"/>
      <c r="BM23" s="53"/>
      <c r="BN23" s="53"/>
      <c r="BO23" s="53"/>
      <c r="BP23" s="53"/>
      <c r="BQ23" s="53"/>
      <c r="BR23" s="53"/>
      <c r="BS23" s="53"/>
      <c r="BT23" s="53"/>
      <c r="BU23" s="53"/>
      <c r="BV23" s="53"/>
      <c r="BW23" s="53"/>
      <c r="BX23" s="53"/>
      <c r="BY23" s="53"/>
      <c r="BZ23" s="53"/>
      <c r="CA23" s="53"/>
      <c r="CB23" s="58">
        <f t="shared" si="4"/>
        <v>0</v>
      </c>
    </row>
    <row r="24" spans="2:81" s="35" customFormat="1" ht="30.6" customHeight="1">
      <c r="B24" s="26">
        <v>4</v>
      </c>
      <c r="C24" s="4" t="s">
        <v>31</v>
      </c>
      <c r="D24" s="14">
        <f>D25+D28</f>
        <v>100000</v>
      </c>
      <c r="E24" s="45"/>
      <c r="F24" s="23"/>
      <c r="G24" s="23"/>
      <c r="H24" s="23"/>
      <c r="I24" s="23"/>
      <c r="J24" s="52"/>
      <c r="K24" s="23"/>
      <c r="L24" s="23"/>
      <c r="M24" s="23"/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53"/>
      <c r="Z24" s="53"/>
      <c r="AA24" s="53"/>
      <c r="AB24" s="53"/>
      <c r="AC24" s="53"/>
      <c r="AD24" s="53"/>
      <c r="AE24" s="53"/>
      <c r="AF24" s="53"/>
      <c r="AG24" s="53"/>
      <c r="AH24" s="53"/>
      <c r="AI24" s="53"/>
      <c r="AJ24" s="53"/>
      <c r="AK24" s="53"/>
      <c r="AL24" s="53"/>
      <c r="AM24" s="53"/>
      <c r="AN24" s="53"/>
      <c r="AO24" s="53"/>
      <c r="AP24" s="53"/>
      <c r="AQ24" s="53"/>
      <c r="AR24" s="53"/>
      <c r="AS24" s="53"/>
      <c r="AT24" s="53"/>
      <c r="AU24" s="53"/>
      <c r="AV24" s="53"/>
      <c r="AW24" s="53"/>
      <c r="AX24" s="53"/>
      <c r="AY24" s="53"/>
      <c r="AZ24" s="53"/>
      <c r="BA24" s="53"/>
      <c r="BB24" s="53"/>
      <c r="BC24" s="53"/>
      <c r="BD24" s="53"/>
      <c r="BE24" s="53"/>
      <c r="BF24" s="53"/>
      <c r="BG24" s="53"/>
      <c r="BH24" s="53"/>
      <c r="BI24" s="53"/>
      <c r="BJ24" s="53"/>
      <c r="BK24" s="53"/>
      <c r="BL24" s="53"/>
      <c r="BM24" s="53"/>
      <c r="BN24" s="53"/>
      <c r="BO24" s="53"/>
      <c r="BP24" s="53"/>
      <c r="BQ24" s="53"/>
      <c r="BR24" s="53"/>
      <c r="BS24" s="53"/>
      <c r="BT24" s="53"/>
      <c r="BU24" s="53"/>
      <c r="BV24" s="53"/>
      <c r="BW24" s="53"/>
      <c r="BX24" s="53"/>
      <c r="BY24" s="53"/>
      <c r="BZ24" s="53"/>
      <c r="CA24" s="53"/>
      <c r="CB24" s="58">
        <f t="shared" si="4"/>
        <v>0</v>
      </c>
    </row>
    <row r="25" spans="2:81" ht="30.6" customHeight="1">
      <c r="B25" s="1" t="s">
        <v>32</v>
      </c>
      <c r="C25" s="25" t="s">
        <v>33</v>
      </c>
      <c r="D25" s="14">
        <v>81818.179999999993</v>
      </c>
      <c r="E25" s="51"/>
      <c r="F25" s="23"/>
      <c r="G25" s="23"/>
      <c r="H25" s="23"/>
      <c r="I25" s="23"/>
      <c r="J25" s="52"/>
      <c r="K25" s="23"/>
      <c r="L25" s="23"/>
      <c r="M25" s="23"/>
      <c r="N25" s="54"/>
      <c r="O25" s="54"/>
      <c r="P25" s="54"/>
      <c r="Q25" s="54"/>
      <c r="R25" s="54"/>
      <c r="S25" s="54"/>
      <c r="T25" s="54"/>
      <c r="U25" s="54"/>
      <c r="V25" s="54"/>
      <c r="W25" s="54"/>
      <c r="X25" s="54"/>
      <c r="Y25" s="54"/>
      <c r="Z25" s="54"/>
      <c r="AA25" s="54"/>
      <c r="AB25" s="54"/>
      <c r="AC25" s="54"/>
      <c r="AD25" s="54"/>
      <c r="AE25" s="54"/>
      <c r="AF25" s="54"/>
      <c r="AG25" s="60"/>
      <c r="AH25" s="60"/>
      <c r="AI25" s="60"/>
      <c r="AJ25" s="60"/>
      <c r="AK25" s="60"/>
      <c r="AL25" s="60"/>
      <c r="AM25" s="60"/>
      <c r="AN25" s="54"/>
      <c r="AO25" s="54"/>
      <c r="AP25" s="54"/>
      <c r="AQ25" s="54"/>
      <c r="AR25" s="54"/>
      <c r="AS25" s="54"/>
      <c r="AT25" s="56"/>
      <c r="AU25" s="56"/>
      <c r="AV25" s="56"/>
      <c r="AW25" s="56"/>
      <c r="AX25" s="56"/>
      <c r="AY25" s="56"/>
      <c r="AZ25" s="56"/>
      <c r="BA25" s="56"/>
      <c r="BB25" s="57" t="e">
        <f>D25/$D$29</f>
        <v>#REF!</v>
      </c>
      <c r="BC25" s="56"/>
      <c r="BD25" s="56"/>
      <c r="BE25" s="56"/>
      <c r="BF25" s="56"/>
      <c r="BG25" s="56"/>
      <c r="BH25" s="56"/>
      <c r="BI25" s="56"/>
      <c r="BJ25" s="56"/>
      <c r="BK25" s="56"/>
      <c r="BL25" s="56"/>
      <c r="BM25" s="56"/>
      <c r="BN25" s="56"/>
      <c r="BO25" s="61"/>
      <c r="BP25" s="61"/>
      <c r="BQ25" s="61"/>
      <c r="BR25" s="61"/>
      <c r="BS25" s="61"/>
      <c r="BT25" s="61"/>
      <c r="BU25" s="61"/>
      <c r="BV25" s="56"/>
      <c r="BW25" s="56"/>
      <c r="BX25" s="56"/>
      <c r="BY25" s="56"/>
      <c r="BZ25" s="56"/>
      <c r="CA25" s="56"/>
      <c r="CB25" s="58">
        <f t="shared" si="4"/>
        <v>0</v>
      </c>
    </row>
    <row r="26" spans="2:81" ht="30.6" customHeight="1">
      <c r="B26" s="8" t="s">
        <v>34</v>
      </c>
      <c r="C26" s="9" t="s">
        <v>35</v>
      </c>
      <c r="D26" s="10">
        <f>16007.13*18/5.336</f>
        <v>53997.065217391297</v>
      </c>
      <c r="E26" s="51"/>
      <c r="F26" s="23" t="s">
        <v>62</v>
      </c>
      <c r="G26" s="23" t="s">
        <v>63</v>
      </c>
      <c r="H26" s="23">
        <v>100</v>
      </c>
      <c r="I26" s="23">
        <v>0</v>
      </c>
      <c r="J26" s="52"/>
      <c r="K26" s="23"/>
      <c r="L26" s="23" t="s">
        <v>61</v>
      </c>
      <c r="M26" s="54"/>
      <c r="N26" s="54">
        <f>(16007.13/5.336)/$D$26</f>
        <v>5.5555555555555559E-2</v>
      </c>
      <c r="O26" s="54">
        <f t="shared" ref="O26:T26" si="28">(16007.13/5.336)/$D$26</f>
        <v>5.5555555555555559E-2</v>
      </c>
      <c r="P26" s="54">
        <f t="shared" si="28"/>
        <v>5.5555555555555559E-2</v>
      </c>
      <c r="Q26" s="54">
        <f t="shared" si="28"/>
        <v>5.5555555555555559E-2</v>
      </c>
      <c r="R26" s="54">
        <f t="shared" si="28"/>
        <v>5.5555555555555559E-2</v>
      </c>
      <c r="S26" s="54">
        <f t="shared" si="28"/>
        <v>5.5555555555555559E-2</v>
      </c>
      <c r="T26" s="54">
        <f t="shared" si="28"/>
        <v>5.5555555555555559E-2</v>
      </c>
      <c r="U26" s="54">
        <f>SUM(M26:T26)</f>
        <v>0.38888888888888895</v>
      </c>
      <c r="V26" s="54">
        <f t="shared" ref="V26:AF26" si="29">(16007.13/5.336)/$D$26</f>
        <v>5.5555555555555559E-2</v>
      </c>
      <c r="W26" s="54">
        <f t="shared" si="29"/>
        <v>5.5555555555555559E-2</v>
      </c>
      <c r="X26" s="54">
        <f t="shared" si="29"/>
        <v>5.5555555555555559E-2</v>
      </c>
      <c r="Y26" s="54">
        <f t="shared" si="29"/>
        <v>5.5555555555555559E-2</v>
      </c>
      <c r="Z26" s="54">
        <f t="shared" si="29"/>
        <v>5.5555555555555559E-2</v>
      </c>
      <c r="AA26" s="54">
        <f t="shared" si="29"/>
        <v>5.5555555555555559E-2</v>
      </c>
      <c r="AB26" s="54">
        <f t="shared" si="29"/>
        <v>5.5555555555555559E-2</v>
      </c>
      <c r="AC26" s="54">
        <f t="shared" si="29"/>
        <v>5.5555555555555559E-2</v>
      </c>
      <c r="AD26" s="54">
        <f t="shared" si="29"/>
        <v>5.5555555555555559E-2</v>
      </c>
      <c r="AE26" s="54">
        <f t="shared" si="29"/>
        <v>5.5555555555555559E-2</v>
      </c>
      <c r="AF26" s="54">
        <f t="shared" si="29"/>
        <v>5.5555555555555559E-2</v>
      </c>
      <c r="AG26" s="60"/>
      <c r="AH26" s="60"/>
      <c r="AI26" s="60"/>
      <c r="AJ26" s="60"/>
      <c r="AK26" s="60"/>
      <c r="AL26" s="60"/>
      <c r="AM26" s="60"/>
      <c r="AN26" s="54"/>
      <c r="AO26" s="54"/>
      <c r="AP26" s="54"/>
      <c r="AQ26" s="54"/>
      <c r="AR26" s="54"/>
      <c r="AS26" s="54"/>
      <c r="AT26" s="56">
        <f t="shared" ref="AT26:BA26" si="30">M26*$D$26</f>
        <v>0</v>
      </c>
      <c r="AU26" s="56">
        <f t="shared" si="30"/>
        <v>2999.836956521739</v>
      </c>
      <c r="AV26" s="56">
        <f t="shared" si="30"/>
        <v>2999.836956521739</v>
      </c>
      <c r="AW26" s="56">
        <f t="shared" si="30"/>
        <v>2999.836956521739</v>
      </c>
      <c r="AX26" s="56">
        <f t="shared" si="30"/>
        <v>2999.836956521739</v>
      </c>
      <c r="AY26" s="56">
        <f t="shared" si="30"/>
        <v>2999.836956521739</v>
      </c>
      <c r="AZ26" s="56">
        <f t="shared" si="30"/>
        <v>2999.836956521739</v>
      </c>
      <c r="BA26" s="56">
        <f t="shared" si="30"/>
        <v>2999.836956521739</v>
      </c>
      <c r="BB26" s="57" t="e">
        <f>D26/$D$29</f>
        <v>#REF!</v>
      </c>
      <c r="BC26" s="56">
        <f>SUM(AT26:BA26)</f>
        <v>20998.858695652176</v>
      </c>
      <c r="BD26" s="56">
        <f t="shared" ref="BD26:BV26" si="31">V26*$D$26</f>
        <v>2999.836956521739</v>
      </c>
      <c r="BE26" s="56">
        <f t="shared" si="31"/>
        <v>2999.836956521739</v>
      </c>
      <c r="BF26" s="56">
        <f t="shared" si="31"/>
        <v>2999.836956521739</v>
      </c>
      <c r="BG26" s="56">
        <f t="shared" si="31"/>
        <v>2999.836956521739</v>
      </c>
      <c r="BH26" s="56">
        <f t="shared" si="31"/>
        <v>2999.836956521739</v>
      </c>
      <c r="BI26" s="56">
        <f t="shared" si="31"/>
        <v>2999.836956521739</v>
      </c>
      <c r="BJ26" s="56">
        <f t="shared" si="31"/>
        <v>2999.836956521739</v>
      </c>
      <c r="BK26" s="56">
        <f t="shared" si="31"/>
        <v>2999.836956521739</v>
      </c>
      <c r="BL26" s="56">
        <f t="shared" si="31"/>
        <v>2999.836956521739</v>
      </c>
      <c r="BM26" s="56">
        <f t="shared" si="31"/>
        <v>2999.836956521739</v>
      </c>
      <c r="BN26" s="56">
        <f t="shared" si="31"/>
        <v>2999.836956521739</v>
      </c>
      <c r="BO26" s="56">
        <f t="shared" si="31"/>
        <v>0</v>
      </c>
      <c r="BP26" s="56">
        <f t="shared" si="31"/>
        <v>0</v>
      </c>
      <c r="BQ26" s="56">
        <f t="shared" si="31"/>
        <v>0</v>
      </c>
      <c r="BR26" s="56">
        <f t="shared" si="31"/>
        <v>0</v>
      </c>
      <c r="BS26" s="56">
        <f t="shared" si="31"/>
        <v>0</v>
      </c>
      <c r="BT26" s="56">
        <f t="shared" si="31"/>
        <v>0</v>
      </c>
      <c r="BU26" s="56">
        <f t="shared" si="31"/>
        <v>0</v>
      </c>
      <c r="BV26" s="56">
        <f t="shared" si="31"/>
        <v>0</v>
      </c>
      <c r="BW26" s="56">
        <f t="shared" ref="BW26:CA26" si="32">AO26*$D$26</f>
        <v>0</v>
      </c>
      <c r="BX26" s="56">
        <f t="shared" si="32"/>
        <v>0</v>
      </c>
      <c r="BY26" s="56">
        <f t="shared" si="32"/>
        <v>0</v>
      </c>
      <c r="BZ26" s="56">
        <f t="shared" si="32"/>
        <v>0</v>
      </c>
      <c r="CA26" s="56">
        <f t="shared" si="32"/>
        <v>0</v>
      </c>
      <c r="CB26" s="58">
        <f t="shared" si="4"/>
        <v>53997.065217391289</v>
      </c>
    </row>
    <row r="27" spans="2:81" ht="30.6" customHeight="1">
      <c r="B27" s="11" t="s">
        <v>36</v>
      </c>
      <c r="C27" s="12" t="s">
        <v>45</v>
      </c>
      <c r="D27" s="13">
        <f>D25-D26</f>
        <v>27821.114782608696</v>
      </c>
      <c r="E27" s="51"/>
      <c r="F27" s="23" t="s">
        <v>58</v>
      </c>
      <c r="G27" s="23" t="s">
        <v>59</v>
      </c>
      <c r="H27" s="23">
        <v>100</v>
      </c>
      <c r="I27" s="23">
        <v>0</v>
      </c>
      <c r="J27" s="52">
        <v>44713</v>
      </c>
      <c r="K27" s="23" t="s">
        <v>60</v>
      </c>
      <c r="L27" s="23" t="s">
        <v>64</v>
      </c>
      <c r="M27" s="23"/>
      <c r="N27" s="54"/>
      <c r="O27" s="54"/>
      <c r="P27" s="54"/>
      <c r="Q27" s="54"/>
      <c r="R27" s="54"/>
      <c r="S27" s="54"/>
      <c r="T27" s="54"/>
      <c r="U27" s="54"/>
      <c r="V27" s="54"/>
      <c r="W27" s="54"/>
      <c r="X27" s="54"/>
      <c r="Y27" s="54"/>
      <c r="Z27" s="54"/>
      <c r="AA27" s="54"/>
      <c r="AB27" s="54"/>
      <c r="AC27" s="54"/>
      <c r="AD27" s="55"/>
      <c r="AE27" s="55"/>
      <c r="AF27" s="55"/>
      <c r="AG27" s="55"/>
      <c r="AH27" s="55"/>
      <c r="AI27" s="55"/>
      <c r="AJ27" s="55"/>
      <c r="AK27" s="55"/>
      <c r="AL27" s="55">
        <v>0.1</v>
      </c>
      <c r="AM27" s="55">
        <v>0.15</v>
      </c>
      <c r="AN27" s="55">
        <v>0.15</v>
      </c>
      <c r="AO27" s="55">
        <v>0.2</v>
      </c>
      <c r="AP27" s="55">
        <v>0.15</v>
      </c>
      <c r="AQ27" s="55">
        <v>0.15</v>
      </c>
      <c r="AR27" s="55">
        <v>0.1</v>
      </c>
      <c r="AS27" s="54"/>
      <c r="AT27" s="56">
        <f t="shared" ref="AT27:BA27" si="33">M27*$D$27</f>
        <v>0</v>
      </c>
      <c r="AU27" s="56">
        <f t="shared" si="33"/>
        <v>0</v>
      </c>
      <c r="AV27" s="56">
        <f t="shared" si="33"/>
        <v>0</v>
      </c>
      <c r="AW27" s="56">
        <f t="shared" si="33"/>
        <v>0</v>
      </c>
      <c r="AX27" s="56">
        <f t="shared" si="33"/>
        <v>0</v>
      </c>
      <c r="AY27" s="56">
        <f t="shared" si="33"/>
        <v>0</v>
      </c>
      <c r="AZ27" s="56">
        <f t="shared" si="33"/>
        <v>0</v>
      </c>
      <c r="BA27" s="56">
        <f t="shared" si="33"/>
        <v>0</v>
      </c>
      <c r="BB27" s="57" t="e">
        <f>D27/$D$29</f>
        <v>#REF!</v>
      </c>
      <c r="BC27" s="56">
        <f t="shared" ref="BC27:BC28" si="34">SUM(AT27:BA27)</f>
        <v>0</v>
      </c>
      <c r="BD27" s="56">
        <f t="shared" ref="BD27:BV27" si="35">V27*$D$27</f>
        <v>0</v>
      </c>
      <c r="BE27" s="56">
        <f t="shared" si="35"/>
        <v>0</v>
      </c>
      <c r="BF27" s="56">
        <f t="shared" si="35"/>
        <v>0</v>
      </c>
      <c r="BG27" s="56">
        <f t="shared" si="35"/>
        <v>0</v>
      </c>
      <c r="BH27" s="56">
        <f t="shared" si="35"/>
        <v>0</v>
      </c>
      <c r="BI27" s="56">
        <f t="shared" si="35"/>
        <v>0</v>
      </c>
      <c r="BJ27" s="56">
        <f t="shared" si="35"/>
        <v>0</v>
      </c>
      <c r="BK27" s="56">
        <f t="shared" si="35"/>
        <v>0</v>
      </c>
      <c r="BL27" s="56">
        <f t="shared" si="35"/>
        <v>0</v>
      </c>
      <c r="BM27" s="56">
        <f t="shared" si="35"/>
        <v>0</v>
      </c>
      <c r="BN27" s="56">
        <f t="shared" si="35"/>
        <v>0</v>
      </c>
      <c r="BO27" s="61">
        <f t="shared" si="35"/>
        <v>0</v>
      </c>
      <c r="BP27" s="61">
        <f t="shared" si="35"/>
        <v>0</v>
      </c>
      <c r="BQ27" s="61">
        <f t="shared" si="35"/>
        <v>0</v>
      </c>
      <c r="BR27" s="61">
        <f t="shared" si="35"/>
        <v>0</v>
      </c>
      <c r="BS27" s="61">
        <f t="shared" si="35"/>
        <v>0</v>
      </c>
      <c r="BT27" s="61">
        <f t="shared" si="35"/>
        <v>2782.1114782608697</v>
      </c>
      <c r="BU27" s="61">
        <f t="shared" si="35"/>
        <v>4173.1672173913039</v>
      </c>
      <c r="BV27" s="61">
        <f t="shared" si="35"/>
        <v>4173.1672173913039</v>
      </c>
      <c r="BW27" s="61">
        <f t="shared" ref="BW27:CA27" si="36">AO27*$D$27</f>
        <v>5564.2229565217394</v>
      </c>
      <c r="BX27" s="61">
        <f t="shared" si="36"/>
        <v>4173.1672173913039</v>
      </c>
      <c r="BY27" s="61">
        <f t="shared" si="36"/>
        <v>4173.1672173913039</v>
      </c>
      <c r="BZ27" s="61">
        <f t="shared" si="36"/>
        <v>2782.1114782608697</v>
      </c>
      <c r="CA27" s="61">
        <f t="shared" si="36"/>
        <v>0</v>
      </c>
      <c r="CB27" s="58">
        <f t="shared" si="4"/>
        <v>27821.114782608693</v>
      </c>
    </row>
    <row r="28" spans="2:81" ht="30.6" customHeight="1">
      <c r="B28" s="1" t="s">
        <v>38</v>
      </c>
      <c r="C28" s="25" t="s">
        <v>39</v>
      </c>
      <c r="D28" s="14">
        <v>18181.82</v>
      </c>
      <c r="E28" s="51"/>
      <c r="F28" s="23" t="s">
        <v>62</v>
      </c>
      <c r="G28" s="23" t="s">
        <v>63</v>
      </c>
      <c r="H28" s="23">
        <v>100</v>
      </c>
      <c r="I28" s="23">
        <v>0</v>
      </c>
      <c r="J28" s="52">
        <v>44713</v>
      </c>
      <c r="K28" s="23" t="s">
        <v>60</v>
      </c>
      <c r="L28" s="23" t="s">
        <v>64</v>
      </c>
      <c r="M28" s="23"/>
      <c r="N28" s="53"/>
      <c r="O28" s="53"/>
      <c r="P28" s="53"/>
      <c r="Q28" s="53"/>
      <c r="R28" s="53"/>
      <c r="S28" s="53"/>
      <c r="T28" s="53"/>
      <c r="U28" s="54">
        <f>SUM(N28:T28)</f>
        <v>0</v>
      </c>
      <c r="V28" s="53"/>
      <c r="W28" s="53"/>
      <c r="X28" s="53"/>
      <c r="Y28" s="53"/>
      <c r="Z28" s="53"/>
      <c r="AA28" s="53"/>
      <c r="AB28" s="53"/>
      <c r="AC28" s="53"/>
      <c r="AD28" s="55"/>
      <c r="AE28" s="55"/>
      <c r="AF28" s="55"/>
      <c r="AG28" s="55"/>
      <c r="AH28" s="55"/>
      <c r="AI28" s="55"/>
      <c r="AJ28" s="55"/>
      <c r="AK28" s="55"/>
      <c r="AL28" s="55"/>
      <c r="AM28" s="55"/>
      <c r="AN28" s="55">
        <v>0.5</v>
      </c>
      <c r="AO28" s="55"/>
      <c r="AP28" s="55"/>
      <c r="AQ28" s="55"/>
      <c r="AR28" s="55"/>
      <c r="AS28" s="55">
        <v>0.5</v>
      </c>
      <c r="AT28" s="56">
        <f t="shared" ref="AT28:BA28" si="37">M28*$D$28</f>
        <v>0</v>
      </c>
      <c r="AU28" s="56">
        <f t="shared" si="37"/>
        <v>0</v>
      </c>
      <c r="AV28" s="56">
        <f t="shared" si="37"/>
        <v>0</v>
      </c>
      <c r="AW28" s="56">
        <f t="shared" si="37"/>
        <v>0</v>
      </c>
      <c r="AX28" s="56">
        <f t="shared" si="37"/>
        <v>0</v>
      </c>
      <c r="AY28" s="56">
        <f t="shared" si="37"/>
        <v>0</v>
      </c>
      <c r="AZ28" s="56">
        <f t="shared" si="37"/>
        <v>0</v>
      </c>
      <c r="BA28" s="56">
        <f t="shared" si="37"/>
        <v>0</v>
      </c>
      <c r="BB28" s="57" t="e">
        <f>D28/$D$29</f>
        <v>#REF!</v>
      </c>
      <c r="BC28" s="56">
        <f t="shared" si="34"/>
        <v>0</v>
      </c>
      <c r="BD28" s="56">
        <f t="shared" ref="BD28:BV28" si="38">V28*$D$28</f>
        <v>0</v>
      </c>
      <c r="BE28" s="56">
        <f t="shared" si="38"/>
        <v>0</v>
      </c>
      <c r="BF28" s="56">
        <f t="shared" si="38"/>
        <v>0</v>
      </c>
      <c r="BG28" s="56">
        <f t="shared" si="38"/>
        <v>0</v>
      </c>
      <c r="BH28" s="56">
        <f t="shared" si="38"/>
        <v>0</v>
      </c>
      <c r="BI28" s="56">
        <f t="shared" si="38"/>
        <v>0</v>
      </c>
      <c r="BJ28" s="56">
        <f t="shared" si="38"/>
        <v>0</v>
      </c>
      <c r="BK28" s="56">
        <f t="shared" si="38"/>
        <v>0</v>
      </c>
      <c r="BL28" s="56">
        <f t="shared" si="38"/>
        <v>0</v>
      </c>
      <c r="BM28" s="56">
        <f t="shared" si="38"/>
        <v>0</v>
      </c>
      <c r="BN28" s="56">
        <f t="shared" si="38"/>
        <v>0</v>
      </c>
      <c r="BO28" s="56">
        <f t="shared" si="38"/>
        <v>0</v>
      </c>
      <c r="BP28" s="56">
        <f t="shared" si="38"/>
        <v>0</v>
      </c>
      <c r="BQ28" s="56">
        <f t="shared" si="38"/>
        <v>0</v>
      </c>
      <c r="BR28" s="56">
        <f t="shared" si="38"/>
        <v>0</v>
      </c>
      <c r="BS28" s="56">
        <f t="shared" si="38"/>
        <v>0</v>
      </c>
      <c r="BT28" s="56">
        <f t="shared" si="38"/>
        <v>0</v>
      </c>
      <c r="BU28" s="56">
        <f t="shared" si="38"/>
        <v>0</v>
      </c>
      <c r="BV28" s="56">
        <f t="shared" si="38"/>
        <v>9090.91</v>
      </c>
      <c r="BW28" s="56">
        <f t="shared" ref="BW28:CA28" si="39">AO28*$D$28</f>
        <v>0</v>
      </c>
      <c r="BX28" s="56">
        <f t="shared" si="39"/>
        <v>0</v>
      </c>
      <c r="BY28" s="56">
        <f t="shared" si="39"/>
        <v>0</v>
      </c>
      <c r="BZ28" s="56">
        <f t="shared" si="39"/>
        <v>0</v>
      </c>
      <c r="CA28" s="56">
        <f t="shared" si="39"/>
        <v>9090.91</v>
      </c>
      <c r="CB28" s="58">
        <f t="shared" si="4"/>
        <v>18181.82</v>
      </c>
    </row>
    <row r="29" spans="2:81" s="35" customFormat="1" ht="30.6" customHeight="1">
      <c r="B29" s="203" t="s">
        <v>40</v>
      </c>
      <c r="C29" s="203"/>
      <c r="D29" s="14" t="e">
        <f>D24+D18+D11</f>
        <v>#REF!</v>
      </c>
      <c r="E29" s="45"/>
      <c r="F29" s="4"/>
      <c r="G29" s="4"/>
      <c r="H29" s="4"/>
      <c r="I29" s="62"/>
      <c r="J29" s="4"/>
      <c r="K29" s="4"/>
      <c r="L29" s="1"/>
      <c r="M29" s="1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63" t="e">
        <f t="shared" ref="AT29:BA29" si="40">SUM(AT13:AT28)</f>
        <v>#REF!</v>
      </c>
      <c r="AU29" s="63" t="e">
        <f t="shared" si="40"/>
        <v>#REF!</v>
      </c>
      <c r="AV29" s="63" t="e">
        <f t="shared" si="40"/>
        <v>#REF!</v>
      </c>
      <c r="AW29" s="63" t="e">
        <f t="shared" si="40"/>
        <v>#REF!</v>
      </c>
      <c r="AX29" s="63" t="e">
        <f t="shared" si="40"/>
        <v>#REF!</v>
      </c>
      <c r="AY29" s="63" t="e">
        <f t="shared" si="40"/>
        <v>#REF!</v>
      </c>
      <c r="AZ29" s="63" t="e">
        <f t="shared" si="40"/>
        <v>#REF!</v>
      </c>
      <c r="BA29" s="63" t="e">
        <f t="shared" si="40"/>
        <v>#REF!</v>
      </c>
      <c r="BB29" s="63"/>
      <c r="BC29" s="63" t="e">
        <f t="shared" ref="BC29:CA29" si="41">SUM(BC13:BC28)</f>
        <v>#REF!</v>
      </c>
      <c r="BD29" s="63" t="e">
        <f t="shared" si="41"/>
        <v>#REF!</v>
      </c>
      <c r="BE29" s="63" t="e">
        <f t="shared" si="41"/>
        <v>#REF!</v>
      </c>
      <c r="BF29" s="63" t="e">
        <f t="shared" si="41"/>
        <v>#REF!</v>
      </c>
      <c r="BG29" s="63" t="e">
        <f t="shared" si="41"/>
        <v>#REF!</v>
      </c>
      <c r="BH29" s="63" t="e">
        <f t="shared" si="41"/>
        <v>#REF!</v>
      </c>
      <c r="BI29" s="63" t="e">
        <f t="shared" si="41"/>
        <v>#REF!</v>
      </c>
      <c r="BJ29" s="63" t="e">
        <f t="shared" si="41"/>
        <v>#REF!</v>
      </c>
      <c r="BK29" s="63" t="e">
        <f t="shared" si="41"/>
        <v>#REF!</v>
      </c>
      <c r="BL29" s="63" t="e">
        <f t="shared" si="41"/>
        <v>#REF!</v>
      </c>
      <c r="BM29" s="63" t="e">
        <f t="shared" si="41"/>
        <v>#REF!</v>
      </c>
      <c r="BN29" s="63" t="e">
        <f t="shared" si="41"/>
        <v>#REF!</v>
      </c>
      <c r="BO29" s="63" t="e">
        <f t="shared" si="41"/>
        <v>#REF!</v>
      </c>
      <c r="BP29" s="63" t="e">
        <f t="shared" si="41"/>
        <v>#REF!</v>
      </c>
      <c r="BQ29" s="63" t="e">
        <f t="shared" si="41"/>
        <v>#REF!</v>
      </c>
      <c r="BR29" s="63" t="e">
        <f t="shared" si="41"/>
        <v>#REF!</v>
      </c>
      <c r="BS29" s="63" t="e">
        <f t="shared" si="41"/>
        <v>#REF!</v>
      </c>
      <c r="BT29" s="63" t="e">
        <f t="shared" si="41"/>
        <v>#REF!</v>
      </c>
      <c r="BU29" s="63" t="e">
        <f t="shared" si="41"/>
        <v>#REF!</v>
      </c>
      <c r="BV29" s="63" t="e">
        <f t="shared" si="41"/>
        <v>#REF!</v>
      </c>
      <c r="BW29" s="63" t="e">
        <f t="shared" si="41"/>
        <v>#REF!</v>
      </c>
      <c r="BX29" s="63" t="e">
        <f t="shared" si="41"/>
        <v>#REF!</v>
      </c>
      <c r="BY29" s="63" t="e">
        <f t="shared" si="41"/>
        <v>#REF!</v>
      </c>
      <c r="BZ29" s="63" t="e">
        <f t="shared" si="41"/>
        <v>#REF!</v>
      </c>
      <c r="CA29" s="63" t="e">
        <f t="shared" si="41"/>
        <v>#REF!</v>
      </c>
      <c r="CB29" s="58" t="e">
        <f>SUM(BC29:CA29)</f>
        <v>#REF!</v>
      </c>
      <c r="CC29" s="64"/>
    </row>
    <row r="30" spans="2:81" s="35" customFormat="1" ht="30.6" customHeight="1">
      <c r="B30" s="4" t="s">
        <v>65</v>
      </c>
      <c r="C30" s="53"/>
      <c r="D30" s="53"/>
      <c r="E30" s="66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3"/>
      <c r="X30" s="53"/>
      <c r="Y30" s="53"/>
      <c r="Z30" s="53"/>
      <c r="AA30" s="53"/>
      <c r="AB30" s="53"/>
      <c r="AC30" s="53"/>
      <c r="AD30" s="53"/>
      <c r="AE30" s="53"/>
      <c r="AF30" s="53"/>
      <c r="AG30" s="53"/>
      <c r="AH30" s="53"/>
      <c r="AI30" s="53"/>
      <c r="AJ30" s="53"/>
      <c r="AK30" s="53"/>
      <c r="AL30" s="53"/>
      <c r="AM30" s="53"/>
      <c r="AN30" s="53"/>
      <c r="AO30" s="53"/>
      <c r="AP30" s="53"/>
      <c r="AQ30" s="53"/>
      <c r="AR30" s="53"/>
      <c r="AS30" s="53"/>
      <c r="AT30" s="53"/>
      <c r="AU30" s="63" t="e">
        <f>AU29</f>
        <v>#REF!</v>
      </c>
      <c r="AV30" s="63" t="e">
        <f t="shared" ref="AV30:BA30" si="42">AU30+AV29</f>
        <v>#REF!</v>
      </c>
      <c r="AW30" s="63" t="e">
        <f t="shared" si="42"/>
        <v>#REF!</v>
      </c>
      <c r="AX30" s="63" t="e">
        <f t="shared" si="42"/>
        <v>#REF!</v>
      </c>
      <c r="AY30" s="63" t="e">
        <f t="shared" si="42"/>
        <v>#REF!</v>
      </c>
      <c r="AZ30" s="63" t="e">
        <f t="shared" si="42"/>
        <v>#REF!</v>
      </c>
      <c r="BA30" s="63" t="e">
        <f t="shared" si="42"/>
        <v>#REF!</v>
      </c>
      <c r="BB30" s="53"/>
      <c r="BC30" s="63" t="e">
        <f>BC29</f>
        <v>#REF!</v>
      </c>
      <c r="BD30" s="63" t="e">
        <f t="shared" ref="BD30:CA30" si="43">BC30+BD29</f>
        <v>#REF!</v>
      </c>
      <c r="BE30" s="63" t="e">
        <f t="shared" si="43"/>
        <v>#REF!</v>
      </c>
      <c r="BF30" s="63" t="e">
        <f t="shared" si="43"/>
        <v>#REF!</v>
      </c>
      <c r="BG30" s="63" t="e">
        <f t="shared" si="43"/>
        <v>#REF!</v>
      </c>
      <c r="BH30" s="63" t="e">
        <f t="shared" si="43"/>
        <v>#REF!</v>
      </c>
      <c r="BI30" s="63" t="e">
        <f t="shared" si="43"/>
        <v>#REF!</v>
      </c>
      <c r="BJ30" s="63" t="e">
        <f t="shared" si="43"/>
        <v>#REF!</v>
      </c>
      <c r="BK30" s="63" t="e">
        <f t="shared" si="43"/>
        <v>#REF!</v>
      </c>
      <c r="BL30" s="63" t="e">
        <f t="shared" si="43"/>
        <v>#REF!</v>
      </c>
      <c r="BM30" s="63" t="e">
        <f t="shared" si="43"/>
        <v>#REF!</v>
      </c>
      <c r="BN30" s="63" t="e">
        <f t="shared" si="43"/>
        <v>#REF!</v>
      </c>
      <c r="BO30" s="63" t="e">
        <f t="shared" si="43"/>
        <v>#REF!</v>
      </c>
      <c r="BP30" s="63" t="e">
        <f t="shared" si="43"/>
        <v>#REF!</v>
      </c>
      <c r="BQ30" s="63" t="e">
        <f t="shared" si="43"/>
        <v>#REF!</v>
      </c>
      <c r="BR30" s="63" t="e">
        <f t="shared" si="43"/>
        <v>#REF!</v>
      </c>
      <c r="BS30" s="63" t="e">
        <f t="shared" si="43"/>
        <v>#REF!</v>
      </c>
      <c r="BT30" s="63" t="e">
        <f t="shared" si="43"/>
        <v>#REF!</v>
      </c>
      <c r="BU30" s="63" t="e">
        <f t="shared" si="43"/>
        <v>#REF!</v>
      </c>
      <c r="BV30" s="63" t="e">
        <f t="shared" si="43"/>
        <v>#REF!</v>
      </c>
      <c r="BW30" s="63" t="e">
        <f t="shared" si="43"/>
        <v>#REF!</v>
      </c>
      <c r="BX30" s="63" t="e">
        <f t="shared" si="43"/>
        <v>#REF!</v>
      </c>
      <c r="BY30" s="63" t="e">
        <f t="shared" si="43"/>
        <v>#REF!</v>
      </c>
      <c r="BZ30" s="63" t="e">
        <f t="shared" si="43"/>
        <v>#REF!</v>
      </c>
      <c r="CA30" s="63" t="e">
        <f t="shared" si="43"/>
        <v>#REF!</v>
      </c>
      <c r="CB30" s="53"/>
    </row>
    <row r="31" spans="2:81" s="67" customFormat="1" ht="30.6" customHeight="1">
      <c r="B31" s="4" t="s">
        <v>69</v>
      </c>
      <c r="C31" s="4"/>
      <c r="D31" s="4"/>
      <c r="E31" s="68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69" t="e">
        <f>AU30/$CB$29</f>
        <v>#REF!</v>
      </c>
      <c r="AV31" s="69" t="e">
        <f t="shared" ref="AV31:BA31" si="44">AV30/$CB$29</f>
        <v>#REF!</v>
      </c>
      <c r="AW31" s="69" t="e">
        <f t="shared" si="44"/>
        <v>#REF!</v>
      </c>
      <c r="AX31" s="69" t="e">
        <f t="shared" si="44"/>
        <v>#REF!</v>
      </c>
      <c r="AY31" s="69" t="e">
        <f t="shared" si="44"/>
        <v>#REF!</v>
      </c>
      <c r="AZ31" s="69" t="e">
        <f t="shared" si="44"/>
        <v>#REF!</v>
      </c>
      <c r="BA31" s="69" t="e">
        <f t="shared" si="44"/>
        <v>#REF!</v>
      </c>
      <c r="BB31" s="69"/>
      <c r="BC31" s="69" t="e">
        <f t="shared" ref="BC31:CA31" si="45">BC30/$CB$29</f>
        <v>#REF!</v>
      </c>
      <c r="BD31" s="69" t="e">
        <f t="shared" si="45"/>
        <v>#REF!</v>
      </c>
      <c r="BE31" s="69" t="e">
        <f t="shared" si="45"/>
        <v>#REF!</v>
      </c>
      <c r="BF31" s="69" t="e">
        <f t="shared" si="45"/>
        <v>#REF!</v>
      </c>
      <c r="BG31" s="69" t="e">
        <f t="shared" si="45"/>
        <v>#REF!</v>
      </c>
      <c r="BH31" s="69" t="e">
        <f t="shared" si="45"/>
        <v>#REF!</v>
      </c>
      <c r="BI31" s="69" t="e">
        <f t="shared" si="45"/>
        <v>#REF!</v>
      </c>
      <c r="BJ31" s="69" t="e">
        <f t="shared" si="45"/>
        <v>#REF!</v>
      </c>
      <c r="BK31" s="69" t="e">
        <f t="shared" si="45"/>
        <v>#REF!</v>
      </c>
      <c r="BL31" s="69" t="e">
        <f t="shared" si="45"/>
        <v>#REF!</v>
      </c>
      <c r="BM31" s="69" t="e">
        <f t="shared" si="45"/>
        <v>#REF!</v>
      </c>
      <c r="BN31" s="69" t="e">
        <f t="shared" si="45"/>
        <v>#REF!</v>
      </c>
      <c r="BO31" s="69" t="e">
        <f t="shared" si="45"/>
        <v>#REF!</v>
      </c>
      <c r="BP31" s="69" t="e">
        <f t="shared" si="45"/>
        <v>#REF!</v>
      </c>
      <c r="BQ31" s="69" t="e">
        <f t="shared" si="45"/>
        <v>#REF!</v>
      </c>
      <c r="BR31" s="69" t="e">
        <f t="shared" si="45"/>
        <v>#REF!</v>
      </c>
      <c r="BS31" s="69" t="e">
        <f t="shared" si="45"/>
        <v>#REF!</v>
      </c>
      <c r="BT31" s="69" t="e">
        <f t="shared" si="45"/>
        <v>#REF!</v>
      </c>
      <c r="BU31" s="69" t="e">
        <f t="shared" si="45"/>
        <v>#REF!</v>
      </c>
      <c r="BV31" s="69" t="e">
        <f t="shared" si="45"/>
        <v>#REF!</v>
      </c>
      <c r="BW31" s="69" t="e">
        <f t="shared" si="45"/>
        <v>#REF!</v>
      </c>
      <c r="BX31" s="69" t="e">
        <f t="shared" si="45"/>
        <v>#REF!</v>
      </c>
      <c r="BY31" s="69" t="e">
        <f t="shared" si="45"/>
        <v>#REF!</v>
      </c>
      <c r="BZ31" s="69" t="e">
        <f t="shared" si="45"/>
        <v>#REF!</v>
      </c>
      <c r="CA31" s="69" t="e">
        <f t="shared" si="45"/>
        <v>#REF!</v>
      </c>
      <c r="CB31" s="4"/>
    </row>
    <row r="33" spans="74:81">
      <c r="BV33" s="65"/>
      <c r="BW33" s="65"/>
      <c r="BX33" s="65"/>
      <c r="BY33" s="65"/>
      <c r="BZ33" s="65"/>
      <c r="CA33" s="65"/>
      <c r="CB33" s="65"/>
      <c r="CC33" s="65"/>
    </row>
    <row r="34" spans="74:81">
      <c r="BV34" s="65"/>
      <c r="BW34" s="65"/>
      <c r="BX34" s="65"/>
      <c r="BY34" s="65"/>
      <c r="BZ34" s="65"/>
      <c r="CA34" s="65"/>
      <c r="CB34" s="65"/>
      <c r="CC34" s="65"/>
    </row>
  </sheetData>
  <mergeCells count="14">
    <mergeCell ref="CB9:CB10"/>
    <mergeCell ref="E20:E22"/>
    <mergeCell ref="B29:C29"/>
    <mergeCell ref="G9:G10"/>
    <mergeCell ref="H9:I9"/>
    <mergeCell ref="J9:J10"/>
    <mergeCell ref="K9:K10"/>
    <mergeCell ref="L9:L10"/>
    <mergeCell ref="BB9:BB10"/>
    <mergeCell ref="B9:B10"/>
    <mergeCell ref="C9:C10"/>
    <mergeCell ref="D9:D10"/>
    <mergeCell ref="E9:E10"/>
    <mergeCell ref="F9:F10"/>
  </mergeCells>
  <dataValidations disablePrompts="1" count="1">
    <dataValidation type="list" allowBlank="1" showInputMessage="1" showErrorMessage="1" sqref="F11:F12 F28 F18:F21 F23:F26 G11:G28" xr:uid="{8363003B-827E-40E9-BDB2-0BECD8E22A6A}">
      <formula1>#REF!</formula1>
    </dataValidation>
  </dataValidations>
  <printOptions horizontalCentered="1"/>
  <pageMargins left="0.15748031496062992" right="0.23622047244094491" top="0.74803149606299213" bottom="0.74803149606299213" header="0.31496062992125984" footer="0.31496062992125984"/>
  <pageSetup scale="60" orientation="landscape" r:id="rId1"/>
  <headerFooter alignWithMargins="0">
    <oddHeader>&amp;L&amp;8Versão: &amp;D, às &amp;T&amp;R&amp;8Banco Interamericano de Desarrollo</oddHeader>
    <oddFooter>&amp;L &amp;RPágina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2AF1F2-B00C-4F83-8260-36FC080AF74D}">
  <dimension ref="B1:P37"/>
  <sheetViews>
    <sheetView zoomScale="70" zoomScaleNormal="70" zoomScalePageLayoutView="78" workbookViewId="0">
      <selection activeCell="R20" sqref="R20"/>
    </sheetView>
  </sheetViews>
  <sheetFormatPr defaultColWidth="9.109375" defaultRowHeight="15.6"/>
  <cols>
    <col min="1" max="1" width="2.44140625" style="34" customWidth="1"/>
    <col min="2" max="2" width="9" style="72" customWidth="1"/>
    <col min="3" max="3" width="36.88671875" style="34" customWidth="1"/>
    <col min="4" max="4" width="15.44140625" style="34" customWidth="1"/>
    <col min="5" max="5" width="12.5546875" style="34" customWidth="1"/>
    <col min="6" max="6" width="19.109375" style="34" customWidth="1"/>
    <col min="7" max="7" width="10.5546875" style="34" customWidth="1"/>
    <col min="8" max="8" width="10.88671875" style="34" customWidth="1"/>
    <col min="9" max="9" width="20.5546875" style="34" customWidth="1"/>
    <col min="10" max="10" width="11.6640625" style="34" customWidth="1"/>
    <col min="11" max="11" width="27.109375" style="73" customWidth="1"/>
    <col min="12" max="13" width="13" style="34" hidden="1" customWidth="1"/>
    <col min="14" max="15" width="9.109375" style="34" hidden="1" customWidth="1"/>
    <col min="16" max="16384" width="9.109375" style="34"/>
  </cols>
  <sheetData>
    <row r="1" spans="2:16" ht="20.25" customHeight="1">
      <c r="I1" s="67" t="s">
        <v>70</v>
      </c>
    </row>
    <row r="2" spans="2:16" ht="20.25" customHeight="1" thickBot="1">
      <c r="I2" s="67" t="s">
        <v>71</v>
      </c>
    </row>
    <row r="3" spans="2:16" ht="21" customHeight="1">
      <c r="B3" s="204" t="s">
        <v>72</v>
      </c>
      <c r="C3" s="205"/>
      <c r="D3" s="206"/>
      <c r="E3" s="206"/>
      <c r="F3" s="206"/>
      <c r="G3" s="206"/>
      <c r="H3" s="206"/>
      <c r="I3" s="206"/>
      <c r="J3" s="206"/>
      <c r="K3" s="207"/>
    </row>
    <row r="4" spans="2:16" ht="40.950000000000003" customHeight="1">
      <c r="B4" s="208" t="s">
        <v>73</v>
      </c>
      <c r="C4" s="209"/>
      <c r="D4" s="209"/>
      <c r="E4" s="210"/>
      <c r="F4" s="211" t="s">
        <v>74</v>
      </c>
      <c r="G4" s="212"/>
      <c r="H4" s="212"/>
      <c r="I4" s="212"/>
      <c r="J4" s="213" t="s">
        <v>75</v>
      </c>
      <c r="K4" s="214"/>
    </row>
    <row r="5" spans="2:16" ht="37.5" customHeight="1">
      <c r="B5" s="215" t="s">
        <v>76</v>
      </c>
      <c r="C5" s="216"/>
      <c r="D5" s="216"/>
      <c r="E5" s="217"/>
      <c r="F5" s="218" t="s">
        <v>77</v>
      </c>
      <c r="G5" s="219"/>
      <c r="H5" s="219"/>
      <c r="I5" s="219"/>
      <c r="J5" s="219"/>
      <c r="K5" s="220"/>
    </row>
    <row r="6" spans="2:16" ht="21" customHeight="1">
      <c r="B6" s="221" t="s">
        <v>78</v>
      </c>
      <c r="C6" s="222"/>
      <c r="D6" s="222"/>
      <c r="E6" s="222"/>
      <c r="F6" s="222"/>
      <c r="G6" s="222"/>
      <c r="H6" s="222"/>
      <c r="I6" s="222"/>
      <c r="J6" s="222"/>
      <c r="K6" s="223"/>
    </row>
    <row r="7" spans="2:16" ht="12" customHeight="1">
      <c r="B7" s="74"/>
      <c r="C7" s="75"/>
      <c r="D7" s="75"/>
      <c r="E7" s="75"/>
      <c r="F7" s="75"/>
      <c r="G7" s="75"/>
      <c r="H7" s="75"/>
      <c r="I7" s="75"/>
      <c r="J7" s="75"/>
      <c r="K7" s="76"/>
    </row>
    <row r="8" spans="2:16" s="73" customFormat="1" ht="53.25" customHeight="1">
      <c r="B8" s="201" t="s">
        <v>41</v>
      </c>
      <c r="C8" s="202" t="s">
        <v>42</v>
      </c>
      <c r="D8" s="202" t="s">
        <v>43</v>
      </c>
      <c r="E8" s="202" t="s">
        <v>48</v>
      </c>
      <c r="F8" s="202" t="s">
        <v>49</v>
      </c>
      <c r="G8" s="202" t="s">
        <v>50</v>
      </c>
      <c r="H8" s="202"/>
      <c r="I8" s="202" t="s">
        <v>51</v>
      </c>
      <c r="J8" s="202" t="s">
        <v>52</v>
      </c>
      <c r="K8" s="202" t="s">
        <v>53</v>
      </c>
      <c r="L8" s="227" t="s">
        <v>79</v>
      </c>
      <c r="M8" s="227"/>
      <c r="N8" s="227"/>
      <c r="O8" s="227"/>
    </row>
    <row r="9" spans="2:16" ht="27.75" customHeight="1">
      <c r="B9" s="201"/>
      <c r="C9" s="202"/>
      <c r="D9" s="202"/>
      <c r="E9" s="202"/>
      <c r="F9" s="202"/>
      <c r="G9" s="33" t="s">
        <v>56</v>
      </c>
      <c r="H9" s="33" t="s">
        <v>57</v>
      </c>
      <c r="I9" s="202"/>
      <c r="J9" s="202"/>
      <c r="K9" s="202"/>
      <c r="L9" s="77" t="s">
        <v>80</v>
      </c>
      <c r="M9" s="77" t="s">
        <v>81</v>
      </c>
      <c r="N9" s="228" t="s">
        <v>82</v>
      </c>
      <c r="O9" s="229"/>
    </row>
    <row r="10" spans="2:16" ht="21" customHeight="1">
      <c r="B10" s="1">
        <v>1</v>
      </c>
      <c r="C10" s="2" t="s">
        <v>0</v>
      </c>
      <c r="D10" s="3">
        <f>SUM(D12:D14)</f>
        <v>412879</v>
      </c>
      <c r="E10" s="46"/>
      <c r="F10" s="47"/>
      <c r="G10" s="46"/>
      <c r="H10" s="46"/>
      <c r="I10" s="48"/>
      <c r="J10" s="47"/>
      <c r="K10" s="46"/>
      <c r="L10" s="230" t="s">
        <v>46</v>
      </c>
      <c r="M10" s="230" t="s">
        <v>46</v>
      </c>
      <c r="N10" s="230" t="s">
        <v>83</v>
      </c>
      <c r="O10" s="230" t="s">
        <v>83</v>
      </c>
      <c r="P10" s="67"/>
    </row>
    <row r="11" spans="2:16">
      <c r="B11" s="1" t="s">
        <v>1</v>
      </c>
      <c r="C11" s="2" t="s">
        <v>2</v>
      </c>
      <c r="D11" s="3"/>
      <c r="E11" s="49"/>
      <c r="F11" s="2"/>
      <c r="G11" s="46"/>
      <c r="H11" s="46"/>
      <c r="I11" s="48"/>
      <c r="J11" s="2"/>
      <c r="K11" s="49"/>
      <c r="L11" s="231"/>
      <c r="M11" s="231"/>
      <c r="N11" s="231"/>
      <c r="O11" s="231"/>
      <c r="P11" s="67"/>
    </row>
    <row r="12" spans="2:16" s="35" customFormat="1" ht="47.7" customHeight="1">
      <c r="B12" s="23" t="s">
        <v>3</v>
      </c>
      <c r="C12" s="24" t="s">
        <v>84</v>
      </c>
      <c r="D12" s="19">
        <v>372000</v>
      </c>
      <c r="E12" s="23" t="s">
        <v>58</v>
      </c>
      <c r="F12" s="23" t="s">
        <v>59</v>
      </c>
      <c r="G12" s="23">
        <v>100</v>
      </c>
      <c r="H12" s="23">
        <v>0</v>
      </c>
      <c r="I12" s="52">
        <v>44276</v>
      </c>
      <c r="J12" s="23" t="s">
        <v>60</v>
      </c>
      <c r="K12" s="1"/>
      <c r="L12" s="53"/>
      <c r="M12" s="23"/>
      <c r="N12" s="78"/>
      <c r="O12" s="78"/>
    </row>
    <row r="13" spans="2:16" s="35" customFormat="1">
      <c r="B13" s="1">
        <v>1.2</v>
      </c>
      <c r="C13" s="2" t="s">
        <v>9</v>
      </c>
      <c r="D13" s="19"/>
      <c r="E13" s="23"/>
      <c r="F13" s="23"/>
      <c r="G13" s="23"/>
      <c r="H13" s="23"/>
      <c r="I13" s="52"/>
      <c r="J13" s="23"/>
      <c r="K13" s="1"/>
      <c r="L13" s="53"/>
      <c r="M13" s="23"/>
      <c r="N13" s="78"/>
      <c r="O13" s="78"/>
    </row>
    <row r="14" spans="2:16" s="35" customFormat="1">
      <c r="B14" s="23" t="s">
        <v>10</v>
      </c>
      <c r="C14" s="24" t="s">
        <v>11</v>
      </c>
      <c r="D14" s="19">
        <v>40879</v>
      </c>
      <c r="E14" s="19" t="s">
        <v>62</v>
      </c>
      <c r="F14" s="19" t="s">
        <v>63</v>
      </c>
      <c r="G14" s="23">
        <v>100</v>
      </c>
      <c r="H14" s="23">
        <v>0</v>
      </c>
      <c r="I14" s="52">
        <v>44531</v>
      </c>
      <c r="J14" s="23" t="s">
        <v>60</v>
      </c>
      <c r="K14" s="1"/>
      <c r="L14" s="53"/>
      <c r="M14" s="23"/>
      <c r="N14" s="78"/>
      <c r="O14" s="78"/>
    </row>
    <row r="15" spans="2:16" s="35" customFormat="1" ht="25.5" customHeight="1">
      <c r="B15" s="1">
        <v>3</v>
      </c>
      <c r="C15" s="18" t="s">
        <v>16</v>
      </c>
      <c r="D15" s="14">
        <f>+D20+D21</f>
        <v>109090.7</v>
      </c>
      <c r="E15" s="23"/>
      <c r="F15" s="23"/>
      <c r="G15" s="23"/>
      <c r="H15" s="23"/>
      <c r="I15" s="52"/>
      <c r="J15" s="23"/>
      <c r="K15" s="59"/>
      <c r="L15" s="53"/>
      <c r="M15" s="23"/>
      <c r="N15" s="53"/>
      <c r="O15" s="53"/>
      <c r="P15" s="67"/>
    </row>
    <row r="16" spans="2:16">
      <c r="B16" s="1">
        <v>3.1</v>
      </c>
      <c r="C16" s="79" t="s">
        <v>9</v>
      </c>
      <c r="D16" s="19"/>
      <c r="E16" s="23"/>
      <c r="F16" s="23"/>
      <c r="G16" s="23"/>
      <c r="H16" s="23"/>
      <c r="I16" s="52"/>
      <c r="J16" s="23"/>
      <c r="K16" s="46"/>
      <c r="L16" s="47"/>
      <c r="M16" s="46"/>
      <c r="N16" s="47"/>
      <c r="O16" s="47"/>
    </row>
    <row r="17" spans="2:16" s="35" customFormat="1" ht="25.95" hidden="1" customHeight="1">
      <c r="B17" s="1">
        <v>3</v>
      </c>
      <c r="C17" s="80" t="s">
        <v>16</v>
      </c>
      <c r="D17" s="14">
        <f>SUM(D18:D20)</f>
        <v>60606.06</v>
      </c>
      <c r="E17" s="23"/>
      <c r="F17" s="23"/>
      <c r="G17" s="23"/>
      <c r="H17" s="23"/>
      <c r="I17" s="81"/>
      <c r="J17" s="23"/>
      <c r="K17" s="59"/>
      <c r="L17" s="53"/>
      <c r="M17" s="23"/>
      <c r="N17" s="53"/>
      <c r="O17" s="53"/>
      <c r="P17" s="67" t="s">
        <v>85</v>
      </c>
    </row>
    <row r="18" spans="2:16" hidden="1">
      <c r="B18" s="1" t="s">
        <v>17</v>
      </c>
      <c r="C18" s="79" t="s">
        <v>2</v>
      </c>
      <c r="D18" s="14"/>
      <c r="E18" s="1"/>
      <c r="F18" s="1"/>
      <c r="G18" s="23"/>
      <c r="H18" s="23"/>
      <c r="I18" s="81"/>
      <c r="J18" s="23"/>
      <c r="K18" s="49"/>
      <c r="L18" s="47"/>
      <c r="M18" s="46"/>
      <c r="N18" s="47"/>
      <c r="O18" s="47"/>
    </row>
    <row r="19" spans="2:16" hidden="1">
      <c r="B19" s="1" t="s">
        <v>86</v>
      </c>
      <c r="C19" s="82" t="s">
        <v>87</v>
      </c>
      <c r="D19" s="14"/>
      <c r="E19" s="1"/>
      <c r="F19" s="1"/>
      <c r="G19" s="23"/>
      <c r="H19" s="23"/>
      <c r="I19" s="81"/>
      <c r="J19" s="23"/>
      <c r="K19" s="49"/>
      <c r="L19" s="47"/>
      <c r="M19" s="46"/>
      <c r="N19" s="47"/>
      <c r="O19" s="47"/>
    </row>
    <row r="20" spans="2:16" s="35" customFormat="1" ht="31.2">
      <c r="B20" s="23" t="s">
        <v>18</v>
      </c>
      <c r="C20" s="24" t="s">
        <v>19</v>
      </c>
      <c r="D20" s="19">
        <v>60606.06</v>
      </c>
      <c r="E20" s="23" t="s">
        <v>62</v>
      </c>
      <c r="F20" s="23" t="s">
        <v>63</v>
      </c>
      <c r="G20" s="23">
        <v>100</v>
      </c>
      <c r="H20" s="23">
        <v>0</v>
      </c>
      <c r="I20" s="52">
        <v>44378</v>
      </c>
      <c r="J20" s="23" t="s">
        <v>60</v>
      </c>
      <c r="K20" s="23"/>
      <c r="L20" s="53">
        <v>40</v>
      </c>
      <c r="M20" s="23"/>
      <c r="N20" s="53"/>
      <c r="O20" s="53"/>
    </row>
    <row r="21" spans="2:16" s="35" customFormat="1" ht="31.2">
      <c r="B21" s="23" t="s">
        <v>24</v>
      </c>
      <c r="C21" s="24" t="s">
        <v>25</v>
      </c>
      <c r="D21" s="19">
        <v>48484.639999999999</v>
      </c>
      <c r="E21" s="19" t="s">
        <v>62</v>
      </c>
      <c r="F21" s="19" t="s">
        <v>63</v>
      </c>
      <c r="G21" s="23">
        <v>100</v>
      </c>
      <c r="H21" s="23">
        <v>0</v>
      </c>
      <c r="I21" s="52">
        <v>44562</v>
      </c>
      <c r="J21" s="23" t="s">
        <v>60</v>
      </c>
      <c r="K21" s="23"/>
      <c r="M21" s="42"/>
    </row>
    <row r="22" spans="2:16" s="35" customFormat="1" ht="31.2">
      <c r="B22" s="1">
        <v>4</v>
      </c>
      <c r="C22" s="25" t="s">
        <v>30</v>
      </c>
      <c r="D22" s="14">
        <f>SUM(D24:D25)</f>
        <v>100000</v>
      </c>
      <c r="E22" s="23"/>
      <c r="F22" s="23"/>
      <c r="G22" s="23"/>
      <c r="H22" s="23"/>
      <c r="I22" s="52"/>
      <c r="J22" s="23"/>
      <c r="K22" s="23"/>
      <c r="M22" s="42"/>
    </row>
    <row r="23" spans="2:16" s="35" customFormat="1">
      <c r="B23" s="1">
        <v>4.0999999999999996</v>
      </c>
      <c r="C23" s="83" t="s">
        <v>9</v>
      </c>
      <c r="D23" s="14"/>
      <c r="E23" s="23"/>
      <c r="F23" s="23"/>
      <c r="G23" s="23"/>
      <c r="H23" s="23"/>
      <c r="I23" s="52"/>
      <c r="J23" s="23"/>
      <c r="K23" s="23"/>
      <c r="M23" s="42"/>
    </row>
    <row r="24" spans="2:16" s="35" customFormat="1" ht="31.2">
      <c r="B24" s="84" t="s">
        <v>34</v>
      </c>
      <c r="C24" s="24" t="s">
        <v>33</v>
      </c>
      <c r="D24" s="19">
        <v>81818.179999999993</v>
      </c>
      <c r="E24" s="23" t="s">
        <v>62</v>
      </c>
      <c r="F24" s="23" t="s">
        <v>63</v>
      </c>
      <c r="G24" s="23">
        <v>100</v>
      </c>
      <c r="H24" s="23">
        <v>0</v>
      </c>
      <c r="I24" s="52">
        <v>44002</v>
      </c>
      <c r="J24" s="23" t="s">
        <v>60</v>
      </c>
      <c r="K24" s="23" t="s">
        <v>61</v>
      </c>
      <c r="M24" s="42"/>
    </row>
    <row r="25" spans="2:16" s="35" customFormat="1">
      <c r="B25" s="23" t="s">
        <v>36</v>
      </c>
      <c r="C25" s="24" t="s">
        <v>39</v>
      </c>
      <c r="D25" s="19">
        <v>18181.82</v>
      </c>
      <c r="E25" s="23" t="s">
        <v>62</v>
      </c>
      <c r="F25" s="23" t="s">
        <v>63</v>
      </c>
      <c r="G25" s="23">
        <v>100</v>
      </c>
      <c r="H25" s="23">
        <v>0</v>
      </c>
      <c r="I25" s="52" t="s">
        <v>88</v>
      </c>
      <c r="J25" s="23" t="s">
        <v>60</v>
      </c>
      <c r="K25" s="23"/>
      <c r="M25" s="42"/>
    </row>
    <row r="26" spans="2:16" ht="19.5" customHeight="1" thickBot="1">
      <c r="B26" s="232" t="s">
        <v>40</v>
      </c>
      <c r="C26" s="233"/>
      <c r="D26" s="85">
        <f>D22+D15+D10</f>
        <v>621969.69999999995</v>
      </c>
      <c r="E26" s="234" t="s">
        <v>89</v>
      </c>
      <c r="F26" s="235"/>
      <c r="G26" s="236"/>
      <c r="H26" s="234" t="s">
        <v>90</v>
      </c>
      <c r="I26" s="235"/>
      <c r="J26" s="236"/>
      <c r="K26" s="86"/>
      <c r="P26" s="67"/>
    </row>
    <row r="27" spans="2:16" ht="19.5" customHeight="1" thickBot="1">
      <c r="B27" s="87" t="s">
        <v>91</v>
      </c>
      <c r="C27" s="88"/>
      <c r="D27" s="89"/>
      <c r="E27" s="90"/>
      <c r="F27" s="91"/>
      <c r="G27" s="91"/>
      <c r="H27" s="90"/>
      <c r="I27" s="91"/>
      <c r="J27" s="91"/>
      <c r="K27" s="92"/>
    </row>
    <row r="28" spans="2:16" ht="84.75" customHeight="1" thickBot="1">
      <c r="B28" s="224" t="s">
        <v>92</v>
      </c>
      <c r="C28" s="237"/>
      <c r="D28" s="237"/>
      <c r="E28" s="237"/>
      <c r="F28" s="237"/>
      <c r="G28" s="237"/>
      <c r="H28" s="237"/>
      <c r="I28" s="237"/>
      <c r="J28" s="237"/>
      <c r="K28" s="238"/>
    </row>
    <row r="29" spans="2:16" ht="24" customHeight="1" thickBot="1">
      <c r="B29" s="239" t="s">
        <v>93</v>
      </c>
      <c r="C29" s="240"/>
      <c r="D29" s="240"/>
      <c r="E29" s="240"/>
      <c r="F29" s="240"/>
      <c r="G29" s="240"/>
      <c r="H29" s="240"/>
      <c r="I29" s="240"/>
      <c r="J29" s="240"/>
      <c r="K29" s="241"/>
    </row>
    <row r="30" spans="2:16" ht="39" customHeight="1" thickBot="1">
      <c r="B30" s="224" t="s">
        <v>94</v>
      </c>
      <c r="C30" s="225"/>
      <c r="D30" s="225"/>
      <c r="E30" s="225"/>
      <c r="F30" s="225"/>
      <c r="G30" s="225"/>
      <c r="H30" s="225"/>
      <c r="I30" s="225"/>
      <c r="J30" s="225"/>
      <c r="K30" s="226"/>
    </row>
    <row r="31" spans="2:16" ht="24.75" customHeight="1" thickBot="1">
      <c r="B31" s="245" t="s">
        <v>95</v>
      </c>
      <c r="C31" s="237"/>
      <c r="D31" s="237"/>
      <c r="E31" s="237"/>
      <c r="F31" s="237"/>
      <c r="G31" s="237"/>
      <c r="H31" s="237"/>
      <c r="I31" s="237"/>
      <c r="J31" s="237"/>
      <c r="K31" s="238"/>
    </row>
    <row r="32" spans="2:16" ht="26.25" customHeight="1" thickBot="1">
      <c r="B32" s="245" t="s">
        <v>96</v>
      </c>
      <c r="C32" s="237"/>
      <c r="D32" s="237"/>
      <c r="E32" s="237"/>
      <c r="F32" s="237"/>
      <c r="G32" s="237"/>
      <c r="H32" s="237"/>
      <c r="I32" s="237"/>
      <c r="J32" s="237"/>
      <c r="K32" s="238"/>
    </row>
    <row r="33" spans="2:11" ht="53.25" customHeight="1" thickBot="1">
      <c r="B33" s="246" t="s">
        <v>97</v>
      </c>
      <c r="C33" s="247"/>
      <c r="D33" s="247"/>
      <c r="E33" s="247"/>
      <c r="F33" s="247"/>
      <c r="G33" s="247"/>
      <c r="H33" s="247"/>
      <c r="I33" s="247"/>
      <c r="J33" s="247"/>
      <c r="K33" s="248"/>
    </row>
    <row r="34" spans="2:11" ht="37.200000000000003" customHeight="1" thickBot="1">
      <c r="B34" s="242" t="s">
        <v>98</v>
      </c>
      <c r="C34" s="243"/>
      <c r="D34" s="243"/>
      <c r="E34" s="243"/>
      <c r="F34" s="243"/>
      <c r="G34" s="243"/>
      <c r="H34" s="243"/>
      <c r="I34" s="243"/>
      <c r="J34" s="243"/>
      <c r="K34" s="244"/>
    </row>
    <row r="35" spans="2:11" ht="79.2" customHeight="1" thickBot="1">
      <c r="B35" s="242" t="s">
        <v>99</v>
      </c>
      <c r="C35" s="243"/>
      <c r="D35" s="243"/>
      <c r="E35" s="243"/>
      <c r="F35" s="243"/>
      <c r="G35" s="243"/>
      <c r="H35" s="243"/>
      <c r="I35" s="243"/>
      <c r="J35" s="243"/>
      <c r="K35" s="244"/>
    </row>
    <row r="36" spans="2:11" ht="53.25" customHeight="1" thickBot="1">
      <c r="B36" s="242" t="s">
        <v>100</v>
      </c>
      <c r="C36" s="243"/>
      <c r="D36" s="243"/>
      <c r="E36" s="243"/>
      <c r="F36" s="243"/>
      <c r="G36" s="243"/>
      <c r="H36" s="243"/>
      <c r="I36" s="243"/>
      <c r="J36" s="243"/>
      <c r="K36" s="244"/>
    </row>
    <row r="37" spans="2:11" ht="51.75" customHeight="1" thickBot="1">
      <c r="B37" s="242" t="s">
        <v>101</v>
      </c>
      <c r="C37" s="243"/>
      <c r="D37" s="243"/>
      <c r="E37" s="243"/>
      <c r="F37" s="243"/>
      <c r="G37" s="243"/>
      <c r="H37" s="243"/>
      <c r="I37" s="243"/>
      <c r="J37" s="243"/>
      <c r="K37" s="244"/>
    </row>
  </sheetData>
  <mergeCells count="35">
    <mergeCell ref="B37:K37"/>
    <mergeCell ref="B31:K31"/>
    <mergeCell ref="B32:K32"/>
    <mergeCell ref="B33:K33"/>
    <mergeCell ref="B34:K34"/>
    <mergeCell ref="B35:K35"/>
    <mergeCell ref="B36:K36"/>
    <mergeCell ref="B30:K30"/>
    <mergeCell ref="L8:O8"/>
    <mergeCell ref="N9:O9"/>
    <mergeCell ref="L10:L11"/>
    <mergeCell ref="M10:M11"/>
    <mergeCell ref="N10:N11"/>
    <mergeCell ref="O10:O11"/>
    <mergeCell ref="B26:C26"/>
    <mergeCell ref="E26:G26"/>
    <mergeCell ref="H26:J26"/>
    <mergeCell ref="B28:K28"/>
    <mergeCell ref="B29:K29"/>
    <mergeCell ref="B6:K6"/>
    <mergeCell ref="B8:B9"/>
    <mergeCell ref="C8:C9"/>
    <mergeCell ref="D8:D9"/>
    <mergeCell ref="E8:E9"/>
    <mergeCell ref="F8:F9"/>
    <mergeCell ref="G8:H8"/>
    <mergeCell ref="I8:I9"/>
    <mergeCell ref="J8:J9"/>
    <mergeCell ref="K8:K9"/>
    <mergeCell ref="B3:K3"/>
    <mergeCell ref="B4:E4"/>
    <mergeCell ref="F4:I4"/>
    <mergeCell ref="J4:K4"/>
    <mergeCell ref="B5:E5"/>
    <mergeCell ref="F5:K5"/>
  </mergeCells>
  <dataValidations disablePrompts="1" count="1">
    <dataValidation type="list" allowBlank="1" showInputMessage="1" showErrorMessage="1" sqref="E10:E11 E14:F25 F10:F13" xr:uid="{2FAF4D25-6E4E-41BF-9763-5D9C79E45E59}">
      <formula1>#REF!</formula1>
    </dataValidation>
  </dataValidations>
  <printOptions horizontalCentered="1"/>
  <pageMargins left="0.15748031496062992" right="0.23622047244094491" top="0.74803149606299213" bottom="0.74803149606299213" header="0.31496062992125984" footer="0.31496062992125984"/>
  <pageSetup scale="60" orientation="landscape" r:id="rId1"/>
  <headerFooter alignWithMargins="0">
    <oddHeader>&amp;L&amp;8Versão: &amp;D, às &amp;T&amp;R&amp;8Banco Interamericano de Desarrollo</oddHeader>
    <oddFooter>&amp;L &amp;RPágina &amp;P de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34413A-C847-4539-8BC0-44A7FDE0C9D7}">
  <dimension ref="K9:K11"/>
  <sheetViews>
    <sheetView workbookViewId="0">
      <selection activeCell="K11" sqref="K11"/>
    </sheetView>
  </sheetViews>
  <sheetFormatPr defaultColWidth="9.109375" defaultRowHeight="14.4"/>
  <cols>
    <col min="1" max="10" width="9.109375" style="70"/>
    <col min="11" max="11" width="11.5546875" style="71" bestFit="1" customWidth="1"/>
    <col min="12" max="16384" width="9.109375" style="70"/>
  </cols>
  <sheetData>
    <row r="9" spans="11:11" ht="18" customHeight="1">
      <c r="K9" s="71">
        <v>88122.5</v>
      </c>
    </row>
    <row r="10" spans="11:11" ht="20.25" customHeight="1">
      <c r="K10" s="71">
        <v>70850.490000000005</v>
      </c>
    </row>
    <row r="11" spans="11:11">
      <c r="K11" s="71">
        <f>SUM(K9:K10)</f>
        <v>158972.99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A902C9-726E-4566-A92D-F64D4A1FE50D}">
  <dimension ref="B2:Q26"/>
  <sheetViews>
    <sheetView zoomScale="50" zoomScaleNormal="50" workbookViewId="0">
      <selection activeCell="K8" sqref="K8"/>
    </sheetView>
  </sheetViews>
  <sheetFormatPr defaultRowHeight="15.6"/>
  <cols>
    <col min="3" max="3" width="60.33203125" customWidth="1"/>
    <col min="4" max="4" width="17.5546875" customWidth="1"/>
    <col min="7" max="7" width="60.33203125" customWidth="1"/>
    <col min="8" max="8" width="17.5546875" customWidth="1"/>
    <col min="9" max="10" width="20.44140625" customWidth="1"/>
    <col min="11" max="11" width="17.5546875" customWidth="1"/>
    <col min="14" max="14" width="60.33203125" customWidth="1"/>
    <col min="15" max="15" width="17.5546875" customWidth="1"/>
    <col min="17" max="17" width="19.33203125" style="170" bestFit="1" customWidth="1"/>
  </cols>
  <sheetData>
    <row r="2" spans="2:17" ht="36.6">
      <c r="B2" s="36" t="s">
        <v>133</v>
      </c>
      <c r="F2" s="36" t="s">
        <v>44</v>
      </c>
      <c r="M2" s="36" t="s">
        <v>134</v>
      </c>
    </row>
    <row r="3" spans="2:17" ht="16.2" thickBot="1"/>
    <row r="4" spans="2:17" ht="15" customHeight="1">
      <c r="B4" s="201" t="s">
        <v>41</v>
      </c>
      <c r="C4" s="202" t="s">
        <v>42</v>
      </c>
      <c r="D4" s="202" t="s">
        <v>43</v>
      </c>
      <c r="F4" s="201" t="s">
        <v>41</v>
      </c>
      <c r="G4" s="202" t="s">
        <v>42</v>
      </c>
      <c r="H4" s="202" t="s">
        <v>138</v>
      </c>
      <c r="I4" s="33" t="s">
        <v>136</v>
      </c>
      <c r="J4" s="33" t="s">
        <v>137</v>
      </c>
      <c r="K4" s="202" t="s">
        <v>139</v>
      </c>
      <c r="M4" s="250" t="s">
        <v>41</v>
      </c>
      <c r="N4" s="249" t="s">
        <v>42</v>
      </c>
      <c r="O4" s="249" t="s">
        <v>140</v>
      </c>
    </row>
    <row r="5" spans="2:17" ht="52.5" customHeight="1">
      <c r="B5" s="201"/>
      <c r="C5" s="202"/>
      <c r="D5" s="202"/>
      <c r="F5" s="201"/>
      <c r="G5" s="202"/>
      <c r="H5" s="202"/>
      <c r="I5" s="33">
        <v>5.3360000000000003</v>
      </c>
      <c r="J5" s="33">
        <v>5.0609999999999999</v>
      </c>
      <c r="K5" s="202"/>
      <c r="M5" s="251"/>
      <c r="N5" s="202"/>
      <c r="O5" s="202"/>
    </row>
    <row r="6" spans="2:17">
      <c r="B6" s="1">
        <v>1</v>
      </c>
      <c r="C6" s="2" t="s">
        <v>0</v>
      </c>
      <c r="D6" s="3">
        <f>SUM(D8:D11)</f>
        <v>412879</v>
      </c>
      <c r="F6" s="1">
        <v>1</v>
      </c>
      <c r="G6" s="2" t="s">
        <v>0</v>
      </c>
      <c r="H6" s="3">
        <f>SUM(H8:H11)</f>
        <v>412879</v>
      </c>
      <c r="I6" s="2"/>
      <c r="J6" s="2"/>
      <c r="K6" s="3">
        <f>SUM(K8:K11)</f>
        <v>412879</v>
      </c>
      <c r="M6" s="26">
        <v>1</v>
      </c>
      <c r="N6" s="2" t="s">
        <v>0</v>
      </c>
      <c r="O6" s="3">
        <f>SUM(O8:O11)</f>
        <v>412879</v>
      </c>
    </row>
    <row r="7" spans="2:17">
      <c r="B7" s="1" t="s">
        <v>1</v>
      </c>
      <c r="C7" s="2" t="s">
        <v>2</v>
      </c>
      <c r="D7" s="3"/>
      <c r="F7" s="1" t="s">
        <v>1</v>
      </c>
      <c r="G7" s="2" t="s">
        <v>2</v>
      </c>
      <c r="H7" s="3"/>
      <c r="I7" s="2"/>
      <c r="J7" s="2"/>
      <c r="K7" s="3"/>
      <c r="M7" s="26" t="s">
        <v>1</v>
      </c>
      <c r="N7" s="2" t="s">
        <v>2</v>
      </c>
      <c r="O7" s="3"/>
    </row>
    <row r="8" spans="2:17" ht="31.2">
      <c r="B8" s="23" t="s">
        <v>3</v>
      </c>
      <c r="C8" s="24" t="s">
        <v>84</v>
      </c>
      <c r="D8" s="19">
        <v>372000</v>
      </c>
      <c r="F8" s="23" t="s">
        <v>3</v>
      </c>
      <c r="G8" s="24" t="s">
        <v>84</v>
      </c>
      <c r="H8" s="19">
        <v>330572.68740629684</v>
      </c>
      <c r="I8" s="172">
        <v>18137.18140929535</v>
      </c>
      <c r="J8" s="173">
        <f>(H8-I8)*$I$5/$J$5</f>
        <v>329412.34143449913</v>
      </c>
      <c r="K8" s="19">
        <f>I8+J8</f>
        <v>347549.52284379449</v>
      </c>
      <c r="M8" s="160" t="s">
        <v>3</v>
      </c>
      <c r="N8" s="24" t="s">
        <v>84</v>
      </c>
      <c r="O8" s="19">
        <f>K8</f>
        <v>347549.52284379449</v>
      </c>
    </row>
    <row r="9" spans="2:17">
      <c r="B9" s="23"/>
      <c r="C9" s="24"/>
      <c r="D9" s="19"/>
      <c r="F9" s="23" t="s">
        <v>3</v>
      </c>
      <c r="G9" s="24" t="s">
        <v>135</v>
      </c>
      <c r="H9" s="19">
        <f>D8-H8</f>
        <v>41427.312593703158</v>
      </c>
      <c r="I9" s="24"/>
      <c r="J9" s="24"/>
      <c r="K9" s="19">
        <f>D8-K8</f>
        <v>24450.47715620551</v>
      </c>
      <c r="M9" s="160"/>
      <c r="N9" s="24"/>
      <c r="O9" s="19"/>
    </row>
    <row r="10" spans="2:17">
      <c r="B10" s="1">
        <v>1.2</v>
      </c>
      <c r="C10" s="2" t="s">
        <v>9</v>
      </c>
      <c r="D10" s="19"/>
      <c r="F10" s="1">
        <v>1.2</v>
      </c>
      <c r="G10" s="2" t="s">
        <v>9</v>
      </c>
      <c r="H10" s="19"/>
      <c r="I10" s="2"/>
      <c r="J10" s="2"/>
      <c r="K10" s="19"/>
      <c r="M10" s="26">
        <v>1.2</v>
      </c>
      <c r="N10" s="2" t="s">
        <v>9</v>
      </c>
      <c r="O10" s="19"/>
    </row>
    <row r="11" spans="2:17">
      <c r="B11" s="23" t="s">
        <v>10</v>
      </c>
      <c r="C11" s="24" t="s">
        <v>11</v>
      </c>
      <c r="D11" s="19">
        <v>40879</v>
      </c>
      <c r="F11" s="23" t="s">
        <v>10</v>
      </c>
      <c r="G11" s="24" t="s">
        <v>11</v>
      </c>
      <c r="H11" s="19">
        <v>40879</v>
      </c>
      <c r="I11" s="24"/>
      <c r="J11" s="24"/>
      <c r="K11" s="19">
        <v>40879</v>
      </c>
      <c r="M11" s="160" t="s">
        <v>10</v>
      </c>
      <c r="N11" s="24" t="s">
        <v>11</v>
      </c>
      <c r="O11" s="19">
        <f>K9+K11</f>
        <v>65329.47715620551</v>
      </c>
      <c r="Q11" s="170">
        <f>O11</f>
        <v>65329.47715620551</v>
      </c>
    </row>
    <row r="12" spans="2:17">
      <c r="B12" s="1">
        <v>3</v>
      </c>
      <c r="C12" s="18" t="s">
        <v>16</v>
      </c>
      <c r="D12" s="14">
        <f>+D14+D15</f>
        <v>109090.7</v>
      </c>
      <c r="F12" s="1">
        <v>3</v>
      </c>
      <c r="G12" s="18" t="s">
        <v>16</v>
      </c>
      <c r="H12" s="14">
        <f>+H14+H15</f>
        <v>109090.7</v>
      </c>
      <c r="I12" s="18"/>
      <c r="J12" s="18"/>
      <c r="K12" s="14">
        <f>+K14+K15</f>
        <v>109090.7</v>
      </c>
      <c r="M12" s="26">
        <v>3</v>
      </c>
      <c r="N12" s="18" t="s">
        <v>16</v>
      </c>
      <c r="O12" s="14">
        <f>SUM(O14:O16)</f>
        <v>109090.7</v>
      </c>
    </row>
    <row r="13" spans="2:17">
      <c r="B13" s="1">
        <v>3.1</v>
      </c>
      <c r="C13" s="79" t="s">
        <v>9</v>
      </c>
      <c r="D13" s="19"/>
      <c r="F13" s="1">
        <v>3.1</v>
      </c>
      <c r="G13" s="79" t="s">
        <v>9</v>
      </c>
      <c r="H13" s="19"/>
      <c r="I13" s="79"/>
      <c r="J13" s="79"/>
      <c r="K13" s="19"/>
      <c r="M13" s="26">
        <v>3.1</v>
      </c>
      <c r="N13" s="79" t="s">
        <v>9</v>
      </c>
      <c r="O13" s="19"/>
    </row>
    <row r="14" spans="2:17" ht="31.2">
      <c r="B14" s="23" t="s">
        <v>18</v>
      </c>
      <c r="C14" s="24" t="s">
        <v>19</v>
      </c>
      <c r="D14" s="19">
        <v>60606.06</v>
      </c>
      <c r="F14" s="23" t="s">
        <v>18</v>
      </c>
      <c r="G14" s="24" t="s">
        <v>19</v>
      </c>
      <c r="H14" s="19">
        <v>60606.06</v>
      </c>
      <c r="I14" s="24"/>
      <c r="J14" s="24"/>
      <c r="K14" s="19">
        <v>60606.06</v>
      </c>
      <c r="M14" s="160" t="s">
        <v>18</v>
      </c>
      <c r="N14" s="24" t="s">
        <v>19</v>
      </c>
      <c r="O14" s="19">
        <f>($D$12-O16)*($D$14/$D$12)</f>
        <v>17712.344144980485</v>
      </c>
    </row>
    <row r="15" spans="2:17">
      <c r="B15" s="23" t="s">
        <v>24</v>
      </c>
      <c r="C15" s="24" t="s">
        <v>25</v>
      </c>
      <c r="D15" s="19">
        <v>48484.639999999999</v>
      </c>
      <c r="F15" s="23" t="s">
        <v>24</v>
      </c>
      <c r="G15" s="24" t="s">
        <v>25</v>
      </c>
      <c r="H15" s="19">
        <v>48484.639999999999</v>
      </c>
      <c r="I15" s="24"/>
      <c r="J15" s="24"/>
      <c r="K15" s="19">
        <v>48484.639999999999</v>
      </c>
      <c r="M15" s="160" t="s">
        <v>24</v>
      </c>
      <c r="N15" s="24" t="s">
        <v>25</v>
      </c>
      <c r="O15" s="19">
        <f>($D$12-O16)*($D$15/$D$12)</f>
        <v>14169.814527218678</v>
      </c>
    </row>
    <row r="16" spans="2:17">
      <c r="B16" s="168"/>
      <c r="C16" s="168"/>
      <c r="D16" s="168"/>
      <c r="F16" s="168"/>
      <c r="G16" s="168"/>
      <c r="H16" s="168"/>
      <c r="I16" s="168"/>
      <c r="J16" s="168"/>
      <c r="K16" s="168"/>
      <c r="M16" s="160" t="s">
        <v>67</v>
      </c>
      <c r="N16" s="24" t="s">
        <v>11</v>
      </c>
      <c r="O16" s="19">
        <f>'Estudos Complementares'!K11-'Demonstrativo Proposta PA R6'!O11-'Demonstrativo Proposta PA R6'!O22</f>
        <v>77208.541327800835</v>
      </c>
      <c r="Q16" s="170">
        <f>O16</f>
        <v>77208.541327800835</v>
      </c>
    </row>
    <row r="17" spans="2:17">
      <c r="B17" s="1">
        <v>4</v>
      </c>
      <c r="C17" s="25" t="s">
        <v>30</v>
      </c>
      <c r="D17" s="14">
        <f>SUM(D19:D21)</f>
        <v>100000</v>
      </c>
      <c r="F17" s="1">
        <v>4</v>
      </c>
      <c r="G17" s="25" t="s">
        <v>30</v>
      </c>
      <c r="H17" s="14">
        <f>SUM(H19:H21)</f>
        <v>100000</v>
      </c>
      <c r="I17" s="25"/>
      <c r="J17" s="25"/>
      <c r="K17" s="14">
        <f>SUM(K19:K21)</f>
        <v>100000</v>
      </c>
      <c r="M17" s="26">
        <v>4</v>
      </c>
      <c r="N17" s="25" t="s">
        <v>30</v>
      </c>
      <c r="O17" s="14">
        <f>SUM(O19:O22)</f>
        <v>100000</v>
      </c>
    </row>
    <row r="18" spans="2:17">
      <c r="B18" s="1">
        <v>4.0999999999999996</v>
      </c>
      <c r="C18" s="83" t="s">
        <v>9</v>
      </c>
      <c r="D18" s="14"/>
      <c r="F18" s="1">
        <v>4.0999999999999996</v>
      </c>
      <c r="G18" s="83" t="s">
        <v>9</v>
      </c>
      <c r="H18" s="14"/>
      <c r="I18" s="83"/>
      <c r="J18" s="83"/>
      <c r="K18" s="14"/>
      <c r="M18" s="26">
        <v>4.0999999999999996</v>
      </c>
      <c r="N18" s="83" t="s">
        <v>9</v>
      </c>
      <c r="O18" s="14"/>
    </row>
    <row r="19" spans="2:17">
      <c r="B19" s="84" t="s">
        <v>34</v>
      </c>
      <c r="C19" s="24" t="s">
        <v>33</v>
      </c>
      <c r="D19" s="19">
        <v>81818.179999999993</v>
      </c>
      <c r="F19" s="84" t="s">
        <v>34</v>
      </c>
      <c r="G19" s="24" t="s">
        <v>33</v>
      </c>
      <c r="H19" s="19">
        <v>64796.478260869553</v>
      </c>
      <c r="I19" s="172">
        <f>53997.0577211395+1.45086956518935</f>
        <v>53998.508590704689</v>
      </c>
      <c r="J19" s="173">
        <f>(H19-I19)*$I$5/$J$5</f>
        <v>11384.699893301664</v>
      </c>
      <c r="K19" s="19">
        <f>I19+J19</f>
        <v>65383.208484006354</v>
      </c>
      <c r="M19" s="165" t="s">
        <v>34</v>
      </c>
      <c r="N19" s="24" t="s">
        <v>33</v>
      </c>
      <c r="O19" s="19">
        <f>K19</f>
        <v>65383.208484006354</v>
      </c>
    </row>
    <row r="20" spans="2:17">
      <c r="B20" s="84"/>
      <c r="C20" s="24"/>
      <c r="D20" s="19"/>
      <c r="F20" s="84" t="s">
        <v>34</v>
      </c>
      <c r="G20" s="24" t="s">
        <v>135</v>
      </c>
      <c r="H20" s="19">
        <f>D19-H19</f>
        <v>17021.70173913044</v>
      </c>
      <c r="I20" s="24"/>
      <c r="J20" s="24"/>
      <c r="K20" s="19">
        <f>D19-K19</f>
        <v>16434.971515993639</v>
      </c>
      <c r="M20" s="165"/>
      <c r="N20" s="24"/>
      <c r="O20" s="19"/>
    </row>
    <row r="21" spans="2:17">
      <c r="B21" s="23" t="s">
        <v>36</v>
      </c>
      <c r="C21" s="24" t="s">
        <v>39</v>
      </c>
      <c r="D21" s="19">
        <v>18181.82</v>
      </c>
      <c r="F21" s="23" t="s">
        <v>36</v>
      </c>
      <c r="G21" s="24" t="s">
        <v>39</v>
      </c>
      <c r="H21" s="19">
        <v>18181.82</v>
      </c>
      <c r="I21" s="24"/>
      <c r="J21" s="24"/>
      <c r="K21" s="19">
        <v>18181.82</v>
      </c>
      <c r="M21" s="160" t="s">
        <v>36</v>
      </c>
      <c r="N21" s="24" t="s">
        <v>39</v>
      </c>
      <c r="O21" s="19">
        <v>18181.82</v>
      </c>
    </row>
    <row r="22" spans="2:17" ht="16.2" thickBot="1">
      <c r="B22" s="152" t="s">
        <v>40</v>
      </c>
      <c r="C22" s="153"/>
      <c r="D22" s="85">
        <f>D17+D12+D6</f>
        <v>621969.69999999995</v>
      </c>
      <c r="F22" s="152" t="s">
        <v>40</v>
      </c>
      <c r="G22" s="153"/>
      <c r="H22" s="85">
        <f>H17+H12+H6</f>
        <v>621969.69999999995</v>
      </c>
      <c r="I22" s="153"/>
      <c r="J22" s="153"/>
      <c r="K22" s="85">
        <f>K17+K12+K6</f>
        <v>621969.69999999995</v>
      </c>
      <c r="M22" s="160" t="s">
        <v>127</v>
      </c>
      <c r="N22" s="24" t="s">
        <v>11</v>
      </c>
      <c r="O22" s="19">
        <f>K20</f>
        <v>16434.971515993639</v>
      </c>
      <c r="Q22" s="170">
        <f>O22</f>
        <v>16434.971515993639</v>
      </c>
    </row>
    <row r="23" spans="2:17" ht="16.2" thickBot="1">
      <c r="M23" s="232" t="s">
        <v>40</v>
      </c>
      <c r="N23" s="233"/>
      <c r="O23" s="85">
        <f>O17+O12+O6</f>
        <v>621969.69999999995</v>
      </c>
      <c r="Q23" s="171">
        <f>SUM(Q8:Q22)</f>
        <v>158972.99</v>
      </c>
    </row>
    <row r="26" spans="2:17">
      <c r="I26" s="169"/>
    </row>
  </sheetData>
  <mergeCells count="11">
    <mergeCell ref="M23:N23"/>
    <mergeCell ref="H4:H5"/>
    <mergeCell ref="K4:K5"/>
    <mergeCell ref="M4:M5"/>
    <mergeCell ref="N4:N5"/>
    <mergeCell ref="O4:O5"/>
    <mergeCell ref="B4:B5"/>
    <mergeCell ref="C4:C5"/>
    <mergeCell ref="D4:D5"/>
    <mergeCell ref="F4:F5"/>
    <mergeCell ref="G4:G5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C351E8-76B3-4C54-8346-E0F7E99B0272}">
  <dimension ref="B1:R39"/>
  <sheetViews>
    <sheetView topLeftCell="A10" zoomScale="70" zoomScaleNormal="70" zoomScalePageLayoutView="78" workbookViewId="0">
      <selection activeCell="R26" sqref="R26"/>
    </sheetView>
  </sheetViews>
  <sheetFormatPr defaultColWidth="9.109375" defaultRowHeight="15.6"/>
  <cols>
    <col min="1" max="1" width="2.44140625" style="34" customWidth="1"/>
    <col min="2" max="2" width="9" style="72" customWidth="1"/>
    <col min="3" max="3" width="36.88671875" style="34" customWidth="1"/>
    <col min="4" max="4" width="15.44140625" style="34" customWidth="1"/>
    <col min="5" max="5" width="12.5546875" style="34" customWidth="1"/>
    <col min="6" max="6" width="19.109375" style="34" customWidth="1"/>
    <col min="7" max="7" width="10.5546875" style="34" customWidth="1"/>
    <col min="8" max="8" width="10.88671875" style="34" customWidth="1"/>
    <col min="9" max="9" width="20.5546875" style="34" customWidth="1"/>
    <col min="10" max="10" width="11.6640625" style="34" customWidth="1"/>
    <col min="11" max="11" width="27.109375" style="73" customWidth="1"/>
    <col min="12" max="13" width="13" style="34" hidden="1" customWidth="1"/>
    <col min="14" max="15" width="9.109375" style="34" hidden="1" customWidth="1"/>
    <col min="16" max="16" width="9.109375" style="34"/>
    <col min="17" max="17" width="12.44140625" style="34" bestFit="1" customWidth="1"/>
    <col min="18" max="16384" width="9.109375" style="34"/>
  </cols>
  <sheetData>
    <row r="1" spans="2:18" ht="20.25" customHeight="1">
      <c r="I1" s="67" t="s">
        <v>70</v>
      </c>
    </row>
    <row r="2" spans="2:18" ht="20.25" customHeight="1" thickBot="1">
      <c r="I2" s="67" t="s">
        <v>71</v>
      </c>
    </row>
    <row r="3" spans="2:18" ht="21" customHeight="1">
      <c r="B3" s="204" t="s">
        <v>72</v>
      </c>
      <c r="C3" s="205"/>
      <c r="D3" s="206"/>
      <c r="E3" s="206"/>
      <c r="F3" s="206"/>
      <c r="G3" s="206"/>
      <c r="H3" s="206"/>
      <c r="I3" s="206"/>
      <c r="J3" s="206"/>
      <c r="K3" s="207"/>
    </row>
    <row r="4" spans="2:18" ht="40.950000000000003" customHeight="1">
      <c r="B4" s="208" t="s">
        <v>73</v>
      </c>
      <c r="C4" s="209"/>
      <c r="D4" s="209"/>
      <c r="E4" s="210"/>
      <c r="F4" s="211" t="s">
        <v>74</v>
      </c>
      <c r="G4" s="212"/>
      <c r="H4" s="212"/>
      <c r="I4" s="212"/>
      <c r="J4" s="213" t="s">
        <v>75</v>
      </c>
      <c r="K4" s="214"/>
    </row>
    <row r="5" spans="2:18" ht="37.5" customHeight="1">
      <c r="B5" s="215" t="s">
        <v>76</v>
      </c>
      <c r="C5" s="216"/>
      <c r="D5" s="216"/>
      <c r="E5" s="217"/>
      <c r="F5" s="218" t="s">
        <v>77</v>
      </c>
      <c r="G5" s="219"/>
      <c r="H5" s="219"/>
      <c r="I5" s="219"/>
      <c r="J5" s="219"/>
      <c r="K5" s="220"/>
    </row>
    <row r="6" spans="2:18" ht="21" customHeight="1">
      <c r="B6" s="221" t="s">
        <v>78</v>
      </c>
      <c r="C6" s="222"/>
      <c r="D6" s="222"/>
      <c r="E6" s="222"/>
      <c r="F6" s="222"/>
      <c r="G6" s="222"/>
      <c r="H6" s="222"/>
      <c r="I6" s="222"/>
      <c r="J6" s="222"/>
      <c r="K6" s="223"/>
    </row>
    <row r="7" spans="2:18" ht="12" customHeight="1" thickBot="1">
      <c r="B7" s="156"/>
      <c r="C7" s="39"/>
      <c r="D7" s="39"/>
      <c r="E7" s="39"/>
      <c r="F7" s="39"/>
      <c r="G7" s="39"/>
      <c r="H7" s="39"/>
      <c r="I7" s="39"/>
      <c r="J7" s="39"/>
      <c r="K7" s="157"/>
    </row>
    <row r="8" spans="2:18" s="73" customFormat="1" ht="53.25" customHeight="1">
      <c r="B8" s="250" t="s">
        <v>41</v>
      </c>
      <c r="C8" s="249" t="s">
        <v>42</v>
      </c>
      <c r="D8" s="249" t="s">
        <v>43</v>
      </c>
      <c r="E8" s="249" t="s">
        <v>48</v>
      </c>
      <c r="F8" s="249" t="s">
        <v>49</v>
      </c>
      <c r="G8" s="249" t="s">
        <v>50</v>
      </c>
      <c r="H8" s="249"/>
      <c r="I8" s="249" t="s">
        <v>51</v>
      </c>
      <c r="J8" s="249" t="s">
        <v>52</v>
      </c>
      <c r="K8" s="258" t="s">
        <v>53</v>
      </c>
      <c r="L8" s="252" t="s">
        <v>79</v>
      </c>
      <c r="M8" s="227"/>
      <c r="N8" s="227"/>
      <c r="O8" s="227"/>
    </row>
    <row r="9" spans="2:18" ht="27.75" customHeight="1">
      <c r="B9" s="251"/>
      <c r="C9" s="202"/>
      <c r="D9" s="202"/>
      <c r="E9" s="202"/>
      <c r="F9" s="202"/>
      <c r="G9" s="33" t="s">
        <v>56</v>
      </c>
      <c r="H9" s="33" t="s">
        <v>57</v>
      </c>
      <c r="I9" s="202"/>
      <c r="J9" s="202"/>
      <c r="K9" s="259"/>
      <c r="L9" s="154" t="s">
        <v>80</v>
      </c>
      <c r="M9" s="77" t="s">
        <v>81</v>
      </c>
      <c r="N9" s="228" t="s">
        <v>82</v>
      </c>
      <c r="O9" s="229"/>
    </row>
    <row r="10" spans="2:18" ht="21" customHeight="1">
      <c r="B10" s="26">
        <v>1</v>
      </c>
      <c r="C10" s="2" t="s">
        <v>0</v>
      </c>
      <c r="D10" s="3">
        <f>SUM(D12:D14)</f>
        <v>412879</v>
      </c>
      <c r="E10" s="46"/>
      <c r="F10" s="47"/>
      <c r="G10" s="46"/>
      <c r="H10" s="46"/>
      <c r="I10" s="48"/>
      <c r="J10" s="47"/>
      <c r="K10" s="158"/>
      <c r="L10" s="253" t="s">
        <v>46</v>
      </c>
      <c r="M10" s="230" t="s">
        <v>46</v>
      </c>
      <c r="N10" s="230" t="s">
        <v>83</v>
      </c>
      <c r="O10" s="230" t="s">
        <v>83</v>
      </c>
      <c r="P10" s="67"/>
    </row>
    <row r="11" spans="2:18">
      <c r="B11" s="26" t="s">
        <v>1</v>
      </c>
      <c r="C11" s="2" t="s">
        <v>2</v>
      </c>
      <c r="D11" s="3"/>
      <c r="E11" s="49"/>
      <c r="F11" s="2"/>
      <c r="G11" s="46"/>
      <c r="H11" s="46"/>
      <c r="I11" s="48"/>
      <c r="J11" s="2"/>
      <c r="K11" s="159"/>
      <c r="L11" s="254"/>
      <c r="M11" s="231"/>
      <c r="N11" s="231"/>
      <c r="O11" s="231"/>
      <c r="P11" s="67"/>
    </row>
    <row r="12" spans="2:18" s="35" customFormat="1" ht="47.7" customHeight="1">
      <c r="B12" s="160" t="s">
        <v>3</v>
      </c>
      <c r="C12" s="24" t="s">
        <v>84</v>
      </c>
      <c r="D12" s="19">
        <f>'Demonstrativo Proposta PA R6'!O8</f>
        <v>347549.52284379449</v>
      </c>
      <c r="E12" s="23" t="s">
        <v>58</v>
      </c>
      <c r="F12" s="23" t="s">
        <v>59</v>
      </c>
      <c r="G12" s="23">
        <v>100</v>
      </c>
      <c r="H12" s="23">
        <v>0</v>
      </c>
      <c r="I12" s="52">
        <v>44276</v>
      </c>
      <c r="J12" s="23" t="s">
        <v>60</v>
      </c>
      <c r="K12" s="161" t="s">
        <v>61</v>
      </c>
      <c r="L12" s="135"/>
      <c r="M12" s="23"/>
      <c r="N12" s="78"/>
      <c r="O12" s="78"/>
    </row>
    <row r="13" spans="2:18" s="35" customFormat="1">
      <c r="B13" s="26">
        <v>1.2</v>
      </c>
      <c r="C13" s="2" t="s">
        <v>9</v>
      </c>
      <c r="D13" s="19"/>
      <c r="E13" s="23"/>
      <c r="F13" s="23"/>
      <c r="G13" s="23"/>
      <c r="H13" s="23"/>
      <c r="I13" s="52"/>
      <c r="J13" s="23"/>
      <c r="K13" s="162"/>
      <c r="L13" s="135"/>
      <c r="M13" s="23"/>
      <c r="N13" s="78"/>
      <c r="O13" s="78"/>
    </row>
    <row r="14" spans="2:18" s="35" customFormat="1">
      <c r="B14" s="160" t="s">
        <v>10</v>
      </c>
      <c r="C14" s="24" t="s">
        <v>11</v>
      </c>
      <c r="D14" s="19">
        <f>'Demonstrativo Proposta PA R6'!O11</f>
        <v>65329.47715620551</v>
      </c>
      <c r="E14" s="23" t="s">
        <v>58</v>
      </c>
      <c r="F14" s="23" t="s">
        <v>59</v>
      </c>
      <c r="G14" s="23">
        <v>100</v>
      </c>
      <c r="H14" s="23">
        <v>0</v>
      </c>
      <c r="I14" s="52">
        <v>44743</v>
      </c>
      <c r="J14" s="23" t="s">
        <v>60</v>
      </c>
      <c r="K14" s="163" t="s">
        <v>132</v>
      </c>
      <c r="L14" s="135"/>
      <c r="M14" s="23"/>
      <c r="N14" s="78"/>
      <c r="O14" s="78"/>
      <c r="Q14" s="174">
        <f>D14+D27</f>
        <v>81764.448672199156</v>
      </c>
      <c r="R14" s="35">
        <f>Q14/$Q$28</f>
        <v>0.51432918681468565</v>
      </c>
    </row>
    <row r="15" spans="2:18" s="35" customFormat="1" ht="25.5" customHeight="1">
      <c r="B15" s="26">
        <v>3</v>
      </c>
      <c r="C15" s="18" t="s">
        <v>16</v>
      </c>
      <c r="D15" s="14">
        <f>SUM(D20:D22)</f>
        <v>109090.7</v>
      </c>
      <c r="E15" s="23"/>
      <c r="F15" s="23"/>
      <c r="G15" s="23"/>
      <c r="H15" s="23"/>
      <c r="I15" s="52"/>
      <c r="J15" s="23"/>
      <c r="K15" s="164"/>
      <c r="L15" s="135"/>
      <c r="M15" s="23"/>
      <c r="N15" s="53"/>
      <c r="O15" s="53"/>
      <c r="P15" s="67"/>
    </row>
    <row r="16" spans="2:18">
      <c r="B16" s="26">
        <v>3.1</v>
      </c>
      <c r="C16" s="79" t="s">
        <v>9</v>
      </c>
      <c r="D16" s="19"/>
      <c r="E16" s="23"/>
      <c r="F16" s="23"/>
      <c r="G16" s="23"/>
      <c r="H16" s="23"/>
      <c r="I16" s="52"/>
      <c r="J16" s="23"/>
      <c r="K16" s="158"/>
      <c r="L16" s="155"/>
      <c r="M16" s="46"/>
      <c r="N16" s="47"/>
      <c r="O16" s="47"/>
    </row>
    <row r="17" spans="2:18" s="35" customFormat="1" ht="25.95" hidden="1" customHeight="1">
      <c r="B17" s="26">
        <v>3</v>
      </c>
      <c r="C17" s="80" t="s">
        <v>16</v>
      </c>
      <c r="D17" s="14">
        <f>SUM(D18:D20)</f>
        <v>17712.344144980485</v>
      </c>
      <c r="E17" s="23"/>
      <c r="F17" s="23"/>
      <c r="G17" s="23"/>
      <c r="H17" s="23"/>
      <c r="I17" s="81"/>
      <c r="J17" s="23"/>
      <c r="K17" s="164"/>
      <c r="L17" s="135"/>
      <c r="M17" s="23"/>
      <c r="N17" s="53"/>
      <c r="O17" s="53"/>
      <c r="P17" s="67" t="s">
        <v>85</v>
      </c>
    </row>
    <row r="18" spans="2:18" hidden="1">
      <c r="B18" s="26" t="s">
        <v>17</v>
      </c>
      <c r="C18" s="79" t="s">
        <v>2</v>
      </c>
      <c r="D18" s="14"/>
      <c r="E18" s="1"/>
      <c r="F18" s="1"/>
      <c r="G18" s="23"/>
      <c r="H18" s="23"/>
      <c r="I18" s="81"/>
      <c r="J18" s="23"/>
      <c r="K18" s="159"/>
      <c r="L18" s="155"/>
      <c r="M18" s="46"/>
      <c r="N18" s="47"/>
      <c r="O18" s="47"/>
    </row>
    <row r="19" spans="2:18" hidden="1">
      <c r="B19" s="26" t="s">
        <v>86</v>
      </c>
      <c r="C19" s="82" t="s">
        <v>87</v>
      </c>
      <c r="D19" s="14"/>
      <c r="E19" s="1"/>
      <c r="F19" s="1"/>
      <c r="G19" s="23"/>
      <c r="H19" s="23"/>
      <c r="I19" s="81"/>
      <c r="J19" s="23"/>
      <c r="K19" s="159"/>
      <c r="L19" s="155"/>
      <c r="M19" s="46"/>
      <c r="N19" s="47"/>
      <c r="O19" s="47"/>
    </row>
    <row r="20" spans="2:18" s="35" customFormat="1" ht="31.2">
      <c r="B20" s="160" t="s">
        <v>18</v>
      </c>
      <c r="C20" s="24" t="s">
        <v>19</v>
      </c>
      <c r="D20" s="19">
        <f>'Demonstrativo Proposta PA R6'!O14</f>
        <v>17712.344144980485</v>
      </c>
      <c r="E20" s="23" t="s">
        <v>62</v>
      </c>
      <c r="F20" s="23" t="s">
        <v>63</v>
      </c>
      <c r="G20" s="23">
        <v>100</v>
      </c>
      <c r="H20" s="23">
        <v>0</v>
      </c>
      <c r="I20" s="52">
        <v>44805</v>
      </c>
      <c r="J20" s="23" t="s">
        <v>60</v>
      </c>
      <c r="K20" s="161"/>
      <c r="L20" s="135">
        <v>40</v>
      </c>
      <c r="M20" s="23"/>
      <c r="N20" s="53"/>
      <c r="O20" s="53"/>
    </row>
    <row r="21" spans="2:18" s="35" customFormat="1" ht="31.2">
      <c r="B21" s="160" t="s">
        <v>24</v>
      </c>
      <c r="C21" s="24" t="s">
        <v>25</v>
      </c>
      <c r="D21" s="19">
        <f>'Demonstrativo Proposta PA R6'!O15</f>
        <v>14169.814527218678</v>
      </c>
      <c r="E21" s="19" t="s">
        <v>62</v>
      </c>
      <c r="F21" s="19" t="s">
        <v>63</v>
      </c>
      <c r="G21" s="23">
        <v>100</v>
      </c>
      <c r="H21" s="23">
        <v>0</v>
      </c>
      <c r="I21" s="52">
        <v>44805</v>
      </c>
      <c r="J21" s="23" t="s">
        <v>60</v>
      </c>
      <c r="K21" s="161"/>
      <c r="M21" s="42"/>
    </row>
    <row r="22" spans="2:18" s="35" customFormat="1">
      <c r="B22" s="160" t="s">
        <v>67</v>
      </c>
      <c r="C22" s="24" t="s">
        <v>11</v>
      </c>
      <c r="D22" s="19">
        <f>'Demonstrativo Proposta PA R6'!O16</f>
        <v>77208.541327800835</v>
      </c>
      <c r="E22" s="23" t="s">
        <v>58</v>
      </c>
      <c r="F22" s="23" t="s">
        <v>59</v>
      </c>
      <c r="G22" s="23">
        <v>100</v>
      </c>
      <c r="H22" s="23">
        <v>0</v>
      </c>
      <c r="I22" s="52">
        <v>44743</v>
      </c>
      <c r="J22" s="23" t="s">
        <v>60</v>
      </c>
      <c r="K22" s="163" t="s">
        <v>132</v>
      </c>
      <c r="M22" s="42"/>
      <c r="Q22" s="174">
        <f>D22</f>
        <v>77208.541327800835</v>
      </c>
      <c r="R22" s="35">
        <f>Q22/$Q$28</f>
        <v>0.4856708131853143</v>
      </c>
    </row>
    <row r="23" spans="2:18" s="35" customFormat="1" ht="31.2">
      <c r="B23" s="26">
        <v>4</v>
      </c>
      <c r="C23" s="25" t="s">
        <v>30</v>
      </c>
      <c r="D23" s="14">
        <f>SUM(D25:D27)</f>
        <v>100000</v>
      </c>
      <c r="E23" s="23"/>
      <c r="F23" s="23"/>
      <c r="G23" s="23"/>
      <c r="H23" s="23"/>
      <c r="I23" s="52"/>
      <c r="J23" s="23"/>
      <c r="K23" s="161"/>
      <c r="M23" s="42"/>
    </row>
    <row r="24" spans="2:18" s="35" customFormat="1">
      <c r="B24" s="26">
        <v>4.0999999999999996</v>
      </c>
      <c r="C24" s="83" t="s">
        <v>9</v>
      </c>
      <c r="D24" s="14"/>
      <c r="E24" s="23"/>
      <c r="F24" s="23"/>
      <c r="G24" s="23"/>
      <c r="H24" s="23"/>
      <c r="I24" s="52"/>
      <c r="J24" s="23"/>
      <c r="K24" s="161"/>
      <c r="M24" s="42"/>
    </row>
    <row r="25" spans="2:18" s="35" customFormat="1" ht="31.2">
      <c r="B25" s="165" t="s">
        <v>34</v>
      </c>
      <c r="C25" s="24" t="s">
        <v>33</v>
      </c>
      <c r="D25" s="19">
        <f>'Demonstrativo Proposta PA R6'!O19</f>
        <v>65383.208484006354</v>
      </c>
      <c r="E25" s="23" t="s">
        <v>62</v>
      </c>
      <c r="F25" s="23" t="s">
        <v>63</v>
      </c>
      <c r="G25" s="23">
        <v>100</v>
      </c>
      <c r="H25" s="23">
        <v>0</v>
      </c>
      <c r="I25" s="52">
        <v>44002</v>
      </c>
      <c r="J25" s="23" t="s">
        <v>60</v>
      </c>
      <c r="K25" s="161" t="s">
        <v>61</v>
      </c>
      <c r="M25" s="42"/>
    </row>
    <row r="26" spans="2:18" s="35" customFormat="1">
      <c r="B26" s="160" t="s">
        <v>36</v>
      </c>
      <c r="C26" s="24" t="s">
        <v>39</v>
      </c>
      <c r="D26" s="19">
        <f>'Demonstrativo Proposta PA R6'!O21</f>
        <v>18181.82</v>
      </c>
      <c r="E26" s="23" t="s">
        <v>62</v>
      </c>
      <c r="F26" s="23" t="s">
        <v>63</v>
      </c>
      <c r="G26" s="23">
        <v>100</v>
      </c>
      <c r="H26" s="23">
        <v>0</v>
      </c>
      <c r="I26" s="52">
        <v>44835</v>
      </c>
      <c r="J26" s="23" t="s">
        <v>60</v>
      </c>
      <c r="K26" s="161"/>
      <c r="M26" s="42"/>
    </row>
    <row r="27" spans="2:18" s="35" customFormat="1">
      <c r="B27" s="160" t="s">
        <v>127</v>
      </c>
      <c r="C27" s="24" t="s">
        <v>11</v>
      </c>
      <c r="D27" s="19">
        <f>'Demonstrativo Proposta PA R6'!O22</f>
        <v>16434.971515993639</v>
      </c>
      <c r="E27" s="23" t="s">
        <v>58</v>
      </c>
      <c r="F27" s="23" t="s">
        <v>59</v>
      </c>
      <c r="G27" s="23">
        <v>100</v>
      </c>
      <c r="H27" s="23">
        <v>0</v>
      </c>
      <c r="I27" s="52">
        <v>44743</v>
      </c>
      <c r="J27" s="23" t="s">
        <v>60</v>
      </c>
      <c r="K27" s="163" t="s">
        <v>132</v>
      </c>
      <c r="M27" s="42"/>
    </row>
    <row r="28" spans="2:18" ht="19.5" customHeight="1" thickBot="1">
      <c r="B28" s="232" t="s">
        <v>40</v>
      </c>
      <c r="C28" s="233"/>
      <c r="D28" s="85">
        <f>D23+D15+D10</f>
        <v>621969.69999999995</v>
      </c>
      <c r="E28" s="234" t="s">
        <v>89</v>
      </c>
      <c r="F28" s="235"/>
      <c r="G28" s="236"/>
      <c r="H28" s="255">
        <v>44726</v>
      </c>
      <c r="I28" s="256"/>
      <c r="J28" s="257"/>
      <c r="K28" s="166"/>
      <c r="P28" s="67"/>
      <c r="Q28" s="175">
        <f>Q14+Q22</f>
        <v>158972.99</v>
      </c>
    </row>
    <row r="29" spans="2:18" ht="19.5" customHeight="1" thickBot="1">
      <c r="B29" s="87" t="s">
        <v>91</v>
      </c>
      <c r="C29" s="88"/>
      <c r="D29" s="89"/>
      <c r="E29" s="90"/>
      <c r="F29" s="91"/>
      <c r="G29" s="91"/>
      <c r="H29" s="90"/>
      <c r="I29" s="91"/>
      <c r="J29" s="91"/>
      <c r="K29" s="167"/>
    </row>
    <row r="30" spans="2:18" ht="84.75" customHeight="1" thickBot="1">
      <c r="B30" s="224" t="s">
        <v>92</v>
      </c>
      <c r="C30" s="237"/>
      <c r="D30" s="237"/>
      <c r="E30" s="237"/>
      <c r="F30" s="237"/>
      <c r="G30" s="237"/>
      <c r="H30" s="237"/>
      <c r="I30" s="237"/>
      <c r="J30" s="237"/>
      <c r="K30" s="238"/>
    </row>
    <row r="31" spans="2:18" ht="24" customHeight="1" thickBot="1">
      <c r="B31" s="239" t="s">
        <v>93</v>
      </c>
      <c r="C31" s="240"/>
      <c r="D31" s="240"/>
      <c r="E31" s="240"/>
      <c r="F31" s="240"/>
      <c r="G31" s="240"/>
      <c r="H31" s="240"/>
      <c r="I31" s="240"/>
      <c r="J31" s="240"/>
      <c r="K31" s="241"/>
    </row>
    <row r="32" spans="2:18" ht="39" customHeight="1" thickBot="1">
      <c r="B32" s="224" t="s">
        <v>94</v>
      </c>
      <c r="C32" s="225"/>
      <c r="D32" s="225"/>
      <c r="E32" s="225"/>
      <c r="F32" s="225"/>
      <c r="G32" s="225"/>
      <c r="H32" s="225"/>
      <c r="I32" s="225"/>
      <c r="J32" s="225"/>
      <c r="K32" s="226"/>
    </row>
    <row r="33" spans="2:11" ht="24.75" customHeight="1" thickBot="1">
      <c r="B33" s="245" t="s">
        <v>95</v>
      </c>
      <c r="C33" s="237"/>
      <c r="D33" s="237"/>
      <c r="E33" s="237"/>
      <c r="F33" s="237"/>
      <c r="G33" s="237"/>
      <c r="H33" s="237"/>
      <c r="I33" s="237"/>
      <c r="J33" s="237"/>
      <c r="K33" s="238"/>
    </row>
    <row r="34" spans="2:11" ht="26.25" customHeight="1" thickBot="1">
      <c r="B34" s="245" t="s">
        <v>96</v>
      </c>
      <c r="C34" s="237"/>
      <c r="D34" s="237"/>
      <c r="E34" s="237"/>
      <c r="F34" s="237"/>
      <c r="G34" s="237"/>
      <c r="H34" s="237"/>
      <c r="I34" s="237"/>
      <c r="J34" s="237"/>
      <c r="K34" s="238"/>
    </row>
    <row r="35" spans="2:11" ht="53.25" customHeight="1" thickBot="1">
      <c r="B35" s="246" t="s">
        <v>97</v>
      </c>
      <c r="C35" s="247"/>
      <c r="D35" s="247"/>
      <c r="E35" s="247"/>
      <c r="F35" s="247"/>
      <c r="G35" s="247"/>
      <c r="H35" s="247"/>
      <c r="I35" s="247"/>
      <c r="J35" s="247"/>
      <c r="K35" s="248"/>
    </row>
    <row r="36" spans="2:11" ht="37.200000000000003" customHeight="1" thickBot="1">
      <c r="B36" s="242" t="s">
        <v>98</v>
      </c>
      <c r="C36" s="243"/>
      <c r="D36" s="243"/>
      <c r="E36" s="243"/>
      <c r="F36" s="243"/>
      <c r="G36" s="243"/>
      <c r="H36" s="243"/>
      <c r="I36" s="243"/>
      <c r="J36" s="243"/>
      <c r="K36" s="244"/>
    </row>
    <row r="37" spans="2:11" ht="53.25" customHeight="1" thickBot="1">
      <c r="B37" s="242" t="s">
        <v>131</v>
      </c>
      <c r="C37" s="243"/>
      <c r="D37" s="243"/>
      <c r="E37" s="243"/>
      <c r="F37" s="243"/>
      <c r="G37" s="243"/>
      <c r="H37" s="243"/>
      <c r="I37" s="243"/>
      <c r="J37" s="243"/>
      <c r="K37" s="244"/>
    </row>
    <row r="38" spans="2:11" ht="53.25" hidden="1" customHeight="1" thickBot="1">
      <c r="B38" s="242"/>
      <c r="C38" s="243"/>
      <c r="D38" s="243"/>
      <c r="E38" s="243"/>
      <c r="F38" s="243"/>
      <c r="G38" s="243"/>
      <c r="H38" s="243"/>
      <c r="I38" s="243"/>
      <c r="J38" s="243"/>
      <c r="K38" s="244"/>
    </row>
    <row r="39" spans="2:11" ht="51.75" hidden="1" customHeight="1" thickBot="1">
      <c r="B39" s="242"/>
      <c r="C39" s="243"/>
      <c r="D39" s="243"/>
      <c r="E39" s="243"/>
      <c r="F39" s="243"/>
      <c r="G39" s="243"/>
      <c r="H39" s="243"/>
      <c r="I39" s="243"/>
      <c r="J39" s="243"/>
      <c r="K39" s="244"/>
    </row>
  </sheetData>
  <mergeCells count="35">
    <mergeCell ref="B3:K3"/>
    <mergeCell ref="B4:E4"/>
    <mergeCell ref="F4:I4"/>
    <mergeCell ref="J4:K4"/>
    <mergeCell ref="B5:E5"/>
    <mergeCell ref="F5:K5"/>
    <mergeCell ref="B6:K6"/>
    <mergeCell ref="B8:B9"/>
    <mergeCell ref="C8:C9"/>
    <mergeCell ref="D8:D9"/>
    <mergeCell ref="E8:E9"/>
    <mergeCell ref="F8:F9"/>
    <mergeCell ref="G8:H8"/>
    <mergeCell ref="I8:I9"/>
    <mergeCell ref="J8:J9"/>
    <mergeCell ref="K8:K9"/>
    <mergeCell ref="B32:K32"/>
    <mergeCell ref="L8:O8"/>
    <mergeCell ref="N9:O9"/>
    <mergeCell ref="L10:L11"/>
    <mergeCell ref="M10:M11"/>
    <mergeCell ref="N10:N11"/>
    <mergeCell ref="O10:O11"/>
    <mergeCell ref="B28:C28"/>
    <mergeCell ref="E28:G28"/>
    <mergeCell ref="H28:J28"/>
    <mergeCell ref="B30:K30"/>
    <mergeCell ref="B31:K31"/>
    <mergeCell ref="B39:K39"/>
    <mergeCell ref="B33:K33"/>
    <mergeCell ref="B34:K34"/>
    <mergeCell ref="B35:K35"/>
    <mergeCell ref="B36:K36"/>
    <mergeCell ref="B37:K37"/>
    <mergeCell ref="B38:K38"/>
  </mergeCells>
  <dataValidations disablePrompts="1" count="1">
    <dataValidation type="list" allowBlank="1" showInputMessage="1" showErrorMessage="1" sqref="E10:E11 F10:F14 E15:F21 F22 E23:F26 F27" xr:uid="{E6123E08-0FE4-4C74-B48E-BC842F90E938}">
      <formula1>#REF!</formula1>
    </dataValidation>
  </dataValidations>
  <printOptions horizontalCentered="1"/>
  <pageMargins left="0.15748031496062992" right="0.23622047244094491" top="0.74803149606299213" bottom="0.74803149606299213" header="0.31496062992125984" footer="0.31496062992125984"/>
  <pageSetup scale="60" orientation="landscape" r:id="rId1"/>
  <headerFooter alignWithMargins="0">
    <oddHeader>&amp;L&amp;8Versão: &amp;D, às &amp;T&amp;R&amp;8Banco Interamericano de Desarrollo</oddHeader>
    <oddFooter>&amp;L &amp;RPágina &amp;P de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ABADC8-954A-4C5A-A363-D77A7F30CB13}">
  <dimension ref="B1:Q38"/>
  <sheetViews>
    <sheetView tabSelected="1" topLeftCell="A6" zoomScale="70" zoomScaleNormal="70" zoomScalePageLayoutView="78" workbookViewId="0">
      <selection activeCell="B32" sqref="B32:K32"/>
    </sheetView>
  </sheetViews>
  <sheetFormatPr defaultColWidth="9.109375" defaultRowHeight="15.6"/>
  <cols>
    <col min="1" max="1" width="2.44140625" style="34" customWidth="1"/>
    <col min="2" max="2" width="9" style="72" customWidth="1"/>
    <col min="3" max="3" width="36.88671875" style="34" customWidth="1"/>
    <col min="4" max="4" width="15.44140625" style="34" customWidth="1"/>
    <col min="5" max="5" width="12.5546875" style="34" customWidth="1"/>
    <col min="6" max="6" width="19.109375" style="34" customWidth="1"/>
    <col min="7" max="7" width="10.5546875" style="34" customWidth="1"/>
    <col min="8" max="8" width="10.88671875" style="34" customWidth="1"/>
    <col min="9" max="9" width="20.5546875" style="34" customWidth="1"/>
    <col min="10" max="10" width="11.6640625" style="34" customWidth="1"/>
    <col min="11" max="11" width="27.109375" style="73" customWidth="1"/>
    <col min="12" max="13" width="13" style="34" hidden="1" customWidth="1"/>
    <col min="14" max="15" width="9.109375" style="34" hidden="1" customWidth="1"/>
    <col min="16" max="16" width="9.109375" style="34"/>
    <col min="17" max="17" width="12.44140625" style="34" bestFit="1" customWidth="1"/>
    <col min="18" max="16384" width="9.109375" style="34"/>
  </cols>
  <sheetData>
    <row r="1" spans="2:17" ht="20.25" customHeight="1">
      <c r="I1" s="67" t="s">
        <v>70</v>
      </c>
    </row>
    <row r="2" spans="2:17" ht="20.25" customHeight="1" thickBot="1">
      <c r="I2" s="67" t="s">
        <v>71</v>
      </c>
    </row>
    <row r="3" spans="2:17" ht="21" customHeight="1">
      <c r="B3" s="204" t="s">
        <v>72</v>
      </c>
      <c r="C3" s="205"/>
      <c r="D3" s="206"/>
      <c r="E3" s="206"/>
      <c r="F3" s="206"/>
      <c r="G3" s="206"/>
      <c r="H3" s="206"/>
      <c r="I3" s="206"/>
      <c r="J3" s="206"/>
      <c r="K3" s="207"/>
    </row>
    <row r="4" spans="2:17" ht="40.950000000000003" customHeight="1">
      <c r="B4" s="208" t="s">
        <v>73</v>
      </c>
      <c r="C4" s="209"/>
      <c r="D4" s="209"/>
      <c r="E4" s="210"/>
      <c r="F4" s="211" t="s">
        <v>74</v>
      </c>
      <c r="G4" s="212"/>
      <c r="H4" s="212"/>
      <c r="I4" s="212"/>
      <c r="J4" s="213" t="s">
        <v>75</v>
      </c>
      <c r="K4" s="214"/>
    </row>
    <row r="5" spans="2:17" ht="37.5" customHeight="1">
      <c r="B5" s="215" t="s">
        <v>76</v>
      </c>
      <c r="C5" s="216"/>
      <c r="D5" s="216"/>
      <c r="E5" s="217"/>
      <c r="F5" s="218" t="s">
        <v>77</v>
      </c>
      <c r="G5" s="219"/>
      <c r="H5" s="219"/>
      <c r="I5" s="219"/>
      <c r="J5" s="219"/>
      <c r="K5" s="220"/>
    </row>
    <row r="6" spans="2:17" ht="21" customHeight="1">
      <c r="B6" s="221" t="s">
        <v>78</v>
      </c>
      <c r="C6" s="222"/>
      <c r="D6" s="222"/>
      <c r="E6" s="222"/>
      <c r="F6" s="222"/>
      <c r="G6" s="222"/>
      <c r="H6" s="222"/>
      <c r="I6" s="222"/>
      <c r="J6" s="222"/>
      <c r="K6" s="223"/>
    </row>
    <row r="7" spans="2:17" ht="12" customHeight="1" thickBot="1">
      <c r="B7" s="156"/>
      <c r="C7" s="39"/>
      <c r="D7" s="39"/>
      <c r="E7" s="39"/>
      <c r="F7" s="39"/>
      <c r="G7" s="39"/>
      <c r="H7" s="39"/>
      <c r="I7" s="39"/>
      <c r="J7" s="39"/>
      <c r="K7" s="157"/>
    </row>
    <row r="8" spans="2:17" s="73" customFormat="1" ht="53.25" customHeight="1">
      <c r="B8" s="250" t="s">
        <v>41</v>
      </c>
      <c r="C8" s="249" t="s">
        <v>42</v>
      </c>
      <c r="D8" s="249" t="s">
        <v>43</v>
      </c>
      <c r="E8" s="249" t="s">
        <v>48</v>
      </c>
      <c r="F8" s="249" t="s">
        <v>49</v>
      </c>
      <c r="G8" s="249" t="s">
        <v>50</v>
      </c>
      <c r="H8" s="249"/>
      <c r="I8" s="249" t="s">
        <v>51</v>
      </c>
      <c r="J8" s="249" t="s">
        <v>52</v>
      </c>
      <c r="K8" s="258" t="s">
        <v>53</v>
      </c>
      <c r="L8" s="252" t="s">
        <v>79</v>
      </c>
      <c r="M8" s="227"/>
      <c r="N8" s="227"/>
      <c r="O8" s="227"/>
    </row>
    <row r="9" spans="2:17" ht="27.75" customHeight="1">
      <c r="B9" s="251"/>
      <c r="C9" s="202"/>
      <c r="D9" s="202"/>
      <c r="E9" s="202"/>
      <c r="F9" s="202"/>
      <c r="G9" s="33" t="s">
        <v>56</v>
      </c>
      <c r="H9" s="33" t="s">
        <v>57</v>
      </c>
      <c r="I9" s="202"/>
      <c r="J9" s="202"/>
      <c r="K9" s="259"/>
      <c r="L9" s="154" t="s">
        <v>80</v>
      </c>
      <c r="M9" s="77" t="s">
        <v>81</v>
      </c>
      <c r="N9" s="228" t="s">
        <v>82</v>
      </c>
      <c r="O9" s="229"/>
    </row>
    <row r="10" spans="2:17" ht="21" customHeight="1">
      <c r="B10" s="26">
        <v>1</v>
      </c>
      <c r="C10" s="2" t="s">
        <v>0</v>
      </c>
      <c r="D10" s="3">
        <f>SUM(D12:D14)</f>
        <v>429313.9728437945</v>
      </c>
      <c r="E10" s="46"/>
      <c r="F10" s="47"/>
      <c r="G10" s="46"/>
      <c r="H10" s="46"/>
      <c r="I10" s="48"/>
      <c r="J10" s="47"/>
      <c r="K10" s="158"/>
      <c r="L10" s="253" t="s">
        <v>46</v>
      </c>
      <c r="M10" s="230" t="s">
        <v>46</v>
      </c>
      <c r="N10" s="230" t="s">
        <v>83</v>
      </c>
      <c r="O10" s="230" t="s">
        <v>83</v>
      </c>
      <c r="P10" s="67"/>
    </row>
    <row r="11" spans="2:17">
      <c r="B11" s="26" t="s">
        <v>1</v>
      </c>
      <c r="C11" s="2" t="s">
        <v>2</v>
      </c>
      <c r="D11" s="3"/>
      <c r="E11" s="49"/>
      <c r="F11" s="2"/>
      <c r="G11" s="46"/>
      <c r="H11" s="46"/>
      <c r="I11" s="48"/>
      <c r="J11" s="2"/>
      <c r="K11" s="159"/>
      <c r="L11" s="254"/>
      <c r="M11" s="231"/>
      <c r="N11" s="231"/>
      <c r="O11" s="231"/>
      <c r="P11" s="67"/>
    </row>
    <row r="12" spans="2:17" s="35" customFormat="1" ht="47.7" customHeight="1">
      <c r="B12" s="160" t="s">
        <v>3</v>
      </c>
      <c r="C12" s="24" t="s">
        <v>84</v>
      </c>
      <c r="D12" s="19">
        <f>'Demonstrativo Proposta PA R6'!O8</f>
        <v>347549.52284379449</v>
      </c>
      <c r="E12" s="23" t="s">
        <v>58</v>
      </c>
      <c r="F12" s="23" t="s">
        <v>59</v>
      </c>
      <c r="G12" s="23">
        <v>100</v>
      </c>
      <c r="H12" s="23">
        <v>0</v>
      </c>
      <c r="I12" s="52">
        <v>44276</v>
      </c>
      <c r="J12" s="23" t="s">
        <v>60</v>
      </c>
      <c r="K12" s="161" t="s">
        <v>61</v>
      </c>
      <c r="L12" s="135"/>
      <c r="M12" s="23"/>
      <c r="N12" s="78"/>
      <c r="O12" s="78"/>
    </row>
    <row r="13" spans="2:17" s="35" customFormat="1">
      <c r="B13" s="26">
        <v>1.2</v>
      </c>
      <c r="C13" s="2" t="s">
        <v>9</v>
      </c>
      <c r="D13" s="19"/>
      <c r="E13" s="23"/>
      <c r="F13" s="23"/>
      <c r="G13" s="23"/>
      <c r="H13" s="23"/>
      <c r="I13" s="52"/>
      <c r="J13" s="23"/>
      <c r="K13" s="162"/>
      <c r="L13" s="135"/>
      <c r="M13" s="23"/>
      <c r="N13" s="78"/>
      <c r="O13" s="78"/>
    </row>
    <row r="14" spans="2:17" s="35" customFormat="1" ht="31.2">
      <c r="B14" s="160" t="s">
        <v>10</v>
      </c>
      <c r="C14" s="24" t="s">
        <v>151</v>
      </c>
      <c r="D14" s="19">
        <v>81764.45</v>
      </c>
      <c r="E14" s="23" t="s">
        <v>62</v>
      </c>
      <c r="F14" s="23" t="s">
        <v>63</v>
      </c>
      <c r="G14" s="23">
        <v>100</v>
      </c>
      <c r="H14" s="23">
        <v>0</v>
      </c>
      <c r="I14" s="52">
        <v>44743</v>
      </c>
      <c r="J14" s="23" t="s">
        <v>60</v>
      </c>
      <c r="K14" s="163" t="s">
        <v>132</v>
      </c>
      <c r="L14" s="135"/>
      <c r="M14" s="23"/>
      <c r="N14" s="78"/>
      <c r="O14" s="78"/>
      <c r="Q14" s="174"/>
    </row>
    <row r="15" spans="2:17" s="35" customFormat="1" ht="25.5" customHeight="1">
      <c r="B15" s="26">
        <v>3</v>
      </c>
      <c r="C15" s="18" t="s">
        <v>16</v>
      </c>
      <c r="D15" s="14">
        <f>SUM(D20:D22)</f>
        <v>109090.7</v>
      </c>
      <c r="E15" s="23"/>
      <c r="F15" s="23"/>
      <c r="G15" s="23"/>
      <c r="H15" s="23"/>
      <c r="I15" s="52"/>
      <c r="J15" s="23"/>
      <c r="K15" s="164"/>
      <c r="L15" s="135"/>
      <c r="M15" s="23"/>
      <c r="N15" s="53"/>
      <c r="O15" s="53"/>
      <c r="P15" s="67"/>
    </row>
    <row r="16" spans="2:17">
      <c r="B16" s="26">
        <v>3.1</v>
      </c>
      <c r="C16" s="79" t="s">
        <v>9</v>
      </c>
      <c r="D16" s="19"/>
      <c r="E16" s="23"/>
      <c r="F16" s="23"/>
      <c r="G16" s="23"/>
      <c r="H16" s="23"/>
      <c r="I16" s="52"/>
      <c r="J16" s="23"/>
      <c r="K16" s="158"/>
      <c r="L16" s="155"/>
      <c r="M16" s="46"/>
      <c r="N16" s="47"/>
      <c r="O16" s="47"/>
    </row>
    <row r="17" spans="2:17" s="35" customFormat="1" ht="25.95" hidden="1" customHeight="1">
      <c r="B17" s="26">
        <v>3</v>
      </c>
      <c r="C17" s="80" t="s">
        <v>16</v>
      </c>
      <c r="D17" s="14">
        <f>SUM(D18:D20)</f>
        <v>17712.344144980485</v>
      </c>
      <c r="E17" s="23"/>
      <c r="F17" s="23"/>
      <c r="G17" s="23"/>
      <c r="H17" s="23"/>
      <c r="I17" s="81"/>
      <c r="J17" s="23"/>
      <c r="K17" s="164"/>
      <c r="L17" s="135"/>
      <c r="M17" s="23"/>
      <c r="N17" s="53"/>
      <c r="O17" s="53"/>
      <c r="P17" s="67" t="s">
        <v>85</v>
      </c>
    </row>
    <row r="18" spans="2:17" hidden="1">
      <c r="B18" s="26" t="s">
        <v>17</v>
      </c>
      <c r="C18" s="79" t="s">
        <v>2</v>
      </c>
      <c r="D18" s="14"/>
      <c r="E18" s="1"/>
      <c r="F18" s="1"/>
      <c r="G18" s="23"/>
      <c r="H18" s="23"/>
      <c r="I18" s="81"/>
      <c r="J18" s="23"/>
      <c r="K18" s="159"/>
      <c r="L18" s="155"/>
      <c r="M18" s="46"/>
      <c r="N18" s="47"/>
      <c r="O18" s="47"/>
    </row>
    <row r="19" spans="2:17" hidden="1">
      <c r="B19" s="26" t="s">
        <v>86</v>
      </c>
      <c r="C19" s="82" t="s">
        <v>87</v>
      </c>
      <c r="D19" s="14"/>
      <c r="E19" s="1"/>
      <c r="F19" s="1"/>
      <c r="G19" s="23"/>
      <c r="H19" s="23"/>
      <c r="I19" s="81"/>
      <c r="J19" s="23"/>
      <c r="K19" s="159"/>
      <c r="L19" s="155"/>
      <c r="M19" s="46"/>
      <c r="N19" s="47"/>
      <c r="O19" s="47"/>
    </row>
    <row r="20" spans="2:17" s="35" customFormat="1" ht="31.2">
      <c r="B20" s="160" t="s">
        <v>18</v>
      </c>
      <c r="C20" s="24" t="s">
        <v>19</v>
      </c>
      <c r="D20" s="19">
        <f>'Demonstrativo Proposta PA R6'!O14</f>
        <v>17712.344144980485</v>
      </c>
      <c r="E20" s="23" t="s">
        <v>62</v>
      </c>
      <c r="F20" s="23" t="s">
        <v>63</v>
      </c>
      <c r="G20" s="23">
        <v>100</v>
      </c>
      <c r="H20" s="23">
        <v>0</v>
      </c>
      <c r="I20" s="52">
        <v>44805</v>
      </c>
      <c r="J20" s="23" t="s">
        <v>60</v>
      </c>
      <c r="K20" s="161"/>
      <c r="L20" s="135">
        <v>40</v>
      </c>
      <c r="M20" s="23"/>
      <c r="N20" s="53"/>
      <c r="O20" s="53"/>
    </row>
    <row r="21" spans="2:17" s="35" customFormat="1" ht="31.2">
      <c r="B21" s="160" t="s">
        <v>24</v>
      </c>
      <c r="C21" s="24" t="s">
        <v>25</v>
      </c>
      <c r="D21" s="19">
        <f>'Demonstrativo Proposta PA R6'!O15</f>
        <v>14169.814527218678</v>
      </c>
      <c r="E21" s="19" t="s">
        <v>62</v>
      </c>
      <c r="F21" s="19" t="s">
        <v>63</v>
      </c>
      <c r="G21" s="23">
        <v>100</v>
      </c>
      <c r="H21" s="23">
        <v>0</v>
      </c>
      <c r="I21" s="52">
        <v>44805</v>
      </c>
      <c r="J21" s="23" t="s">
        <v>60</v>
      </c>
      <c r="K21" s="161"/>
      <c r="M21" s="42"/>
    </row>
    <row r="22" spans="2:17" s="35" customFormat="1" ht="31.2">
      <c r="B22" s="160" t="s">
        <v>67</v>
      </c>
      <c r="C22" s="24" t="s">
        <v>150</v>
      </c>
      <c r="D22" s="19">
        <f>'Demonstrativo Proposta PA R6'!O16</f>
        <v>77208.541327800835</v>
      </c>
      <c r="E22" s="23" t="s">
        <v>62</v>
      </c>
      <c r="F22" s="23" t="s">
        <v>63</v>
      </c>
      <c r="G22" s="23">
        <v>100</v>
      </c>
      <c r="H22" s="23">
        <v>0</v>
      </c>
      <c r="I22" s="52">
        <v>44743</v>
      </c>
      <c r="J22" s="23" t="s">
        <v>60</v>
      </c>
      <c r="K22" s="163" t="s">
        <v>132</v>
      </c>
      <c r="M22" s="42"/>
      <c r="Q22" s="174"/>
    </row>
    <row r="23" spans="2:17" s="35" customFormat="1" ht="31.2">
      <c r="B23" s="26">
        <v>4</v>
      </c>
      <c r="C23" s="25" t="s">
        <v>30</v>
      </c>
      <c r="D23" s="14">
        <f>SUM(D25:D26)</f>
        <v>83565.028484006354</v>
      </c>
      <c r="E23" s="23"/>
      <c r="F23" s="23"/>
      <c r="G23" s="23"/>
      <c r="H23" s="23"/>
      <c r="I23" s="52"/>
      <c r="J23" s="23"/>
      <c r="K23" s="161"/>
      <c r="M23" s="42"/>
    </row>
    <row r="24" spans="2:17" s="35" customFormat="1">
      <c r="B24" s="26">
        <v>4.0999999999999996</v>
      </c>
      <c r="C24" s="83" t="s">
        <v>9</v>
      </c>
      <c r="D24" s="14"/>
      <c r="E24" s="23"/>
      <c r="F24" s="23"/>
      <c r="G24" s="23"/>
      <c r="H24" s="23"/>
      <c r="I24" s="52"/>
      <c r="J24" s="23"/>
      <c r="K24" s="161"/>
      <c r="M24" s="42"/>
    </row>
    <row r="25" spans="2:17" s="35" customFormat="1" ht="31.2">
      <c r="B25" s="165" t="s">
        <v>34</v>
      </c>
      <c r="C25" s="24" t="s">
        <v>33</v>
      </c>
      <c r="D25" s="19">
        <f>'Demonstrativo Proposta PA R6'!O19</f>
        <v>65383.208484006354</v>
      </c>
      <c r="E25" s="23" t="s">
        <v>62</v>
      </c>
      <c r="F25" s="23" t="s">
        <v>63</v>
      </c>
      <c r="G25" s="23">
        <v>100</v>
      </c>
      <c r="H25" s="23">
        <v>0</v>
      </c>
      <c r="I25" s="52">
        <v>44002</v>
      </c>
      <c r="J25" s="23" t="s">
        <v>60</v>
      </c>
      <c r="K25" s="161" t="s">
        <v>61</v>
      </c>
      <c r="M25" s="42"/>
    </row>
    <row r="26" spans="2:17" s="35" customFormat="1">
      <c r="B26" s="160" t="s">
        <v>36</v>
      </c>
      <c r="C26" s="24" t="s">
        <v>39</v>
      </c>
      <c r="D26" s="19">
        <f>'Demonstrativo Proposta PA R6'!O21</f>
        <v>18181.82</v>
      </c>
      <c r="E26" s="23" t="s">
        <v>62</v>
      </c>
      <c r="F26" s="23" t="s">
        <v>63</v>
      </c>
      <c r="G26" s="23">
        <v>100</v>
      </c>
      <c r="H26" s="23">
        <v>0</v>
      </c>
      <c r="I26" s="52">
        <v>44835</v>
      </c>
      <c r="J26" s="23" t="s">
        <v>60</v>
      </c>
      <c r="K26" s="161"/>
      <c r="M26" s="42"/>
    </row>
    <row r="27" spans="2:17" ht="19.5" customHeight="1" thickBot="1">
      <c r="B27" s="232" t="s">
        <v>40</v>
      </c>
      <c r="C27" s="233"/>
      <c r="D27" s="85">
        <f>D23+D15+D10</f>
        <v>621969.70132780087</v>
      </c>
      <c r="E27" s="234" t="s">
        <v>89</v>
      </c>
      <c r="F27" s="235"/>
      <c r="G27" s="236"/>
      <c r="H27" s="255">
        <v>44805</v>
      </c>
      <c r="I27" s="256"/>
      <c r="J27" s="257"/>
      <c r="K27" s="166"/>
      <c r="P27" s="67"/>
      <c r="Q27" s="175"/>
    </row>
    <row r="28" spans="2:17" ht="19.5" customHeight="1" thickBot="1">
      <c r="B28" s="87" t="s">
        <v>91</v>
      </c>
      <c r="C28" s="88"/>
      <c r="D28" s="89"/>
      <c r="E28" s="90"/>
      <c r="F28" s="91"/>
      <c r="G28" s="91"/>
      <c r="H28" s="90"/>
      <c r="I28" s="91"/>
      <c r="J28" s="91"/>
      <c r="K28" s="167"/>
    </row>
    <row r="29" spans="2:17" ht="84.75" customHeight="1" thickBot="1">
      <c r="B29" s="224" t="s">
        <v>92</v>
      </c>
      <c r="C29" s="237"/>
      <c r="D29" s="237"/>
      <c r="E29" s="237"/>
      <c r="F29" s="237"/>
      <c r="G29" s="237"/>
      <c r="H29" s="237"/>
      <c r="I29" s="237"/>
      <c r="J29" s="237"/>
      <c r="K29" s="238"/>
    </row>
    <row r="30" spans="2:17" ht="24" customHeight="1" thickBot="1">
      <c r="B30" s="239" t="s">
        <v>93</v>
      </c>
      <c r="C30" s="240"/>
      <c r="D30" s="240"/>
      <c r="E30" s="240"/>
      <c r="F30" s="240"/>
      <c r="G30" s="240"/>
      <c r="H30" s="240"/>
      <c r="I30" s="240"/>
      <c r="J30" s="240"/>
      <c r="K30" s="241"/>
    </row>
    <row r="31" spans="2:17" ht="39" customHeight="1" thickBot="1">
      <c r="B31" s="224" t="s">
        <v>94</v>
      </c>
      <c r="C31" s="225"/>
      <c r="D31" s="225"/>
      <c r="E31" s="225"/>
      <c r="F31" s="225"/>
      <c r="G31" s="225"/>
      <c r="H31" s="225"/>
      <c r="I31" s="225"/>
      <c r="J31" s="225"/>
      <c r="K31" s="226"/>
    </row>
    <row r="32" spans="2:17" ht="24.75" customHeight="1" thickBot="1">
      <c r="B32" s="245" t="s">
        <v>95</v>
      </c>
      <c r="C32" s="237"/>
      <c r="D32" s="237"/>
      <c r="E32" s="237"/>
      <c r="F32" s="237"/>
      <c r="G32" s="237"/>
      <c r="H32" s="237"/>
      <c r="I32" s="237"/>
      <c r="J32" s="237"/>
      <c r="K32" s="238"/>
    </row>
    <row r="33" spans="2:11" ht="26.25" customHeight="1" thickBot="1">
      <c r="B33" s="245" t="s">
        <v>96</v>
      </c>
      <c r="C33" s="237"/>
      <c r="D33" s="237"/>
      <c r="E33" s="237"/>
      <c r="F33" s="237"/>
      <c r="G33" s="237"/>
      <c r="H33" s="237"/>
      <c r="I33" s="237"/>
      <c r="J33" s="237"/>
      <c r="K33" s="238"/>
    </row>
    <row r="34" spans="2:11" ht="53.25" customHeight="1" thickBot="1">
      <c r="B34" s="246" t="s">
        <v>97</v>
      </c>
      <c r="C34" s="247"/>
      <c r="D34" s="247"/>
      <c r="E34" s="247"/>
      <c r="F34" s="247"/>
      <c r="G34" s="247"/>
      <c r="H34" s="247"/>
      <c r="I34" s="247"/>
      <c r="J34" s="247"/>
      <c r="K34" s="248"/>
    </row>
    <row r="35" spans="2:11" ht="37.200000000000003" customHeight="1" thickBot="1">
      <c r="B35" s="242" t="s">
        <v>98</v>
      </c>
      <c r="C35" s="243"/>
      <c r="D35" s="243"/>
      <c r="E35" s="243"/>
      <c r="F35" s="243"/>
      <c r="G35" s="243"/>
      <c r="H35" s="243"/>
      <c r="I35" s="243"/>
      <c r="J35" s="243"/>
      <c r="K35" s="244"/>
    </row>
    <row r="36" spans="2:11" ht="53.25" customHeight="1" thickBot="1">
      <c r="B36" s="242" t="s">
        <v>155</v>
      </c>
      <c r="C36" s="243"/>
      <c r="D36" s="243"/>
      <c r="E36" s="243"/>
      <c r="F36" s="243"/>
      <c r="G36" s="243"/>
      <c r="H36" s="243"/>
      <c r="I36" s="243"/>
      <c r="J36" s="243"/>
      <c r="K36" s="244"/>
    </row>
    <row r="37" spans="2:11" ht="53.25" hidden="1" customHeight="1" thickBot="1">
      <c r="B37" s="242"/>
      <c r="C37" s="243"/>
      <c r="D37" s="243"/>
      <c r="E37" s="243"/>
      <c r="F37" s="243"/>
      <c r="G37" s="243"/>
      <c r="H37" s="243"/>
      <c r="I37" s="243"/>
      <c r="J37" s="243"/>
      <c r="K37" s="244"/>
    </row>
    <row r="38" spans="2:11" ht="51.75" hidden="1" customHeight="1" thickBot="1">
      <c r="B38" s="242"/>
      <c r="C38" s="243"/>
      <c r="D38" s="243"/>
      <c r="E38" s="243"/>
      <c r="F38" s="243"/>
      <c r="G38" s="243"/>
      <c r="H38" s="243"/>
      <c r="I38" s="243"/>
      <c r="J38" s="243"/>
      <c r="K38" s="244"/>
    </row>
  </sheetData>
  <mergeCells count="35">
    <mergeCell ref="B3:K3"/>
    <mergeCell ref="B4:E4"/>
    <mergeCell ref="F4:I4"/>
    <mergeCell ref="J4:K4"/>
    <mergeCell ref="B5:E5"/>
    <mergeCell ref="F5:K5"/>
    <mergeCell ref="B6:K6"/>
    <mergeCell ref="B8:B9"/>
    <mergeCell ref="C8:C9"/>
    <mergeCell ref="D8:D9"/>
    <mergeCell ref="E8:E9"/>
    <mergeCell ref="F8:F9"/>
    <mergeCell ref="G8:H8"/>
    <mergeCell ref="I8:I9"/>
    <mergeCell ref="J8:J9"/>
    <mergeCell ref="K8:K9"/>
    <mergeCell ref="B31:K31"/>
    <mergeCell ref="L8:O8"/>
    <mergeCell ref="N9:O9"/>
    <mergeCell ref="L10:L11"/>
    <mergeCell ref="M10:M11"/>
    <mergeCell ref="N10:N11"/>
    <mergeCell ref="O10:O11"/>
    <mergeCell ref="B27:C27"/>
    <mergeCell ref="E27:G27"/>
    <mergeCell ref="H27:J27"/>
    <mergeCell ref="B29:K29"/>
    <mergeCell ref="B30:K30"/>
    <mergeCell ref="B38:K38"/>
    <mergeCell ref="B32:K32"/>
    <mergeCell ref="B33:K33"/>
    <mergeCell ref="B34:K34"/>
    <mergeCell ref="B35:K35"/>
    <mergeCell ref="B36:K36"/>
    <mergeCell ref="B37:K37"/>
  </mergeCells>
  <dataValidations count="1">
    <dataValidation type="list" allowBlank="1" showInputMessage="1" showErrorMessage="1" sqref="E10:E11 E23:F26 E15:F21 F10:F14 F22" xr:uid="{0E61FC12-205A-4CA1-8F74-95E2E27CE1D9}">
      <formula1>#REF!</formula1>
    </dataValidation>
  </dataValidations>
  <printOptions horizontalCentered="1"/>
  <pageMargins left="0.15748031496062992" right="0.23622047244094491" top="0.74803149606299213" bottom="0.74803149606299213" header="0.31496062992125984" footer="0.31496062992125984"/>
  <pageSetup scale="60" orientation="landscape" r:id="rId1"/>
  <headerFooter alignWithMargins="0">
    <oddHeader>&amp;L&amp;8Versão: &amp;D, às &amp;T&amp;R&amp;8Banco Interamericano de Desarrollo</oddHeader>
    <oddFooter>&amp;L &amp;RPágina &amp;P de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3759CC-3B5E-4CA8-9EA7-808DA91BB5B6}">
  <dimension ref="C1:L28"/>
  <sheetViews>
    <sheetView topLeftCell="A11" workbookViewId="0">
      <selection activeCell="J21" sqref="J21"/>
    </sheetView>
  </sheetViews>
  <sheetFormatPr defaultRowHeight="14.4"/>
  <cols>
    <col min="3" max="3" width="34" customWidth="1"/>
    <col min="5" max="5" width="11.109375" customWidth="1"/>
    <col min="7" max="7" width="14.44140625" customWidth="1"/>
    <col min="10" max="10" width="11.5546875" bestFit="1" customWidth="1"/>
    <col min="12" max="12" width="11.5546875" bestFit="1" customWidth="1"/>
  </cols>
  <sheetData>
    <row r="1" spans="3:12">
      <c r="C1" t="s">
        <v>152</v>
      </c>
    </row>
    <row r="2" spans="3:12">
      <c r="C2" s="177" t="s">
        <v>147</v>
      </c>
      <c r="D2" s="177"/>
      <c r="E2" s="177"/>
      <c r="F2" s="178"/>
      <c r="G2" s="178"/>
    </row>
    <row r="3" spans="3:12" ht="15" thickBot="1">
      <c r="C3" s="177"/>
      <c r="D3" s="177"/>
      <c r="E3" s="177"/>
      <c r="F3" s="178"/>
      <c r="G3" s="178"/>
    </row>
    <row r="4" spans="3:12" ht="25.2" thickTop="1" thickBot="1">
      <c r="C4" s="179" t="s">
        <v>141</v>
      </c>
      <c r="D4" s="179" t="s">
        <v>142</v>
      </c>
      <c r="E4" s="179" t="s">
        <v>143</v>
      </c>
      <c r="F4" s="180" t="s">
        <v>144</v>
      </c>
      <c r="G4" s="181" t="s">
        <v>145</v>
      </c>
      <c r="J4" s="187"/>
      <c r="K4" s="187"/>
      <c r="L4" s="187"/>
    </row>
    <row r="5" spans="3:12" ht="15" thickTop="1">
      <c r="C5" s="182" t="s">
        <v>149</v>
      </c>
      <c r="D5" s="183" t="s">
        <v>146</v>
      </c>
      <c r="E5" s="183">
        <v>1760</v>
      </c>
      <c r="F5" s="184">
        <v>456.53</v>
      </c>
      <c r="G5" s="185">
        <f>E5*F5</f>
        <v>803492.79999999993</v>
      </c>
      <c r="I5" s="188"/>
      <c r="J5" s="189"/>
      <c r="K5" s="188"/>
      <c r="L5" s="189"/>
    </row>
    <row r="6" spans="3:12">
      <c r="C6" s="177"/>
      <c r="D6" s="177"/>
      <c r="E6" s="177"/>
      <c r="F6" s="177"/>
      <c r="G6" s="186">
        <f>G5/$D$10</f>
        <v>158761.6676546137</v>
      </c>
      <c r="J6" s="189"/>
      <c r="L6" s="189"/>
    </row>
    <row r="7" spans="3:12">
      <c r="C7" s="177"/>
      <c r="D7" s="177"/>
      <c r="E7" s="177"/>
      <c r="F7" s="177"/>
      <c r="G7" s="177"/>
    </row>
    <row r="8" spans="3:12">
      <c r="C8" s="177"/>
      <c r="D8" s="177"/>
      <c r="E8" s="177"/>
      <c r="F8" s="177"/>
      <c r="G8" s="177"/>
    </row>
    <row r="10" spans="3:12">
      <c r="C10" s="176" t="s">
        <v>148</v>
      </c>
      <c r="D10">
        <v>5.0609999999999999</v>
      </c>
    </row>
    <row r="11" spans="3:12">
      <c r="C11" s="176"/>
      <c r="J11" s="169"/>
      <c r="L11" s="169"/>
    </row>
    <row r="12" spans="3:12">
      <c r="C12" t="s">
        <v>153</v>
      </c>
    </row>
    <row r="13" spans="3:12">
      <c r="C13" s="190" t="s">
        <v>147</v>
      </c>
      <c r="D13" s="190"/>
      <c r="E13" s="190"/>
      <c r="F13" s="191"/>
      <c r="G13" s="191"/>
    </row>
    <row r="14" spans="3:12" ht="15" thickBot="1">
      <c r="C14" s="190"/>
      <c r="D14" s="190"/>
      <c r="E14" s="190"/>
      <c r="F14" s="191"/>
      <c r="G14" s="191"/>
    </row>
    <row r="15" spans="3:12" ht="25.2" thickTop="1" thickBot="1">
      <c r="C15" s="196" t="s">
        <v>141</v>
      </c>
      <c r="D15" s="192" t="s">
        <v>142</v>
      </c>
      <c r="E15" s="192" t="s">
        <v>143</v>
      </c>
      <c r="F15" s="193" t="s">
        <v>144</v>
      </c>
      <c r="G15" s="194" t="s">
        <v>145</v>
      </c>
    </row>
    <row r="16" spans="3:12" ht="25.5" customHeight="1" thickTop="1" thickBot="1">
      <c r="C16" s="197" t="s">
        <v>149</v>
      </c>
      <c r="D16" s="198" t="s">
        <v>146</v>
      </c>
      <c r="E16" s="198">
        <f>ROUND(1760*0.515,0)</f>
        <v>906</v>
      </c>
      <c r="F16" s="199">
        <v>456.53</v>
      </c>
      <c r="G16" s="200">
        <f>E16*F16</f>
        <v>413616.18</v>
      </c>
    </row>
    <row r="17" spans="3:10" ht="15" thickTop="1">
      <c r="C17" s="190"/>
      <c r="D17" s="190"/>
      <c r="E17" s="190"/>
      <c r="F17" s="190"/>
      <c r="G17" s="195">
        <f>G16/$D$10</f>
        <v>81726.176644931838</v>
      </c>
      <c r="I17" s="169">
        <f>'PA Atual Aprovado R6'!Q14</f>
        <v>81764.448672199156</v>
      </c>
      <c r="J17" t="s">
        <v>156</v>
      </c>
    </row>
    <row r="18" spans="3:10">
      <c r="C18" s="190"/>
      <c r="D18" s="190"/>
      <c r="E18" s="190"/>
      <c r="F18" s="190"/>
      <c r="G18" s="190"/>
    </row>
    <row r="19" spans="3:10">
      <c r="C19" s="190"/>
      <c r="D19" s="190"/>
      <c r="E19" s="190"/>
      <c r="F19" s="190"/>
      <c r="G19" s="190"/>
    </row>
    <row r="21" spans="3:10">
      <c r="C21" t="s">
        <v>154</v>
      </c>
    </row>
    <row r="22" spans="3:10">
      <c r="C22" s="190" t="s">
        <v>147</v>
      </c>
      <c r="D22" s="190"/>
      <c r="E22" s="190"/>
      <c r="F22" s="191"/>
      <c r="G22" s="191"/>
    </row>
    <row r="23" spans="3:10" ht="15" thickBot="1">
      <c r="C23" s="190"/>
      <c r="D23" s="190"/>
      <c r="E23" s="190"/>
      <c r="F23" s="191"/>
      <c r="G23" s="191"/>
    </row>
    <row r="24" spans="3:10" ht="25.2" thickTop="1" thickBot="1">
      <c r="C24" s="196" t="s">
        <v>141</v>
      </c>
      <c r="D24" s="192" t="s">
        <v>142</v>
      </c>
      <c r="E24" s="192" t="s">
        <v>143</v>
      </c>
      <c r="F24" s="193" t="s">
        <v>144</v>
      </c>
      <c r="G24" s="194" t="s">
        <v>145</v>
      </c>
    </row>
    <row r="25" spans="3:10" ht="25.5" customHeight="1" thickTop="1" thickBot="1">
      <c r="C25" s="197" t="s">
        <v>149</v>
      </c>
      <c r="D25" s="198" t="s">
        <v>146</v>
      </c>
      <c r="E25" s="198">
        <f>1760-E16</f>
        <v>854</v>
      </c>
      <c r="F25" s="199">
        <v>456.53</v>
      </c>
      <c r="G25" s="200">
        <f>E25*F25</f>
        <v>389876.62</v>
      </c>
    </row>
    <row r="26" spans="3:10" ht="15" thickTop="1">
      <c r="C26" s="190"/>
      <c r="D26" s="190"/>
      <c r="E26" s="190"/>
      <c r="F26" s="190"/>
      <c r="G26" s="195">
        <f>G25/$D$10</f>
        <v>77035.491009681878</v>
      </c>
      <c r="I26" s="169">
        <f>'PA Atual Aprovado R6'!Q22</f>
        <v>77208.541327800835</v>
      </c>
      <c r="J26" t="s">
        <v>156</v>
      </c>
    </row>
    <row r="27" spans="3:10">
      <c r="C27" s="190"/>
      <c r="D27" s="190"/>
      <c r="E27" s="190"/>
      <c r="F27" s="190"/>
      <c r="G27" s="190"/>
    </row>
    <row r="28" spans="3:10">
      <c r="C28" s="190"/>
      <c r="D28" s="190"/>
      <c r="E28" s="190"/>
      <c r="F28" s="190"/>
      <c r="G28" s="190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A8149E-0CDE-4B6F-AB34-4A03D25A7C58}">
  <dimension ref="A1"/>
  <sheetViews>
    <sheetView topLeftCell="L36" workbookViewId="0">
      <selection activeCell="Q1" sqref="Q1"/>
    </sheetView>
  </sheetViews>
  <sheetFormatPr defaultRowHeight="14.4"/>
  <sheetData/>
  <pageMargins left="0.511811024" right="0.511811024" top="0.78740157499999996" bottom="0.78740157499999996" header="0.31496062000000002" footer="0.31496062000000002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D631BD-7367-4308-B472-522E73B8DDB6}">
  <sheetPr>
    <tabColor rgb="FFFFFF00"/>
  </sheetPr>
  <dimension ref="A1:CK57"/>
  <sheetViews>
    <sheetView topLeftCell="L9" zoomScale="70" zoomScaleNormal="70" zoomScalePageLayoutView="78" workbookViewId="0">
      <pane xSplit="3" ySplit="2" topLeftCell="O11" activePane="bottomRight" state="frozen"/>
      <selection activeCell="AN35" sqref="AN35"/>
      <selection pane="topRight" activeCell="AN35" sqref="AN35"/>
      <selection pane="bottomLeft" activeCell="AN35" sqref="AN35"/>
      <selection pane="bottomRight" activeCell="M15" sqref="M15"/>
    </sheetView>
  </sheetViews>
  <sheetFormatPr defaultColWidth="9.109375" defaultRowHeight="15.6"/>
  <cols>
    <col min="1" max="1" width="2.44140625" style="34" customWidth="1"/>
    <col min="2" max="2" width="9" style="137" customWidth="1"/>
    <col min="3" max="3" width="53.5546875" style="34" customWidth="1"/>
    <col min="4" max="4" width="15.44140625" style="34" customWidth="1"/>
    <col min="5" max="5" width="10.44140625" style="67" hidden="1" customWidth="1"/>
    <col min="6" max="6" width="12.44140625" style="34" bestFit="1" customWidth="1"/>
    <col min="7" max="7" width="9" style="137" customWidth="1"/>
    <col min="8" max="8" width="53.5546875" style="34" customWidth="1"/>
    <col min="9" max="9" width="15.44140625" style="34" customWidth="1"/>
    <col min="10" max="10" width="10.44140625" style="67" customWidth="1"/>
    <col min="11" max="11" width="12.44140625" style="34" bestFit="1" customWidth="1"/>
    <col min="12" max="12" width="9.109375" style="34"/>
    <col min="13" max="13" width="58.5546875" style="34" customWidth="1"/>
    <col min="14" max="14" width="20.6640625" style="34" customWidth="1"/>
    <col min="15" max="15" width="38.5546875" style="41" hidden="1" customWidth="1"/>
    <col min="16" max="16" width="12.5546875" style="34" hidden="1" customWidth="1"/>
    <col min="17" max="17" width="15" style="34" hidden="1" customWidth="1"/>
    <col min="18" max="19" width="9.109375" style="34" hidden="1" customWidth="1"/>
    <col min="20" max="20" width="16.5546875" style="34" hidden="1" customWidth="1"/>
    <col min="21" max="21" width="9.109375" style="34" hidden="1" customWidth="1"/>
    <col min="22" max="23" width="11.5546875" style="34" hidden="1" customWidth="1"/>
    <col min="24" max="24" width="13.5546875" style="34" hidden="1" customWidth="1"/>
    <col min="25" max="42" width="9.109375" style="34" hidden="1" customWidth="1"/>
    <col min="43" max="43" width="10" style="34" hidden="1" customWidth="1"/>
    <col min="44" max="44" width="9.109375" style="34" hidden="1" customWidth="1"/>
    <col min="45" max="45" width="10.5546875" style="34" hidden="1" customWidth="1"/>
    <col min="46" max="47" width="9.109375" style="34" hidden="1" customWidth="1"/>
    <col min="48" max="52" width="10" style="34" hidden="1" customWidth="1"/>
    <col min="53" max="53" width="9.109375" style="34" hidden="1" customWidth="1"/>
    <col min="54" max="55" width="11.5546875" style="34" hidden="1" customWidth="1"/>
    <col min="56" max="64" width="12.88671875" style="34" hidden="1" customWidth="1"/>
    <col min="65" max="69" width="14" style="34" hidden="1" customWidth="1"/>
    <col min="70" max="70" width="14" style="34" customWidth="1"/>
    <col min="71" max="74" width="14" style="34" bestFit="1" customWidth="1"/>
    <col min="75" max="86" width="14" style="34" customWidth="1"/>
    <col min="87" max="87" width="9.109375" style="34"/>
    <col min="88" max="88" width="14" style="34" bestFit="1" customWidth="1"/>
    <col min="89" max="16384" width="9.109375" style="34"/>
  </cols>
  <sheetData>
    <row r="1" spans="1:88" s="37" customFormat="1" ht="20.25" customHeight="1">
      <c r="B1" s="93" t="s">
        <v>102</v>
      </c>
      <c r="G1" s="93" t="s">
        <v>103</v>
      </c>
      <c r="L1" s="37" t="s">
        <v>104</v>
      </c>
      <c r="O1" s="38"/>
    </row>
    <row r="2" spans="1:88" s="39" customFormat="1" ht="20.25" customHeight="1">
      <c r="B2" s="94"/>
      <c r="E2" s="95"/>
      <c r="G2" s="94"/>
      <c r="J2" s="95"/>
      <c r="O2" s="40"/>
    </row>
    <row r="3" spans="1:88" ht="21" hidden="1" customHeight="1">
      <c r="B3" s="204" t="s">
        <v>72</v>
      </c>
      <c r="C3" s="205"/>
      <c r="D3" s="206"/>
      <c r="G3" s="204" t="s">
        <v>72</v>
      </c>
      <c r="H3" s="205"/>
      <c r="I3" s="206"/>
    </row>
    <row r="4" spans="1:88" ht="40.950000000000003" hidden="1" customHeight="1">
      <c r="B4" s="208" t="s">
        <v>73</v>
      </c>
      <c r="C4" s="209"/>
      <c r="D4" s="209"/>
      <c r="G4" s="208" t="s">
        <v>73</v>
      </c>
      <c r="H4" s="209"/>
      <c r="I4" s="209"/>
    </row>
    <row r="5" spans="1:88" ht="37.5" hidden="1" customHeight="1">
      <c r="B5" s="215" t="s">
        <v>76</v>
      </c>
      <c r="C5" s="216"/>
      <c r="D5" s="216"/>
      <c r="G5" s="215" t="s">
        <v>76</v>
      </c>
      <c r="H5" s="216"/>
      <c r="I5" s="216"/>
    </row>
    <row r="6" spans="1:88" ht="21" hidden="1" customHeight="1">
      <c r="B6" s="221" t="s">
        <v>78</v>
      </c>
      <c r="C6" s="222"/>
      <c r="D6" s="222"/>
      <c r="G6" s="221" t="s">
        <v>78</v>
      </c>
      <c r="H6" s="222"/>
      <c r="I6" s="222"/>
    </row>
    <row r="7" spans="1:88" ht="22.5" hidden="1" customHeight="1">
      <c r="A7" s="34" t="s">
        <v>105</v>
      </c>
      <c r="B7" s="96" t="s">
        <v>106</v>
      </c>
      <c r="C7" s="67"/>
      <c r="D7" s="67" t="s">
        <v>107</v>
      </c>
      <c r="G7" s="96" t="s">
        <v>106</v>
      </c>
      <c r="H7" s="67"/>
      <c r="I7" s="67" t="s">
        <v>107</v>
      </c>
    </row>
    <row r="8" spans="1:88" ht="12" hidden="1" customHeight="1">
      <c r="B8" s="97"/>
      <c r="C8" s="75"/>
      <c r="D8" s="75"/>
      <c r="G8" s="97"/>
      <c r="H8" s="75"/>
      <c r="I8" s="75"/>
    </row>
    <row r="9" spans="1:88" s="42" customFormat="1" ht="84" customHeight="1">
      <c r="B9" s="260" t="s">
        <v>41</v>
      </c>
      <c r="C9" s="262" t="s">
        <v>42</v>
      </c>
      <c r="D9" s="202" t="s">
        <v>43</v>
      </c>
      <c r="E9" s="202" t="s">
        <v>108</v>
      </c>
      <c r="G9" s="260" t="s">
        <v>41</v>
      </c>
      <c r="H9" s="262" t="s">
        <v>42</v>
      </c>
      <c r="I9" s="202" t="s">
        <v>43</v>
      </c>
      <c r="J9" s="202" t="s">
        <v>108</v>
      </c>
      <c r="L9" s="201" t="s">
        <v>41</v>
      </c>
      <c r="M9" s="202" t="s">
        <v>42</v>
      </c>
      <c r="N9" s="202" t="s">
        <v>43</v>
      </c>
      <c r="O9" s="265" t="s">
        <v>47</v>
      </c>
      <c r="P9" s="202" t="s">
        <v>48</v>
      </c>
      <c r="Q9" s="202" t="s">
        <v>49</v>
      </c>
      <c r="R9" s="202" t="s">
        <v>50</v>
      </c>
      <c r="S9" s="202"/>
      <c r="T9" s="202" t="s">
        <v>51</v>
      </c>
      <c r="U9" s="202" t="s">
        <v>52</v>
      </c>
      <c r="V9" s="202" t="s">
        <v>53</v>
      </c>
      <c r="W9" s="44">
        <v>44136</v>
      </c>
      <c r="X9" s="44">
        <v>44166</v>
      </c>
      <c r="Y9" s="44">
        <v>44197</v>
      </c>
      <c r="Z9" s="44">
        <v>44228</v>
      </c>
      <c r="AA9" s="44">
        <v>44256</v>
      </c>
      <c r="AB9" s="44">
        <v>44287</v>
      </c>
      <c r="AC9" s="44">
        <v>44317</v>
      </c>
      <c r="AD9" s="44">
        <v>44348</v>
      </c>
      <c r="AE9" s="44">
        <v>44378</v>
      </c>
      <c r="AF9" s="44">
        <v>44409</v>
      </c>
      <c r="AG9" s="44">
        <v>44440</v>
      </c>
      <c r="AH9" s="44">
        <v>44470</v>
      </c>
      <c r="AI9" s="44">
        <v>44501</v>
      </c>
      <c r="AJ9" s="44">
        <v>44531</v>
      </c>
      <c r="AK9" s="44">
        <v>44562</v>
      </c>
      <c r="AL9" s="44">
        <v>44593</v>
      </c>
      <c r="AM9" s="44">
        <v>44621</v>
      </c>
      <c r="AN9" s="44">
        <v>44652</v>
      </c>
      <c r="AO9" s="44">
        <v>44682</v>
      </c>
      <c r="AP9" s="44">
        <v>44713</v>
      </c>
      <c r="AQ9" s="44">
        <v>44743</v>
      </c>
      <c r="AR9" s="44">
        <v>44774</v>
      </c>
      <c r="AS9" s="44">
        <v>44805</v>
      </c>
      <c r="AT9" s="44">
        <v>44835</v>
      </c>
      <c r="AU9" s="44">
        <v>44866</v>
      </c>
      <c r="AV9" s="44">
        <v>44896</v>
      </c>
      <c r="AW9" s="44">
        <v>44927</v>
      </c>
      <c r="AX9" s="44">
        <v>44958</v>
      </c>
      <c r="AY9" s="44">
        <v>44986</v>
      </c>
      <c r="AZ9" s="44">
        <v>45017</v>
      </c>
      <c r="BA9" s="44">
        <v>45047</v>
      </c>
      <c r="BB9" s="44">
        <v>44136</v>
      </c>
      <c r="BC9" s="44">
        <v>44166</v>
      </c>
      <c r="BD9" s="44">
        <v>44197</v>
      </c>
      <c r="BE9" s="44">
        <v>44228</v>
      </c>
      <c r="BF9" s="44">
        <v>44256</v>
      </c>
      <c r="BG9" s="44">
        <v>44287</v>
      </c>
      <c r="BH9" s="44">
        <v>44317</v>
      </c>
      <c r="BI9" s="44">
        <v>44348</v>
      </c>
      <c r="BJ9" s="44">
        <v>44378</v>
      </c>
      <c r="BK9" s="44">
        <v>44409</v>
      </c>
      <c r="BL9" s="44">
        <v>44440</v>
      </c>
      <c r="BM9" s="44">
        <v>44470</v>
      </c>
      <c r="BN9" s="44">
        <v>44501</v>
      </c>
      <c r="BO9" s="44">
        <v>44531</v>
      </c>
      <c r="BP9" s="44">
        <v>44562</v>
      </c>
      <c r="BQ9" s="44">
        <v>44593</v>
      </c>
      <c r="BR9" s="44" t="s">
        <v>109</v>
      </c>
      <c r="BS9" s="44">
        <v>44621</v>
      </c>
      <c r="BT9" s="44">
        <v>44652</v>
      </c>
      <c r="BU9" s="44">
        <v>44682</v>
      </c>
      <c r="BV9" s="44">
        <v>44713</v>
      </c>
      <c r="BW9" s="44">
        <v>44743</v>
      </c>
      <c r="BX9" s="44">
        <v>44774</v>
      </c>
      <c r="BY9" s="44">
        <v>44805</v>
      </c>
      <c r="BZ9" s="44">
        <v>44835</v>
      </c>
      <c r="CA9" s="44">
        <v>44866</v>
      </c>
      <c r="CB9" s="44">
        <v>44896</v>
      </c>
      <c r="CC9" s="44">
        <v>44927</v>
      </c>
      <c r="CD9" s="44">
        <v>44958</v>
      </c>
      <c r="CE9" s="44">
        <v>44986</v>
      </c>
      <c r="CF9" s="44">
        <v>45017</v>
      </c>
      <c r="CG9" s="44">
        <v>45047</v>
      </c>
      <c r="CH9" s="264" t="s">
        <v>40</v>
      </c>
    </row>
    <row r="10" spans="1:88" s="42" customFormat="1" ht="27.75" customHeight="1">
      <c r="B10" s="261"/>
      <c r="C10" s="263"/>
      <c r="D10" s="262"/>
      <c r="E10" s="262"/>
      <c r="G10" s="261"/>
      <c r="H10" s="263"/>
      <c r="I10" s="262"/>
      <c r="J10" s="262"/>
      <c r="L10" s="201"/>
      <c r="M10" s="202"/>
      <c r="N10" s="202"/>
      <c r="O10" s="266"/>
      <c r="P10" s="202"/>
      <c r="Q10" s="202"/>
      <c r="R10" s="33" t="s">
        <v>56</v>
      </c>
      <c r="S10" s="33" t="s">
        <v>57</v>
      </c>
      <c r="T10" s="202"/>
      <c r="U10" s="202"/>
      <c r="V10" s="202"/>
      <c r="W10" s="33">
        <v>1</v>
      </c>
      <c r="X10" s="33">
        <v>2</v>
      </c>
      <c r="Y10" s="33">
        <v>3</v>
      </c>
      <c r="Z10" s="33">
        <v>4</v>
      </c>
      <c r="AA10" s="33">
        <v>5</v>
      </c>
      <c r="AB10" s="33">
        <v>6</v>
      </c>
      <c r="AC10" s="33">
        <v>7</v>
      </c>
      <c r="AD10" s="33">
        <v>8</v>
      </c>
      <c r="AE10" s="33">
        <v>9</v>
      </c>
      <c r="AF10" s="33">
        <v>10</v>
      </c>
      <c r="AG10" s="33">
        <v>11</v>
      </c>
      <c r="AH10" s="33">
        <v>12</v>
      </c>
      <c r="AI10" s="33">
        <v>13</v>
      </c>
      <c r="AJ10" s="33">
        <v>14</v>
      </c>
      <c r="AK10" s="33">
        <v>15</v>
      </c>
      <c r="AL10" s="33">
        <v>16</v>
      </c>
      <c r="AM10" s="33">
        <v>17</v>
      </c>
      <c r="AN10" s="33">
        <v>18</v>
      </c>
      <c r="AO10" s="33">
        <v>19</v>
      </c>
      <c r="AP10" s="33">
        <v>20</v>
      </c>
      <c r="AQ10" s="33">
        <v>21</v>
      </c>
      <c r="AR10" s="33">
        <v>22</v>
      </c>
      <c r="AS10" s="33">
        <v>23</v>
      </c>
      <c r="AT10" s="33">
        <v>24</v>
      </c>
      <c r="AU10" s="33">
        <v>25</v>
      </c>
      <c r="AV10" s="33">
        <v>26</v>
      </c>
      <c r="AW10" s="33">
        <v>27</v>
      </c>
      <c r="AX10" s="33">
        <v>28</v>
      </c>
      <c r="AY10" s="33">
        <v>29</v>
      </c>
      <c r="AZ10" s="33">
        <v>30</v>
      </c>
      <c r="BA10" s="33">
        <v>31</v>
      </c>
      <c r="BB10" s="33">
        <v>1</v>
      </c>
      <c r="BC10" s="33">
        <v>2</v>
      </c>
      <c r="BD10" s="33">
        <v>3</v>
      </c>
      <c r="BE10" s="33">
        <v>4</v>
      </c>
      <c r="BF10" s="33">
        <v>5</v>
      </c>
      <c r="BG10" s="33">
        <v>6</v>
      </c>
      <c r="BH10" s="33">
        <v>7</v>
      </c>
      <c r="BI10" s="33">
        <v>8</v>
      </c>
      <c r="BJ10" s="33">
        <v>9</v>
      </c>
      <c r="BK10" s="33">
        <v>10</v>
      </c>
      <c r="BL10" s="33">
        <v>11</v>
      </c>
      <c r="BM10" s="33">
        <v>12</v>
      </c>
      <c r="BN10" s="33">
        <v>13</v>
      </c>
      <c r="BO10" s="33">
        <v>14</v>
      </c>
      <c r="BP10" s="33">
        <v>15</v>
      </c>
      <c r="BQ10" s="33">
        <v>16</v>
      </c>
      <c r="BR10" s="33" t="s">
        <v>110</v>
      </c>
      <c r="BS10" s="33">
        <v>17</v>
      </c>
      <c r="BT10" s="33">
        <v>18</v>
      </c>
      <c r="BU10" s="33">
        <v>19</v>
      </c>
      <c r="BV10" s="33">
        <v>20</v>
      </c>
      <c r="BW10" s="33">
        <v>21</v>
      </c>
      <c r="BX10" s="33">
        <v>22</v>
      </c>
      <c r="BY10" s="33">
        <v>23</v>
      </c>
      <c r="BZ10" s="33">
        <v>24</v>
      </c>
      <c r="CA10" s="33">
        <v>25</v>
      </c>
      <c r="CB10" s="33">
        <v>26</v>
      </c>
      <c r="CC10" s="33">
        <v>27</v>
      </c>
      <c r="CD10" s="33">
        <v>28</v>
      </c>
      <c r="CE10" s="33">
        <v>29</v>
      </c>
      <c r="CF10" s="33">
        <v>30</v>
      </c>
      <c r="CG10" s="33">
        <v>31</v>
      </c>
      <c r="CH10" s="264"/>
    </row>
    <row r="11" spans="1:88" ht="35.1" customHeight="1">
      <c r="B11" s="98">
        <v>1</v>
      </c>
      <c r="C11" s="2" t="s">
        <v>0</v>
      </c>
      <c r="D11" s="3">
        <f>SUM(D12:D15)</f>
        <v>412878.79000000004</v>
      </c>
      <c r="E11" s="273" t="s">
        <v>111</v>
      </c>
      <c r="G11" s="98">
        <v>1</v>
      </c>
      <c r="H11" s="2" t="s">
        <v>0</v>
      </c>
      <c r="I11" s="3">
        <f>SUM(I12:I15)</f>
        <v>412878.79000000004</v>
      </c>
      <c r="J11" s="274" t="s">
        <v>111</v>
      </c>
      <c r="L11" s="1">
        <v>1</v>
      </c>
      <c r="M11" s="2" t="s">
        <v>0</v>
      </c>
      <c r="N11" s="3">
        <f>N13+N17</f>
        <v>412879</v>
      </c>
      <c r="O11" s="45"/>
      <c r="P11" s="46"/>
      <c r="Q11" s="47"/>
      <c r="R11" s="46"/>
      <c r="S11" s="46"/>
      <c r="T11" s="48"/>
      <c r="U11" s="47"/>
      <c r="V11" s="46"/>
      <c r="W11" s="46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  <c r="BE11" s="47"/>
      <c r="BF11" s="47"/>
      <c r="BG11" s="47"/>
      <c r="BH11" s="47"/>
      <c r="BI11" s="47"/>
      <c r="BJ11" s="47"/>
      <c r="BK11" s="47"/>
      <c r="BL11" s="47"/>
      <c r="BM11" s="47"/>
      <c r="BN11" s="47"/>
      <c r="BO11" s="47"/>
      <c r="BP11" s="47"/>
      <c r="BQ11" s="47"/>
      <c r="BR11" s="47"/>
      <c r="BS11" s="47"/>
      <c r="BT11" s="47"/>
      <c r="BU11" s="47"/>
      <c r="BV11" s="47"/>
      <c r="BW11" s="47"/>
      <c r="BX11" s="47"/>
      <c r="BY11" s="47"/>
      <c r="BZ11" s="47"/>
      <c r="CA11" s="47"/>
      <c r="CB11" s="47"/>
      <c r="CC11" s="47"/>
      <c r="CD11" s="47"/>
      <c r="CE11" s="47"/>
      <c r="CF11" s="47"/>
      <c r="CG11" s="47"/>
      <c r="CH11" s="2"/>
    </row>
    <row r="12" spans="1:88" ht="35.1" customHeight="1">
      <c r="B12" s="99" t="s">
        <v>1</v>
      </c>
      <c r="C12" s="6" t="s">
        <v>112</v>
      </c>
      <c r="D12" s="7">
        <v>56818.18</v>
      </c>
      <c r="E12" s="273"/>
      <c r="G12" s="99" t="s">
        <v>1</v>
      </c>
      <c r="H12" s="6" t="s">
        <v>112</v>
      </c>
      <c r="I12" s="7">
        <v>56818.18</v>
      </c>
      <c r="J12" s="275"/>
      <c r="L12" s="1" t="s">
        <v>1</v>
      </c>
      <c r="M12" s="4" t="s">
        <v>2</v>
      </c>
      <c r="N12" s="3"/>
      <c r="O12" s="45"/>
      <c r="P12" s="49"/>
      <c r="Q12" s="2"/>
      <c r="R12" s="46"/>
      <c r="S12" s="46"/>
      <c r="T12" s="48"/>
      <c r="U12" s="2"/>
      <c r="V12" s="49"/>
      <c r="W12" s="49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  <c r="AX12" s="47"/>
      <c r="AY12" s="47"/>
      <c r="AZ12" s="47"/>
      <c r="BA12" s="47"/>
      <c r="BB12" s="47"/>
      <c r="BC12" s="47"/>
      <c r="BD12" s="47"/>
      <c r="BE12" s="47"/>
      <c r="BF12" s="47"/>
      <c r="BG12" s="47"/>
      <c r="BH12" s="47"/>
      <c r="BI12" s="47"/>
      <c r="BJ12" s="47"/>
      <c r="BK12" s="47"/>
      <c r="BL12" s="47"/>
      <c r="BM12" s="47"/>
      <c r="BN12" s="50"/>
      <c r="BO12" s="47"/>
      <c r="BP12" s="47"/>
      <c r="BQ12" s="47"/>
      <c r="BR12" s="47"/>
      <c r="BS12" s="47"/>
      <c r="BT12" s="47"/>
      <c r="BU12" s="47"/>
      <c r="BV12" s="47"/>
      <c r="BW12" s="47"/>
      <c r="BX12" s="47"/>
      <c r="BY12" s="47"/>
      <c r="BZ12" s="47"/>
      <c r="CA12" s="47"/>
      <c r="CB12" s="47"/>
      <c r="CC12" s="47"/>
      <c r="CD12" s="47"/>
      <c r="CE12" s="47"/>
      <c r="CF12" s="47"/>
      <c r="CG12" s="47"/>
      <c r="CH12" s="2"/>
    </row>
    <row r="13" spans="1:88" s="35" customFormat="1" ht="35.1" customHeight="1">
      <c r="B13" s="99" t="s">
        <v>68</v>
      </c>
      <c r="C13" s="6" t="s">
        <v>113</v>
      </c>
      <c r="D13" s="7">
        <v>115151.52</v>
      </c>
      <c r="E13" s="273"/>
      <c r="G13" s="99" t="s">
        <v>68</v>
      </c>
      <c r="H13" s="6" t="s">
        <v>113</v>
      </c>
      <c r="I13" s="7">
        <v>115151.52</v>
      </c>
      <c r="J13" s="275"/>
      <c r="L13" s="23" t="s">
        <v>3</v>
      </c>
      <c r="M13" s="24" t="s">
        <v>114</v>
      </c>
      <c r="N13" s="19">
        <v>372000</v>
      </c>
      <c r="O13" s="51"/>
      <c r="P13" s="23" t="s">
        <v>58</v>
      </c>
      <c r="Q13" s="23" t="s">
        <v>59</v>
      </c>
      <c r="R13" s="23">
        <v>100</v>
      </c>
      <c r="S13" s="23">
        <v>0</v>
      </c>
      <c r="T13" s="52">
        <v>44276</v>
      </c>
      <c r="U13" s="23" t="s">
        <v>60</v>
      </c>
      <c r="V13" s="23"/>
      <c r="W13" s="23"/>
      <c r="X13" s="53"/>
      <c r="Y13" s="53"/>
      <c r="Z13" s="53"/>
      <c r="AA13" s="53"/>
      <c r="AB13" s="53"/>
      <c r="AC13" s="53"/>
      <c r="AD13" s="53"/>
      <c r="AE13" s="53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55"/>
      <c r="AU13" s="55"/>
      <c r="AV13" s="55"/>
      <c r="AW13" s="55"/>
      <c r="AX13" s="55"/>
      <c r="AY13" s="55"/>
      <c r="AZ13" s="55"/>
      <c r="BA13" s="55"/>
      <c r="BB13" s="55"/>
      <c r="BC13" s="56"/>
      <c r="BD13" s="56"/>
      <c r="BE13" s="56"/>
      <c r="BF13" s="56"/>
      <c r="BG13" s="56"/>
      <c r="BH13" s="56"/>
      <c r="BI13" s="56"/>
      <c r="BJ13" s="56"/>
      <c r="BK13" s="56"/>
      <c r="BL13" s="56"/>
      <c r="BM13" s="56"/>
      <c r="BN13" s="56"/>
      <c r="BO13" s="56"/>
      <c r="BP13" s="56"/>
      <c r="BQ13" s="56">
        <f>BQ14+BQ15</f>
        <v>18137.18140929535</v>
      </c>
      <c r="BR13" s="100">
        <f>SUM(BB13:BQ13)</f>
        <v>18137.18140929535</v>
      </c>
      <c r="BS13" s="56">
        <f t="shared" ref="BS13:CG13" si="0">BS14+BS15</f>
        <v>114091.89355322337</v>
      </c>
      <c r="BT13" s="56">
        <f t="shared" si="0"/>
        <v>59503.083733133426</v>
      </c>
      <c r="BU13" s="56">
        <f t="shared" si="0"/>
        <v>19834.361244377811</v>
      </c>
      <c r="BV13" s="56">
        <f t="shared" si="0"/>
        <v>19834.361244377811</v>
      </c>
      <c r="BW13" s="56">
        <f t="shared" si="0"/>
        <v>39668.722488755622</v>
      </c>
      <c r="BX13" s="56">
        <f t="shared" si="0"/>
        <v>25651.10127436282</v>
      </c>
      <c r="BY13" s="56">
        <f t="shared" si="0"/>
        <v>17365.638755622189</v>
      </c>
      <c r="BZ13" s="56">
        <f t="shared" si="0"/>
        <v>37200</v>
      </c>
      <c r="CA13" s="56">
        <f t="shared" si="0"/>
        <v>4142.7312593703164</v>
      </c>
      <c r="CB13" s="56">
        <f t="shared" si="0"/>
        <v>4142.7312593703164</v>
      </c>
      <c r="CC13" s="56">
        <f t="shared" si="0"/>
        <v>4142.7312593703164</v>
      </c>
      <c r="CD13" s="56">
        <f t="shared" si="0"/>
        <v>4142.7312593703164</v>
      </c>
      <c r="CE13" s="56">
        <f t="shared" si="0"/>
        <v>4142.7312593703164</v>
      </c>
      <c r="CF13" s="56">
        <f t="shared" si="0"/>
        <v>0</v>
      </c>
      <c r="CG13" s="56">
        <f t="shared" si="0"/>
        <v>0</v>
      </c>
      <c r="CH13" s="101">
        <f>SUM(BR13:CG13)</f>
        <v>372000.00000000006</v>
      </c>
    </row>
    <row r="14" spans="1:88" s="35" customFormat="1" ht="40.200000000000003" customHeight="1">
      <c r="B14" s="99" t="s">
        <v>115</v>
      </c>
      <c r="C14" s="6" t="s">
        <v>116</v>
      </c>
      <c r="D14" s="7">
        <v>218181.82</v>
      </c>
      <c r="E14" s="273"/>
      <c r="G14" s="99" t="s">
        <v>115</v>
      </c>
      <c r="H14" s="6" t="s">
        <v>116</v>
      </c>
      <c r="I14" s="7">
        <v>218181.82</v>
      </c>
      <c r="J14" s="275"/>
      <c r="L14" s="23" t="s">
        <v>5</v>
      </c>
      <c r="M14" s="24" t="s">
        <v>6</v>
      </c>
      <c r="N14" s="19">
        <f>1763935.86/5.336</f>
        <v>330572.68740629684</v>
      </c>
      <c r="O14" s="51"/>
      <c r="P14" s="23" t="s">
        <v>58</v>
      </c>
      <c r="Q14" s="23" t="s">
        <v>59</v>
      </c>
      <c r="R14" s="23">
        <v>100</v>
      </c>
      <c r="S14" s="23">
        <v>0</v>
      </c>
      <c r="T14" s="52">
        <v>44276</v>
      </c>
      <c r="U14" s="23" t="s">
        <v>60</v>
      </c>
      <c r="V14" s="23"/>
      <c r="W14" s="23"/>
      <c r="X14" s="53"/>
      <c r="Y14" s="53"/>
      <c r="Z14" s="53"/>
      <c r="AA14" s="53"/>
      <c r="AB14" s="53"/>
      <c r="AC14" s="53"/>
      <c r="AD14" s="53"/>
      <c r="AE14" s="53"/>
      <c r="AF14" s="55"/>
      <c r="AG14" s="55"/>
      <c r="AH14" s="55"/>
      <c r="AI14" s="55"/>
      <c r="AJ14" s="55"/>
      <c r="AK14" s="55"/>
      <c r="AL14" s="55">
        <f>'[1]Cronograma Exec 1.1.1 Revisado'!M10</f>
        <v>5.486594053368811E-2</v>
      </c>
      <c r="AM14" s="55">
        <f>'[1]Cronograma Exec 1.1.1 Revisado'!N10</f>
        <v>0.34513405946631187</v>
      </c>
      <c r="AN14" s="55">
        <f>'[1]Cronograma Exec 1.1.1 Revisado'!O10</f>
        <v>0.18</v>
      </c>
      <c r="AO14" s="55">
        <f>'[1]Cronograma Exec 1.1.1 Revisado'!P10</f>
        <v>6.0000000000000005E-2</v>
      </c>
      <c r="AP14" s="55">
        <f>'[1]Cronograma Exec 1.1.1 Revisado'!Q10</f>
        <v>6.0000000000000005E-2</v>
      </c>
      <c r="AQ14" s="55">
        <f>'[1]Cronograma Exec 1.1.1 Revisado'!R10</f>
        <v>0.12000000000000001</v>
      </c>
      <c r="AR14" s="55">
        <f>'[1]Cronograma Exec 1.1.1 Revisado'!S10</f>
        <v>0.04</v>
      </c>
      <c r="AS14" s="55">
        <f>'[1]Cronograma Exec 1.1.1 Revisado'!T10</f>
        <v>0.04</v>
      </c>
      <c r="AT14" s="55">
        <f>'[1]Cronograma Exec 1.1.1 Revisado'!U10</f>
        <v>0.1</v>
      </c>
      <c r="AU14" s="55"/>
      <c r="AV14" s="55"/>
      <c r="AW14" s="55"/>
      <c r="AX14" s="55"/>
      <c r="AY14" s="55"/>
      <c r="AZ14" s="55"/>
      <c r="BA14" s="55"/>
      <c r="BB14" s="56">
        <f t="shared" ref="BB14:BQ14" si="1">W14*$N$14</f>
        <v>0</v>
      </c>
      <c r="BC14" s="56">
        <f t="shared" si="1"/>
        <v>0</v>
      </c>
      <c r="BD14" s="56">
        <f t="shared" si="1"/>
        <v>0</v>
      </c>
      <c r="BE14" s="56">
        <f t="shared" si="1"/>
        <v>0</v>
      </c>
      <c r="BF14" s="56">
        <f t="shared" si="1"/>
        <v>0</v>
      </c>
      <c r="BG14" s="56">
        <f t="shared" si="1"/>
        <v>0</v>
      </c>
      <c r="BH14" s="56">
        <f t="shared" si="1"/>
        <v>0</v>
      </c>
      <c r="BI14" s="56">
        <f t="shared" si="1"/>
        <v>0</v>
      </c>
      <c r="BJ14" s="56">
        <f t="shared" si="1"/>
        <v>0</v>
      </c>
      <c r="BK14" s="56">
        <f t="shared" si="1"/>
        <v>0</v>
      </c>
      <c r="BL14" s="56">
        <f t="shared" si="1"/>
        <v>0</v>
      </c>
      <c r="BM14" s="56">
        <f t="shared" si="1"/>
        <v>0</v>
      </c>
      <c r="BN14" s="56">
        <f t="shared" si="1"/>
        <v>0</v>
      </c>
      <c r="BO14" s="56">
        <f t="shared" si="1"/>
        <v>0</v>
      </c>
      <c r="BP14" s="56">
        <f t="shared" si="1"/>
        <v>0</v>
      </c>
      <c r="BQ14" s="56">
        <f t="shared" si="1"/>
        <v>18137.18140929535</v>
      </c>
      <c r="BR14" s="56"/>
      <c r="BS14" s="56">
        <f t="shared" ref="BS14:CG14" si="2">AM14*$N$14</f>
        <v>114091.89355322337</v>
      </c>
      <c r="BT14" s="56">
        <f t="shared" si="2"/>
        <v>59503.083733133426</v>
      </c>
      <c r="BU14" s="56">
        <f t="shared" si="2"/>
        <v>19834.361244377811</v>
      </c>
      <c r="BV14" s="56">
        <f t="shared" si="2"/>
        <v>19834.361244377811</v>
      </c>
      <c r="BW14" s="56">
        <f t="shared" si="2"/>
        <v>39668.722488755622</v>
      </c>
      <c r="BX14" s="56">
        <f t="shared" si="2"/>
        <v>13222.907496251873</v>
      </c>
      <c r="BY14" s="56">
        <f t="shared" si="2"/>
        <v>13222.907496251873</v>
      </c>
      <c r="BZ14" s="56">
        <f t="shared" si="2"/>
        <v>33057.268740629683</v>
      </c>
      <c r="CA14" s="56">
        <f t="shared" si="2"/>
        <v>0</v>
      </c>
      <c r="CB14" s="56">
        <f t="shared" si="2"/>
        <v>0</v>
      </c>
      <c r="CC14" s="56">
        <f t="shared" si="2"/>
        <v>0</v>
      </c>
      <c r="CD14" s="56">
        <f t="shared" si="2"/>
        <v>0</v>
      </c>
      <c r="CE14" s="56">
        <f t="shared" si="2"/>
        <v>0</v>
      </c>
      <c r="CF14" s="56">
        <f t="shared" si="2"/>
        <v>0</v>
      </c>
      <c r="CG14" s="56">
        <f t="shared" si="2"/>
        <v>0</v>
      </c>
      <c r="CH14" s="58">
        <f>SUM(BJ14:CG14)</f>
        <v>330572.68740629673</v>
      </c>
      <c r="CJ14" s="102">
        <f>CH14</f>
        <v>330572.68740629673</v>
      </c>
    </row>
    <row r="15" spans="1:88" s="35" customFormat="1" ht="40.200000000000003" customHeight="1">
      <c r="B15" s="99" t="s">
        <v>117</v>
      </c>
      <c r="C15" s="6" t="s">
        <v>118</v>
      </c>
      <c r="D15" s="7">
        <v>22727.27</v>
      </c>
      <c r="E15" s="273"/>
      <c r="G15" s="99" t="s">
        <v>117</v>
      </c>
      <c r="H15" s="6" t="s">
        <v>118</v>
      </c>
      <c r="I15" s="7">
        <v>22727.27</v>
      </c>
      <c r="J15" s="276"/>
      <c r="L15" s="23" t="s">
        <v>7</v>
      </c>
      <c r="M15" s="24" t="s">
        <v>8</v>
      </c>
      <c r="N15" s="19">
        <f>N13-N14</f>
        <v>41427.312593703158</v>
      </c>
      <c r="O15" s="51"/>
      <c r="P15" s="23" t="s">
        <v>58</v>
      </c>
      <c r="Q15" s="23" t="s">
        <v>59</v>
      </c>
      <c r="R15" s="23">
        <v>100</v>
      </c>
      <c r="S15" s="23">
        <v>0</v>
      </c>
      <c r="T15" s="52">
        <v>44276</v>
      </c>
      <c r="U15" s="23" t="s">
        <v>60</v>
      </c>
      <c r="V15" s="23"/>
      <c r="W15" s="23"/>
      <c r="X15" s="53"/>
      <c r="Y15" s="53"/>
      <c r="Z15" s="53"/>
      <c r="AA15" s="53"/>
      <c r="AB15" s="53"/>
      <c r="AC15" s="53"/>
      <c r="AD15" s="53"/>
      <c r="AE15" s="53"/>
      <c r="AF15" s="55"/>
      <c r="AG15" s="55"/>
      <c r="AH15" s="55"/>
      <c r="AI15" s="55"/>
      <c r="AJ15" s="55"/>
      <c r="AK15" s="55"/>
      <c r="AL15" s="55"/>
      <c r="AM15" s="55"/>
      <c r="AN15" s="55"/>
      <c r="AO15" s="55"/>
      <c r="AP15" s="55"/>
      <c r="AQ15" s="55"/>
      <c r="AR15" s="55">
        <v>0.3</v>
      </c>
      <c r="AS15" s="55">
        <v>0.1</v>
      </c>
      <c r="AT15" s="55">
        <v>0.1</v>
      </c>
      <c r="AU15" s="55">
        <v>0.1</v>
      </c>
      <c r="AV15" s="55">
        <v>0.1</v>
      </c>
      <c r="AW15" s="55">
        <v>0.1</v>
      </c>
      <c r="AX15" s="55">
        <v>0.1</v>
      </c>
      <c r="AY15" s="55">
        <v>0.1</v>
      </c>
      <c r="AZ15" s="55"/>
      <c r="BA15" s="55"/>
      <c r="BB15" s="56">
        <f t="shared" ref="BB15:BQ15" si="3">W15*$N$15</f>
        <v>0</v>
      </c>
      <c r="BC15" s="56">
        <f t="shared" si="3"/>
        <v>0</v>
      </c>
      <c r="BD15" s="56">
        <f t="shared" si="3"/>
        <v>0</v>
      </c>
      <c r="BE15" s="56">
        <f t="shared" si="3"/>
        <v>0</v>
      </c>
      <c r="BF15" s="56">
        <f t="shared" si="3"/>
        <v>0</v>
      </c>
      <c r="BG15" s="56">
        <f t="shared" si="3"/>
        <v>0</v>
      </c>
      <c r="BH15" s="56">
        <f t="shared" si="3"/>
        <v>0</v>
      </c>
      <c r="BI15" s="56">
        <f t="shared" si="3"/>
        <v>0</v>
      </c>
      <c r="BJ15" s="56">
        <f t="shared" si="3"/>
        <v>0</v>
      </c>
      <c r="BK15" s="56">
        <f t="shared" si="3"/>
        <v>0</v>
      </c>
      <c r="BL15" s="56">
        <f t="shared" si="3"/>
        <v>0</v>
      </c>
      <c r="BM15" s="56">
        <f t="shared" si="3"/>
        <v>0</v>
      </c>
      <c r="BN15" s="56">
        <f t="shared" si="3"/>
        <v>0</v>
      </c>
      <c r="BO15" s="56">
        <f t="shared" si="3"/>
        <v>0</v>
      </c>
      <c r="BP15" s="56">
        <f t="shared" si="3"/>
        <v>0</v>
      </c>
      <c r="BQ15" s="56">
        <f t="shared" si="3"/>
        <v>0</v>
      </c>
      <c r="BR15" s="56"/>
      <c r="BS15" s="56">
        <f t="shared" ref="BS15:CG15" si="4">AM15*$N$15</f>
        <v>0</v>
      </c>
      <c r="BT15" s="56">
        <f t="shared" si="4"/>
        <v>0</v>
      </c>
      <c r="BU15" s="56">
        <f t="shared" si="4"/>
        <v>0</v>
      </c>
      <c r="BV15" s="56">
        <f t="shared" si="4"/>
        <v>0</v>
      </c>
      <c r="BW15" s="56">
        <f t="shared" si="4"/>
        <v>0</v>
      </c>
      <c r="BX15" s="56">
        <f t="shared" si="4"/>
        <v>12428.193778110946</v>
      </c>
      <c r="BY15" s="56">
        <f t="shared" si="4"/>
        <v>4142.7312593703164</v>
      </c>
      <c r="BZ15" s="56">
        <f t="shared" si="4"/>
        <v>4142.7312593703164</v>
      </c>
      <c r="CA15" s="56">
        <f t="shared" si="4"/>
        <v>4142.7312593703164</v>
      </c>
      <c r="CB15" s="56">
        <f t="shared" si="4"/>
        <v>4142.7312593703164</v>
      </c>
      <c r="CC15" s="56">
        <f t="shared" si="4"/>
        <v>4142.7312593703164</v>
      </c>
      <c r="CD15" s="56">
        <f t="shared" si="4"/>
        <v>4142.7312593703164</v>
      </c>
      <c r="CE15" s="56">
        <f t="shared" si="4"/>
        <v>4142.7312593703164</v>
      </c>
      <c r="CF15" s="56">
        <f t="shared" si="4"/>
        <v>0</v>
      </c>
      <c r="CG15" s="56">
        <f t="shared" si="4"/>
        <v>0</v>
      </c>
      <c r="CH15" s="58">
        <f>SUM(BJ15:CG15)</f>
        <v>41427.312593703165</v>
      </c>
    </row>
    <row r="16" spans="1:88" s="35" customFormat="1" ht="35.1" customHeight="1">
      <c r="B16" s="98">
        <v>2</v>
      </c>
      <c r="C16" s="25" t="s">
        <v>119</v>
      </c>
      <c r="D16" s="14">
        <f>D17+D20</f>
        <v>328030.3</v>
      </c>
      <c r="E16" s="273"/>
      <c r="G16" s="98">
        <v>2</v>
      </c>
      <c r="H16" s="25" t="s">
        <v>119</v>
      </c>
      <c r="I16" s="14">
        <f>I17+I20</f>
        <v>328030.3</v>
      </c>
      <c r="J16" s="277" t="s">
        <v>120</v>
      </c>
      <c r="L16" s="1">
        <v>1.2</v>
      </c>
      <c r="M16" s="2" t="s">
        <v>9</v>
      </c>
      <c r="N16" s="14">
        <f>N17</f>
        <v>40879</v>
      </c>
      <c r="O16" s="51"/>
      <c r="P16" s="23"/>
      <c r="Q16" s="23"/>
      <c r="R16" s="23"/>
      <c r="S16" s="23"/>
      <c r="T16" s="52"/>
      <c r="U16" s="23"/>
      <c r="V16" s="1"/>
      <c r="W16" s="1"/>
      <c r="X16" s="53"/>
      <c r="Y16" s="53"/>
      <c r="Z16" s="53"/>
      <c r="AA16" s="53"/>
      <c r="AB16" s="53"/>
      <c r="AC16" s="53"/>
      <c r="AD16" s="53"/>
      <c r="AE16" s="53"/>
      <c r="AF16" s="53"/>
      <c r="AG16" s="53"/>
      <c r="AH16" s="53"/>
      <c r="AI16" s="53"/>
      <c r="AJ16" s="53"/>
      <c r="AK16" s="53"/>
      <c r="AL16" s="53"/>
      <c r="AM16" s="53"/>
      <c r="AN16" s="53"/>
      <c r="AO16" s="53"/>
      <c r="AP16" s="53"/>
      <c r="AQ16" s="53"/>
      <c r="AR16" s="53"/>
      <c r="AS16" s="53"/>
      <c r="AT16" s="53"/>
      <c r="AU16" s="53"/>
      <c r="AV16" s="53"/>
      <c r="AW16" s="53"/>
      <c r="AX16" s="53"/>
      <c r="AY16" s="53"/>
      <c r="AZ16" s="53"/>
      <c r="BA16" s="53"/>
      <c r="BB16" s="53"/>
      <c r="BC16" s="53"/>
      <c r="BD16" s="53"/>
      <c r="BE16" s="53"/>
      <c r="BF16" s="53"/>
      <c r="BG16" s="53"/>
      <c r="BH16" s="53"/>
      <c r="BI16" s="53"/>
      <c r="BJ16" s="53"/>
      <c r="BK16" s="53"/>
      <c r="BL16" s="53"/>
      <c r="BM16" s="53"/>
      <c r="BN16" s="53"/>
      <c r="BO16" s="53"/>
      <c r="BP16" s="53"/>
      <c r="BQ16" s="53"/>
      <c r="BR16" s="100">
        <f t="shared" ref="BR16:BR34" si="5">SUM(BB16:BQ16)</f>
        <v>0</v>
      </c>
      <c r="BS16" s="53"/>
      <c r="BT16" s="53"/>
      <c r="BU16" s="53"/>
      <c r="BV16" s="53"/>
      <c r="BW16" s="53"/>
      <c r="BX16" s="53"/>
      <c r="BY16" s="53"/>
      <c r="BZ16" s="53"/>
      <c r="CA16" s="53"/>
      <c r="CB16" s="53"/>
      <c r="CC16" s="53"/>
      <c r="CD16" s="53"/>
      <c r="CE16" s="53"/>
      <c r="CF16" s="53"/>
      <c r="CG16" s="53"/>
      <c r="CH16" s="101">
        <f t="shared" ref="CH16:CH34" si="6">SUM(BR16:CG16)</f>
        <v>0</v>
      </c>
    </row>
    <row r="17" spans="2:88" ht="35.1" customHeight="1">
      <c r="B17" s="103">
        <v>2.1</v>
      </c>
      <c r="C17" s="104" t="s">
        <v>121</v>
      </c>
      <c r="D17" s="105">
        <v>114545.45</v>
      </c>
      <c r="E17" s="273"/>
      <c r="G17" s="103">
        <v>2.1</v>
      </c>
      <c r="H17" s="104" t="s">
        <v>121</v>
      </c>
      <c r="I17" s="105">
        <v>114545.45</v>
      </c>
      <c r="J17" s="278"/>
      <c r="L17" s="23" t="s">
        <v>10</v>
      </c>
      <c r="M17" s="24" t="s">
        <v>11</v>
      </c>
      <c r="N17" s="19">
        <v>40879</v>
      </c>
      <c r="O17" s="51"/>
      <c r="P17" s="19" t="s">
        <v>62</v>
      </c>
      <c r="Q17" s="19" t="s">
        <v>63</v>
      </c>
      <c r="R17" s="23">
        <v>100</v>
      </c>
      <c r="S17" s="23">
        <v>0</v>
      </c>
      <c r="T17" s="52">
        <v>44531</v>
      </c>
      <c r="U17" s="23" t="s">
        <v>60</v>
      </c>
      <c r="V17" s="59"/>
      <c r="W17" s="1"/>
      <c r="X17" s="53"/>
      <c r="Y17" s="53"/>
      <c r="Z17" s="53"/>
      <c r="AA17" s="53"/>
      <c r="AB17" s="53"/>
      <c r="AC17" s="53"/>
      <c r="AD17" s="53"/>
      <c r="AE17" s="53"/>
      <c r="AF17" s="53"/>
      <c r="AG17" s="53"/>
      <c r="AH17" s="53"/>
      <c r="AI17" s="53"/>
      <c r="AJ17" s="53"/>
      <c r="AK17" s="53"/>
      <c r="AL17" s="54"/>
      <c r="AM17" s="55"/>
      <c r="AN17" s="55"/>
      <c r="AO17" s="55"/>
      <c r="AP17" s="55"/>
      <c r="AQ17" s="55"/>
      <c r="AR17" s="55">
        <v>0.3</v>
      </c>
      <c r="AS17" s="55">
        <v>0.1</v>
      </c>
      <c r="AT17" s="55">
        <v>0.1</v>
      </c>
      <c r="AU17" s="55">
        <v>0.1</v>
      </c>
      <c r="AV17" s="55">
        <v>0.1</v>
      </c>
      <c r="AW17" s="55">
        <v>0.1</v>
      </c>
      <c r="AX17" s="55">
        <v>0.1</v>
      </c>
      <c r="AY17" s="55">
        <v>0.1</v>
      </c>
      <c r="AZ17" s="55"/>
      <c r="BA17" s="55"/>
      <c r="BB17" s="56">
        <f t="shared" ref="BB17:BQ17" si="7">W17*$N$17</f>
        <v>0</v>
      </c>
      <c r="BC17" s="56">
        <f t="shared" si="7"/>
        <v>0</v>
      </c>
      <c r="BD17" s="56">
        <f t="shared" si="7"/>
        <v>0</v>
      </c>
      <c r="BE17" s="56">
        <f t="shared" si="7"/>
        <v>0</v>
      </c>
      <c r="BF17" s="56">
        <f t="shared" si="7"/>
        <v>0</v>
      </c>
      <c r="BG17" s="56">
        <f t="shared" si="7"/>
        <v>0</v>
      </c>
      <c r="BH17" s="56">
        <f t="shared" si="7"/>
        <v>0</v>
      </c>
      <c r="BI17" s="56">
        <f t="shared" si="7"/>
        <v>0</v>
      </c>
      <c r="BJ17" s="56">
        <f t="shared" si="7"/>
        <v>0</v>
      </c>
      <c r="BK17" s="56">
        <f t="shared" si="7"/>
        <v>0</v>
      </c>
      <c r="BL17" s="56">
        <f t="shared" si="7"/>
        <v>0</v>
      </c>
      <c r="BM17" s="56">
        <f t="shared" si="7"/>
        <v>0</v>
      </c>
      <c r="BN17" s="56">
        <f t="shared" si="7"/>
        <v>0</v>
      </c>
      <c r="BO17" s="56">
        <f t="shared" si="7"/>
        <v>0</v>
      </c>
      <c r="BP17" s="56">
        <f t="shared" si="7"/>
        <v>0</v>
      </c>
      <c r="BQ17" s="56">
        <f t="shared" si="7"/>
        <v>0</v>
      </c>
      <c r="BR17" s="100">
        <f t="shared" si="5"/>
        <v>0</v>
      </c>
      <c r="BS17" s="56">
        <f t="shared" ref="BS17:CG17" si="8">AM17*$N$17</f>
        <v>0</v>
      </c>
      <c r="BT17" s="56">
        <f t="shared" si="8"/>
        <v>0</v>
      </c>
      <c r="BU17" s="56">
        <f t="shared" si="8"/>
        <v>0</v>
      </c>
      <c r="BV17" s="56">
        <f t="shared" si="8"/>
        <v>0</v>
      </c>
      <c r="BW17" s="56">
        <f t="shared" si="8"/>
        <v>0</v>
      </c>
      <c r="BX17" s="56">
        <f t="shared" si="8"/>
        <v>12263.699999999999</v>
      </c>
      <c r="BY17" s="56">
        <f t="shared" si="8"/>
        <v>4087.9</v>
      </c>
      <c r="BZ17" s="56">
        <f t="shared" si="8"/>
        <v>4087.9</v>
      </c>
      <c r="CA17" s="56">
        <f t="shared" si="8"/>
        <v>4087.9</v>
      </c>
      <c r="CB17" s="56">
        <f t="shared" si="8"/>
        <v>4087.9</v>
      </c>
      <c r="CC17" s="56">
        <f t="shared" si="8"/>
        <v>4087.9</v>
      </c>
      <c r="CD17" s="56">
        <f t="shared" si="8"/>
        <v>4087.9</v>
      </c>
      <c r="CE17" s="56">
        <f t="shared" si="8"/>
        <v>4087.9</v>
      </c>
      <c r="CF17" s="56">
        <f t="shared" si="8"/>
        <v>0</v>
      </c>
      <c r="CG17" s="56">
        <f t="shared" si="8"/>
        <v>0</v>
      </c>
      <c r="CH17" s="101">
        <f t="shared" si="6"/>
        <v>40879.000000000007</v>
      </c>
    </row>
    <row r="18" spans="2:88" ht="35.1" hidden="1" customHeight="1">
      <c r="B18" s="106"/>
      <c r="C18" s="107"/>
      <c r="D18" s="108"/>
      <c r="E18" s="273"/>
      <c r="G18" s="106"/>
      <c r="H18" s="107"/>
      <c r="I18" s="108"/>
      <c r="J18" s="278"/>
      <c r="L18" s="23" t="s">
        <v>12</v>
      </c>
      <c r="M18" s="24" t="s">
        <v>13</v>
      </c>
      <c r="N18" s="19">
        <v>0</v>
      </c>
      <c r="O18" s="51"/>
      <c r="P18" s="19"/>
      <c r="Q18" s="19"/>
      <c r="R18" s="23"/>
      <c r="S18" s="23"/>
      <c r="T18" s="52"/>
      <c r="U18" s="23"/>
      <c r="V18" s="1"/>
      <c r="W18" s="1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  <c r="AJ18" s="53"/>
      <c r="AK18" s="53"/>
      <c r="AL18" s="54"/>
      <c r="AM18" s="55"/>
      <c r="AN18" s="55"/>
      <c r="AO18" s="55"/>
      <c r="AP18" s="55"/>
      <c r="AQ18" s="55"/>
      <c r="AR18" s="55"/>
      <c r="AS18" s="55">
        <v>0.1</v>
      </c>
      <c r="AT18" s="55">
        <v>0.3</v>
      </c>
      <c r="AU18" s="55">
        <v>0.4</v>
      </c>
      <c r="AV18" s="55">
        <v>0.2</v>
      </c>
      <c r="AW18" s="55"/>
      <c r="AX18" s="55"/>
      <c r="AY18" s="55"/>
      <c r="AZ18" s="55"/>
      <c r="BA18" s="53"/>
      <c r="BB18" s="56">
        <f t="shared" ref="BB18:BI18" si="9">W18*$N$18</f>
        <v>0</v>
      </c>
      <c r="BC18" s="56">
        <f t="shared" si="9"/>
        <v>0</v>
      </c>
      <c r="BD18" s="56">
        <f t="shared" si="9"/>
        <v>0</v>
      </c>
      <c r="BE18" s="56">
        <f t="shared" si="9"/>
        <v>0</v>
      </c>
      <c r="BF18" s="56">
        <f t="shared" si="9"/>
        <v>0</v>
      </c>
      <c r="BG18" s="56">
        <f t="shared" si="9"/>
        <v>0</v>
      </c>
      <c r="BH18" s="56">
        <f t="shared" si="9"/>
        <v>0</v>
      </c>
      <c r="BI18" s="56">
        <f t="shared" si="9"/>
        <v>0</v>
      </c>
      <c r="BJ18" s="56">
        <f t="shared" ref="BJ18:BQ18" si="10">AF18*$N$18</f>
        <v>0</v>
      </c>
      <c r="BK18" s="56">
        <f t="shared" si="10"/>
        <v>0</v>
      </c>
      <c r="BL18" s="56">
        <f t="shared" si="10"/>
        <v>0</v>
      </c>
      <c r="BM18" s="56">
        <f t="shared" si="10"/>
        <v>0</v>
      </c>
      <c r="BN18" s="56">
        <f t="shared" si="10"/>
        <v>0</v>
      </c>
      <c r="BO18" s="56">
        <f t="shared" si="10"/>
        <v>0</v>
      </c>
      <c r="BP18" s="56">
        <f t="shared" si="10"/>
        <v>0</v>
      </c>
      <c r="BQ18" s="56">
        <f t="shared" si="10"/>
        <v>0</v>
      </c>
      <c r="BR18" s="100">
        <f t="shared" si="5"/>
        <v>0</v>
      </c>
      <c r="BS18" s="56">
        <f t="shared" ref="BS18:CA18" si="11">AN18*$N$18</f>
        <v>0</v>
      </c>
      <c r="BT18" s="56">
        <f t="shared" si="11"/>
        <v>0</v>
      </c>
      <c r="BU18" s="56">
        <f t="shared" si="11"/>
        <v>0</v>
      </c>
      <c r="BV18" s="56">
        <f t="shared" si="11"/>
        <v>0</v>
      </c>
      <c r="BW18" s="56">
        <f t="shared" si="11"/>
        <v>0</v>
      </c>
      <c r="BX18" s="56">
        <f t="shared" si="11"/>
        <v>0</v>
      </c>
      <c r="BY18" s="56">
        <f t="shared" si="11"/>
        <v>0</v>
      </c>
      <c r="BZ18" s="56">
        <f t="shared" si="11"/>
        <v>0</v>
      </c>
      <c r="CA18" s="56">
        <f t="shared" si="11"/>
        <v>0</v>
      </c>
      <c r="CB18" s="56">
        <f t="shared" ref="CB18:CG18" si="12">BA18*$N$18</f>
        <v>0</v>
      </c>
      <c r="CC18" s="56">
        <f t="shared" si="12"/>
        <v>0</v>
      </c>
      <c r="CD18" s="56">
        <f t="shared" si="12"/>
        <v>0</v>
      </c>
      <c r="CE18" s="56">
        <f t="shared" si="12"/>
        <v>0</v>
      </c>
      <c r="CF18" s="56">
        <f t="shared" si="12"/>
        <v>0</v>
      </c>
      <c r="CG18" s="56">
        <f t="shared" si="12"/>
        <v>0</v>
      </c>
      <c r="CH18" s="101">
        <f t="shared" si="6"/>
        <v>0</v>
      </c>
    </row>
    <row r="19" spans="2:88" ht="35.1" hidden="1" customHeight="1">
      <c r="B19" s="106"/>
      <c r="C19" s="107"/>
      <c r="D19" s="108"/>
      <c r="E19" s="273"/>
      <c r="G19" s="106"/>
      <c r="H19" s="107"/>
      <c r="I19" s="108"/>
      <c r="J19" s="278"/>
      <c r="L19" s="23" t="s">
        <v>14</v>
      </c>
      <c r="M19" s="24" t="s">
        <v>15</v>
      </c>
      <c r="N19" s="19">
        <f>N17-N18</f>
        <v>40879</v>
      </c>
      <c r="O19" s="51"/>
      <c r="P19" s="19"/>
      <c r="Q19" s="19"/>
      <c r="R19" s="23"/>
      <c r="S19" s="23"/>
      <c r="T19" s="52"/>
      <c r="U19" s="23"/>
      <c r="V19" s="1"/>
      <c r="W19" s="1"/>
      <c r="X19" s="53"/>
      <c r="Y19" s="53"/>
      <c r="Z19" s="53"/>
      <c r="AA19" s="53"/>
      <c r="AB19" s="53"/>
      <c r="AC19" s="53"/>
      <c r="AD19" s="53"/>
      <c r="AE19" s="53"/>
      <c r="AF19" s="53"/>
      <c r="AG19" s="53"/>
      <c r="AH19" s="53"/>
      <c r="AI19" s="53"/>
      <c r="AJ19" s="53"/>
      <c r="AK19" s="53"/>
      <c r="AL19" s="54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3"/>
      <c r="BB19" s="56">
        <f t="shared" ref="BB19:BI19" si="13">W19*$N$19</f>
        <v>0</v>
      </c>
      <c r="BC19" s="56">
        <f t="shared" si="13"/>
        <v>0</v>
      </c>
      <c r="BD19" s="56">
        <f t="shared" si="13"/>
        <v>0</v>
      </c>
      <c r="BE19" s="56">
        <f t="shared" si="13"/>
        <v>0</v>
      </c>
      <c r="BF19" s="56">
        <f t="shared" si="13"/>
        <v>0</v>
      </c>
      <c r="BG19" s="56">
        <f t="shared" si="13"/>
        <v>0</v>
      </c>
      <c r="BH19" s="56">
        <f t="shared" si="13"/>
        <v>0</v>
      </c>
      <c r="BI19" s="56">
        <f t="shared" si="13"/>
        <v>0</v>
      </c>
      <c r="BJ19" s="56">
        <f t="shared" ref="BJ19:BQ19" si="14">AF19*$N$19</f>
        <v>0</v>
      </c>
      <c r="BK19" s="56">
        <f t="shared" si="14"/>
        <v>0</v>
      </c>
      <c r="BL19" s="56">
        <f t="shared" si="14"/>
        <v>0</v>
      </c>
      <c r="BM19" s="56">
        <f t="shared" si="14"/>
        <v>0</v>
      </c>
      <c r="BN19" s="56">
        <f t="shared" si="14"/>
        <v>0</v>
      </c>
      <c r="BO19" s="56">
        <f t="shared" si="14"/>
        <v>0</v>
      </c>
      <c r="BP19" s="56">
        <f t="shared" si="14"/>
        <v>0</v>
      </c>
      <c r="BQ19" s="56">
        <f t="shared" si="14"/>
        <v>0</v>
      </c>
      <c r="BR19" s="100">
        <f t="shared" si="5"/>
        <v>0</v>
      </c>
      <c r="BS19" s="56">
        <f t="shared" ref="BS19:CA19" si="15">AN19*$N$19</f>
        <v>0</v>
      </c>
      <c r="BT19" s="56">
        <f t="shared" si="15"/>
        <v>0</v>
      </c>
      <c r="BU19" s="56">
        <f t="shared" si="15"/>
        <v>0</v>
      </c>
      <c r="BV19" s="56">
        <f t="shared" si="15"/>
        <v>0</v>
      </c>
      <c r="BW19" s="56">
        <f t="shared" si="15"/>
        <v>0</v>
      </c>
      <c r="BX19" s="56">
        <f t="shared" si="15"/>
        <v>0</v>
      </c>
      <c r="BY19" s="56">
        <f t="shared" si="15"/>
        <v>0</v>
      </c>
      <c r="BZ19" s="56">
        <f t="shared" si="15"/>
        <v>0</v>
      </c>
      <c r="CA19" s="56">
        <f t="shared" si="15"/>
        <v>0</v>
      </c>
      <c r="CB19" s="56">
        <f t="shared" ref="CB19:CG19" si="16">BA19*$N$19</f>
        <v>0</v>
      </c>
      <c r="CC19" s="56">
        <f t="shared" si="16"/>
        <v>0</v>
      </c>
      <c r="CD19" s="56">
        <f t="shared" si="16"/>
        <v>0</v>
      </c>
      <c r="CE19" s="56">
        <f t="shared" si="16"/>
        <v>0</v>
      </c>
      <c r="CF19" s="56">
        <f t="shared" si="16"/>
        <v>0</v>
      </c>
      <c r="CG19" s="56">
        <f t="shared" si="16"/>
        <v>0</v>
      </c>
      <c r="CH19" s="101">
        <f t="shared" si="6"/>
        <v>0</v>
      </c>
    </row>
    <row r="20" spans="2:88" s="35" customFormat="1" ht="35.1" customHeight="1">
      <c r="B20" s="109">
        <v>2.2000000000000002</v>
      </c>
      <c r="C20" s="110" t="s">
        <v>122</v>
      </c>
      <c r="D20" s="105">
        <v>213484.85</v>
      </c>
      <c r="E20" s="273"/>
      <c r="G20" s="109">
        <v>2.2000000000000002</v>
      </c>
      <c r="H20" s="110" t="s">
        <v>122</v>
      </c>
      <c r="I20" s="105">
        <v>213484.85</v>
      </c>
      <c r="J20" s="279"/>
      <c r="L20" s="1">
        <v>3</v>
      </c>
      <c r="M20" s="25" t="s">
        <v>16</v>
      </c>
      <c r="N20" s="14">
        <f>+N22+N25</f>
        <v>109090.7</v>
      </c>
      <c r="O20" s="45"/>
      <c r="P20" s="23"/>
      <c r="Q20" s="23"/>
      <c r="R20" s="23"/>
      <c r="S20" s="23"/>
      <c r="T20" s="52"/>
      <c r="U20" s="23"/>
      <c r="V20" s="59"/>
      <c r="W20" s="59"/>
      <c r="X20" s="53"/>
      <c r="Y20" s="53"/>
      <c r="Z20" s="53"/>
      <c r="AA20" s="53"/>
      <c r="AB20" s="53"/>
      <c r="AC20" s="53"/>
      <c r="AD20" s="53"/>
      <c r="AE20" s="53"/>
      <c r="AF20" s="53"/>
      <c r="AG20" s="53"/>
      <c r="AH20" s="53"/>
      <c r="AI20" s="53"/>
      <c r="AJ20" s="53"/>
      <c r="AK20" s="53"/>
      <c r="AL20" s="53"/>
      <c r="AM20" s="53"/>
      <c r="AN20" s="53"/>
      <c r="AO20" s="53"/>
      <c r="AP20" s="53"/>
      <c r="AQ20" s="53"/>
      <c r="AR20" s="53"/>
      <c r="AS20" s="53"/>
      <c r="AT20" s="53"/>
      <c r="AU20" s="53"/>
      <c r="AV20" s="53"/>
      <c r="AW20" s="53"/>
      <c r="AX20" s="53"/>
      <c r="AY20" s="53"/>
      <c r="AZ20" s="53"/>
      <c r="BA20" s="53"/>
      <c r="BB20" s="53"/>
      <c r="BC20" s="53"/>
      <c r="BD20" s="53"/>
      <c r="BE20" s="53"/>
      <c r="BF20" s="53"/>
      <c r="BG20" s="53"/>
      <c r="BH20" s="53"/>
      <c r="BI20" s="53"/>
      <c r="BJ20" s="53"/>
      <c r="BK20" s="53"/>
      <c r="BL20" s="53"/>
      <c r="BM20" s="53"/>
      <c r="BN20" s="53"/>
      <c r="BO20" s="53"/>
      <c r="BP20" s="53"/>
      <c r="BQ20" s="53"/>
      <c r="BR20" s="100">
        <f t="shared" si="5"/>
        <v>0</v>
      </c>
      <c r="BS20" s="53"/>
      <c r="BT20" s="53"/>
      <c r="BU20" s="53"/>
      <c r="BV20" s="53"/>
      <c r="BW20" s="53"/>
      <c r="BX20" s="53"/>
      <c r="BY20" s="53"/>
      <c r="BZ20" s="53"/>
      <c r="CA20" s="53"/>
      <c r="CB20" s="53"/>
      <c r="CC20" s="53"/>
      <c r="CD20" s="53"/>
      <c r="CE20" s="53"/>
      <c r="CF20" s="53"/>
      <c r="CG20" s="53"/>
      <c r="CH20" s="101">
        <f t="shared" si="6"/>
        <v>0</v>
      </c>
    </row>
    <row r="21" spans="2:88" s="35" customFormat="1" ht="35.1" customHeight="1">
      <c r="B21" s="111">
        <v>3</v>
      </c>
      <c r="C21" s="4" t="s">
        <v>16</v>
      </c>
      <c r="D21" s="14">
        <f>D22+D25</f>
        <v>109090.91</v>
      </c>
      <c r="E21" s="273"/>
      <c r="G21" s="111">
        <v>3</v>
      </c>
      <c r="H21" s="4" t="s">
        <v>16</v>
      </c>
      <c r="I21" s="14">
        <f>I22+I25</f>
        <v>109090.91</v>
      </c>
      <c r="J21" s="273" t="s">
        <v>111</v>
      </c>
      <c r="L21" s="1" t="s">
        <v>17</v>
      </c>
      <c r="M21" s="25" t="s">
        <v>9</v>
      </c>
      <c r="N21" s="19"/>
      <c r="O21" s="51"/>
      <c r="P21" s="23"/>
      <c r="Q21" s="23"/>
      <c r="R21" s="23"/>
      <c r="S21" s="23"/>
      <c r="T21" s="52"/>
      <c r="U21" s="23"/>
      <c r="V21" s="46"/>
      <c r="W21" s="46"/>
      <c r="X21" s="47"/>
      <c r="Y21" s="47"/>
      <c r="Z21" s="47"/>
      <c r="AA21" s="47"/>
      <c r="AB21" s="47"/>
      <c r="AC21" s="47"/>
      <c r="AD21" s="47"/>
      <c r="AE21" s="47"/>
      <c r="AF21" s="47"/>
      <c r="AG21" s="47"/>
      <c r="AH21" s="47"/>
      <c r="AI21" s="47"/>
      <c r="AJ21" s="47"/>
      <c r="AK21" s="47"/>
      <c r="AL21" s="47"/>
      <c r="AM21" s="47"/>
      <c r="AN21" s="47"/>
      <c r="AO21" s="47"/>
      <c r="AP21" s="47"/>
      <c r="AQ21" s="47"/>
      <c r="AR21" s="47"/>
      <c r="AS21" s="47"/>
      <c r="AT21" s="47"/>
      <c r="AU21" s="47"/>
      <c r="AV21" s="47"/>
      <c r="AW21" s="47"/>
      <c r="AX21" s="47"/>
      <c r="AY21" s="47"/>
      <c r="AZ21" s="47"/>
      <c r="BA21" s="47"/>
      <c r="BB21" s="47"/>
      <c r="BC21" s="47"/>
      <c r="BD21" s="47"/>
      <c r="BE21" s="47"/>
      <c r="BF21" s="47"/>
      <c r="BG21" s="47"/>
      <c r="BH21" s="47"/>
      <c r="BI21" s="47"/>
      <c r="BJ21" s="47"/>
      <c r="BK21" s="47"/>
      <c r="BL21" s="47"/>
      <c r="BM21" s="47"/>
      <c r="BN21" s="47"/>
      <c r="BO21" s="47"/>
      <c r="BP21" s="47"/>
      <c r="BQ21" s="47"/>
      <c r="BR21" s="100">
        <f t="shared" si="5"/>
        <v>0</v>
      </c>
      <c r="BS21" s="47"/>
      <c r="BT21" s="47"/>
      <c r="BU21" s="47"/>
      <c r="BV21" s="47"/>
      <c r="BW21" s="47"/>
      <c r="BX21" s="47"/>
      <c r="BY21" s="47"/>
      <c r="BZ21" s="47"/>
      <c r="CA21" s="47"/>
      <c r="CB21" s="47"/>
      <c r="CC21" s="47"/>
      <c r="CD21" s="47"/>
      <c r="CE21" s="47"/>
      <c r="CF21" s="47"/>
      <c r="CG21" s="47"/>
      <c r="CH21" s="101">
        <f t="shared" si="6"/>
        <v>0</v>
      </c>
    </row>
    <row r="22" spans="2:88" s="35" customFormat="1" ht="35.1" customHeight="1">
      <c r="B22" s="99" t="s">
        <v>17</v>
      </c>
      <c r="C22" s="112" t="s">
        <v>123</v>
      </c>
      <c r="D22" s="7">
        <v>48484.85</v>
      </c>
      <c r="E22" s="273"/>
      <c r="G22" s="99" t="s">
        <v>17</v>
      </c>
      <c r="H22" s="112" t="s">
        <v>123</v>
      </c>
      <c r="I22" s="7">
        <v>48484.85</v>
      </c>
      <c r="J22" s="273"/>
      <c r="L22" s="23" t="s">
        <v>18</v>
      </c>
      <c r="M22" s="24" t="s">
        <v>19</v>
      </c>
      <c r="N22" s="19">
        <f>60606.06</f>
        <v>60606.06</v>
      </c>
      <c r="O22" s="267"/>
      <c r="P22" s="23" t="s">
        <v>62</v>
      </c>
      <c r="Q22" s="23" t="s">
        <v>63</v>
      </c>
      <c r="R22" s="23">
        <v>100</v>
      </c>
      <c r="S22" s="23">
        <v>0</v>
      </c>
      <c r="T22" s="52">
        <v>44378</v>
      </c>
      <c r="U22" s="23" t="s">
        <v>60</v>
      </c>
      <c r="V22" s="23"/>
      <c r="W22" s="23"/>
      <c r="X22" s="53"/>
      <c r="Y22" s="53"/>
      <c r="Z22" s="53"/>
      <c r="AA22" s="53"/>
      <c r="AB22" s="53"/>
      <c r="AC22" s="53"/>
      <c r="AD22" s="53"/>
      <c r="AE22" s="53"/>
      <c r="AF22" s="53"/>
      <c r="AG22" s="54"/>
      <c r="AH22" s="54"/>
      <c r="AI22" s="53"/>
      <c r="AJ22" s="53"/>
      <c r="AK22" s="54"/>
      <c r="AL22" s="54"/>
      <c r="AM22" s="54"/>
      <c r="AN22" s="54"/>
      <c r="AO22" s="54"/>
      <c r="AP22" s="54"/>
      <c r="AQ22" s="54"/>
      <c r="AR22" s="55">
        <v>0.35</v>
      </c>
      <c r="AS22" s="55"/>
      <c r="AT22" s="55"/>
      <c r="AU22" s="55"/>
      <c r="AV22" s="55"/>
      <c r="AW22" s="55">
        <v>0.3</v>
      </c>
      <c r="AX22" s="55"/>
      <c r="AY22" s="55"/>
      <c r="AZ22" s="55">
        <v>0.35</v>
      </c>
      <c r="BA22" s="55"/>
      <c r="BB22" s="56">
        <f t="shared" ref="BB22:BQ22" si="17">W22*$N$22</f>
        <v>0</v>
      </c>
      <c r="BC22" s="56">
        <f t="shared" si="17"/>
        <v>0</v>
      </c>
      <c r="BD22" s="56">
        <f t="shared" si="17"/>
        <v>0</v>
      </c>
      <c r="BE22" s="56">
        <f t="shared" si="17"/>
        <v>0</v>
      </c>
      <c r="BF22" s="56">
        <f t="shared" si="17"/>
        <v>0</v>
      </c>
      <c r="BG22" s="56">
        <f t="shared" si="17"/>
        <v>0</v>
      </c>
      <c r="BH22" s="56">
        <f t="shared" si="17"/>
        <v>0</v>
      </c>
      <c r="BI22" s="56">
        <f t="shared" si="17"/>
        <v>0</v>
      </c>
      <c r="BJ22" s="56">
        <f t="shared" si="17"/>
        <v>0</v>
      </c>
      <c r="BK22" s="56">
        <f t="shared" si="17"/>
        <v>0</v>
      </c>
      <c r="BL22" s="56">
        <f t="shared" si="17"/>
        <v>0</v>
      </c>
      <c r="BM22" s="56">
        <f t="shared" si="17"/>
        <v>0</v>
      </c>
      <c r="BN22" s="56">
        <f t="shared" si="17"/>
        <v>0</v>
      </c>
      <c r="BO22" s="56">
        <f t="shared" si="17"/>
        <v>0</v>
      </c>
      <c r="BP22" s="56">
        <f t="shared" si="17"/>
        <v>0</v>
      </c>
      <c r="BQ22" s="56">
        <f t="shared" si="17"/>
        <v>0</v>
      </c>
      <c r="BR22" s="100">
        <f t="shared" si="5"/>
        <v>0</v>
      </c>
      <c r="BS22" s="56">
        <f t="shared" ref="BS22:CG22" si="18">AM22*$N$22</f>
        <v>0</v>
      </c>
      <c r="BT22" s="56">
        <f t="shared" si="18"/>
        <v>0</v>
      </c>
      <c r="BU22" s="56">
        <f t="shared" si="18"/>
        <v>0</v>
      </c>
      <c r="BV22" s="56">
        <f t="shared" si="18"/>
        <v>0</v>
      </c>
      <c r="BW22" s="56">
        <f t="shared" si="18"/>
        <v>0</v>
      </c>
      <c r="BX22" s="56">
        <f t="shared" si="18"/>
        <v>21212.120999999999</v>
      </c>
      <c r="BY22" s="56">
        <f t="shared" si="18"/>
        <v>0</v>
      </c>
      <c r="BZ22" s="56">
        <f t="shared" si="18"/>
        <v>0</v>
      </c>
      <c r="CA22" s="56">
        <f t="shared" si="18"/>
        <v>0</v>
      </c>
      <c r="CB22" s="56">
        <f t="shared" si="18"/>
        <v>0</v>
      </c>
      <c r="CC22" s="56">
        <f t="shared" si="18"/>
        <v>18181.817999999999</v>
      </c>
      <c r="CD22" s="56">
        <f t="shared" si="18"/>
        <v>0</v>
      </c>
      <c r="CE22" s="56">
        <f t="shared" si="18"/>
        <v>0</v>
      </c>
      <c r="CF22" s="56">
        <f t="shared" si="18"/>
        <v>21212.120999999999</v>
      </c>
      <c r="CG22" s="56">
        <f t="shared" si="18"/>
        <v>0</v>
      </c>
      <c r="CH22" s="101">
        <f t="shared" si="6"/>
        <v>60606.06</v>
      </c>
    </row>
    <row r="23" spans="2:88" s="35" customFormat="1" ht="35.1" hidden="1" customHeight="1">
      <c r="B23" s="113"/>
      <c r="C23" s="24"/>
      <c r="D23" s="19"/>
      <c r="E23" s="273"/>
      <c r="G23" s="113"/>
      <c r="H23" s="24"/>
      <c r="I23" s="19"/>
      <c r="J23" s="273"/>
      <c r="L23" s="23" t="s">
        <v>20</v>
      </c>
      <c r="M23" s="24" t="s">
        <v>21</v>
      </c>
      <c r="N23" s="19">
        <f>N22*O22</f>
        <v>0</v>
      </c>
      <c r="O23" s="268"/>
      <c r="P23" s="23" t="s">
        <v>62</v>
      </c>
      <c r="Q23" s="23" t="s">
        <v>63</v>
      </c>
      <c r="R23" s="23">
        <v>100</v>
      </c>
      <c r="S23" s="23">
        <v>0</v>
      </c>
      <c r="T23" s="52">
        <v>44378</v>
      </c>
      <c r="U23" s="23" t="s">
        <v>60</v>
      </c>
      <c r="V23" s="23"/>
      <c r="W23" s="23"/>
      <c r="X23" s="53"/>
      <c r="Y23" s="53"/>
      <c r="Z23" s="53"/>
      <c r="AA23" s="53"/>
      <c r="AB23" s="53"/>
      <c r="AC23" s="53"/>
      <c r="AD23" s="53"/>
      <c r="AE23" s="53"/>
      <c r="AF23" s="53"/>
      <c r="AG23" s="54"/>
      <c r="AH23" s="54"/>
      <c r="AI23" s="53"/>
      <c r="AJ23" s="53"/>
      <c r="AK23" s="54"/>
      <c r="AL23" s="54"/>
      <c r="AM23" s="54"/>
      <c r="AN23" s="54"/>
      <c r="AO23" s="54"/>
      <c r="AP23" s="54"/>
      <c r="AQ23" s="54"/>
      <c r="AR23" s="54"/>
      <c r="AS23" s="54"/>
      <c r="AT23" s="54"/>
      <c r="AU23" s="54">
        <v>0.25</v>
      </c>
      <c r="AV23" s="54">
        <v>0.25</v>
      </c>
      <c r="AW23" s="54"/>
      <c r="AX23" s="54"/>
      <c r="AY23" s="54"/>
      <c r="AZ23" s="54"/>
      <c r="BA23" s="54">
        <v>0.25</v>
      </c>
      <c r="BB23" s="56">
        <f t="shared" ref="BB23:BI23" si="19">W23*$N$23</f>
        <v>0</v>
      </c>
      <c r="BC23" s="56">
        <f t="shared" si="19"/>
        <v>0</v>
      </c>
      <c r="BD23" s="56">
        <f t="shared" si="19"/>
        <v>0</v>
      </c>
      <c r="BE23" s="56">
        <f t="shared" si="19"/>
        <v>0</v>
      </c>
      <c r="BF23" s="56">
        <f t="shared" si="19"/>
        <v>0</v>
      </c>
      <c r="BG23" s="56">
        <f t="shared" si="19"/>
        <v>0</v>
      </c>
      <c r="BH23" s="56">
        <f t="shared" si="19"/>
        <v>0</v>
      </c>
      <c r="BI23" s="56">
        <f t="shared" si="19"/>
        <v>0</v>
      </c>
      <c r="BJ23" s="56">
        <f t="shared" ref="BJ23:BQ23" si="20">AF23*$N$23</f>
        <v>0</v>
      </c>
      <c r="BK23" s="56">
        <f t="shared" si="20"/>
        <v>0</v>
      </c>
      <c r="BL23" s="56">
        <f t="shared" si="20"/>
        <v>0</v>
      </c>
      <c r="BM23" s="56">
        <f t="shared" si="20"/>
        <v>0</v>
      </c>
      <c r="BN23" s="56">
        <f t="shared" si="20"/>
        <v>0</v>
      </c>
      <c r="BO23" s="56">
        <f t="shared" si="20"/>
        <v>0</v>
      </c>
      <c r="BP23" s="56">
        <f t="shared" si="20"/>
        <v>0</v>
      </c>
      <c r="BQ23" s="56">
        <f t="shared" si="20"/>
        <v>0</v>
      </c>
      <c r="BR23" s="100">
        <f t="shared" si="5"/>
        <v>0</v>
      </c>
      <c r="BS23" s="56">
        <f t="shared" ref="BS23:CA23" si="21">AN23*$N$23</f>
        <v>0</v>
      </c>
      <c r="BT23" s="56">
        <f t="shared" si="21"/>
        <v>0</v>
      </c>
      <c r="BU23" s="56">
        <f t="shared" si="21"/>
        <v>0</v>
      </c>
      <c r="BV23" s="56">
        <f t="shared" si="21"/>
        <v>0</v>
      </c>
      <c r="BW23" s="56">
        <f t="shared" si="21"/>
        <v>0</v>
      </c>
      <c r="BX23" s="56">
        <f t="shared" si="21"/>
        <v>0</v>
      </c>
      <c r="BY23" s="56">
        <f t="shared" si="21"/>
        <v>0</v>
      </c>
      <c r="BZ23" s="56">
        <f t="shared" si="21"/>
        <v>0</v>
      </c>
      <c r="CA23" s="56">
        <f t="shared" si="21"/>
        <v>0</v>
      </c>
      <c r="CB23" s="56">
        <f t="shared" ref="CB23:CG23" si="22">BA23*$N$23</f>
        <v>0</v>
      </c>
      <c r="CC23" s="56">
        <f t="shared" si="22"/>
        <v>0</v>
      </c>
      <c r="CD23" s="56">
        <f t="shared" si="22"/>
        <v>0</v>
      </c>
      <c r="CE23" s="56">
        <f t="shared" si="22"/>
        <v>0</v>
      </c>
      <c r="CF23" s="56">
        <f t="shared" si="22"/>
        <v>0</v>
      </c>
      <c r="CG23" s="56">
        <f t="shared" si="22"/>
        <v>0</v>
      </c>
      <c r="CH23" s="101">
        <f t="shared" si="6"/>
        <v>0</v>
      </c>
    </row>
    <row r="24" spans="2:88" s="35" customFormat="1" ht="35.1" hidden="1" customHeight="1">
      <c r="B24" s="113"/>
      <c r="C24" s="24"/>
      <c r="D24" s="19"/>
      <c r="E24" s="273"/>
      <c r="G24" s="113"/>
      <c r="H24" s="24"/>
      <c r="I24" s="19"/>
      <c r="J24" s="273"/>
      <c r="L24" s="23" t="s">
        <v>22</v>
      </c>
      <c r="M24" s="24" t="s">
        <v>23</v>
      </c>
      <c r="N24" s="19">
        <f>N22-N23</f>
        <v>60606.06</v>
      </c>
      <c r="O24" s="268"/>
      <c r="P24" s="23" t="s">
        <v>62</v>
      </c>
      <c r="Q24" s="23" t="s">
        <v>63</v>
      </c>
      <c r="R24" s="23">
        <v>100</v>
      </c>
      <c r="S24" s="23">
        <v>0</v>
      </c>
      <c r="T24" s="52">
        <v>44378</v>
      </c>
      <c r="U24" s="23" t="s">
        <v>60</v>
      </c>
      <c r="V24" s="23"/>
      <c r="W24" s="23"/>
      <c r="X24" s="53"/>
      <c r="Y24" s="53"/>
      <c r="Z24" s="53"/>
      <c r="AA24" s="53"/>
      <c r="AB24" s="53"/>
      <c r="AC24" s="53"/>
      <c r="AD24" s="53"/>
      <c r="AE24" s="53"/>
      <c r="AF24" s="53"/>
      <c r="AG24" s="54"/>
      <c r="AH24" s="54"/>
      <c r="AI24" s="53"/>
      <c r="AJ24" s="53"/>
      <c r="AK24" s="54"/>
      <c r="AL24" s="54"/>
      <c r="AM24" s="54"/>
      <c r="AN24" s="54"/>
      <c r="AO24" s="54"/>
      <c r="AP24" s="54"/>
      <c r="AQ24" s="54"/>
      <c r="AR24" s="54"/>
      <c r="AS24" s="54"/>
      <c r="AT24" s="54"/>
      <c r="AU24" s="54"/>
      <c r="AV24" s="54"/>
      <c r="AW24" s="54"/>
      <c r="AX24" s="54"/>
      <c r="AY24" s="54"/>
      <c r="AZ24" s="54"/>
      <c r="BA24" s="54"/>
      <c r="BB24" s="56">
        <f t="shared" ref="BB24:BI24" si="23">W24*$N$24</f>
        <v>0</v>
      </c>
      <c r="BC24" s="56">
        <f t="shared" si="23"/>
        <v>0</v>
      </c>
      <c r="BD24" s="56">
        <f t="shared" si="23"/>
        <v>0</v>
      </c>
      <c r="BE24" s="56">
        <f t="shared" si="23"/>
        <v>0</v>
      </c>
      <c r="BF24" s="56">
        <f t="shared" si="23"/>
        <v>0</v>
      </c>
      <c r="BG24" s="56">
        <f t="shared" si="23"/>
        <v>0</v>
      </c>
      <c r="BH24" s="56">
        <f t="shared" si="23"/>
        <v>0</v>
      </c>
      <c r="BI24" s="56">
        <f t="shared" si="23"/>
        <v>0</v>
      </c>
      <c r="BJ24" s="56">
        <f t="shared" ref="BJ24:BQ24" si="24">AF24*$N$24</f>
        <v>0</v>
      </c>
      <c r="BK24" s="56">
        <f t="shared" si="24"/>
        <v>0</v>
      </c>
      <c r="BL24" s="56">
        <f t="shared" si="24"/>
        <v>0</v>
      </c>
      <c r="BM24" s="56">
        <f t="shared" si="24"/>
        <v>0</v>
      </c>
      <c r="BN24" s="56">
        <f t="shared" si="24"/>
        <v>0</v>
      </c>
      <c r="BO24" s="56">
        <f t="shared" si="24"/>
        <v>0</v>
      </c>
      <c r="BP24" s="56">
        <f t="shared" si="24"/>
        <v>0</v>
      </c>
      <c r="BQ24" s="56">
        <f t="shared" si="24"/>
        <v>0</v>
      </c>
      <c r="BR24" s="100">
        <f t="shared" si="5"/>
        <v>0</v>
      </c>
      <c r="BS24" s="56">
        <f t="shared" ref="BS24:CA24" si="25">AN24*$N$24</f>
        <v>0</v>
      </c>
      <c r="BT24" s="56">
        <f t="shared" si="25"/>
        <v>0</v>
      </c>
      <c r="BU24" s="56">
        <f t="shared" si="25"/>
        <v>0</v>
      </c>
      <c r="BV24" s="56">
        <f t="shared" si="25"/>
        <v>0</v>
      </c>
      <c r="BW24" s="56">
        <f t="shared" si="25"/>
        <v>0</v>
      </c>
      <c r="BX24" s="56">
        <f t="shared" si="25"/>
        <v>0</v>
      </c>
      <c r="BY24" s="56">
        <f t="shared" si="25"/>
        <v>0</v>
      </c>
      <c r="BZ24" s="56">
        <f t="shared" si="25"/>
        <v>0</v>
      </c>
      <c r="CA24" s="56">
        <f t="shared" si="25"/>
        <v>0</v>
      </c>
      <c r="CB24" s="56">
        <f t="shared" ref="CB24:CG24" si="26">BA24*$N$24</f>
        <v>0</v>
      </c>
      <c r="CC24" s="56">
        <f t="shared" si="26"/>
        <v>0</v>
      </c>
      <c r="CD24" s="56">
        <f t="shared" si="26"/>
        <v>0</v>
      </c>
      <c r="CE24" s="56">
        <f t="shared" si="26"/>
        <v>0</v>
      </c>
      <c r="CF24" s="56">
        <f t="shared" si="26"/>
        <v>0</v>
      </c>
      <c r="CG24" s="56">
        <f t="shared" si="26"/>
        <v>0</v>
      </c>
      <c r="CH24" s="101">
        <f t="shared" si="6"/>
        <v>0</v>
      </c>
    </row>
    <row r="25" spans="2:88" s="35" customFormat="1" ht="35.1" customHeight="1">
      <c r="B25" s="114" t="s">
        <v>86</v>
      </c>
      <c r="C25" s="21" t="s">
        <v>124</v>
      </c>
      <c r="D25" s="22">
        <v>60606.06</v>
      </c>
      <c r="E25" s="273"/>
      <c r="G25" s="114" t="s">
        <v>86</v>
      </c>
      <c r="H25" s="21" t="s">
        <v>124</v>
      </c>
      <c r="I25" s="22">
        <v>60606.06</v>
      </c>
      <c r="J25" s="273"/>
      <c r="L25" s="23" t="s">
        <v>24</v>
      </c>
      <c r="M25" s="24" t="s">
        <v>25</v>
      </c>
      <c r="N25" s="19">
        <f>48484.64</f>
        <v>48484.639999999999</v>
      </c>
      <c r="O25" s="268"/>
      <c r="P25" s="19" t="s">
        <v>62</v>
      </c>
      <c r="Q25" s="19" t="s">
        <v>63</v>
      </c>
      <c r="R25" s="23">
        <v>100</v>
      </c>
      <c r="S25" s="23">
        <v>0</v>
      </c>
      <c r="T25" s="52">
        <v>44562</v>
      </c>
      <c r="U25" s="23" t="s">
        <v>60</v>
      </c>
      <c r="V25" s="59"/>
      <c r="W25" s="23"/>
      <c r="X25" s="53"/>
      <c r="Y25" s="53"/>
      <c r="Z25" s="53"/>
      <c r="AA25" s="53"/>
      <c r="AB25" s="53"/>
      <c r="AC25" s="53"/>
      <c r="AD25" s="53"/>
      <c r="AE25" s="53"/>
      <c r="AF25" s="53"/>
      <c r="AG25" s="53"/>
      <c r="AH25" s="53"/>
      <c r="AI25" s="53"/>
      <c r="AJ25" s="53"/>
      <c r="AK25" s="53"/>
      <c r="AL25" s="53"/>
      <c r="AM25" s="55"/>
      <c r="AN25" s="55"/>
      <c r="AO25" s="55"/>
      <c r="AP25" s="55"/>
      <c r="AQ25" s="55"/>
      <c r="AR25" s="55">
        <v>0.35</v>
      </c>
      <c r="AS25" s="55"/>
      <c r="AT25" s="55"/>
      <c r="AU25" s="55"/>
      <c r="AV25" s="55"/>
      <c r="AW25" s="55">
        <v>0.3</v>
      </c>
      <c r="AX25" s="55"/>
      <c r="AY25" s="55"/>
      <c r="AZ25" s="55">
        <v>0.35</v>
      </c>
      <c r="BA25" s="55"/>
      <c r="BB25" s="56">
        <f t="shared" ref="BB25:BQ25" si="27">W25*$N$25</f>
        <v>0</v>
      </c>
      <c r="BC25" s="56">
        <f t="shared" si="27"/>
        <v>0</v>
      </c>
      <c r="BD25" s="56">
        <f t="shared" si="27"/>
        <v>0</v>
      </c>
      <c r="BE25" s="56">
        <f t="shared" si="27"/>
        <v>0</v>
      </c>
      <c r="BF25" s="56">
        <f t="shared" si="27"/>
        <v>0</v>
      </c>
      <c r="BG25" s="56">
        <f t="shared" si="27"/>
        <v>0</v>
      </c>
      <c r="BH25" s="56">
        <f t="shared" si="27"/>
        <v>0</v>
      </c>
      <c r="BI25" s="56">
        <f t="shared" si="27"/>
        <v>0</v>
      </c>
      <c r="BJ25" s="56">
        <f t="shared" si="27"/>
        <v>0</v>
      </c>
      <c r="BK25" s="56">
        <f t="shared" si="27"/>
        <v>0</v>
      </c>
      <c r="BL25" s="56">
        <f t="shared" si="27"/>
        <v>0</v>
      </c>
      <c r="BM25" s="56">
        <f t="shared" si="27"/>
        <v>0</v>
      </c>
      <c r="BN25" s="56">
        <f t="shared" si="27"/>
        <v>0</v>
      </c>
      <c r="BO25" s="56">
        <f t="shared" si="27"/>
        <v>0</v>
      </c>
      <c r="BP25" s="56">
        <f t="shared" si="27"/>
        <v>0</v>
      </c>
      <c r="BQ25" s="56">
        <f t="shared" si="27"/>
        <v>0</v>
      </c>
      <c r="BR25" s="100">
        <f t="shared" si="5"/>
        <v>0</v>
      </c>
      <c r="BS25" s="56">
        <f t="shared" ref="BS25:CG25" si="28">AM25*$N$25</f>
        <v>0</v>
      </c>
      <c r="BT25" s="56">
        <f t="shared" si="28"/>
        <v>0</v>
      </c>
      <c r="BU25" s="56">
        <f t="shared" si="28"/>
        <v>0</v>
      </c>
      <c r="BV25" s="56">
        <f t="shared" si="28"/>
        <v>0</v>
      </c>
      <c r="BW25" s="56">
        <f t="shared" si="28"/>
        <v>0</v>
      </c>
      <c r="BX25" s="56">
        <f t="shared" si="28"/>
        <v>16969.624</v>
      </c>
      <c r="BY25" s="56">
        <f t="shared" si="28"/>
        <v>0</v>
      </c>
      <c r="BZ25" s="56">
        <f t="shared" si="28"/>
        <v>0</v>
      </c>
      <c r="CA25" s="56">
        <f t="shared" si="28"/>
        <v>0</v>
      </c>
      <c r="CB25" s="56">
        <f t="shared" si="28"/>
        <v>0</v>
      </c>
      <c r="CC25" s="56">
        <f t="shared" si="28"/>
        <v>14545.392</v>
      </c>
      <c r="CD25" s="56">
        <f t="shared" si="28"/>
        <v>0</v>
      </c>
      <c r="CE25" s="56">
        <f t="shared" si="28"/>
        <v>0</v>
      </c>
      <c r="CF25" s="56">
        <f t="shared" si="28"/>
        <v>16969.624</v>
      </c>
      <c r="CG25" s="56">
        <f t="shared" si="28"/>
        <v>0</v>
      </c>
      <c r="CH25" s="101">
        <f t="shared" si="6"/>
        <v>48484.639999999999</v>
      </c>
    </row>
    <row r="26" spans="2:88" s="35" customFormat="1" ht="35.1" hidden="1" customHeight="1">
      <c r="B26" s="113"/>
      <c r="C26" s="24"/>
      <c r="D26" s="19"/>
      <c r="E26" s="273"/>
      <c r="G26" s="113"/>
      <c r="H26" s="24"/>
      <c r="I26" s="19"/>
      <c r="J26" s="273"/>
      <c r="L26" s="23" t="s">
        <v>26</v>
      </c>
      <c r="M26" s="24" t="s">
        <v>27</v>
      </c>
      <c r="N26" s="19">
        <f>N25*O22</f>
        <v>0</v>
      </c>
      <c r="O26" s="268"/>
      <c r="P26" s="19" t="s">
        <v>62</v>
      </c>
      <c r="Q26" s="19" t="s">
        <v>63</v>
      </c>
      <c r="R26" s="23">
        <v>100</v>
      </c>
      <c r="S26" s="23">
        <v>0</v>
      </c>
      <c r="T26" s="52">
        <v>44562</v>
      </c>
      <c r="U26" s="23" t="s">
        <v>60</v>
      </c>
      <c r="V26" s="23"/>
      <c r="W26" s="23"/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53"/>
      <c r="AK26" s="53"/>
      <c r="AL26" s="53"/>
      <c r="AM26" s="55"/>
      <c r="AN26" s="55"/>
      <c r="AO26" s="55"/>
      <c r="AP26" s="55"/>
      <c r="AQ26" s="55"/>
      <c r="AR26" s="55"/>
      <c r="AS26" s="55"/>
      <c r="AT26" s="55"/>
      <c r="AU26" s="54">
        <v>0.25</v>
      </c>
      <c r="AV26" s="54">
        <v>0.25</v>
      </c>
      <c r="AW26" s="54"/>
      <c r="AX26" s="54"/>
      <c r="AY26" s="54"/>
      <c r="AZ26" s="54"/>
      <c r="BA26" s="54">
        <v>0.25</v>
      </c>
      <c r="BB26" s="56">
        <f t="shared" ref="BB26:BI26" si="29">W26*$N$26</f>
        <v>0</v>
      </c>
      <c r="BC26" s="56">
        <f t="shared" si="29"/>
        <v>0</v>
      </c>
      <c r="BD26" s="56">
        <f t="shared" si="29"/>
        <v>0</v>
      </c>
      <c r="BE26" s="56">
        <f t="shared" si="29"/>
        <v>0</v>
      </c>
      <c r="BF26" s="56">
        <f t="shared" si="29"/>
        <v>0</v>
      </c>
      <c r="BG26" s="56">
        <f t="shared" si="29"/>
        <v>0</v>
      </c>
      <c r="BH26" s="56">
        <f t="shared" si="29"/>
        <v>0</v>
      </c>
      <c r="BI26" s="56">
        <f t="shared" si="29"/>
        <v>0</v>
      </c>
      <c r="BJ26" s="56">
        <f t="shared" ref="BJ26:BQ26" si="30">AF26*$N$26</f>
        <v>0</v>
      </c>
      <c r="BK26" s="56">
        <f t="shared" si="30"/>
        <v>0</v>
      </c>
      <c r="BL26" s="56">
        <f t="shared" si="30"/>
        <v>0</v>
      </c>
      <c r="BM26" s="56">
        <f t="shared" si="30"/>
        <v>0</v>
      </c>
      <c r="BN26" s="56">
        <f t="shared" si="30"/>
        <v>0</v>
      </c>
      <c r="BO26" s="56">
        <f t="shared" si="30"/>
        <v>0</v>
      </c>
      <c r="BP26" s="56">
        <f t="shared" si="30"/>
        <v>0</v>
      </c>
      <c r="BQ26" s="56">
        <f t="shared" si="30"/>
        <v>0</v>
      </c>
      <c r="BR26" s="100">
        <f t="shared" si="5"/>
        <v>0</v>
      </c>
      <c r="BS26" s="56">
        <f t="shared" ref="BS26:CA26" si="31">AN26*$N$26</f>
        <v>0</v>
      </c>
      <c r="BT26" s="56">
        <f t="shared" si="31"/>
        <v>0</v>
      </c>
      <c r="BU26" s="56">
        <f t="shared" si="31"/>
        <v>0</v>
      </c>
      <c r="BV26" s="56">
        <f t="shared" si="31"/>
        <v>0</v>
      </c>
      <c r="BW26" s="56">
        <f t="shared" si="31"/>
        <v>0</v>
      </c>
      <c r="BX26" s="56">
        <f t="shared" si="31"/>
        <v>0</v>
      </c>
      <c r="BY26" s="56">
        <f t="shared" si="31"/>
        <v>0</v>
      </c>
      <c r="BZ26" s="56">
        <f t="shared" si="31"/>
        <v>0</v>
      </c>
      <c r="CA26" s="56">
        <f t="shared" si="31"/>
        <v>0</v>
      </c>
      <c r="CB26" s="56">
        <f t="shared" ref="CB26:CG26" si="32">BA26*$N$26</f>
        <v>0</v>
      </c>
      <c r="CC26" s="56">
        <f t="shared" si="32"/>
        <v>0</v>
      </c>
      <c r="CD26" s="56">
        <f t="shared" si="32"/>
        <v>0</v>
      </c>
      <c r="CE26" s="56">
        <f t="shared" si="32"/>
        <v>0</v>
      </c>
      <c r="CF26" s="56">
        <f t="shared" si="32"/>
        <v>0</v>
      </c>
      <c r="CG26" s="56">
        <f t="shared" si="32"/>
        <v>0</v>
      </c>
      <c r="CH26" s="101">
        <f t="shared" si="6"/>
        <v>0</v>
      </c>
    </row>
    <row r="27" spans="2:88" s="35" customFormat="1" ht="35.1" hidden="1" customHeight="1">
      <c r="B27" s="113"/>
      <c r="C27" s="24"/>
      <c r="D27" s="19"/>
      <c r="E27" s="273"/>
      <c r="G27" s="113"/>
      <c r="H27" s="24"/>
      <c r="I27" s="19"/>
      <c r="J27" s="273"/>
      <c r="L27" s="23" t="s">
        <v>28</v>
      </c>
      <c r="M27" s="24" t="s">
        <v>29</v>
      </c>
      <c r="N27" s="19">
        <f>N25-N26</f>
        <v>48484.639999999999</v>
      </c>
      <c r="O27" s="269"/>
      <c r="P27" s="19" t="s">
        <v>62</v>
      </c>
      <c r="Q27" s="19" t="s">
        <v>63</v>
      </c>
      <c r="R27" s="23">
        <v>100</v>
      </c>
      <c r="S27" s="23">
        <v>0</v>
      </c>
      <c r="T27" s="52">
        <v>44562</v>
      </c>
      <c r="U27" s="23" t="s">
        <v>60</v>
      </c>
      <c r="V27" s="23"/>
      <c r="W27" s="23"/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  <c r="AJ27" s="53"/>
      <c r="AK27" s="53"/>
      <c r="AL27" s="53"/>
      <c r="AM27" s="55"/>
      <c r="AN27" s="55"/>
      <c r="AO27" s="55"/>
      <c r="AP27" s="55"/>
      <c r="AQ27" s="55"/>
      <c r="AR27" s="55"/>
      <c r="AS27" s="55"/>
      <c r="AT27" s="55"/>
      <c r="AU27" s="54"/>
      <c r="AV27" s="54"/>
      <c r="AW27" s="54"/>
      <c r="AX27" s="54"/>
      <c r="AY27" s="54"/>
      <c r="AZ27" s="54"/>
      <c r="BA27" s="54"/>
      <c r="BB27" s="56">
        <f t="shared" ref="BB27:BI27" si="33">W27*$N$27</f>
        <v>0</v>
      </c>
      <c r="BC27" s="56">
        <f t="shared" si="33"/>
        <v>0</v>
      </c>
      <c r="BD27" s="56">
        <f t="shared" si="33"/>
        <v>0</v>
      </c>
      <c r="BE27" s="56">
        <f t="shared" si="33"/>
        <v>0</v>
      </c>
      <c r="BF27" s="56">
        <f t="shared" si="33"/>
        <v>0</v>
      </c>
      <c r="BG27" s="56">
        <f t="shared" si="33"/>
        <v>0</v>
      </c>
      <c r="BH27" s="56">
        <f t="shared" si="33"/>
        <v>0</v>
      </c>
      <c r="BI27" s="56">
        <f t="shared" si="33"/>
        <v>0</v>
      </c>
      <c r="BJ27" s="56">
        <f t="shared" ref="BJ27:BQ27" si="34">AF27*$N$27</f>
        <v>0</v>
      </c>
      <c r="BK27" s="56">
        <f t="shared" si="34"/>
        <v>0</v>
      </c>
      <c r="BL27" s="56">
        <f t="shared" si="34"/>
        <v>0</v>
      </c>
      <c r="BM27" s="56">
        <f t="shared" si="34"/>
        <v>0</v>
      </c>
      <c r="BN27" s="56">
        <f t="shared" si="34"/>
        <v>0</v>
      </c>
      <c r="BO27" s="56">
        <f t="shared" si="34"/>
        <v>0</v>
      </c>
      <c r="BP27" s="56">
        <f t="shared" si="34"/>
        <v>0</v>
      </c>
      <c r="BQ27" s="56">
        <f t="shared" si="34"/>
        <v>0</v>
      </c>
      <c r="BR27" s="100">
        <f t="shared" si="5"/>
        <v>0</v>
      </c>
      <c r="BS27" s="56">
        <f t="shared" ref="BS27:CA27" si="35">AN27*$N$27</f>
        <v>0</v>
      </c>
      <c r="BT27" s="56">
        <f t="shared" si="35"/>
        <v>0</v>
      </c>
      <c r="BU27" s="56">
        <f t="shared" si="35"/>
        <v>0</v>
      </c>
      <c r="BV27" s="56">
        <f t="shared" si="35"/>
        <v>0</v>
      </c>
      <c r="BW27" s="56">
        <f t="shared" si="35"/>
        <v>0</v>
      </c>
      <c r="BX27" s="56">
        <f t="shared" si="35"/>
        <v>0</v>
      </c>
      <c r="BY27" s="56">
        <f t="shared" si="35"/>
        <v>0</v>
      </c>
      <c r="BZ27" s="56">
        <f t="shared" si="35"/>
        <v>0</v>
      </c>
      <c r="CA27" s="56">
        <f t="shared" si="35"/>
        <v>0</v>
      </c>
      <c r="CB27" s="56">
        <f t="shared" ref="CB27:CG27" si="36">BA27*$N$27</f>
        <v>0</v>
      </c>
      <c r="CC27" s="56">
        <f t="shared" si="36"/>
        <v>0</v>
      </c>
      <c r="CD27" s="56">
        <f t="shared" si="36"/>
        <v>0</v>
      </c>
      <c r="CE27" s="56">
        <f t="shared" si="36"/>
        <v>0</v>
      </c>
      <c r="CF27" s="56">
        <f t="shared" si="36"/>
        <v>0</v>
      </c>
      <c r="CG27" s="56">
        <f t="shared" si="36"/>
        <v>0</v>
      </c>
      <c r="CH27" s="101">
        <f t="shared" si="6"/>
        <v>0</v>
      </c>
    </row>
    <row r="28" spans="2:88" s="35" customFormat="1" ht="35.1" customHeight="1">
      <c r="B28" s="111">
        <v>4</v>
      </c>
      <c r="C28" s="4" t="s">
        <v>31</v>
      </c>
      <c r="D28" s="14">
        <f>D29+D30</f>
        <v>100000</v>
      </c>
      <c r="E28" s="270" t="s">
        <v>120</v>
      </c>
      <c r="G28" s="111">
        <v>4</v>
      </c>
      <c r="H28" s="4" t="s">
        <v>31</v>
      </c>
      <c r="I28" s="14">
        <f>I29+I30</f>
        <v>100000</v>
      </c>
      <c r="J28" s="273"/>
      <c r="L28" s="1">
        <v>4</v>
      </c>
      <c r="M28" s="4" t="s">
        <v>31</v>
      </c>
      <c r="N28" s="14">
        <f>N29+N33</f>
        <v>100000</v>
      </c>
      <c r="O28" s="45"/>
      <c r="P28" s="23"/>
      <c r="Q28" s="23"/>
      <c r="R28" s="23"/>
      <c r="S28" s="23"/>
      <c r="T28" s="52"/>
      <c r="U28" s="23"/>
      <c r="V28" s="23"/>
      <c r="W28" s="23"/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3"/>
      <c r="AL28" s="53"/>
      <c r="AM28" s="53"/>
      <c r="AN28" s="53"/>
      <c r="AO28" s="53"/>
      <c r="AP28" s="53"/>
      <c r="AQ28" s="53"/>
      <c r="AR28" s="53"/>
      <c r="AS28" s="53"/>
      <c r="AT28" s="53"/>
      <c r="AU28" s="53"/>
      <c r="AV28" s="53"/>
      <c r="AW28" s="53"/>
      <c r="AX28" s="53"/>
      <c r="AY28" s="53"/>
      <c r="AZ28" s="53"/>
      <c r="BA28" s="53"/>
      <c r="BB28" s="53"/>
      <c r="BC28" s="53"/>
      <c r="BD28" s="53"/>
      <c r="BE28" s="53"/>
      <c r="BF28" s="53"/>
      <c r="BG28" s="53"/>
      <c r="BH28" s="53"/>
      <c r="BI28" s="53"/>
      <c r="BJ28" s="53"/>
      <c r="BK28" s="53"/>
      <c r="BL28" s="53"/>
      <c r="BM28" s="53"/>
      <c r="BN28" s="53"/>
      <c r="BO28" s="53"/>
      <c r="BP28" s="53"/>
      <c r="BQ28" s="53"/>
      <c r="BR28" s="100">
        <f t="shared" si="5"/>
        <v>0</v>
      </c>
      <c r="BS28" s="53"/>
      <c r="BT28" s="53"/>
      <c r="BU28" s="53"/>
      <c r="BV28" s="53"/>
      <c r="BW28" s="53"/>
      <c r="BX28" s="53"/>
      <c r="BY28" s="53"/>
      <c r="BZ28" s="53"/>
      <c r="CA28" s="53"/>
      <c r="CB28" s="53"/>
      <c r="CC28" s="53"/>
      <c r="CD28" s="53"/>
      <c r="CE28" s="53"/>
      <c r="CF28" s="53"/>
      <c r="CG28" s="53"/>
      <c r="CH28" s="101">
        <f t="shared" si="6"/>
        <v>0</v>
      </c>
    </row>
    <row r="29" spans="2:88" ht="35.1" customHeight="1">
      <c r="B29" s="115" t="s">
        <v>32</v>
      </c>
      <c r="C29" s="28" t="s">
        <v>33</v>
      </c>
      <c r="D29" s="29">
        <v>81818.179999999993</v>
      </c>
      <c r="E29" s="270"/>
      <c r="G29" s="115" t="s">
        <v>32</v>
      </c>
      <c r="H29" s="28" t="s">
        <v>33</v>
      </c>
      <c r="I29" s="29">
        <v>81818.179999999993</v>
      </c>
      <c r="J29" s="273"/>
      <c r="L29" s="23" t="s">
        <v>32</v>
      </c>
      <c r="M29" s="24" t="s">
        <v>33</v>
      </c>
      <c r="N29" s="19">
        <v>81818.179999999993</v>
      </c>
      <c r="O29" s="51"/>
      <c r="P29" s="23" t="s">
        <v>62</v>
      </c>
      <c r="Q29" s="23" t="s">
        <v>63</v>
      </c>
      <c r="R29" s="23">
        <v>100</v>
      </c>
      <c r="S29" s="23">
        <v>0</v>
      </c>
      <c r="T29" s="52">
        <v>44002</v>
      </c>
      <c r="U29" s="23" t="s">
        <v>60</v>
      </c>
      <c r="V29" s="23"/>
      <c r="W29" s="23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54"/>
      <c r="AN29" s="54"/>
      <c r="AO29" s="54"/>
      <c r="AP29" s="54"/>
      <c r="AQ29" s="60"/>
      <c r="AR29" s="60"/>
      <c r="AS29" s="60"/>
      <c r="AT29" s="60"/>
      <c r="AU29" s="60"/>
      <c r="AV29" s="60"/>
      <c r="AW29" s="60"/>
      <c r="AX29" s="60"/>
      <c r="AY29" s="60"/>
      <c r="AZ29" s="60"/>
      <c r="BA29" s="60"/>
      <c r="BB29" s="56"/>
      <c r="BC29" s="56">
        <f>SUM(BC30:BC32)</f>
        <v>3599.804347826087</v>
      </c>
      <c r="BD29" s="56">
        <f t="shared" ref="BD29:CG29" si="37">SUM(BD30:BD32)</f>
        <v>3599.804347826087</v>
      </c>
      <c r="BE29" s="56">
        <f t="shared" si="37"/>
        <v>3599.804347826087</v>
      </c>
      <c r="BF29" s="56">
        <f t="shared" si="37"/>
        <v>3599.804347826087</v>
      </c>
      <c r="BG29" s="56">
        <f t="shared" si="37"/>
        <v>3599.804347826087</v>
      </c>
      <c r="BH29" s="56">
        <f t="shared" si="37"/>
        <v>3599.804347826087</v>
      </c>
      <c r="BI29" s="56">
        <f t="shared" si="37"/>
        <v>3599.804347826087</v>
      </c>
      <c r="BJ29" s="56">
        <f t="shared" si="37"/>
        <v>3599.804347826087</v>
      </c>
      <c r="BK29" s="56">
        <f t="shared" si="37"/>
        <v>3599.804347826087</v>
      </c>
      <c r="BL29" s="56">
        <f t="shared" si="37"/>
        <v>3599.804347826087</v>
      </c>
      <c r="BM29" s="56">
        <f t="shared" si="37"/>
        <v>3599.804347826087</v>
      </c>
      <c r="BN29" s="56">
        <f t="shared" si="37"/>
        <v>3599.804347826087</v>
      </c>
      <c r="BO29" s="56">
        <f t="shared" si="37"/>
        <v>3599.804347826087</v>
      </c>
      <c r="BP29" s="56">
        <f t="shared" si="37"/>
        <v>3599.804347826087</v>
      </c>
      <c r="BQ29" s="56">
        <f t="shared" si="37"/>
        <v>3599.804347826087</v>
      </c>
      <c r="BR29" s="100">
        <f t="shared" si="5"/>
        <v>53997.065217391311</v>
      </c>
      <c r="BS29" s="56">
        <f t="shared" si="37"/>
        <v>3599.804347826087</v>
      </c>
      <c r="BT29" s="56">
        <f t="shared" si="37"/>
        <v>3599.804347826087</v>
      </c>
      <c r="BU29" s="56">
        <f t="shared" si="37"/>
        <v>3599.804347826087</v>
      </c>
      <c r="BV29" s="56">
        <f t="shared" si="37"/>
        <v>0</v>
      </c>
      <c r="BW29" s="56">
        <f t="shared" si="37"/>
        <v>0</v>
      </c>
      <c r="BX29" s="56">
        <f t="shared" si="37"/>
        <v>5106.510521739131</v>
      </c>
      <c r="BY29" s="56">
        <f t="shared" si="37"/>
        <v>3404.3403478260875</v>
      </c>
      <c r="BZ29" s="56">
        <f t="shared" si="37"/>
        <v>4255.425434782609</v>
      </c>
      <c r="CA29" s="56">
        <f t="shared" si="37"/>
        <v>2553.2552608695655</v>
      </c>
      <c r="CB29" s="56">
        <f t="shared" si="37"/>
        <v>1702.1701739130438</v>
      </c>
      <c r="CC29" s="56">
        <f t="shared" si="37"/>
        <v>0</v>
      </c>
      <c r="CD29" s="56">
        <f t="shared" si="37"/>
        <v>0</v>
      </c>
      <c r="CE29" s="56">
        <f t="shared" si="37"/>
        <v>0</v>
      </c>
      <c r="CF29" s="56">
        <f t="shared" si="37"/>
        <v>0</v>
      </c>
      <c r="CG29" s="56">
        <f t="shared" si="37"/>
        <v>0</v>
      </c>
      <c r="CH29" s="101">
        <f t="shared" si="6"/>
        <v>81818.180000000008</v>
      </c>
    </row>
    <row r="30" spans="2:88" ht="35.1" hidden="1" customHeight="1">
      <c r="B30" s="116" t="s">
        <v>38</v>
      </c>
      <c r="C30" s="31" t="s">
        <v>39</v>
      </c>
      <c r="D30" s="32">
        <v>18181.82</v>
      </c>
      <c r="E30" s="270"/>
      <c r="G30" s="116" t="s">
        <v>38</v>
      </c>
      <c r="H30" s="31" t="s">
        <v>39</v>
      </c>
      <c r="I30" s="32">
        <v>18181.82</v>
      </c>
      <c r="J30" s="273"/>
      <c r="L30" s="23" t="s">
        <v>34</v>
      </c>
      <c r="M30" s="24" t="s">
        <v>35</v>
      </c>
      <c r="N30" s="19">
        <f>16007.13*18/5.336</f>
        <v>53997.065217391297</v>
      </c>
      <c r="O30" s="51"/>
      <c r="P30" s="23" t="s">
        <v>62</v>
      </c>
      <c r="Q30" s="23" t="s">
        <v>63</v>
      </c>
      <c r="R30" s="23">
        <v>100</v>
      </c>
      <c r="S30" s="23">
        <v>0</v>
      </c>
      <c r="T30" s="52">
        <v>44002</v>
      </c>
      <c r="U30" s="23" t="s">
        <v>60</v>
      </c>
      <c r="V30" s="23"/>
      <c r="W30" s="54"/>
      <c r="X30" s="54">
        <f>(16007.13/5.336)/$N$30</f>
        <v>5.5555555555555559E-2</v>
      </c>
      <c r="Y30" s="54">
        <f t="shared" ref="Y30:AN31" si="38">(16007.13/5.336)/$N$30</f>
        <v>5.5555555555555559E-2</v>
      </c>
      <c r="Z30" s="54">
        <f t="shared" si="38"/>
        <v>5.5555555555555559E-2</v>
      </c>
      <c r="AA30" s="54">
        <f t="shared" si="38"/>
        <v>5.5555555555555559E-2</v>
      </c>
      <c r="AB30" s="54">
        <f t="shared" si="38"/>
        <v>5.5555555555555559E-2</v>
      </c>
      <c r="AC30" s="54">
        <f t="shared" si="38"/>
        <v>5.5555555555555559E-2</v>
      </c>
      <c r="AD30" s="54">
        <f t="shared" si="38"/>
        <v>5.5555555555555559E-2</v>
      </c>
      <c r="AE30" s="54">
        <f t="shared" si="38"/>
        <v>5.5555555555555559E-2</v>
      </c>
      <c r="AF30" s="54">
        <f t="shared" si="38"/>
        <v>5.5555555555555559E-2</v>
      </c>
      <c r="AG30" s="54">
        <f t="shared" si="38"/>
        <v>5.5555555555555559E-2</v>
      </c>
      <c r="AH30" s="54">
        <f t="shared" si="38"/>
        <v>5.5555555555555559E-2</v>
      </c>
      <c r="AI30" s="54">
        <f t="shared" si="38"/>
        <v>5.5555555555555559E-2</v>
      </c>
      <c r="AJ30" s="54">
        <f t="shared" si="38"/>
        <v>5.5555555555555559E-2</v>
      </c>
      <c r="AK30" s="54">
        <f t="shared" si="38"/>
        <v>5.5555555555555559E-2</v>
      </c>
      <c r="AL30" s="54">
        <f t="shared" si="38"/>
        <v>5.5555555555555559E-2</v>
      </c>
      <c r="AM30" s="54">
        <f t="shared" si="38"/>
        <v>5.5555555555555559E-2</v>
      </c>
      <c r="AN30" s="54">
        <f t="shared" si="38"/>
        <v>5.5555555555555559E-2</v>
      </c>
      <c r="AO30" s="54">
        <f t="shared" ref="AO30:AO31" si="39">(16007.13/5.336)/$N$30</f>
        <v>5.5555555555555559E-2</v>
      </c>
      <c r="AP30" s="54"/>
      <c r="AQ30" s="60"/>
      <c r="AR30" s="60"/>
      <c r="AS30" s="60"/>
      <c r="AT30" s="60"/>
      <c r="AU30" s="60"/>
      <c r="AV30" s="60"/>
      <c r="AW30" s="60"/>
      <c r="AX30" s="60"/>
      <c r="AY30" s="60"/>
      <c r="AZ30" s="60"/>
      <c r="BA30" s="60"/>
      <c r="BB30" s="56">
        <f t="shared" ref="BB30:BQ30" si="40">W30*$N$30</f>
        <v>0</v>
      </c>
      <c r="BC30" s="56">
        <f t="shared" si="40"/>
        <v>2999.836956521739</v>
      </c>
      <c r="BD30" s="56">
        <f t="shared" si="40"/>
        <v>2999.836956521739</v>
      </c>
      <c r="BE30" s="56">
        <f t="shared" si="40"/>
        <v>2999.836956521739</v>
      </c>
      <c r="BF30" s="56">
        <f t="shared" si="40"/>
        <v>2999.836956521739</v>
      </c>
      <c r="BG30" s="56">
        <f t="shared" si="40"/>
        <v>2999.836956521739</v>
      </c>
      <c r="BH30" s="56">
        <f t="shared" si="40"/>
        <v>2999.836956521739</v>
      </c>
      <c r="BI30" s="56">
        <f t="shared" si="40"/>
        <v>2999.836956521739</v>
      </c>
      <c r="BJ30" s="56">
        <f t="shared" si="40"/>
        <v>2999.836956521739</v>
      </c>
      <c r="BK30" s="56">
        <f t="shared" si="40"/>
        <v>2999.836956521739</v>
      </c>
      <c r="BL30" s="56">
        <f t="shared" si="40"/>
        <v>2999.836956521739</v>
      </c>
      <c r="BM30" s="56">
        <f t="shared" si="40"/>
        <v>2999.836956521739</v>
      </c>
      <c r="BN30" s="56">
        <f t="shared" si="40"/>
        <v>2999.836956521739</v>
      </c>
      <c r="BO30" s="56">
        <f t="shared" si="40"/>
        <v>2999.836956521739</v>
      </c>
      <c r="BP30" s="56">
        <f t="shared" si="40"/>
        <v>2999.836956521739</v>
      </c>
      <c r="BQ30" s="56">
        <f t="shared" si="40"/>
        <v>2999.836956521739</v>
      </c>
      <c r="BR30" s="100">
        <f t="shared" si="5"/>
        <v>44997.554347826081</v>
      </c>
      <c r="BS30" s="56">
        <f t="shared" ref="BS30:CG30" si="41">AM30*$N$30</f>
        <v>2999.836956521739</v>
      </c>
      <c r="BT30" s="56">
        <f t="shared" si="41"/>
        <v>2999.836956521739</v>
      </c>
      <c r="BU30" s="56">
        <f t="shared" si="41"/>
        <v>2999.836956521739</v>
      </c>
      <c r="BV30" s="56">
        <f t="shared" si="41"/>
        <v>0</v>
      </c>
      <c r="BW30" s="56">
        <f t="shared" si="41"/>
        <v>0</v>
      </c>
      <c r="BX30" s="56">
        <f t="shared" si="41"/>
        <v>0</v>
      </c>
      <c r="BY30" s="56">
        <f t="shared" si="41"/>
        <v>0</v>
      </c>
      <c r="BZ30" s="56">
        <f t="shared" si="41"/>
        <v>0</v>
      </c>
      <c r="CA30" s="56">
        <f t="shared" si="41"/>
        <v>0</v>
      </c>
      <c r="CB30" s="56">
        <f t="shared" si="41"/>
        <v>0</v>
      </c>
      <c r="CC30" s="56">
        <f t="shared" si="41"/>
        <v>0</v>
      </c>
      <c r="CD30" s="56">
        <f t="shared" si="41"/>
        <v>0</v>
      </c>
      <c r="CE30" s="56">
        <f t="shared" si="41"/>
        <v>0</v>
      </c>
      <c r="CF30" s="56">
        <f t="shared" si="41"/>
        <v>0</v>
      </c>
      <c r="CG30" s="56">
        <f t="shared" si="41"/>
        <v>0</v>
      </c>
      <c r="CH30" s="101">
        <f t="shared" si="6"/>
        <v>53997.065217391289</v>
      </c>
      <c r="CJ30" s="117">
        <f>CH30</f>
        <v>53997.065217391289</v>
      </c>
    </row>
    <row r="31" spans="2:88" ht="35.1" hidden="1" customHeight="1">
      <c r="B31" s="113"/>
      <c r="C31" s="25" t="s">
        <v>125</v>
      </c>
      <c r="D31" s="14" t="e">
        <f>D10+D20+#REF!</f>
        <v>#REF!</v>
      </c>
      <c r="E31" s="270"/>
      <c r="G31" s="113"/>
      <c r="H31" s="25" t="s">
        <v>125</v>
      </c>
      <c r="I31" s="14" t="e">
        <f>I10+I20+#REF!</f>
        <v>#REF!</v>
      </c>
      <c r="J31" s="80"/>
      <c r="L31" s="23" t="s">
        <v>36</v>
      </c>
      <c r="M31" s="24" t="s">
        <v>126</v>
      </c>
      <c r="N31" s="19">
        <f>N30*0.2</f>
        <v>10799.41304347826</v>
      </c>
      <c r="O31" s="118"/>
      <c r="P31" s="23" t="s">
        <v>62</v>
      </c>
      <c r="Q31" s="23" t="s">
        <v>63</v>
      </c>
      <c r="R31" s="23">
        <v>100</v>
      </c>
      <c r="S31" s="23">
        <v>0</v>
      </c>
      <c r="T31" s="52">
        <v>44593</v>
      </c>
      <c r="U31" s="23" t="s">
        <v>60</v>
      </c>
      <c r="V31" s="23"/>
      <c r="W31" s="54"/>
      <c r="X31" s="54">
        <f>(16007.13/5.336)/$N$30</f>
        <v>5.5555555555555559E-2</v>
      </c>
      <c r="Y31" s="54">
        <f t="shared" si="38"/>
        <v>5.5555555555555559E-2</v>
      </c>
      <c r="Z31" s="54">
        <f t="shared" si="38"/>
        <v>5.5555555555555559E-2</v>
      </c>
      <c r="AA31" s="54">
        <f t="shared" si="38"/>
        <v>5.5555555555555559E-2</v>
      </c>
      <c r="AB31" s="54">
        <f t="shared" si="38"/>
        <v>5.5555555555555559E-2</v>
      </c>
      <c r="AC31" s="54">
        <f t="shared" si="38"/>
        <v>5.5555555555555559E-2</v>
      </c>
      <c r="AD31" s="54">
        <f t="shared" si="38"/>
        <v>5.5555555555555559E-2</v>
      </c>
      <c r="AE31" s="54">
        <f t="shared" si="38"/>
        <v>5.5555555555555559E-2</v>
      </c>
      <c r="AF31" s="54">
        <f t="shared" si="38"/>
        <v>5.5555555555555559E-2</v>
      </c>
      <c r="AG31" s="54">
        <f t="shared" si="38"/>
        <v>5.5555555555555559E-2</v>
      </c>
      <c r="AH31" s="54">
        <f t="shared" si="38"/>
        <v>5.5555555555555559E-2</v>
      </c>
      <c r="AI31" s="54">
        <f t="shared" si="38"/>
        <v>5.5555555555555559E-2</v>
      </c>
      <c r="AJ31" s="54">
        <f t="shared" si="38"/>
        <v>5.5555555555555559E-2</v>
      </c>
      <c r="AK31" s="54">
        <f t="shared" si="38"/>
        <v>5.5555555555555559E-2</v>
      </c>
      <c r="AL31" s="54">
        <f t="shared" si="38"/>
        <v>5.5555555555555559E-2</v>
      </c>
      <c r="AM31" s="54">
        <f t="shared" si="38"/>
        <v>5.5555555555555559E-2</v>
      </c>
      <c r="AN31" s="54">
        <f t="shared" si="38"/>
        <v>5.5555555555555559E-2</v>
      </c>
      <c r="AO31" s="54">
        <f t="shared" si="39"/>
        <v>5.5555555555555559E-2</v>
      </c>
      <c r="AP31" s="54"/>
      <c r="AQ31" s="60"/>
      <c r="AR31" s="60"/>
      <c r="AS31" s="60"/>
      <c r="AT31" s="60"/>
      <c r="AU31" s="60"/>
      <c r="AV31" s="60"/>
      <c r="AW31" s="60"/>
      <c r="AX31" s="60"/>
      <c r="AY31" s="60"/>
      <c r="AZ31" s="60"/>
      <c r="BA31" s="60"/>
      <c r="BB31" s="56">
        <f t="shared" ref="BB31:BQ31" si="42">W31*$N$31</f>
        <v>0</v>
      </c>
      <c r="BC31" s="56">
        <f t="shared" si="42"/>
        <v>599.96739130434787</v>
      </c>
      <c r="BD31" s="56">
        <f t="shared" si="42"/>
        <v>599.96739130434787</v>
      </c>
      <c r="BE31" s="56">
        <f t="shared" si="42"/>
        <v>599.96739130434787</v>
      </c>
      <c r="BF31" s="56">
        <f t="shared" si="42"/>
        <v>599.96739130434787</v>
      </c>
      <c r="BG31" s="56">
        <f t="shared" si="42"/>
        <v>599.96739130434787</v>
      </c>
      <c r="BH31" s="56">
        <f t="shared" si="42"/>
        <v>599.96739130434787</v>
      </c>
      <c r="BI31" s="56">
        <f t="shared" si="42"/>
        <v>599.96739130434787</v>
      </c>
      <c r="BJ31" s="56">
        <f t="shared" si="42"/>
        <v>599.96739130434787</v>
      </c>
      <c r="BK31" s="56">
        <f t="shared" si="42"/>
        <v>599.96739130434787</v>
      </c>
      <c r="BL31" s="56">
        <f t="shared" si="42"/>
        <v>599.96739130434787</v>
      </c>
      <c r="BM31" s="56">
        <f t="shared" si="42"/>
        <v>599.96739130434787</v>
      </c>
      <c r="BN31" s="56">
        <f t="shared" si="42"/>
        <v>599.96739130434787</v>
      </c>
      <c r="BO31" s="56">
        <f t="shared" si="42"/>
        <v>599.96739130434787</v>
      </c>
      <c r="BP31" s="56">
        <f t="shared" si="42"/>
        <v>599.96739130434787</v>
      </c>
      <c r="BQ31" s="56">
        <f t="shared" si="42"/>
        <v>599.96739130434787</v>
      </c>
      <c r="BR31" s="100">
        <f t="shared" si="5"/>
        <v>8999.5108695652179</v>
      </c>
      <c r="BS31" s="56">
        <f t="shared" ref="BS31:CG31" si="43">AM31*$N$31</f>
        <v>599.96739130434787</v>
      </c>
      <c r="BT31" s="56">
        <f t="shared" si="43"/>
        <v>599.96739130434787</v>
      </c>
      <c r="BU31" s="56">
        <f t="shared" si="43"/>
        <v>599.96739130434787</v>
      </c>
      <c r="BV31" s="56">
        <f t="shared" si="43"/>
        <v>0</v>
      </c>
      <c r="BW31" s="56">
        <f t="shared" si="43"/>
        <v>0</v>
      </c>
      <c r="BX31" s="56">
        <f t="shared" si="43"/>
        <v>0</v>
      </c>
      <c r="BY31" s="56">
        <f t="shared" si="43"/>
        <v>0</v>
      </c>
      <c r="BZ31" s="56">
        <f t="shared" si="43"/>
        <v>0</v>
      </c>
      <c r="CA31" s="56">
        <f t="shared" si="43"/>
        <v>0</v>
      </c>
      <c r="CB31" s="56">
        <f t="shared" si="43"/>
        <v>0</v>
      </c>
      <c r="CC31" s="56">
        <f t="shared" si="43"/>
        <v>0</v>
      </c>
      <c r="CD31" s="56">
        <f t="shared" si="43"/>
        <v>0</v>
      </c>
      <c r="CE31" s="56">
        <f t="shared" si="43"/>
        <v>0</v>
      </c>
      <c r="CF31" s="56">
        <f t="shared" si="43"/>
        <v>0</v>
      </c>
      <c r="CG31" s="56">
        <f t="shared" si="43"/>
        <v>0</v>
      </c>
      <c r="CH31" s="101">
        <f t="shared" si="6"/>
        <v>10799.413043478262</v>
      </c>
    </row>
    <row r="32" spans="2:88" ht="35.1" hidden="1" customHeight="1">
      <c r="B32" s="113"/>
      <c r="C32" s="25" t="s">
        <v>125</v>
      </c>
      <c r="D32" s="14">
        <f>D11+D21+D28</f>
        <v>621969.70000000007</v>
      </c>
      <c r="E32" s="270"/>
      <c r="G32" s="113"/>
      <c r="H32" s="25" t="s">
        <v>125</v>
      </c>
      <c r="I32" s="14">
        <f>I11+I21+I28</f>
        <v>621969.70000000007</v>
      </c>
      <c r="J32" s="80"/>
      <c r="L32" s="23" t="s">
        <v>127</v>
      </c>
      <c r="M32" s="24" t="s">
        <v>37</v>
      </c>
      <c r="N32" s="19">
        <f>N29-N30-N31</f>
        <v>17021.701739130436</v>
      </c>
      <c r="O32" s="51"/>
      <c r="P32" s="23" t="s">
        <v>62</v>
      </c>
      <c r="Q32" s="23" t="s">
        <v>63</v>
      </c>
      <c r="R32" s="23">
        <v>100</v>
      </c>
      <c r="S32" s="23">
        <v>0</v>
      </c>
      <c r="T32" s="52">
        <v>44593</v>
      </c>
      <c r="U32" s="23" t="s">
        <v>60</v>
      </c>
      <c r="V32" s="23"/>
      <c r="W32" s="23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5"/>
      <c r="AN32" s="55"/>
      <c r="AO32" s="55"/>
      <c r="AP32" s="55"/>
      <c r="AQ32" s="55"/>
      <c r="AR32" s="55">
        <v>0.3</v>
      </c>
      <c r="AS32" s="55">
        <v>0.2</v>
      </c>
      <c r="AT32" s="55">
        <v>0.25</v>
      </c>
      <c r="AU32" s="55">
        <v>0.15</v>
      </c>
      <c r="AV32" s="55">
        <v>0.1</v>
      </c>
      <c r="AW32" s="55"/>
      <c r="AX32" s="55"/>
      <c r="AY32" s="55"/>
      <c r="AZ32" s="55"/>
      <c r="BA32" s="55"/>
      <c r="BB32" s="56">
        <f t="shared" ref="BB32:BQ32" si="44">W32*$N$32</f>
        <v>0</v>
      </c>
      <c r="BC32" s="56">
        <f t="shared" si="44"/>
        <v>0</v>
      </c>
      <c r="BD32" s="56">
        <f t="shared" si="44"/>
        <v>0</v>
      </c>
      <c r="BE32" s="56">
        <f t="shared" si="44"/>
        <v>0</v>
      </c>
      <c r="BF32" s="56">
        <f t="shared" si="44"/>
        <v>0</v>
      </c>
      <c r="BG32" s="56">
        <f t="shared" si="44"/>
        <v>0</v>
      </c>
      <c r="BH32" s="56">
        <f t="shared" si="44"/>
        <v>0</v>
      </c>
      <c r="BI32" s="56">
        <f t="shared" si="44"/>
        <v>0</v>
      </c>
      <c r="BJ32" s="56">
        <f t="shared" si="44"/>
        <v>0</v>
      </c>
      <c r="BK32" s="56">
        <f t="shared" si="44"/>
        <v>0</v>
      </c>
      <c r="BL32" s="56">
        <f t="shared" si="44"/>
        <v>0</v>
      </c>
      <c r="BM32" s="56">
        <f t="shared" si="44"/>
        <v>0</v>
      </c>
      <c r="BN32" s="56">
        <f t="shared" si="44"/>
        <v>0</v>
      </c>
      <c r="BO32" s="56">
        <f t="shared" si="44"/>
        <v>0</v>
      </c>
      <c r="BP32" s="56">
        <f t="shared" si="44"/>
        <v>0</v>
      </c>
      <c r="BQ32" s="56">
        <f t="shared" si="44"/>
        <v>0</v>
      </c>
      <c r="BR32" s="100">
        <f t="shared" si="5"/>
        <v>0</v>
      </c>
      <c r="BS32" s="56">
        <f t="shared" ref="BS32:CG32" si="45">AM32*$N$32</f>
        <v>0</v>
      </c>
      <c r="BT32" s="56">
        <f t="shared" si="45"/>
        <v>0</v>
      </c>
      <c r="BU32" s="56">
        <f t="shared" si="45"/>
        <v>0</v>
      </c>
      <c r="BV32" s="61">
        <f t="shared" si="45"/>
        <v>0</v>
      </c>
      <c r="BW32" s="61">
        <f t="shared" si="45"/>
        <v>0</v>
      </c>
      <c r="BX32" s="61">
        <f t="shared" si="45"/>
        <v>5106.510521739131</v>
      </c>
      <c r="BY32" s="61">
        <f t="shared" si="45"/>
        <v>3404.3403478260875</v>
      </c>
      <c r="BZ32" s="61">
        <f t="shared" si="45"/>
        <v>4255.425434782609</v>
      </c>
      <c r="CA32" s="61">
        <f t="shared" si="45"/>
        <v>2553.2552608695655</v>
      </c>
      <c r="CB32" s="61">
        <f t="shared" si="45"/>
        <v>1702.1701739130438</v>
      </c>
      <c r="CC32" s="61">
        <f t="shared" si="45"/>
        <v>0</v>
      </c>
      <c r="CD32" s="61">
        <f t="shared" si="45"/>
        <v>0</v>
      </c>
      <c r="CE32" s="61">
        <f t="shared" si="45"/>
        <v>0</v>
      </c>
      <c r="CF32" s="61">
        <f t="shared" si="45"/>
        <v>0</v>
      </c>
      <c r="CG32" s="61">
        <f t="shared" si="45"/>
        <v>0</v>
      </c>
      <c r="CH32" s="101">
        <f t="shared" si="6"/>
        <v>17021.701739130436</v>
      </c>
    </row>
    <row r="33" spans="2:89" ht="35.1" customHeight="1">
      <c r="B33" s="103"/>
      <c r="C33" s="119" t="s">
        <v>128</v>
      </c>
      <c r="D33" s="108">
        <f>D16</f>
        <v>328030.3</v>
      </c>
      <c r="E33" s="270"/>
      <c r="G33" s="103"/>
      <c r="H33" s="119" t="s">
        <v>128</v>
      </c>
      <c r="I33" s="108">
        <f>I16</f>
        <v>328030.3</v>
      </c>
      <c r="J33" s="120"/>
      <c r="L33" s="23" t="s">
        <v>38</v>
      </c>
      <c r="M33" s="24" t="s">
        <v>39</v>
      </c>
      <c r="N33" s="19">
        <v>18181.82</v>
      </c>
      <c r="O33" s="51"/>
      <c r="P33" s="23" t="s">
        <v>62</v>
      </c>
      <c r="Q33" s="23" t="s">
        <v>63</v>
      </c>
      <c r="R33" s="23">
        <v>100</v>
      </c>
      <c r="S33" s="23">
        <v>0</v>
      </c>
      <c r="T33" s="52">
        <v>44531</v>
      </c>
      <c r="U33" s="23" t="s">
        <v>60</v>
      </c>
      <c r="V33" s="23"/>
      <c r="W33" s="23"/>
      <c r="X33" s="53"/>
      <c r="Y33" s="53"/>
      <c r="Z33" s="53"/>
      <c r="AA33" s="53"/>
      <c r="AB33" s="53"/>
      <c r="AC33" s="53"/>
      <c r="AD33" s="53"/>
      <c r="AE33" s="53"/>
      <c r="AF33" s="53"/>
      <c r="AG33" s="53"/>
      <c r="AH33" s="53"/>
      <c r="AI33" s="53"/>
      <c r="AJ33" s="53"/>
      <c r="AK33" s="53"/>
      <c r="AL33" s="53"/>
      <c r="AM33" s="55"/>
      <c r="AN33" s="55"/>
      <c r="AO33" s="55"/>
      <c r="AP33" s="55">
        <v>0.5</v>
      </c>
      <c r="AQ33" s="55"/>
      <c r="AR33" s="55"/>
      <c r="AS33" s="55"/>
      <c r="AT33" s="55"/>
      <c r="AU33" s="55"/>
      <c r="AV33" s="55"/>
      <c r="AW33" s="55"/>
      <c r="AX33" s="55"/>
      <c r="AY33" s="55"/>
      <c r="AZ33" s="55"/>
      <c r="BA33" s="55">
        <v>0.5</v>
      </c>
      <c r="BB33" s="56">
        <f t="shared" ref="BB33:BQ33" si="46">W33*$N$33</f>
        <v>0</v>
      </c>
      <c r="BC33" s="56">
        <f t="shared" si="46"/>
        <v>0</v>
      </c>
      <c r="BD33" s="56">
        <f t="shared" si="46"/>
        <v>0</v>
      </c>
      <c r="BE33" s="56">
        <f t="shared" si="46"/>
        <v>0</v>
      </c>
      <c r="BF33" s="56">
        <f t="shared" si="46"/>
        <v>0</v>
      </c>
      <c r="BG33" s="56">
        <f t="shared" si="46"/>
        <v>0</v>
      </c>
      <c r="BH33" s="56">
        <f t="shared" si="46"/>
        <v>0</v>
      </c>
      <c r="BI33" s="56">
        <f t="shared" si="46"/>
        <v>0</v>
      </c>
      <c r="BJ33" s="56">
        <f t="shared" si="46"/>
        <v>0</v>
      </c>
      <c r="BK33" s="56">
        <f t="shared" si="46"/>
        <v>0</v>
      </c>
      <c r="BL33" s="56">
        <f t="shared" si="46"/>
        <v>0</v>
      </c>
      <c r="BM33" s="56">
        <f t="shared" si="46"/>
        <v>0</v>
      </c>
      <c r="BN33" s="56">
        <f t="shared" si="46"/>
        <v>0</v>
      </c>
      <c r="BO33" s="56">
        <f t="shared" si="46"/>
        <v>0</v>
      </c>
      <c r="BP33" s="56">
        <f t="shared" si="46"/>
        <v>0</v>
      </c>
      <c r="BQ33" s="56">
        <f t="shared" si="46"/>
        <v>0</v>
      </c>
      <c r="BR33" s="100">
        <f t="shared" si="5"/>
        <v>0</v>
      </c>
      <c r="BS33" s="56">
        <f t="shared" ref="BS33:CG33" si="47">AM33*$N$33</f>
        <v>0</v>
      </c>
      <c r="BT33" s="56">
        <f t="shared" si="47"/>
        <v>0</v>
      </c>
      <c r="BU33" s="56">
        <f t="shared" si="47"/>
        <v>0</v>
      </c>
      <c r="BV33" s="56">
        <f t="shared" si="47"/>
        <v>9090.91</v>
      </c>
      <c r="BW33" s="56">
        <f t="shared" si="47"/>
        <v>0</v>
      </c>
      <c r="BX33" s="56">
        <f t="shared" si="47"/>
        <v>0</v>
      </c>
      <c r="BY33" s="56">
        <f t="shared" si="47"/>
        <v>0</v>
      </c>
      <c r="BZ33" s="56">
        <f t="shared" si="47"/>
        <v>0</v>
      </c>
      <c r="CA33" s="56">
        <f t="shared" si="47"/>
        <v>0</v>
      </c>
      <c r="CB33" s="56">
        <f t="shared" si="47"/>
        <v>0</v>
      </c>
      <c r="CC33" s="56">
        <f t="shared" si="47"/>
        <v>0</v>
      </c>
      <c r="CD33" s="56">
        <f t="shared" si="47"/>
        <v>0</v>
      </c>
      <c r="CE33" s="56">
        <f t="shared" si="47"/>
        <v>0</v>
      </c>
      <c r="CF33" s="56">
        <f t="shared" si="47"/>
        <v>0</v>
      </c>
      <c r="CG33" s="56">
        <f t="shared" si="47"/>
        <v>9090.91</v>
      </c>
      <c r="CH33" s="101">
        <f t="shared" si="6"/>
        <v>18181.82</v>
      </c>
    </row>
    <row r="34" spans="2:89" s="35" customFormat="1" ht="35.1" customHeight="1">
      <c r="B34" s="121"/>
      <c r="C34" s="25" t="s">
        <v>129</v>
      </c>
      <c r="D34" s="14">
        <f>D11+D16+D21+D28</f>
        <v>950000.00000000012</v>
      </c>
      <c r="E34" s="270"/>
      <c r="G34" s="121"/>
      <c r="H34" s="25" t="s">
        <v>129</v>
      </c>
      <c r="I34" s="14">
        <f>I11+I16+I21+I28</f>
        <v>950000.00000000012</v>
      </c>
      <c r="J34" s="80"/>
      <c r="L34" s="203" t="s">
        <v>40</v>
      </c>
      <c r="M34" s="203"/>
      <c r="N34" s="14">
        <f>N28+N20+N11</f>
        <v>621969.69999999995</v>
      </c>
      <c r="O34" s="122"/>
      <c r="P34" s="4"/>
      <c r="Q34" s="4"/>
      <c r="R34" s="4"/>
      <c r="S34" s="62"/>
      <c r="T34" s="4"/>
      <c r="U34" s="4"/>
      <c r="V34" s="1"/>
      <c r="W34" s="123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63">
        <f>SUM(BB13:BB33)</f>
        <v>0</v>
      </c>
      <c r="BC34" s="63">
        <f t="shared" ref="BC34:BQ34" si="48">SUM(BC14:BC33)-BC29</f>
        <v>3599.804347826087</v>
      </c>
      <c r="BD34" s="63">
        <f t="shared" si="48"/>
        <v>3599.804347826087</v>
      </c>
      <c r="BE34" s="63">
        <f t="shared" si="48"/>
        <v>3599.804347826087</v>
      </c>
      <c r="BF34" s="63">
        <f t="shared" si="48"/>
        <v>3599.804347826087</v>
      </c>
      <c r="BG34" s="63">
        <f t="shared" si="48"/>
        <v>3599.804347826087</v>
      </c>
      <c r="BH34" s="63">
        <f t="shared" si="48"/>
        <v>3599.804347826087</v>
      </c>
      <c r="BI34" s="63">
        <f t="shared" si="48"/>
        <v>3599.804347826087</v>
      </c>
      <c r="BJ34" s="63">
        <f t="shared" si="48"/>
        <v>3599.804347826087</v>
      </c>
      <c r="BK34" s="63">
        <f t="shared" si="48"/>
        <v>3599.804347826087</v>
      </c>
      <c r="BL34" s="63">
        <f t="shared" si="48"/>
        <v>3599.804347826087</v>
      </c>
      <c r="BM34" s="63">
        <f t="shared" si="48"/>
        <v>3599.804347826087</v>
      </c>
      <c r="BN34" s="63">
        <f t="shared" si="48"/>
        <v>3599.804347826087</v>
      </c>
      <c r="BO34" s="63">
        <f t="shared" si="48"/>
        <v>3599.804347826087</v>
      </c>
      <c r="BP34" s="63">
        <f t="shared" si="48"/>
        <v>3599.804347826087</v>
      </c>
      <c r="BQ34" s="63">
        <f t="shared" si="48"/>
        <v>21736.985757121438</v>
      </c>
      <c r="BR34" s="101">
        <f t="shared" si="5"/>
        <v>72134.246626686654</v>
      </c>
      <c r="BS34" s="63">
        <f t="shared" ref="BS34:CG34" si="49">SUM(BS14:BS33)-BS29</f>
        <v>117691.69790104947</v>
      </c>
      <c r="BT34" s="63">
        <f t="shared" si="49"/>
        <v>63102.888080959521</v>
      </c>
      <c r="BU34" s="63">
        <f t="shared" si="49"/>
        <v>23434.165592203899</v>
      </c>
      <c r="BV34" s="63">
        <f t="shared" si="49"/>
        <v>28925.271244377811</v>
      </c>
      <c r="BW34" s="63">
        <f t="shared" si="49"/>
        <v>39668.722488755622</v>
      </c>
      <c r="BX34" s="63">
        <f t="shared" si="49"/>
        <v>81203.056796101941</v>
      </c>
      <c r="BY34" s="63">
        <f t="shared" si="49"/>
        <v>24857.879103448278</v>
      </c>
      <c r="BZ34" s="63">
        <f t="shared" si="49"/>
        <v>45543.325434782608</v>
      </c>
      <c r="CA34" s="63">
        <f t="shared" si="49"/>
        <v>10783.886520239883</v>
      </c>
      <c r="CB34" s="63">
        <f t="shared" si="49"/>
        <v>9932.8014332833609</v>
      </c>
      <c r="CC34" s="63">
        <f t="shared" si="49"/>
        <v>40957.841259370318</v>
      </c>
      <c r="CD34" s="63">
        <f t="shared" si="49"/>
        <v>8230.6312593703169</v>
      </c>
      <c r="CE34" s="63">
        <f t="shared" si="49"/>
        <v>8230.6312593703169</v>
      </c>
      <c r="CF34" s="63">
        <f t="shared" si="49"/>
        <v>38181.744999999995</v>
      </c>
      <c r="CG34" s="63">
        <f t="shared" si="49"/>
        <v>9090.91</v>
      </c>
      <c r="CH34" s="101">
        <f t="shared" si="6"/>
        <v>621969.70000000019</v>
      </c>
      <c r="CI34" s="64"/>
    </row>
    <row r="35" spans="2:89" ht="15.75" hidden="1" customHeight="1">
      <c r="B35" s="124"/>
      <c r="C35" s="125"/>
      <c r="D35" s="13"/>
      <c r="E35" s="126"/>
      <c r="G35" s="124" t="s">
        <v>130</v>
      </c>
      <c r="H35" s="125" t="s">
        <v>9</v>
      </c>
      <c r="I35" s="13"/>
      <c r="J35" s="126"/>
      <c r="P35" s="47"/>
      <c r="Q35" s="47"/>
      <c r="R35" s="47"/>
      <c r="S35" s="47"/>
      <c r="T35" s="47"/>
      <c r="U35" s="47"/>
      <c r="V35" s="47"/>
    </row>
    <row r="36" spans="2:89" s="35" customFormat="1" ht="14.7" hidden="1" customHeight="1">
      <c r="B36" s="127"/>
      <c r="C36" s="128"/>
      <c r="D36" s="129"/>
      <c r="E36" s="130"/>
      <c r="G36" s="127"/>
      <c r="H36" s="128"/>
      <c r="I36" s="129"/>
      <c r="J36" s="130"/>
      <c r="O36" s="41"/>
      <c r="P36" s="53"/>
      <c r="Q36" s="53"/>
      <c r="R36" s="53"/>
      <c r="S36" s="53"/>
      <c r="T36" s="53"/>
      <c r="U36" s="53"/>
      <c r="V36" s="53"/>
    </row>
    <row r="37" spans="2:89" s="35" customFormat="1" ht="35.1" customHeight="1">
      <c r="B37" s="131"/>
      <c r="C37" s="132"/>
      <c r="D37" s="133"/>
      <c r="E37" s="271" t="s">
        <v>111</v>
      </c>
      <c r="G37" s="131"/>
      <c r="H37" s="132"/>
      <c r="I37" s="133"/>
      <c r="J37" s="272"/>
      <c r="L37" s="4" t="s">
        <v>65</v>
      </c>
      <c r="M37" s="53"/>
      <c r="N37" s="53"/>
      <c r="O37" s="134"/>
      <c r="P37" s="53"/>
      <c r="Q37" s="53"/>
      <c r="R37" s="53"/>
      <c r="S37" s="53"/>
      <c r="T37" s="53"/>
      <c r="U37" s="53"/>
      <c r="V37" s="53"/>
      <c r="W37" s="135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53"/>
      <c r="AS37" s="53"/>
      <c r="AT37" s="53"/>
      <c r="AU37" s="53"/>
      <c r="AV37" s="53"/>
      <c r="AW37" s="53"/>
      <c r="AX37" s="53"/>
      <c r="AY37" s="53"/>
      <c r="AZ37" s="53"/>
      <c r="BA37" s="53"/>
      <c r="BB37" s="63">
        <f>BB34</f>
        <v>0</v>
      </c>
      <c r="BC37" s="63">
        <f>BB37+BC34</f>
        <v>3599.804347826087</v>
      </c>
      <c r="BD37" s="63">
        <f t="shared" ref="BD37:CG37" si="50">BC37+BD34</f>
        <v>7199.608695652174</v>
      </c>
      <c r="BE37" s="63">
        <f t="shared" si="50"/>
        <v>10799.41304347826</v>
      </c>
      <c r="BF37" s="63">
        <f t="shared" si="50"/>
        <v>14399.217391304348</v>
      </c>
      <c r="BG37" s="63">
        <f t="shared" si="50"/>
        <v>17999.021739130436</v>
      </c>
      <c r="BH37" s="63">
        <f t="shared" si="50"/>
        <v>21598.826086956524</v>
      </c>
      <c r="BI37" s="63">
        <f t="shared" si="50"/>
        <v>25198.630434782612</v>
      </c>
      <c r="BJ37" s="63">
        <f t="shared" si="50"/>
        <v>28798.4347826087</v>
      </c>
      <c r="BK37" s="63">
        <f t="shared" si="50"/>
        <v>32398.239130434788</v>
      </c>
      <c r="BL37" s="63">
        <f t="shared" si="50"/>
        <v>35998.043478260872</v>
      </c>
      <c r="BM37" s="63">
        <f t="shared" si="50"/>
        <v>39597.84782608696</v>
      </c>
      <c r="BN37" s="63">
        <f t="shared" si="50"/>
        <v>43197.652173913048</v>
      </c>
      <c r="BO37" s="63">
        <f t="shared" si="50"/>
        <v>46797.456521739135</v>
      </c>
      <c r="BP37" s="63">
        <f t="shared" si="50"/>
        <v>50397.260869565223</v>
      </c>
      <c r="BQ37" s="63">
        <f t="shared" si="50"/>
        <v>72134.246626686654</v>
      </c>
      <c r="BR37" s="63">
        <f>BR34</f>
        <v>72134.246626686654</v>
      </c>
      <c r="BS37" s="63">
        <f>BQ37+BS34</f>
        <v>189825.94452773611</v>
      </c>
      <c r="BT37" s="63">
        <f t="shared" si="50"/>
        <v>252928.83260869564</v>
      </c>
      <c r="BU37" s="63">
        <f t="shared" si="50"/>
        <v>276362.99820089951</v>
      </c>
      <c r="BV37" s="63">
        <f t="shared" si="50"/>
        <v>305288.26944527734</v>
      </c>
      <c r="BW37" s="63">
        <f t="shared" si="50"/>
        <v>344956.99193403299</v>
      </c>
      <c r="BX37" s="63">
        <f t="shared" si="50"/>
        <v>426160.04873013496</v>
      </c>
      <c r="BY37" s="63">
        <f t="shared" si="50"/>
        <v>451017.92783358326</v>
      </c>
      <c r="BZ37" s="63">
        <f t="shared" si="50"/>
        <v>496561.25326836586</v>
      </c>
      <c r="CA37" s="63">
        <f t="shared" si="50"/>
        <v>507345.13978860574</v>
      </c>
      <c r="CB37" s="63">
        <f t="shared" si="50"/>
        <v>517277.94122188911</v>
      </c>
      <c r="CC37" s="63">
        <f t="shared" si="50"/>
        <v>558235.78248125943</v>
      </c>
      <c r="CD37" s="63">
        <f t="shared" si="50"/>
        <v>566466.4137406298</v>
      </c>
      <c r="CE37" s="63">
        <f t="shared" si="50"/>
        <v>574697.04500000016</v>
      </c>
      <c r="CF37" s="63">
        <f t="shared" si="50"/>
        <v>612878.79000000015</v>
      </c>
      <c r="CG37" s="63">
        <f t="shared" si="50"/>
        <v>621969.70000000019</v>
      </c>
      <c r="CH37" s="53"/>
      <c r="CJ37" s="102"/>
      <c r="CK37" s="64"/>
    </row>
    <row r="38" spans="2:89" ht="15.75" hidden="1" customHeight="1">
      <c r="B38" s="131"/>
      <c r="C38" s="136"/>
      <c r="D38" s="133"/>
      <c r="E38" s="271"/>
      <c r="G38" s="131"/>
      <c r="H38" s="136"/>
      <c r="I38" s="133"/>
      <c r="J38" s="272"/>
    </row>
    <row r="39" spans="2:89">
      <c r="C39" s="138"/>
      <c r="D39" s="139"/>
      <c r="BS39" s="117"/>
      <c r="BV39" s="140"/>
      <c r="CH39" s="117"/>
    </row>
    <row r="40" spans="2:89">
      <c r="C40" s="138"/>
      <c r="D40" s="133"/>
      <c r="O40" s="141"/>
      <c r="BB40" s="142">
        <f t="shared" ref="BB40:CG40" si="51">BB37/$CH$34</f>
        <v>0</v>
      </c>
      <c r="BC40" s="142">
        <f t="shared" si="51"/>
        <v>5.7877487405352474E-3</v>
      </c>
      <c r="BD40" s="142">
        <f t="shared" si="51"/>
        <v>1.1575497481070495E-2</v>
      </c>
      <c r="BE40" s="142">
        <f t="shared" si="51"/>
        <v>1.7363246221605743E-2</v>
      </c>
      <c r="BF40" s="142">
        <f t="shared" si="51"/>
        <v>2.315099496214099E-2</v>
      </c>
      <c r="BG40" s="142">
        <f t="shared" si="51"/>
        <v>2.893874370267624E-2</v>
      </c>
      <c r="BH40" s="142">
        <f t="shared" si="51"/>
        <v>3.4726492443211493E-2</v>
      </c>
      <c r="BI40" s="142">
        <f t="shared" si="51"/>
        <v>4.0514241183746739E-2</v>
      </c>
      <c r="BJ40" s="142">
        <f t="shared" si="51"/>
        <v>4.6301989924281986E-2</v>
      </c>
      <c r="BK40" s="142">
        <f t="shared" si="51"/>
        <v>5.2089738664817239E-2</v>
      </c>
      <c r="BL40" s="142">
        <f t="shared" si="51"/>
        <v>5.7877487405352479E-2</v>
      </c>
      <c r="BM40" s="142">
        <f t="shared" si="51"/>
        <v>6.3665236145887732E-2</v>
      </c>
      <c r="BN40" s="142">
        <f t="shared" si="51"/>
        <v>6.9452984886422986E-2</v>
      </c>
      <c r="BO40" s="142">
        <f t="shared" si="51"/>
        <v>7.5240733626958226E-2</v>
      </c>
      <c r="BP40" s="142">
        <f t="shared" si="51"/>
        <v>8.1028482367493479E-2</v>
      </c>
      <c r="BQ40" s="142">
        <f t="shared" si="51"/>
        <v>0.11597710728784157</v>
      </c>
      <c r="BR40" s="142">
        <f t="shared" si="51"/>
        <v>0.11597710728784157</v>
      </c>
      <c r="BS40" s="142">
        <f t="shared" si="51"/>
        <v>0.30520127351498966</v>
      </c>
      <c r="BT40" s="142">
        <f t="shared" si="51"/>
        <v>0.40665780440541649</v>
      </c>
      <c r="BU40" s="142">
        <f t="shared" si="51"/>
        <v>0.44433514719591555</v>
      </c>
      <c r="BV40" s="142">
        <f t="shared" si="51"/>
        <v>0.4908410641953736</v>
      </c>
      <c r="BW40" s="142">
        <f t="shared" si="51"/>
        <v>0.55462025229530132</v>
      </c>
      <c r="BX40" s="142">
        <f t="shared" si="51"/>
        <v>0.68517815052748521</v>
      </c>
      <c r="BY40" s="142">
        <f t="shared" si="51"/>
        <v>0.72514453330055006</v>
      </c>
      <c r="BZ40" s="142">
        <f t="shared" si="51"/>
        <v>0.79836888078047163</v>
      </c>
      <c r="CA40" s="142">
        <f t="shared" si="51"/>
        <v>0.81570716353000083</v>
      </c>
      <c r="CB40" s="142">
        <f t="shared" si="51"/>
        <v>0.83167707562263715</v>
      </c>
      <c r="CC40" s="142">
        <f t="shared" si="51"/>
        <v>0.89752890290517251</v>
      </c>
      <c r="CD40" s="142">
        <f t="shared" si="51"/>
        <v>0.91076207368402295</v>
      </c>
      <c r="CE40" s="142">
        <f t="shared" si="51"/>
        <v>0.92399524446287329</v>
      </c>
      <c r="CF40" s="142">
        <f t="shared" si="51"/>
        <v>0.98538367705050578</v>
      </c>
      <c r="CG40" s="142">
        <f t="shared" si="51"/>
        <v>1</v>
      </c>
      <c r="CJ40" s="117"/>
    </row>
    <row r="41" spans="2:89">
      <c r="C41" s="138"/>
      <c r="D41" s="139"/>
      <c r="N41" s="73"/>
      <c r="O41" s="143"/>
      <c r="W41" s="140"/>
      <c r="BS41" s="117"/>
    </row>
    <row r="42" spans="2:89">
      <c r="C42" s="138"/>
      <c r="D42" s="139"/>
      <c r="N42" s="144"/>
      <c r="O42" s="145"/>
      <c r="P42" s="146"/>
      <c r="Q42" s="145"/>
      <c r="R42" s="142"/>
      <c r="T42" s="145"/>
      <c r="BS42" s="117"/>
    </row>
    <row r="43" spans="2:89">
      <c r="N43" s="144"/>
      <c r="O43" s="145"/>
      <c r="P43" s="146"/>
      <c r="T43" s="145"/>
    </row>
    <row r="44" spans="2:89">
      <c r="N44" s="144"/>
      <c r="O44" s="117"/>
      <c r="P44" s="146"/>
      <c r="T44" s="117"/>
      <c r="CG44" s="65"/>
      <c r="CH44" s="65"/>
      <c r="CI44" s="65"/>
    </row>
    <row r="45" spans="2:89">
      <c r="N45" s="144"/>
      <c r="O45" s="34"/>
      <c r="P45" s="41"/>
      <c r="CG45" s="65"/>
      <c r="CH45" s="65"/>
      <c r="CI45" s="65"/>
    </row>
    <row r="46" spans="2:89">
      <c r="N46" s="147"/>
      <c r="O46" s="145"/>
      <c r="P46" s="41"/>
    </row>
    <row r="47" spans="2:89">
      <c r="N47" s="144"/>
      <c r="O47" s="34"/>
      <c r="P47" s="41"/>
    </row>
    <row r="48" spans="2:89">
      <c r="N48" s="144"/>
      <c r="O48" s="117"/>
      <c r="P48" s="41"/>
    </row>
    <row r="49" spans="13:16">
      <c r="N49" s="144"/>
      <c r="O49" s="117"/>
      <c r="P49" s="41"/>
    </row>
    <row r="50" spans="13:16">
      <c r="M50" s="148"/>
    </row>
    <row r="51" spans="13:16">
      <c r="M51" s="149"/>
    </row>
    <row r="52" spans="13:16">
      <c r="M52" s="150"/>
    </row>
    <row r="53" spans="13:16">
      <c r="M53" s="151"/>
    </row>
    <row r="54" spans="13:16">
      <c r="M54" s="151"/>
    </row>
    <row r="55" spans="13:16">
      <c r="M55" s="151"/>
    </row>
    <row r="56" spans="13:16">
      <c r="M56" s="151"/>
    </row>
    <row r="57" spans="13:16">
      <c r="M57" s="151"/>
    </row>
  </sheetData>
  <mergeCells count="36">
    <mergeCell ref="E37:E38"/>
    <mergeCell ref="J37:J38"/>
    <mergeCell ref="E11:E27"/>
    <mergeCell ref="J11:J15"/>
    <mergeCell ref="J16:J20"/>
    <mergeCell ref="J21:J30"/>
    <mergeCell ref="O22:O27"/>
    <mergeCell ref="E28:E34"/>
    <mergeCell ref="L34:M34"/>
    <mergeCell ref="Q9:Q10"/>
    <mergeCell ref="R9:S9"/>
    <mergeCell ref="T9:T10"/>
    <mergeCell ref="U9:U10"/>
    <mergeCell ref="V9:V10"/>
    <mergeCell ref="CH9:CH10"/>
    <mergeCell ref="J9:J10"/>
    <mergeCell ref="L9:L10"/>
    <mergeCell ref="M9:M10"/>
    <mergeCell ref="N9:N10"/>
    <mergeCell ref="O9:O10"/>
    <mergeCell ref="P9:P10"/>
    <mergeCell ref="B6:D6"/>
    <mergeCell ref="G6:I6"/>
    <mergeCell ref="B9:B10"/>
    <mergeCell ref="C9:C10"/>
    <mergeCell ref="D9:D10"/>
    <mergeCell ref="E9:E10"/>
    <mergeCell ref="G9:G10"/>
    <mergeCell ref="H9:H10"/>
    <mergeCell ref="I9:I10"/>
    <mergeCell ref="B3:D3"/>
    <mergeCell ref="G3:I3"/>
    <mergeCell ref="B4:D4"/>
    <mergeCell ref="G4:I4"/>
    <mergeCell ref="B5:D5"/>
    <mergeCell ref="G5:I5"/>
  </mergeCells>
  <dataValidations disablePrompts="1" count="1">
    <dataValidation type="list" allowBlank="1" showInputMessage="1" showErrorMessage="1" sqref="P11:P12 Q11:Q16 P17:Q33" xr:uid="{E2CF5A80-48A9-4287-B907-0F3D4D5384A5}">
      <formula1>#REF!</formula1>
    </dataValidation>
  </dataValidations>
  <printOptions horizontalCentered="1"/>
  <pageMargins left="0.15748031496062992" right="0.23622047244094491" top="0.74803149606299213" bottom="0.74803149606299213" header="0.31496062992125984" footer="0.31496062992125984"/>
  <pageSetup scale="60" orientation="landscape" r:id="rId1"/>
  <headerFooter alignWithMargins="0">
    <oddHeader>&amp;L&amp;8Versão: &amp;D, às &amp;T&amp;R&amp;8Banco Interamericano de Desarrollo</oddHeader>
    <oddFooter>&amp;L &amp;RPágina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9</vt:i4>
      </vt:variant>
    </vt:vector>
  </HeadingPairs>
  <TitlesOfParts>
    <vt:vector size="19" baseType="lpstr">
      <vt:lpstr>Planilha1</vt:lpstr>
      <vt:lpstr>PA R5 aprovado atual</vt:lpstr>
      <vt:lpstr>Estudos Complementares</vt:lpstr>
      <vt:lpstr>Demonstrativo Proposta PA R6</vt:lpstr>
      <vt:lpstr>PA Atual Aprovado R6</vt:lpstr>
      <vt:lpstr>Proposta PA R7</vt:lpstr>
      <vt:lpstr>Estimativa Estudos Compls. </vt:lpstr>
      <vt:lpstr>Sabesp Mai22</vt:lpstr>
      <vt:lpstr>Cronograma de Desembolso US$ at</vt:lpstr>
      <vt:lpstr>Cronograma de Desembolsos AC3</vt:lpstr>
      <vt:lpstr>'Cronograma de Desembolso US$ at'!Print_Area</vt:lpstr>
      <vt:lpstr>'PA Atual Aprovado R6'!Print_Area</vt:lpstr>
      <vt:lpstr>'PA R5 aprovado atual'!Print_Area</vt:lpstr>
      <vt:lpstr>'Proposta PA R7'!Print_Area</vt:lpstr>
      <vt:lpstr>'Cronograma de Desembolso US$ at'!Print_Titles</vt:lpstr>
      <vt:lpstr>'Cronograma de Desembolsos AC3'!Print_Titles</vt:lpstr>
      <vt:lpstr>'PA Atual Aprovado R6'!Print_Titles</vt:lpstr>
      <vt:lpstr>'PA R5 aprovado atual'!Print_Titles</vt:lpstr>
      <vt:lpstr>'Proposta PA R7'!Print_Titles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Elson Aguilar</dc:creator>
  <lastModifiedBy>de Freitas Severino, Ligia</lastModifiedBy>
  <dcterms:created xsi:type="dcterms:W3CDTF">2022-04-28T13:36:39.0000000Z</dcterms:created>
  <dcterms:modified xsi:type="dcterms:W3CDTF">2022-10-19T22:06:37.0000000Z</dcterms:modified>
  <dc:title/>
</coreProperties>
</file>

<file path=docProps/custom.xml><?xml version="1.0" encoding="utf-8"?>
<op:Properties xmlns:vt="http://schemas.openxmlformats.org/officeDocument/2006/docPropsVTypes" xmlns:op="http://schemas.openxmlformats.org/officeDocument/2006/custom-properties"/>
</file>