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dugas.IDB\Desktop\BID_MIF\Dossier_WSA\4697_GR_HA\"/>
    </mc:Choice>
  </mc:AlternateContent>
  <xr:revisionPtr revIDLastSave="0" documentId="8_{8BC29004-B451-45DE-9B71-84D6BC070EEE}" xr6:coauthVersionLast="44" xr6:coauthVersionMax="44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0. PMR-PEP" sheetId="1" state="hidden" r:id="rId1"/>
    <sheet name="3. Plan Passation Marché" sheetId="4" r:id="rId2"/>
  </sheets>
  <externalReferences>
    <externalReference r:id="rId3"/>
    <externalReference r:id="rId4"/>
  </externalReferences>
  <definedNames>
    <definedName name="Component1">#REF!</definedName>
    <definedName name="Component10">#REF!</definedName>
    <definedName name="Component11">#REF!</definedName>
    <definedName name="Component12">#REF!</definedName>
    <definedName name="Component13">#REF!</definedName>
    <definedName name="Component14">#REF!</definedName>
    <definedName name="Component15">#REF!</definedName>
    <definedName name="Component16">#REF!</definedName>
    <definedName name="Component17">#REF!</definedName>
    <definedName name="Component18">#REF!</definedName>
    <definedName name="Component19">#REF!</definedName>
    <definedName name="Component2">#REF!</definedName>
    <definedName name="Component20">#REF!</definedName>
    <definedName name="Component3">#REF!</definedName>
    <definedName name="Component4">#REF!</definedName>
    <definedName name="Component5">#REF!</definedName>
    <definedName name="Component6">#REF!</definedName>
    <definedName name="Component7">#REF!</definedName>
    <definedName name="Component8">#REF!</definedName>
    <definedName name="Component9">#REF!</definedName>
    <definedName name="Impact1">'[1]7.b Gestion Risques QUALIF'!$F$15</definedName>
    <definedName name="Impact10">'[1]7.b Gestion Risques QUALIF'!$F$24</definedName>
    <definedName name="Impact11">'[1]7.b Gestion Risques QUALIF'!$F$25</definedName>
    <definedName name="Impact12">'[1]7.b Gestion Risques QUALIF'!$F$26</definedName>
    <definedName name="Impact13">'[1]7.b Gestion Risques QUALIF'!$F$27</definedName>
    <definedName name="Impact14">'[1]7.b Gestion Risques QUALIF'!$F$28</definedName>
    <definedName name="Impact15">'[1]7.b Gestion Risques QUALIF'!$F$29</definedName>
    <definedName name="Impact16">'[1]7.b Gestion Risques QUALIF'!$F$30</definedName>
    <definedName name="Impact17">'[1]7.b Gestion Risques QUALIF'!$F$31</definedName>
    <definedName name="Impact18">'[1]7.b Gestion Risques QUALIF'!$F$32</definedName>
    <definedName name="Impact19">'[1]7.b Gestion Risques QUALIF'!$F$33</definedName>
    <definedName name="Impact2">'[1]7.b Gestion Risques QUALIF'!$F$16</definedName>
    <definedName name="Impact20">'[1]7.b Gestion Risques QUALIF'!$F$34</definedName>
    <definedName name="Impact3">'[1]7.b Gestion Risques QUALIF'!$F$17</definedName>
    <definedName name="Impact4">'[1]7.b Gestion Risques QUALIF'!$F$18</definedName>
    <definedName name="Impact5">'[1]7.b Gestion Risques QUALIF'!$F$19</definedName>
    <definedName name="Impact6">'[1]7.b Gestion Risques QUALIF'!$F$20</definedName>
    <definedName name="Impact7">'[1]7.b Gestion Risques QUALIF'!$F$21</definedName>
    <definedName name="Impact8">'[1]7.b Gestion Risques QUALIF'!$F$22</definedName>
    <definedName name="Impact9">'[1]7.b Gestion Risques QUALIF'!$F$23</definedName>
    <definedName name="Level1">#REF!</definedName>
    <definedName name="Level10">#REF!</definedName>
    <definedName name="Level11">#REF!</definedName>
    <definedName name="Level12">#REF!</definedName>
    <definedName name="Level13">#REF!</definedName>
    <definedName name="Level14">#REF!</definedName>
    <definedName name="Level15">#REF!</definedName>
    <definedName name="Level16">#REF!</definedName>
    <definedName name="Level17">#REF!</definedName>
    <definedName name="Level18">#REF!</definedName>
    <definedName name="Level19">#REF!</definedName>
    <definedName name="Level2">#REF!</definedName>
    <definedName name="Level20">#REF!</definedName>
    <definedName name="Level3">#REF!</definedName>
    <definedName name="Level4">#REF!</definedName>
    <definedName name="Level5">#REF!</definedName>
    <definedName name="Level6">#REF!</definedName>
    <definedName name="Level7">#REF!</definedName>
    <definedName name="Level8">#REF!</definedName>
    <definedName name="Level9">#REF!</definedName>
    <definedName name="Probability1">'[1]7.b Gestion Risques QUALIF'!$G$15</definedName>
    <definedName name="Probability10">'[1]7.b Gestion Risques QUALIF'!$G$24</definedName>
    <definedName name="Probability11">'[1]7.b Gestion Risques QUALIF'!$G$25</definedName>
    <definedName name="Probability12">'[1]7.b Gestion Risques QUALIF'!$G$26</definedName>
    <definedName name="Probability13">'[1]7.b Gestion Risques QUALIF'!$G$27</definedName>
    <definedName name="Probability14">'[1]7.b Gestion Risques QUALIF'!$G$28</definedName>
    <definedName name="Probability15">'[1]7.b Gestion Risques QUALIF'!$G$29</definedName>
    <definedName name="Probability16">'[1]7.b Gestion Risques QUALIF'!$G$30</definedName>
    <definedName name="Probability17">'[1]7.b Gestion Risques QUALIF'!$G$31</definedName>
    <definedName name="Probability18">'[1]7.b Gestion Risques QUALIF'!$G$32</definedName>
    <definedName name="Probability19">'[1]7.b Gestion Risques QUALIF'!$G$33</definedName>
    <definedName name="Probability2">'[1]7.b Gestion Risques QUALIF'!$G$16</definedName>
    <definedName name="Probability20">'[1]7.b Gestion Risques QUALIF'!$G$34</definedName>
    <definedName name="Probability3">'[1]7.b Gestion Risques QUALIF'!$G$17</definedName>
    <definedName name="Probability4">'[1]7.b Gestion Risques QUALIF'!$G$18</definedName>
    <definedName name="Probability5">'[1]7.b Gestion Risques QUALIF'!$G$19</definedName>
    <definedName name="Probability6">'[1]7.b Gestion Risques QUALIF'!$G$20</definedName>
    <definedName name="Probability7">'[1]7.b Gestion Risques QUALIF'!$G$21</definedName>
    <definedName name="Probability8">'[1]7.b Gestion Risques QUALIF'!$G$22</definedName>
    <definedName name="Probability9">'[1]7.b Gestion Risques QUALIF'!$G$23</definedName>
    <definedName name="Risk1">#REF!</definedName>
    <definedName name="Risk10">#REF!</definedName>
    <definedName name="Risk11">#REF!</definedName>
    <definedName name="Risk12">#REF!</definedName>
    <definedName name="Risk13">#REF!</definedName>
    <definedName name="Risk14">#REF!</definedName>
    <definedName name="Risk15">#REF!</definedName>
    <definedName name="Risk16">#REF!</definedName>
    <definedName name="Risk17">#REF!</definedName>
    <definedName name="Risk18">#REF!</definedName>
    <definedName name="Risk19">#REF!</definedName>
    <definedName name="Risk2">#REF!</definedName>
    <definedName name="Risk20">#REF!</definedName>
    <definedName name="Risk3">#REF!</definedName>
    <definedName name="Risk4">#REF!</definedName>
    <definedName name="Risk5">#REF!</definedName>
    <definedName name="Risk6">#REF!</definedName>
    <definedName name="Risk7">#REF!</definedName>
    <definedName name="Risk8">#REF!</definedName>
    <definedName name="Risk9">#REF!</definedName>
    <definedName name="Typeofrisk1">#REF!</definedName>
    <definedName name="Typeofrisk10">#REF!</definedName>
    <definedName name="Typeofrisk11">#REF!</definedName>
    <definedName name="Typeofrisk12">#REF!</definedName>
    <definedName name="Typeofrisk13">#REF!</definedName>
    <definedName name="Typeofrisk14">#REF!</definedName>
    <definedName name="Typeofrisk15">#REF!</definedName>
    <definedName name="Typeofrisk16">#REF!</definedName>
    <definedName name="Typeofrisk17">#REF!</definedName>
    <definedName name="Typeofrisk18">#REF!</definedName>
    <definedName name="Typeofrisk19">#REF!</definedName>
    <definedName name="Typeofrisk2">#REF!</definedName>
    <definedName name="Typeofrisk20">#REF!</definedName>
    <definedName name="Typeofrisk3">#REF!</definedName>
    <definedName name="Typeofrisk4">#REF!</definedName>
    <definedName name="Typeofrisk5">#REF!</definedName>
    <definedName name="Typeofrisk6">#REF!</definedName>
    <definedName name="Typeofrisk7">#REF!</definedName>
    <definedName name="Typeofrisk8">#REF!</definedName>
    <definedName name="Typeofrisk9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3">#REF!</definedName>
    <definedName name="Value4">#REF!</definedName>
    <definedName name="Value5">#REF!</definedName>
    <definedName name="Value6">#REF!</definedName>
    <definedName name="Value7">#REF!</definedName>
    <definedName name="Value8">#REF!</definedName>
    <definedName name="Value9">#REF!</definedName>
    <definedName name="Z_64CDB73C_0515_4B84_BBDA_15E88C795A11_.wvu.Cols" localSheetId="0" hidden="1">'0. PMR-PEP'!$E:$I,'0. PMR-PEP'!$L:$L,'0. PMR-PEP'!$N:$N,'0. PMR-PEP'!$P:$P,'0. PMR-PEP'!$R:$R,'0. PMR-PEP'!$T:$T</definedName>
    <definedName name="Z_64CDB73C_0515_4B84_BBDA_15E88C795A11_.wvu.Rows" localSheetId="0" hidden="1">'0. PMR-PEP'!$25:$41,'0. PMR-PEP'!$102:$125</definedName>
    <definedName name="Z_940A1785_5DEB_4BF0_A0A1_E7CB3C7D9639_.wvu.Cols" localSheetId="0" hidden="1">'0. PMR-PEP'!$E:$I,'0. PMR-PEP'!$L:$L,'0. PMR-PEP'!$N:$N,'0. PMR-PEP'!$P:$P,'0. PMR-PEP'!$R:$R,'0. PMR-PEP'!$T:$T</definedName>
    <definedName name="Z_940A1785_5DEB_4BF0_A0A1_E7CB3C7D9639_.wvu.Rows" localSheetId="0" hidden="1">'0. PMR-PEP'!$25:$41,'0. PMR-PEP'!$102:$125</definedName>
    <definedName name="Z_C31D0E94_A34D_4CDF_BD63_4E4334BF746E_.wvu.Cols" localSheetId="0" hidden="1">'0. PMR-PEP'!$E:$I,'0. PMR-PEP'!$L:$L,'0. PMR-PEP'!$N:$N,'0. PMR-PEP'!$P:$P,'0. PMR-PEP'!$R:$R,'0. PMR-PEP'!$T:$T</definedName>
    <definedName name="Z_C31D0E94_A34D_4CDF_BD63_4E4334BF746E_.wvu.Rows" localSheetId="0" hidden="1">'0. PMR-PEP'!$25:$41,'0. PMR-PEP'!$102:$125</definedName>
    <definedName name="Z_C9B4FAC3_3451_4E1B_97A4_CB12A081915B_.wvu.Cols" localSheetId="0" hidden="1">'0. PMR-PEP'!$E:$I,'0. PMR-PEP'!$L:$L,'0. PMR-PEP'!$N:$N,'0. PMR-PEP'!$P:$P,'0. PMR-PEP'!$R:$R,'0. PMR-PEP'!$T:$T</definedName>
    <definedName name="Z_C9B4FAC3_3451_4E1B_97A4_CB12A081915B_.wvu.Cols" localSheetId="1" hidden="1">'3. Plan Passation Marché'!$A:$A</definedName>
    <definedName name="Z_C9B4FAC3_3451_4E1B_97A4_CB12A081915B_.wvu.Rows" localSheetId="0" hidden="1">'0. PMR-PEP'!$25:$41,'0. PMR-PEP'!$102:$125</definedName>
  </definedNames>
  <calcPr calcId="191029"/>
  <customWorkbookViews>
    <customWorkbookView name="DINEPA - Personal View" guid="{64CDB73C-0515-4B84-BBDA-15E88C795A11}" mergeInterval="0" personalView="1" maximized="1" xWindow="-8" yWindow="-8" windowWidth="1382" windowHeight="744" tabRatio="853" activeSheetId="2"/>
    <customWorkbookView name="Jeff Schleiden COLO - Personal View" guid="{C31D0E94-A34D-4CDF-BD63-4E4334BF746E}" mergeInterval="0" personalView="1" maximized="1" xWindow="-8" yWindow="-8" windowWidth="1382" windowHeight="744" tabRatio="879" activeSheetId="2"/>
    <customWorkbookView name="BID - Personal View" guid="{C9B4FAC3-3451-4E1B-97A4-CB12A081915B}" mergeInterval="0" personalView="1" xWindow="-1" yWindow="-1" windowWidth="1280" windowHeight="1372" activeSheetId="4"/>
    <customWorkbookView name="Admin - Personal View" guid="{940A1785-5DEB-4BF0-A0A1-E7CB3C7D9639}" mergeInterval="0" personalView="1" maximized="1" xWindow="1" yWindow="1" windowWidth="1920" windowHeight="692" activeSheetId="2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4" l="1"/>
  <c r="F59" i="4" s="1"/>
  <c r="J67" i="4"/>
  <c r="J66" i="4"/>
  <c r="J16" i="4"/>
  <c r="J15" i="4"/>
  <c r="J10" i="4"/>
  <c r="F11" i="4"/>
  <c r="J11" i="4"/>
  <c r="J12" i="4"/>
  <c r="J13" i="4"/>
  <c r="N13" i="4"/>
  <c r="J14" i="4"/>
  <c r="N14" i="4"/>
  <c r="J17" i="4"/>
  <c r="J18" i="4"/>
  <c r="F19" i="4"/>
  <c r="J19" i="4"/>
  <c r="J20" i="4"/>
  <c r="J21" i="4"/>
  <c r="J22" i="4"/>
  <c r="J23" i="4"/>
  <c r="J24" i="4"/>
  <c r="J25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64" i="4"/>
  <c r="F65" i="4"/>
  <c r="F68" i="4" s="1"/>
  <c r="J65" i="4"/>
  <c r="J74" i="4"/>
  <c r="J75" i="4"/>
  <c r="J76" i="4"/>
  <c r="J77" i="4"/>
  <c r="J78" i="4"/>
  <c r="J80" i="4"/>
  <c r="J81" i="4"/>
  <c r="J82" i="4"/>
  <c r="J84" i="4"/>
  <c r="J85" i="4"/>
  <c r="J86" i="4"/>
  <c r="F87" i="4"/>
  <c r="J92" i="4"/>
  <c r="J93" i="4"/>
  <c r="J94" i="4"/>
  <c r="J95" i="4"/>
  <c r="J96" i="4"/>
  <c r="J97" i="4"/>
  <c r="J98" i="4"/>
  <c r="J99" i="4"/>
  <c r="J100" i="4"/>
  <c r="J101" i="4"/>
  <c r="F102" i="4"/>
  <c r="W47" i="1"/>
  <c r="W48" i="1"/>
  <c r="W50" i="1"/>
  <c r="S57" i="1"/>
  <c r="T57" i="1" s="1"/>
  <c r="U57" i="1" s="1"/>
  <c r="K100" i="1"/>
  <c r="J131" i="1"/>
  <c r="U131" i="1"/>
  <c r="O132" i="1"/>
  <c r="Q132" i="1"/>
  <c r="V132" i="1"/>
  <c r="O134" i="1"/>
  <c r="O135" i="1" s="1"/>
  <c r="V134" i="1"/>
  <c r="W134" i="1" s="1"/>
  <c r="W135" i="1" s="1"/>
  <c r="L135" i="1"/>
  <c r="M135" i="1"/>
  <c r="N135" i="1"/>
  <c r="P135" i="1"/>
  <c r="Q135" i="1"/>
  <c r="R135" i="1"/>
  <c r="S135" i="1"/>
  <c r="T135" i="1"/>
  <c r="U135" i="1"/>
  <c r="V135" i="1"/>
  <c r="V137" i="1"/>
  <c r="W137" i="1" s="1"/>
  <c r="Q138" i="1"/>
  <c r="S138" i="1"/>
  <c r="U138" i="1"/>
  <c r="V138" i="1"/>
  <c r="W138" i="1"/>
  <c r="V140" i="1"/>
  <c r="W140" i="1" s="1"/>
  <c r="P141" i="1"/>
  <c r="V141" i="1" s="1"/>
  <c r="W141" i="1" s="1"/>
  <c r="R141" i="1"/>
  <c r="T141" i="1"/>
  <c r="O143" i="1"/>
  <c r="O144" i="1" s="1"/>
  <c r="V143" i="1"/>
  <c r="W143" i="1" s="1"/>
  <c r="L144" i="1"/>
  <c r="V144" i="1" s="1"/>
  <c r="W144" i="1" s="1"/>
  <c r="M144" i="1"/>
  <c r="Q144" i="1"/>
  <c r="S144" i="1"/>
  <c r="U144" i="1"/>
  <c r="J146" i="1"/>
  <c r="V146" i="1"/>
  <c r="W146" i="1" s="1"/>
  <c r="O147" i="1"/>
  <c r="Q147" i="1"/>
  <c r="S147" i="1"/>
  <c r="U147" i="1"/>
  <c r="V147" i="1"/>
  <c r="W147" i="1" s="1"/>
  <c r="L149" i="1"/>
  <c r="N149" i="1"/>
  <c r="O149" i="1"/>
  <c r="Q149" i="1" s="1"/>
  <c r="P149" i="1"/>
  <c r="R149" i="1"/>
  <c r="T149" i="1"/>
  <c r="M150" i="1"/>
  <c r="V150" i="1"/>
  <c r="W150" i="1"/>
  <c r="V157" i="1"/>
  <c r="V158" i="1" s="1"/>
  <c r="L158" i="1"/>
  <c r="M158" i="1"/>
  <c r="N158" i="1"/>
  <c r="O158" i="1"/>
  <c r="P158" i="1"/>
  <c r="Q158" i="1"/>
  <c r="R158" i="1"/>
  <c r="S158" i="1"/>
  <c r="T158" i="1"/>
  <c r="U158" i="1"/>
  <c r="W158" i="1"/>
  <c r="V160" i="1"/>
  <c r="V161" i="1" s="1"/>
  <c r="L161" i="1"/>
  <c r="M161" i="1"/>
  <c r="N161" i="1"/>
  <c r="O161" i="1"/>
  <c r="P161" i="1"/>
  <c r="Q161" i="1"/>
  <c r="R161" i="1"/>
  <c r="S161" i="1"/>
  <c r="T161" i="1"/>
  <c r="U161" i="1"/>
  <c r="W161" i="1"/>
  <c r="V163" i="1"/>
  <c r="W163" i="1" s="1"/>
  <c r="W164" i="1" s="1"/>
  <c r="L164" i="1"/>
  <c r="M164" i="1"/>
  <c r="N164" i="1"/>
  <c r="O164" i="1"/>
  <c r="P164" i="1"/>
  <c r="Q164" i="1"/>
  <c r="R164" i="1"/>
  <c r="S164" i="1"/>
  <c r="T164" i="1"/>
  <c r="U164" i="1"/>
  <c r="V164" i="1"/>
  <c r="V166" i="1"/>
  <c r="W166" i="1" s="1"/>
  <c r="W167" i="1" s="1"/>
  <c r="L167" i="1"/>
  <c r="M167" i="1"/>
  <c r="N167" i="1"/>
  <c r="O167" i="1"/>
  <c r="P167" i="1"/>
  <c r="Q167" i="1"/>
  <c r="R167" i="1"/>
  <c r="S167" i="1"/>
  <c r="T167" i="1"/>
  <c r="U167" i="1"/>
  <c r="V169" i="1"/>
  <c r="W169" i="1" s="1"/>
  <c r="W170" i="1" s="1"/>
  <c r="L170" i="1"/>
  <c r="M170" i="1"/>
  <c r="N170" i="1"/>
  <c r="O170" i="1"/>
  <c r="P170" i="1"/>
  <c r="Q170" i="1"/>
  <c r="R170" i="1"/>
  <c r="S170" i="1"/>
  <c r="T170" i="1"/>
  <c r="U170" i="1"/>
  <c r="V170" i="1"/>
  <c r="J172" i="1"/>
  <c r="J176" i="1"/>
  <c r="O176" i="1"/>
  <c r="O177" i="1" s="1"/>
  <c r="Q176" i="1"/>
  <c r="Q177" i="1"/>
  <c r="S176" i="1"/>
  <c r="S177" i="1" s="1"/>
  <c r="U176" i="1"/>
  <c r="U177" i="1" s="1"/>
  <c r="V176" i="1"/>
  <c r="V177" i="1" s="1"/>
  <c r="L177" i="1"/>
  <c r="M177" i="1"/>
  <c r="N177" i="1"/>
  <c r="P177" i="1"/>
  <c r="R177" i="1"/>
  <c r="T177" i="1"/>
  <c r="J179" i="1"/>
  <c r="O179" i="1"/>
  <c r="Q179" i="1"/>
  <c r="Q180" i="1" s="1"/>
  <c r="S179" i="1"/>
  <c r="S180" i="1" s="1"/>
  <c r="U179" i="1"/>
  <c r="V179" i="1"/>
  <c r="W179" i="1" s="1"/>
  <c r="W180" i="1" s="1"/>
  <c r="L180" i="1"/>
  <c r="M180" i="1"/>
  <c r="N180" i="1"/>
  <c r="O180" i="1"/>
  <c r="P180" i="1"/>
  <c r="R180" i="1"/>
  <c r="T180" i="1"/>
  <c r="U180" i="1"/>
  <c r="J182" i="1"/>
  <c r="O182" i="1"/>
  <c r="O183" i="1" s="1"/>
  <c r="Q182" i="1"/>
  <c r="Q183" i="1" s="1"/>
  <c r="S182" i="1"/>
  <c r="S183" i="1" s="1"/>
  <c r="U182" i="1"/>
  <c r="U183" i="1" s="1"/>
  <c r="V182" i="1"/>
  <c r="W182" i="1" s="1"/>
  <c r="W183" i="1" s="1"/>
  <c r="L183" i="1"/>
  <c r="M183" i="1"/>
  <c r="N183" i="1"/>
  <c r="P183" i="1"/>
  <c r="R183" i="1"/>
  <c r="T183" i="1"/>
  <c r="J185" i="1"/>
  <c r="Q185" i="1"/>
  <c r="Q186" i="1" s="1"/>
  <c r="S185" i="1"/>
  <c r="U185" i="1"/>
  <c r="U186" i="1"/>
  <c r="V185" i="1"/>
  <c r="V186" i="1" s="1"/>
  <c r="L186" i="1"/>
  <c r="M186" i="1"/>
  <c r="N186" i="1"/>
  <c r="O186" i="1"/>
  <c r="P186" i="1"/>
  <c r="R186" i="1"/>
  <c r="S186" i="1"/>
  <c r="T186" i="1"/>
  <c r="J188" i="1"/>
  <c r="O188" i="1"/>
  <c r="Q188" i="1"/>
  <c r="Q189" i="1" s="1"/>
  <c r="S188" i="1"/>
  <c r="S189" i="1" s="1"/>
  <c r="U188" i="1"/>
  <c r="U189" i="1" s="1"/>
  <c r="V188" i="1"/>
  <c r="W188" i="1" s="1"/>
  <c r="W189" i="1" s="1"/>
  <c r="L189" i="1"/>
  <c r="M189" i="1"/>
  <c r="N189" i="1"/>
  <c r="O189" i="1"/>
  <c r="P189" i="1"/>
  <c r="R189" i="1"/>
  <c r="T189" i="1"/>
  <c r="S191" i="1"/>
  <c r="S192" i="1" s="1"/>
  <c r="U191" i="1"/>
  <c r="V191" i="1"/>
  <c r="V192" i="1" s="1"/>
  <c r="L192" i="1"/>
  <c r="M192" i="1"/>
  <c r="N192" i="1"/>
  <c r="O192" i="1"/>
  <c r="P192" i="1"/>
  <c r="Q192" i="1"/>
  <c r="R192" i="1"/>
  <c r="T192" i="1"/>
  <c r="U192" i="1"/>
  <c r="Q194" i="1"/>
  <c r="Q195" i="1" s="1"/>
  <c r="S194" i="1"/>
  <c r="S195" i="1" s="1"/>
  <c r="U194" i="1"/>
  <c r="U195" i="1" s="1"/>
  <c r="V194" i="1"/>
  <c r="V195" i="1" s="1"/>
  <c r="L195" i="1"/>
  <c r="M195" i="1"/>
  <c r="N195" i="1"/>
  <c r="O195" i="1"/>
  <c r="P195" i="1"/>
  <c r="R195" i="1"/>
  <c r="T195" i="1"/>
  <c r="J197" i="1"/>
  <c r="O197" i="1"/>
  <c r="O198" i="1" s="1"/>
  <c r="Q197" i="1"/>
  <c r="Q198" i="1" s="1"/>
  <c r="S197" i="1"/>
  <c r="S198" i="1" s="1"/>
  <c r="U197" i="1"/>
  <c r="U198" i="1" s="1"/>
  <c r="V197" i="1"/>
  <c r="W197" i="1" s="1"/>
  <c r="W198" i="1" s="1"/>
  <c r="L198" i="1"/>
  <c r="M198" i="1"/>
  <c r="N198" i="1"/>
  <c r="P198" i="1"/>
  <c r="R198" i="1"/>
  <c r="T198" i="1"/>
  <c r="J200" i="1"/>
  <c r="O200" i="1"/>
  <c r="O201" i="1" s="1"/>
  <c r="Q200" i="1"/>
  <c r="Q201" i="1" s="1"/>
  <c r="S200" i="1"/>
  <c r="S201" i="1" s="1"/>
  <c r="U200" i="1"/>
  <c r="U201" i="1" s="1"/>
  <c r="V200" i="1"/>
  <c r="W200" i="1" s="1"/>
  <c r="W201" i="1" s="1"/>
  <c r="L201" i="1"/>
  <c r="M201" i="1"/>
  <c r="N201" i="1"/>
  <c r="P201" i="1"/>
  <c r="R201" i="1"/>
  <c r="T201" i="1"/>
  <c r="O203" i="1"/>
  <c r="O204" i="1" s="1"/>
  <c r="Q203" i="1"/>
  <c r="Q204" i="1" s="1"/>
  <c r="L204" i="1"/>
  <c r="M204" i="1"/>
  <c r="N204" i="1"/>
  <c r="P204" i="1"/>
  <c r="R204" i="1"/>
  <c r="S204" i="1"/>
  <c r="T204" i="1"/>
  <c r="U204" i="1"/>
  <c r="V204" i="1"/>
  <c r="W204" i="1"/>
  <c r="J206" i="1"/>
  <c r="O206" i="1"/>
  <c r="O207" i="1" s="1"/>
  <c r="Q206" i="1"/>
  <c r="Q207" i="1" s="1"/>
  <c r="V206" i="1"/>
  <c r="W206" i="1"/>
  <c r="W207" i="1" s="1"/>
  <c r="L207" i="1"/>
  <c r="M207" i="1"/>
  <c r="N207" i="1"/>
  <c r="P207" i="1"/>
  <c r="R207" i="1"/>
  <c r="S207" i="1"/>
  <c r="T207" i="1"/>
  <c r="U207" i="1"/>
  <c r="V207" i="1"/>
  <c r="V213" i="1"/>
  <c r="W213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J216" i="1"/>
  <c r="V216" i="1"/>
  <c r="W216" i="1" s="1"/>
  <c r="W217" i="1" s="1"/>
  <c r="L217" i="1"/>
  <c r="M217" i="1"/>
  <c r="N217" i="1"/>
  <c r="O217" i="1"/>
  <c r="P217" i="1"/>
  <c r="Q217" i="1"/>
  <c r="R217" i="1"/>
  <c r="S217" i="1"/>
  <c r="T217" i="1"/>
  <c r="U217" i="1"/>
  <c r="V217" i="1"/>
  <c r="J219" i="1"/>
  <c r="O219" i="1"/>
  <c r="O220" i="1" s="1"/>
  <c r="Q219" i="1"/>
  <c r="Q220" i="1" s="1"/>
  <c r="S219" i="1"/>
  <c r="S220" i="1" s="1"/>
  <c r="U219" i="1"/>
  <c r="U220" i="1" s="1"/>
  <c r="V219" i="1"/>
  <c r="V220" i="1" s="1"/>
  <c r="L220" i="1"/>
  <c r="M220" i="1"/>
  <c r="N220" i="1"/>
  <c r="P220" i="1"/>
  <c r="R220" i="1"/>
  <c r="T220" i="1"/>
  <c r="J223" i="1"/>
  <c r="O223" i="1"/>
  <c r="O224" i="1" s="1"/>
  <c r="Q223" i="1"/>
  <c r="Q224" i="1" s="1"/>
  <c r="S223" i="1"/>
  <c r="S224" i="1" s="1"/>
  <c r="U223" i="1"/>
  <c r="U224" i="1" s="1"/>
  <c r="V223" i="1"/>
  <c r="W223" i="1" s="1"/>
  <c r="W224" i="1" s="1"/>
  <c r="L224" i="1"/>
  <c r="M224" i="1"/>
  <c r="N224" i="1"/>
  <c r="P224" i="1"/>
  <c r="R224" i="1"/>
  <c r="T224" i="1"/>
  <c r="V224" i="1"/>
  <c r="J226" i="1"/>
  <c r="Q226" i="1"/>
  <c r="Q227" i="1" s="1"/>
  <c r="S226" i="1"/>
  <c r="S227" i="1" s="1"/>
  <c r="U226" i="1"/>
  <c r="U227" i="1" s="1"/>
  <c r="V226" i="1"/>
  <c r="V227" i="1" s="1"/>
  <c r="L227" i="1"/>
  <c r="M227" i="1"/>
  <c r="N227" i="1"/>
  <c r="O227" i="1"/>
  <c r="P227" i="1"/>
  <c r="R227" i="1"/>
  <c r="T227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J236" i="1"/>
  <c r="O236" i="1" s="1"/>
  <c r="O237" i="1" s="1"/>
  <c r="Q236" i="1"/>
  <c r="Q237" i="1" s="1"/>
  <c r="L237" i="1"/>
  <c r="M237" i="1"/>
  <c r="N237" i="1"/>
  <c r="P237" i="1"/>
  <c r="R237" i="1"/>
  <c r="T237" i="1"/>
  <c r="V237" i="1"/>
  <c r="W237" i="1"/>
  <c r="O239" i="1"/>
  <c r="Q239" i="1"/>
  <c r="Q240" i="1" s="1"/>
  <c r="S239" i="1"/>
  <c r="S240" i="1"/>
  <c r="U239" i="1"/>
  <c r="L240" i="1"/>
  <c r="M240" i="1"/>
  <c r="N240" i="1"/>
  <c r="O240" i="1"/>
  <c r="P240" i="1"/>
  <c r="R240" i="1"/>
  <c r="T240" i="1"/>
  <c r="U240" i="1"/>
  <c r="V240" i="1"/>
  <c r="W240" i="1"/>
  <c r="O242" i="1"/>
  <c r="O243" i="1" s="1"/>
  <c r="L243" i="1"/>
  <c r="M243" i="1"/>
  <c r="N243" i="1"/>
  <c r="P243" i="1"/>
  <c r="Q243" i="1"/>
  <c r="R243" i="1"/>
  <c r="S243" i="1"/>
  <c r="T243" i="1"/>
  <c r="U243" i="1"/>
  <c r="V243" i="1"/>
  <c r="W243" i="1"/>
  <c r="S236" i="1" l="1"/>
  <c r="S237" i="1" s="1"/>
  <c r="V183" i="1"/>
  <c r="V180" i="1"/>
  <c r="W226" i="1"/>
  <c r="W227" i="1" s="1"/>
  <c r="J229" i="1"/>
  <c r="O150" i="1"/>
  <c r="J209" i="1"/>
  <c r="W191" i="1"/>
  <c r="W192" i="1" s="1"/>
  <c r="V149" i="1"/>
  <c r="W149" i="1" s="1"/>
  <c r="J152" i="1"/>
  <c r="F26" i="4"/>
  <c r="F105" i="4" s="1"/>
  <c r="J245" i="1"/>
  <c r="J249" i="1" s="1"/>
  <c r="V201" i="1"/>
  <c r="V198" i="1"/>
  <c r="W219" i="1"/>
  <c r="W220" i="1" s="1"/>
  <c r="V189" i="1"/>
  <c r="S149" i="1"/>
  <c r="Q150" i="1"/>
  <c r="U236" i="1"/>
  <c r="U237" i="1" s="1"/>
  <c r="W194" i="1"/>
  <c r="W195" i="1" s="1"/>
  <c r="W185" i="1"/>
  <c r="W186" i="1" s="1"/>
  <c r="W176" i="1"/>
  <c r="W177" i="1" s="1"/>
  <c r="V167" i="1"/>
  <c r="U149" i="1" l="1"/>
  <c r="U150" i="1" s="1"/>
  <c r="S150" i="1"/>
</calcChain>
</file>

<file path=xl/sharedStrings.xml><?xml version="1.0" encoding="utf-8"?>
<sst xmlns="http://schemas.openxmlformats.org/spreadsheetml/2006/main" count="992" uniqueCount="381">
  <si>
    <t>Milestone</t>
  </si>
  <si>
    <t>TOTAL</t>
  </si>
  <si>
    <t>Contrat</t>
  </si>
  <si>
    <t>Numéro et nom du programme</t>
  </si>
  <si>
    <t>Commentaires</t>
  </si>
  <si>
    <t>Description du marché</t>
  </si>
  <si>
    <t>%</t>
  </si>
  <si>
    <t>Cette 1e feuille contient un copier-coller des sections "impact", "résultats", "produits" et "coûts par produit" qui figure dans le système PMR</t>
  </si>
  <si>
    <t>Impacts</t>
  </si>
  <si>
    <t xml:space="preserve">Impact: </t>
  </si>
  <si>
    <t xml:space="preserve">Indicateurs </t>
  </si>
  <si>
    <t xml:space="preserve">Unité de mesure </t>
  </si>
  <si>
    <t xml:space="preserve">Ligne de base </t>
  </si>
  <si>
    <t>Année de BL</t>
  </si>
  <si>
    <t xml:space="preserve">Fin du projet </t>
  </si>
  <si>
    <t>P</t>
  </si>
  <si>
    <t>A</t>
  </si>
  <si>
    <t xml:space="preserve">Année de BL </t>
  </si>
  <si>
    <t>Ligne de base</t>
  </si>
  <si>
    <t xml:space="preserve">Moyens de vérification, impact et indicateurs </t>
  </si>
  <si>
    <t xml:space="preserve">Augmenter la productivité dans les différentes zones d'intervention </t>
  </si>
  <si>
    <t xml:space="preserve">Moyens de vérification </t>
  </si>
  <si>
    <t xml:space="preserve">Commentaires </t>
  </si>
  <si>
    <t xml:space="preserve">Différence dans l'augmentation des rendements agricoles / ha ou revenus / ha entre le groupe de bénéficiaires et le groupe témoin </t>
  </si>
  <si>
    <t xml:space="preserve">Rapport PSE </t>
  </si>
  <si>
    <t>Le processus aléatoire garantit une différence initiale entre le groupe bénéficiaire et le groupe de contrôle égal à zéro</t>
  </si>
  <si>
    <t xml:space="preserve">Augmenter les investissements agricoles </t>
  </si>
  <si>
    <t xml:space="preserve">Commentaire </t>
  </si>
  <si>
    <t>Différence dans l'indice des investissements agricoles (basé sur les investissements déclarés dans les actifs agricoles fixes et mobiles) entre le groupe de bénéficiaires et le contrôle</t>
  </si>
  <si>
    <t xml:space="preserve">Rapport d'évaluation d'impact </t>
  </si>
  <si>
    <t xml:space="preserve">Amélioration de la gestion des ressources naturelles dans les aires d'intervention                                                      </t>
  </si>
  <si>
    <t>Différence  la productivité de la parcelle à long terme en raison d'investissements (tels que les terrasses, le reboisement, irrigation).</t>
  </si>
  <si>
    <t>L'intensité sera  mesurée en % du nombre total d'hectares ayant reçu un investissement technologique donné. Le processus aléatoire garantit une différence initiale entre le groupe bénéficiaire et le groupe de contrôle égal à zéro.</t>
  </si>
  <si>
    <t>Résultats</t>
  </si>
  <si>
    <t>Résultat</t>
  </si>
  <si>
    <t>Unité de mesure</t>
  </si>
  <si>
    <t xml:space="preserve">Année de LB </t>
  </si>
  <si>
    <t xml:space="preserve"> Moyens de vérification et indicateurs sur les résultats</t>
  </si>
  <si>
    <t xml:space="preserve">Augmentation des transactions foncières </t>
  </si>
  <si>
    <t>Indicateurs</t>
  </si>
  <si>
    <t xml:space="preserve">Unité de mesures </t>
  </si>
  <si>
    <t>Nombre d'hectares de terres vendues et louées entre le début et la fin du projet.</t>
  </si>
  <si>
    <t xml:space="preserve">Rapport de suivi évaluation </t>
  </si>
  <si>
    <t>Avoir une référence de base en début de projet</t>
  </si>
  <si>
    <t xml:space="preserve">Augmentation de la valeur de la terre </t>
  </si>
  <si>
    <t>Différence de la valeur estimée des terres (prix / ha) entre le début et la fin du projet.</t>
  </si>
  <si>
    <t>Rapport de suivi évaluation</t>
  </si>
  <si>
    <t>Ecart entre les prix des transactions foncières  entre le  début et la fin du projet.</t>
  </si>
  <si>
    <t>Améliorer les services de l'administration foncière au niveau national.</t>
  </si>
  <si>
    <t xml:space="preserve">Temps moyen pour un enregistrement </t>
  </si>
  <si>
    <t>Jours</t>
  </si>
  <si>
    <t xml:space="preserve">Système de suivi du projet / CIAT </t>
  </si>
  <si>
    <t xml:space="preserve">Coût moyen pour un enregistrement </t>
  </si>
  <si>
    <t>US$</t>
  </si>
  <si>
    <t>Ménages qui bénéficient d'une meilleure sécurité foncière et/ou d'un meilleur accès aux services d'administration du foncier dans les zones pilotes</t>
  </si>
  <si>
    <t xml:space="preserve">Ménages </t>
  </si>
  <si>
    <t xml:space="preserve">Système de suivi </t>
  </si>
  <si>
    <t xml:space="preserve">Produits </t>
  </si>
  <si>
    <t xml:space="preserve">Cumulé </t>
  </si>
  <si>
    <t>Cumulé</t>
  </si>
  <si>
    <t>BIENS ET SERVICES CONNEXES (B)</t>
  </si>
  <si>
    <t>Numéro de référence du marché (1)</t>
  </si>
  <si>
    <t>TRAVAUX (T)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</si>
  <si>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</si>
  <si>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</si>
  <si>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</si>
  <si>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Composante et Activité</t>
  </si>
  <si>
    <t>Agence d'Exécution</t>
  </si>
  <si>
    <t>Unité d'Exécution</t>
  </si>
  <si>
    <t xml:space="preserve">Date de préparation </t>
  </si>
  <si>
    <t>Période couverte par le PPM</t>
  </si>
  <si>
    <t>Méthode de de passation de marché (2)</t>
  </si>
  <si>
    <t>Révision                              Ex Ante ou Ex Post</t>
  </si>
  <si>
    <t>Montant estimatif</t>
  </si>
  <si>
    <t>Coût estimatif (USD):</t>
  </si>
  <si>
    <t xml:space="preserve"> % BID:</t>
  </si>
  <si>
    <t>% Contrepartie:</t>
  </si>
  <si>
    <t>Dates estimatives</t>
  </si>
  <si>
    <t xml:space="preserve">Publication de l'avis spécifique (Biens - Travaux- SNC) ou de l'Appel à Manifestation d'intérêt  (Firmes) </t>
  </si>
  <si>
    <t>Publication de l'avis spécifique (Biens - Travaux- SNC) ou de l'Appel à Manifestation d'intérêt (Firmes )</t>
  </si>
  <si>
    <t xml:space="preserve">Publication de l'avis spécifique (Biens - Travaux- SNC) ou de l'Appel à Manifestation d'intérêt   (Firmes </t>
  </si>
  <si>
    <t xml:space="preserve">Publication de l'avis spécifique (Biens - Travaux- SNC) ou de l'Appel à Manifestation d'intérêt   (Firmes) </t>
  </si>
  <si>
    <t>Date d'aprobation des TDR et de la grille d'évaluation</t>
  </si>
  <si>
    <t>Date de signature du contrat</t>
  </si>
  <si>
    <t>Contract Signature</t>
  </si>
  <si>
    <t>Date de siganture du contrat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</si>
  <si>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</si>
  <si>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</si>
  <si>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Ex-Ante</t>
  </si>
  <si>
    <t xml:space="preserve">En attente </t>
  </si>
  <si>
    <t xml:space="preserve">Construction et réhabilitation de kiosques pour le CTE de Port au Prince - 70 nouveau kiosques et 25 réhabilitations </t>
  </si>
  <si>
    <t xml:space="preserve">Ex-Ante </t>
  </si>
  <si>
    <t>En attente</t>
  </si>
  <si>
    <t>Campagne de communication et de marketing pour améliorer l'hygiène menstruelle dans la zone du projet</t>
  </si>
  <si>
    <t>`</t>
  </si>
  <si>
    <t>Campagnes de communication et de marketing pour améliorer la connectivité au réseau d'eau potable, l'access a l'assainissement et l'hygiène dans la zones urbaines  du projet..</t>
  </si>
  <si>
    <t>Développement de campagnes d'assainissement et d'hygiène dans 8 sections communales de l'OREPA Ouest</t>
  </si>
  <si>
    <t xml:space="preserve">Cout de fonctionnement OREPA ( URDs et TEPAC)  et DINEPA </t>
  </si>
  <si>
    <t>Paiement EDH</t>
  </si>
  <si>
    <t>Salaire CTE</t>
  </si>
  <si>
    <t xml:space="preserve">Développement d'un outil de planification rural au niveau de l'OREPA OUEST
</t>
  </si>
  <si>
    <t>Nombre de rapports de la DINEPA sur les opérations en milieu urbain (OREPA-Ouest)</t>
  </si>
  <si>
    <t>Rapport</t>
  </si>
  <si>
    <t>Le CTE-RMPP améliore sa viabilité financière</t>
  </si>
  <si>
    <t xml:space="preserve"> : La DINEPA exerce une réglementation effective au niveau de la DINEPA centrale et la déconcentration au niveau de l’OREPA-Ouest.</t>
  </si>
  <si>
    <t>Résultat 1</t>
  </si>
  <si>
    <t>Résultat 2</t>
  </si>
  <si>
    <t>Renforcement de l'OREPA OUEST : Unite de Supervision et Execution et CTE</t>
  </si>
  <si>
    <t>Renforcement de l'URD OREPA OUEST - prendre en charge les APD et la supervison technique et social des travaux ruraux</t>
  </si>
  <si>
    <t xml:space="preserve">Construction du Batiment du CTE de Ouanaminthe </t>
  </si>
  <si>
    <t xml:space="preserve">Nombre de connexions domiciliaires et commerciales actives au CTE - RMPP </t>
  </si>
  <si>
    <t>Connexion active</t>
  </si>
  <si>
    <t>Production durable d’eau par le CTE-RMPP</t>
  </si>
  <si>
    <t>m3/jour</t>
  </si>
  <si>
    <t>Indice de recouvrement du CTE-RMPP (% de paiement des factures)</t>
  </si>
  <si>
    <t>Ratio d’exploitation du CTE-RMPP (ratio des revenus d’exploitation annuels contre dépenses d’exploitation annuelles</t>
  </si>
  <si>
    <t>Ratio</t>
  </si>
  <si>
    <t>Résultat 3</t>
  </si>
  <si>
    <t>L’accès aux services d’eau et d’assainissement des ménages, la qualité du service des eaux et les pratiques d’hygiène se sont améliorés dans la RMPP</t>
  </si>
  <si>
    <t>Pourcentage de ménages ayant accès à l’eau potable à domicile</t>
  </si>
  <si>
    <t>Ménage</t>
  </si>
  <si>
    <t>Pourcentage de ménages ayant accès à l’eau potable via un kiosque</t>
  </si>
  <si>
    <t>Nombre d’heures par jour d’alimentation des ménages à partir d’une connexion du CTE-RMPP</t>
  </si>
  <si>
    <t>Horaire/jour</t>
  </si>
  <si>
    <t>% de femmes qui travaillent dans des kiosques nouveaux ou réhabilités dans la zone de Carrefour et au Centre-Ville</t>
  </si>
  <si>
    <t xml:space="preserve">% de ménages qui ont des installations pour le lavage des mains, y compris du savon </t>
  </si>
  <si>
    <t>% de femmes qui utilisent des serviettes hygiéniques pendant leur période de menstruation</t>
  </si>
  <si>
    <t>L’accès aux services d’eau et d’assainissement et à l’hygiène dans des zones rurales de l’OREPA-Ouest et des zones affectées par l’Ouragan Matthew s’est amélioré</t>
  </si>
  <si>
    <t>Résultat 4</t>
  </si>
  <si>
    <t>Augmentation du nombre de ménages ayant accès à un service amélioré d’assainissement et à l’hygiène dans les zones rurales de l’OREPA-Ouest</t>
  </si>
  <si>
    <t>Appui externe à la gestion du CTE-RMPP basé sur les résultats</t>
  </si>
  <si>
    <t>Résultats associés</t>
  </si>
  <si>
    <t>Coût</t>
  </si>
  <si>
    <t>R1+R2+R3+R4</t>
  </si>
  <si>
    <t>Coût total</t>
  </si>
  <si>
    <t>Composante II : Appui au Fonctionnement du CTE-RMPP et à l’entretien</t>
  </si>
  <si>
    <t>Accords</t>
  </si>
  <si>
    <t>R2+R3</t>
  </si>
  <si>
    <t>Contrats d’approvisionnement en combustible</t>
  </si>
  <si>
    <t>Composante III: Investissements dans des travaux relatifs à l’eau potable, l’assainissement et l’hygiène dans la RMPP</t>
  </si>
  <si>
    <t>Réservoir</t>
  </si>
  <si>
    <t>Connexion</t>
  </si>
  <si>
    <t>Kiosque</t>
  </si>
  <si>
    <t>Campagne</t>
  </si>
  <si>
    <t>R4</t>
  </si>
  <si>
    <t>Système</t>
  </si>
  <si>
    <t>Composante IV: Investissements dans les domaines de l’eau, assainissement et hygiène dans des zones rurales de l’OREPA-Ouest</t>
  </si>
  <si>
    <t>m</t>
  </si>
  <si>
    <t>Etudes pour realisation de petits travaux d'amelioration de SAEP (operation nord)</t>
  </si>
  <si>
    <t>Coûts directs associés</t>
  </si>
  <si>
    <t>DIRECTION NATIONALE DE L'EAU POTABLE ET DE L'ASSAINISSEMENT</t>
  </si>
  <si>
    <r>
      <rPr>
        <b/>
        <sz val="8"/>
        <rFont val="Times New Roman"/>
        <family val="1"/>
      </rPr>
      <t xml:space="preserve">(1) LE NUMERO DE REFERENCE </t>
    </r>
    <r>
      <rPr>
        <sz val="8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</si>
  <si>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rFont val="Times New Roman"/>
        <family val="1"/>
      </rPr>
      <t>(2) METHODE DE PDM</t>
    </r>
    <r>
      <rPr>
        <sz val="8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</si>
  <si>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8"/>
        <rFont val="Times New Roman"/>
        <family val="1"/>
      </rPr>
      <t>(3) ENTENTE DIRECTE</t>
    </r>
    <r>
      <rPr>
        <sz val="8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</si>
  <si>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rFont val="Times New Roman"/>
        <family val="1"/>
      </rPr>
      <t>(4) STATUT</t>
    </r>
    <r>
      <rPr>
        <sz val="8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</si>
  <si>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P(a)</t>
  </si>
  <si>
    <t>Nombre de rapports de planification et de suivi rural élaborés (OREPA-Ouest)</t>
  </si>
  <si>
    <t>Pourcentage de foyer ayant accès à un service d'eau amélioré</t>
  </si>
  <si>
    <t xml:space="preserve">Composante I : Renforcement Institutionnel du CTE-RMPP, de l'OREPA OUEST, de l'OREPA NORD,  et de la DINEPA </t>
  </si>
  <si>
    <t>Physical progress</t>
  </si>
  <si>
    <t>Financial progress</t>
  </si>
  <si>
    <t>Appui à l'OREPA NORD pour la préparation de la nouvelle opération (HA-L1135)</t>
  </si>
  <si>
    <t>R1+R3</t>
  </si>
  <si>
    <t>Renforcement du role de la DINEPA comme regulateur-supervision PPP</t>
  </si>
  <si>
    <t>R1+R3+R4</t>
  </si>
  <si>
    <t>Aménagement et amélioration des agences</t>
  </si>
  <si>
    <t>Petits travaux et amélioriation du service</t>
  </si>
  <si>
    <t>Adductions pour l’amélioration et l’extension de la distribution d’eau dans la zone de Carrefour et au Centre-Ville. Renforcement Ossature Ouest : Marché A / Conduites structurantes.  (4 Lots) et Refoulement Duvivier - Cité Soleil</t>
  </si>
  <si>
    <t>Construction et Réhabilitation de reservoirs ( Marché D Bolosse, R236 Vivy Mitchel, Cité Soleil)</t>
  </si>
  <si>
    <t>Extension conduites de distribution secteur Mariani. Marché B (B1 à B5) et Extension conduites de distribution Vivy Michell. (3 Lots)</t>
  </si>
  <si>
    <t>Reseau basique de distribution et installation des reseaux condominaux  à Mariani Ouest et à Gérald Bataille. Marche H et Reseau de distribution basique et station de pompage desserte Haute Martissant a partir de la source Leclerc. Marche N  (Projet pilot condominial 1, 2 et 3)</t>
  </si>
  <si>
    <t>Nombre de réseaux condominiaux</t>
  </si>
  <si>
    <t>Installation des branchements et des compteurs au niveau des ménages pour les Agences (Carrefour, Delmas, Port-au-Prince et Tabarre)</t>
  </si>
  <si>
    <t>Travaux de Réhabilitation des armoires electriques et automatisme Lot 3 (Duvivier Cité Soleil)</t>
  </si>
  <si>
    <t>Nombre d'armoires électriques</t>
  </si>
  <si>
    <t xml:space="preserve">Assistance technique, sociale et opérationnelle pour l'amelioration de la desserte en eau dans les quartiers devaforises de la RMPP (condominial et kiosques) et Supervision directe des travaux correspondant à i) le reservoir de Bolosse, Mariani et R236 2) les extensions des canalisations pour l'amélioration de la distribution à Carrefour 3) Conduite de refoulent Cite Soleil  4) Finalisation de la supervision de Port au Prince II et coordination et formation de l'unite de supervision 
</t>
  </si>
  <si>
    <t xml:space="preserve">Contrat </t>
  </si>
  <si>
    <t xml:space="preserve">Matériels pour les installations de raccordement pour les maisons - Matériaux hydrauliques correspondant à 17,000 raccordements sans compteur, 17,000 raccordements avec compteur et  4,000 compteurs dans les raccordements existants. (3 Lots) et 400 mini-réseaux condominiaux d'eau potable et 30 d'assainissement.
</t>
  </si>
  <si>
    <t xml:space="preserve">contrat </t>
  </si>
  <si>
    <t>Nombre d'études</t>
  </si>
  <si>
    <t>Construction et réhabilitation de petits réseaux dans les sections communales (4 lots)</t>
  </si>
  <si>
    <t>Construction et réhabilitation de points d'eau dans les sections communales</t>
  </si>
  <si>
    <t>Points d'eau</t>
  </si>
  <si>
    <t xml:space="preserve">Composante V: Administration Projet </t>
  </si>
  <si>
    <t>Renforcement de l'unité d'exécution</t>
  </si>
  <si>
    <t>Salaire du personnel de l'unité d'exécution</t>
  </si>
  <si>
    <t>Frais de fonctionnement de l'unité d'exécution</t>
  </si>
  <si>
    <r>
      <t xml:space="preserve">Explication des écarts : </t>
    </r>
    <r>
      <rPr>
        <sz val="11"/>
        <rFont val="Arial"/>
        <family val="2"/>
      </rPr>
      <t xml:space="preserve">toute différence substantielle entre les lignes « P » (planifié) et « A » (accompli) et/ou toute incohérence apparente (par ex, beaucoup de produits réalisés à très faible coût, ou beaucoup de dépenses exécutés sans aucun produit obtenu) doit être expliquée. </t>
    </r>
    <r>
      <rPr>
        <i/>
        <sz val="11"/>
        <rFont val="Arial"/>
        <family val="2"/>
      </rPr>
      <t>Rappel : la planification est annuelle, alors que le reporting de 1er semestre ne concerne qu’une demi-année, donc il est normal d’observer des divergences entre les réalisations au 30 juin et la planification annuelle.</t>
    </r>
  </si>
  <si>
    <r>
      <t xml:space="preserve">Mesures correctives </t>
    </r>
    <r>
      <rPr>
        <sz val="11"/>
        <rFont val="Arial"/>
        <family val="2"/>
      </rPr>
      <t>(actions convenues pour éviter la répétition des problèmes, pour corriger les retards, etc)</t>
    </r>
  </si>
  <si>
    <t>AOI</t>
  </si>
  <si>
    <t>AON</t>
  </si>
  <si>
    <t>SFQC</t>
  </si>
  <si>
    <t>l’article 3.10 (d) du GN-2350-9 lorsqu’une entreprise est la seule à posséder les qualifications voulues ou présente une expérience d’un intérêt exceptionnel pour la mission considérée.</t>
  </si>
  <si>
    <t>OREPA NORD</t>
  </si>
  <si>
    <t>Projet Eau , Hygiène et Assainissement dans la région Nord d'Haiti 4697/GR-HA; HA-L1135</t>
  </si>
  <si>
    <t>CP</t>
  </si>
  <si>
    <t>DBO (Design, Build and operate) pour l'équipement des éléments électromécaniques des puits de Balan et le fonctionnement pendant 24 mois (plus 12 mois de garantie)</t>
  </si>
  <si>
    <t>Équipement de deux nouveaux puits au Quartier Morin</t>
  </si>
  <si>
    <t>Construction de 3 réseaux de condominiums d'assainissement de condominiums semi-sélectifs dans la zone centrale de Cape Haitiano. Lot 1. Projet pilote 1</t>
  </si>
  <si>
    <t>Construction de 3 réseaux d'assainissement condominial semi-collectifs en copropriété dans la zone centrale du Cap Haïtien. Lot 2 : projet pilote 2.</t>
  </si>
  <si>
    <t>Construction de 3 réseaux d'assainissement condominial semi-collectifs en copropriété dans la zone centrale de Cabo Haitiano. Lot 3 : projet pilote 3.</t>
  </si>
  <si>
    <t>Construction de systèmes d'eau potable dans les zones urbaines du nord d'Haïti. Ville Nord 1</t>
  </si>
  <si>
    <t>Construction de systèmes d'eau potable dans les zones urbaines du nord d'Haïti. Ville Nord 2</t>
  </si>
  <si>
    <t>Construction de systèmes d'eau potable dans les zones urbaines du nord d'Haïti. Ville Nord 3</t>
  </si>
  <si>
    <t>Construction de systèmes d'eau potable dans les zones urbaines du nord d'Haïti. Ville Nord 4</t>
  </si>
  <si>
    <t>Construction de systèmes d'eau potable dans les zones urbaines du nord d'Haïti. Ville Nord 5</t>
  </si>
  <si>
    <t>Projet pilote d'assainissement aux Gonaïves</t>
  </si>
  <si>
    <t>Projets pilotes d'assainissement dans d'autres villes couvertes par le programme (Port de Paix, Ouanaminthe et Jacmel)</t>
  </si>
  <si>
    <t>Adéquation des installations sanitaires dans les écoles et les centres de santé de la zone urbaine du Cap Haïtien (phase 1)</t>
  </si>
  <si>
    <t>Adéquation des installations sanitaires dans les écoles et les centres de santé de la zone urbaine du Cap Haïtien (phase 2)</t>
  </si>
  <si>
    <t>Travaux de réhabilitation de petits systèmes gravitationnels, construction-réhabilitation de pompes manuelles et adaptation d'installations sanitaires dans 8 sections communales (groupe 1 pilote).</t>
  </si>
  <si>
    <t>Travaux de réhabilitation de petits systèmes gravitationnels, construction-réhabilitation de pompes manuelles et adaptation d'installations sanitaires dans 8 sections communales (groupe 4).</t>
  </si>
  <si>
    <t>Travaux de réhabilitation de petits systèmes gravitationnels, construction-réhabilitation de pompes manuelles et adaptation d'installations sanitaires dans 8 sections communales (groupe 3).</t>
  </si>
  <si>
    <t>Travaux de réhabilitation de petits systèmes gravitationnels, construction-réhabilitation de pompes manuelles et adaptation d'installations sanitaires dans 8 sections communales (groupe 2 ).</t>
  </si>
  <si>
    <t>Contrat pour : i) la supervision des travaux d'eau potable du Cap Haïtien de la première phase, la conception et la supervision de la deuxième phase des travaux du Cap Haïtien et l'appui à l'unité de supervision de l'OREPA Nord. ii) Contrat de performance pour l'exploitation du système d'eau potable du Cap Haïtien (64 mois).</t>
  </si>
  <si>
    <t>Développement et mise en œuvre de la campagne de changement de comportement pour mettre fin à la défécation en plein air dans le Cap Haïtien et dans les zones urbaines du Nord d'Haïti.</t>
  </si>
  <si>
    <t>Mise en œuvre de la campagne sur le lavage des mains dans les zones urbaines du nord d'Haïti</t>
  </si>
  <si>
    <t xml:space="preserve">Campagnes de communication et de transparence pour la connectivité aux réseaux d'eau potable </t>
  </si>
  <si>
    <t>Contrat d'appui à la DINEPA et à l'OREPA pour le suivi des PPP.</t>
  </si>
  <si>
    <t>Développement du plan de surveillance et mise à jour du modèle Balan, supervision de la construction et de l'équitation des puits, formation pour l'opération et la maintenance des équipements de forage.</t>
  </si>
  <si>
    <t>Campagnes de communication et de marketing pour améliorer l'accès à l'assainissement et à l'hygiène dans 32 sections communales rurales.</t>
  </si>
  <si>
    <t>Élaboration et mise en œuvre de l'évaluation de l'impact du programme</t>
  </si>
  <si>
    <t>Plan directeur d'assainissement optimal (1)</t>
  </si>
  <si>
    <t>Audit</t>
  </si>
  <si>
    <t>Consultants internationaux pour les études géotechniques et structurales des réservoirs Bel Air.</t>
  </si>
  <si>
    <t>Architectes pour la conception des bâtiments du Cap Haitien</t>
  </si>
  <si>
    <t>Consultant international pour coordonner l'unité de supervision des travaux en milieu urbain</t>
  </si>
  <si>
    <t>Des consultants nationaux pour renforcer le département hydrogéologique</t>
  </si>
  <si>
    <t>Consultant pour la réalisation de l'évaluation à mi-parcours</t>
  </si>
  <si>
    <t>Consultant pour l'évaluation finale</t>
  </si>
  <si>
    <t>Accompagnement de consultants dans le cadre de projets pilotes de copropriété (expert en composante sociale)</t>
  </si>
  <si>
    <t>Soutien de consultants pour des projets pilotes de condominiums (expert en ingénierie)</t>
  </si>
  <si>
    <t>Travaux d''electrification SAEP Ouanaminthe</t>
  </si>
  <si>
    <t>Travaux d''installation systeme de traitement d'eau du CTE de Ouanaminthe</t>
  </si>
  <si>
    <t>Acquisition de logicel informatique</t>
  </si>
  <si>
    <t>Fourniture et installation de réseaux de condominium d'eau potable à Cap-Haïtien</t>
  </si>
  <si>
    <t>Acquisition de foreuses et equipements</t>
  </si>
  <si>
    <t>Réhabilitation de deux forage existants a Balan</t>
  </si>
  <si>
    <t xml:space="preserve"> Forage de 4 nouveaux puits de 140 mètres de profondeur (12 pouces)</t>
  </si>
  <si>
    <t>Construction de la ligne de refoulement de Balan à Babiole (5 286 m, PEHD 450 mm)</t>
  </si>
  <si>
    <t>Lignes de refoulement de: i) Balan jusqu'au réservoir surélevé de Petite Anse (1 605 m, PEHD 250 mm) ii) Puits du Quartier Morin à l'intersection de Balan (2 600 m, PEHD 500 mm)</t>
  </si>
  <si>
    <t>Construction Reservoirs Babiole</t>
  </si>
  <si>
    <t>Renforcement structurel des réservoirs Bel Air</t>
  </si>
  <si>
    <t>Consultant pour la conception et la supervision des mesures à impact rapide dans les CTE. Profils : expert en modélisation, expert en investissements, expert en gestion des compagnies des eaux et expert pour la mise à jour du cadastre commercial.</t>
  </si>
  <si>
    <t>Construction du systeme d'infiltration pour le CTE de Port de Paix (Captage Zabette)</t>
  </si>
  <si>
    <t>Acquisition outillage pour la mise en œuvre de mesures à impact rapide</t>
  </si>
  <si>
    <t>Acquisitions de Matériel correspondant à la mise en œuvre de mesures d'impact rapide dans les CTE (Jacmel, Les Cayes, Ouanaminthe et Port de Paix)</t>
  </si>
  <si>
    <t>Composante II, Produit 1, Activité 1.3</t>
  </si>
  <si>
    <t>Composante I, Produit 3, Activité 3.1 et 3.2</t>
  </si>
  <si>
    <t>Composante II, Produit 3, Activité 3.4</t>
  </si>
  <si>
    <t>Composante II, Produit 3, Activité 3.3</t>
  </si>
  <si>
    <t>Composante II, Produit 3, Activité 3.1</t>
  </si>
  <si>
    <t>Composante II, Produit 3, Activité 3.2</t>
  </si>
  <si>
    <t>Composante II, Produit 5, Activité 5.2</t>
  </si>
  <si>
    <t>Composante II,Produit 5, Activité 5.3</t>
  </si>
  <si>
    <t>Composante II,Produit 6, Activité 6.1</t>
  </si>
  <si>
    <t>Composante II,Produit 7, Activité 7.1</t>
  </si>
  <si>
    <t>Composante I, Produit 5, Activité 5.1</t>
  </si>
  <si>
    <t>Composante II, Produit 14, Activité 14.4</t>
  </si>
  <si>
    <t>Composante II, Produit 14, Activité 14.5</t>
  </si>
  <si>
    <t>Composante II, Produit 14, Activité 14.6</t>
  </si>
  <si>
    <t>Composante II, Produit 14, Activité 14.7</t>
  </si>
  <si>
    <t>Composante II, Produit 14, Activité 14.8</t>
  </si>
  <si>
    <t>Composante II, Produit 12, Activité 12.1</t>
  </si>
  <si>
    <t>Composante II, Produit 12, Activité 12.2</t>
  </si>
  <si>
    <t>Composante II, Produit 13, Activité 13.1</t>
  </si>
  <si>
    <t>Composante III, Produit 1, 2 et 3</t>
  </si>
  <si>
    <t>Composante I, Produit 9, Activité 9.3</t>
  </si>
  <si>
    <t>Composante II, Produit 9, Activité 9.1</t>
  </si>
  <si>
    <t>Composante II, Produit 9, Activité 9.2</t>
  </si>
  <si>
    <t>Composante II, Produit 9, Activité 9.3</t>
  </si>
  <si>
    <t>Composante II, Produit 14, Activité 14.10</t>
  </si>
  <si>
    <t>Composante II, Produit 14, Activité 14.11</t>
  </si>
  <si>
    <t>Composante II, Produit 2, Activité 2.2</t>
  </si>
  <si>
    <t xml:space="preserve">Acquisition de motocyclettes pour TEPAC
</t>
  </si>
  <si>
    <t>Composante I, Produit 9, Activité 9.5</t>
  </si>
  <si>
    <t>Composante IV, Produit 15, Activité 15.1</t>
  </si>
  <si>
    <t>Composante I, Produit 6, Activité 6.1</t>
  </si>
  <si>
    <t>Composante II, Produit 15, Activité 15.1</t>
  </si>
  <si>
    <t>Composante II, Produit 15, Activité 15.2</t>
  </si>
  <si>
    <t>Composante I, Produit 1</t>
  </si>
  <si>
    <t>Composante I, Produit 7, Activité 7.2</t>
  </si>
  <si>
    <t>Composante I, Produit 8, Activité 8.1</t>
  </si>
  <si>
    <t>Composante III, Produit 4, Activité 4.1</t>
  </si>
  <si>
    <t>Composante IV, Produit 17, Activité 17.2</t>
  </si>
  <si>
    <t>Composante II, Produit 14, Activité 14.3</t>
  </si>
  <si>
    <t>Composante IV, Produit 17, Activité 17.1</t>
  </si>
  <si>
    <t>Composante IV, Produit 17, Activité 17.3</t>
  </si>
  <si>
    <t>Composante II, Produit 14, Activité 14.12</t>
  </si>
  <si>
    <t>Composante I, Produit 9, Activité 9.4 et Composante IV, Produit 15, Activité 15.2</t>
  </si>
  <si>
    <t>Composante II, Produit 2, Activité 2.3</t>
  </si>
  <si>
    <t>Composante II, Produit 4, Activité 4.1</t>
  </si>
  <si>
    <t>Composante II, Produit 4, Activité 4.2</t>
  </si>
  <si>
    <t>Composante I, Produit 2, Activité 2.1 et Composante II, Produit 2, Activité 2.1</t>
  </si>
  <si>
    <t>Composante I, Produit 7, Activité 7.4</t>
  </si>
  <si>
    <t>Plans directeurs pour un assainissement optimal (2)</t>
  </si>
  <si>
    <t>Composante I, Produit 11, Activité 11.2</t>
  </si>
  <si>
    <t>Composante II, Produit 5, Activité 5.1</t>
  </si>
  <si>
    <t>Composante I, Produit 5, Activité 5.2</t>
  </si>
  <si>
    <t>Composante II, Produit 7, Activité 7.2</t>
  </si>
  <si>
    <t>Composante II, Produit 7, Activité 7.3</t>
  </si>
  <si>
    <t>Composante II, Produit 6, Activité 6.1</t>
  </si>
  <si>
    <t>Décembre 2019</t>
  </si>
  <si>
    <t>Janvier - Décembre 2020</t>
  </si>
  <si>
    <t xml:space="preserve">Acquisition de materiels de bureau
</t>
  </si>
  <si>
    <t>Acquisitions de Matériaux correspondant aux connexions domestiques pour CTE couverts par le programme.</t>
  </si>
  <si>
    <t>Acquisition et installation du logiciel de gestion commerciale pour CTE couverts par le programme.</t>
  </si>
  <si>
    <t>B-AOI-No.08-06/20</t>
  </si>
  <si>
    <t>B-CP-No.09-06/20</t>
  </si>
  <si>
    <t>B-AOI-No.06-04/20</t>
  </si>
  <si>
    <t>B-AOI-No.12-06/20</t>
  </si>
  <si>
    <t>T-AON-No.05-05/20</t>
  </si>
  <si>
    <t>T-AON-No.07-05/20</t>
  </si>
  <si>
    <t>T-AOI-No.11-10/20</t>
  </si>
  <si>
    <t>T-AOI-No.10-09/20</t>
  </si>
  <si>
    <t>T-AON-No.04-03/20</t>
  </si>
  <si>
    <t>T-AON-No.08-05/20</t>
  </si>
  <si>
    <t>T-AOI-No.09-08/20</t>
  </si>
  <si>
    <t>T-AON-No.03-02/20</t>
  </si>
  <si>
    <t>SCF-DP-No.03-06/20</t>
  </si>
  <si>
    <t>SCF-DP-No.04-06/20</t>
  </si>
  <si>
    <t>SCF-DP-No.11-11/20</t>
  </si>
  <si>
    <t>SCF-DP-No.09-09/20</t>
  </si>
  <si>
    <t>SCI-CCV-No.06-06/20</t>
  </si>
  <si>
    <t>SCI-CCV-No.07-06/20</t>
  </si>
  <si>
    <t>Consultation pour l'analyse préliminaire des données hydrogéologiques</t>
  </si>
  <si>
    <t>Composante I, Produit 8, Activité 8.3</t>
  </si>
  <si>
    <t>Acquisition et installation de cable pour la connexion internet au CTE de Ouanaminthe.</t>
  </si>
  <si>
    <t xml:space="preserve">Acquisition de materiels pour le renforcement de l'unite hydrologique
</t>
  </si>
  <si>
    <t xml:space="preserve">Composante I, Produit 8, Activité </t>
  </si>
  <si>
    <t>Construction d'un batiment pour le CTE du Cap Haitien</t>
  </si>
  <si>
    <t>Construction des réseaux de distribution de Cap-Haïtien (y compris les connexions et les kiosques). Lot 1: centre de complément. Lot 2: Haut du Cap. Lot 3: Petite Anse</t>
  </si>
  <si>
    <t>SCI-CCV-No.03-06/20</t>
  </si>
  <si>
    <t>Des consultants internationaux pour soutenir l'Unité Départementale Rurale (expert social, supervision des travaux, changement de comportement).</t>
  </si>
  <si>
    <t>SCI-CCV-No.04-06/20</t>
  </si>
  <si>
    <t>Consultants nationaux d'appui à l'Unité Départementale Rurale (expert social, supervision des travaux, changement de comportement).</t>
  </si>
  <si>
    <t>QCII</t>
  </si>
  <si>
    <t>Support au régulateur et maitre d’ouvrage au suivi des contrats ATPR</t>
  </si>
  <si>
    <t>SCF-DP-No.02-04/20</t>
  </si>
  <si>
    <t>SCF-DP-No.05-06/20</t>
  </si>
  <si>
    <t>SFC-DP-No.07-06/20</t>
  </si>
  <si>
    <t>SCF-DP-No.10-09/20</t>
  </si>
  <si>
    <t>SCF-DP-No.12-11/20</t>
  </si>
  <si>
    <t>SCF-DP-No.13-12/20</t>
  </si>
  <si>
    <t>SCI-CCV-No.02-06/20</t>
  </si>
  <si>
    <t>SCI-CCV-No.01-03/20</t>
  </si>
  <si>
    <t>SCI-CCV-No.05-06/20</t>
  </si>
  <si>
    <t>SCI-CCV-No.08-08/20</t>
  </si>
  <si>
    <t>Composante II, Produit 14, Activité 14.1 et Composante III, Produit 1, 2 et 3</t>
  </si>
  <si>
    <t>Contrat ATPR des Gonaives</t>
  </si>
  <si>
    <t>BRGM / GN-2350-9 clause 3.10 alinéa d / Expérience Exceptionnelle</t>
  </si>
  <si>
    <t>B-GG-No.01-02/20</t>
  </si>
  <si>
    <t>B-AON-No.02-02/20</t>
  </si>
  <si>
    <t>B-CP-No.03-02/20</t>
  </si>
  <si>
    <t>B-CP-No.04-02/20</t>
  </si>
  <si>
    <t>B-AOI-No.07-04/20</t>
  </si>
  <si>
    <t>B-AON-No.10-06/20</t>
  </si>
  <si>
    <t>B-AOI-No.13-06/20</t>
  </si>
  <si>
    <t>B-AON-No.14-08/20</t>
  </si>
  <si>
    <t>T-CP-No.01-02/20</t>
  </si>
  <si>
    <t>T-CP-No.02-02/20</t>
  </si>
  <si>
    <t>T-AOI-No.06-05/20</t>
  </si>
  <si>
    <t>Acquisition de Véhicules de type Pick Up</t>
  </si>
  <si>
    <t>B-CP-No.11-06/20</t>
  </si>
  <si>
    <t>Acquisition de Véhicules de  type SUV</t>
  </si>
  <si>
    <t xml:space="preserve">Acquisition de Véhicules OREPA, et CTE
</t>
  </si>
  <si>
    <t>B-CP-No.05-03/20</t>
  </si>
  <si>
    <t>B-AON-No.15-10/20</t>
  </si>
  <si>
    <t>SAC-AOI-No.04-07/20</t>
  </si>
  <si>
    <t>Contrat de service d'assainissement  Lot 1 : Toilette Portable. Lot 2 : Vidange</t>
  </si>
  <si>
    <t>Campagne de Communication sur l'Assainissement</t>
  </si>
  <si>
    <t>SAC-AON-No.01-02/20</t>
  </si>
  <si>
    <t>SAC-AON-No.02-02/20</t>
  </si>
  <si>
    <t>SCF-DP-No.08-09/20</t>
  </si>
  <si>
    <t>ED</t>
  </si>
  <si>
    <t>Dessins supplémentaires (APS/APD) en matière d'eau potable et d'assainissement</t>
  </si>
  <si>
    <t>SCF-DP-No.01-02/20</t>
  </si>
  <si>
    <t>SCF-DP-No.06-06/20</t>
  </si>
  <si>
    <t>SAC-AOI-No.03-07/20</t>
  </si>
  <si>
    <t>Acquisition de véhicule et service d’aménagement intérieur et extérieur pour répondre aux besoins de sureté</t>
  </si>
  <si>
    <t>SAFARI MOTORS GN-2349-9  clause 3.6 alinéa c. (Le matériel demandé fait l’objet de droits exclusifs et ne peut être fourni que par un seul fournisseur)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</si>
</sst>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[$USD]\ #,##0.00"/>
    <numFmt numFmtId="166" formatCode="_-* #,##0.00\ _€_-;\-* #,##0.00\ _€_-;_-* &quot;-&quot;??\ _€_-;_-@_-"/>
    <numFmt numFmtId="167" formatCode="&quot;Yes&quot;;&quot;Yes&quot;;&quot;No&quot;"/>
    <numFmt numFmtId="168" formatCode="_(* #,##0_);_(* \(#,##0\);_(* &quot;-&quot;??_);_(@_)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16"/>
      <name val="Calibri"/>
      <family val="2"/>
    </font>
    <font>
      <sz val="10"/>
      <name val="Verdana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1"/>
      <color indexed="9"/>
      <name val="Calibri"/>
      <family val="2"/>
    </font>
    <font>
      <b/>
      <sz val="14"/>
      <name val="Arial"/>
      <family val="2"/>
    </font>
    <font>
      <b/>
      <sz val="8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i/>
      <sz val="11"/>
      <name val="Arial"/>
      <family val="2"/>
    </font>
    <font>
      <sz val="11"/>
      <name val="Cambria"/>
      <family val="1"/>
    </font>
    <font>
      <sz val="14"/>
      <name val="Arial"/>
      <family val="2"/>
    </font>
    <font>
      <sz val="12"/>
      <name val="Arial"/>
      <family val="2"/>
    </font>
    <font>
      <sz val="8"/>
      <name val="Calibri"/>
      <family val="2"/>
    </font>
    <font>
      <b/>
      <sz val="10"/>
      <color indexed="9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FF0000"/>
      <name val="Times New Roman"/>
      <family val="1"/>
    </font>
    <font>
      <i/>
      <sz val="10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rgb="FF010000"/>
      </right>
      <top/>
      <bottom/>
      <diagonal/>
    </border>
    <border>
      <left/>
      <right/>
      <top style="medium">
        <color rgb="FF010000"/>
      </top>
      <bottom style="medium">
        <color rgb="FF010000"/>
      </bottom>
      <diagonal/>
    </border>
    <border>
      <left/>
      <right style="medium">
        <color rgb="FF010000"/>
      </right>
      <top style="medium">
        <color rgb="FF010000"/>
      </top>
      <bottom style="medium">
        <color rgb="FF010000"/>
      </bottom>
      <diagonal/>
    </border>
    <border>
      <left/>
      <right/>
      <top style="medium">
        <color rgb="FF010000"/>
      </top>
      <bottom/>
      <diagonal/>
    </border>
    <border>
      <left/>
      <right/>
      <top/>
      <bottom style="medium">
        <color rgb="FF010000"/>
      </bottom>
      <diagonal/>
    </border>
    <border>
      <left/>
      <right style="medium">
        <color rgb="FF010000"/>
      </right>
      <top/>
      <bottom style="medium">
        <color rgb="FF010000"/>
      </bottom>
      <diagonal/>
    </border>
    <border>
      <left style="medium">
        <color rgb="FF010000"/>
      </left>
      <right style="medium">
        <color rgb="FF010000"/>
      </right>
      <top/>
      <bottom style="medium">
        <color indexed="64"/>
      </bottom>
      <diagonal/>
    </border>
    <border>
      <left style="medium">
        <color rgb="FF010000"/>
      </left>
      <right style="medium">
        <color rgb="FF010000"/>
      </right>
      <top style="medium">
        <color rgb="FF010000"/>
      </top>
      <bottom/>
      <diagonal/>
    </border>
    <border>
      <left style="medium">
        <color indexed="64"/>
      </left>
      <right style="medium">
        <color rgb="FF010000"/>
      </right>
      <top style="medium">
        <color rgb="FF010000"/>
      </top>
      <bottom/>
      <diagonal/>
    </border>
    <border>
      <left style="medium">
        <color indexed="64"/>
      </left>
      <right style="medium">
        <color rgb="FF010000"/>
      </right>
      <top/>
      <bottom/>
      <diagonal/>
    </border>
    <border>
      <left/>
      <right style="medium">
        <color rgb="FF010000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rgb="FF010000"/>
      </bottom>
      <diagonal/>
    </border>
    <border>
      <left style="medium">
        <color indexed="64"/>
      </left>
      <right style="medium">
        <color rgb="FF01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1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10000"/>
      </bottom>
      <diagonal/>
    </border>
    <border>
      <left style="medium">
        <color indexed="64"/>
      </left>
      <right/>
      <top style="medium">
        <color rgb="FF010000"/>
      </top>
      <bottom/>
      <diagonal/>
    </border>
    <border>
      <left/>
      <right style="medium">
        <color rgb="FF010000"/>
      </right>
      <top style="medium">
        <color rgb="FF010000"/>
      </top>
      <bottom/>
      <diagonal/>
    </border>
    <border>
      <left style="medium">
        <color rgb="FF010000"/>
      </left>
      <right/>
      <top style="medium">
        <color rgb="FF010000"/>
      </top>
      <bottom/>
      <diagonal/>
    </border>
    <border>
      <left/>
      <right style="medium">
        <color indexed="64"/>
      </right>
      <top style="medium">
        <color rgb="FF010000"/>
      </top>
      <bottom/>
      <diagonal/>
    </border>
    <border>
      <left style="medium">
        <color rgb="FF010000"/>
      </left>
      <right/>
      <top/>
      <bottom/>
      <diagonal/>
    </border>
    <border>
      <left style="medium">
        <color rgb="FF010000"/>
      </left>
      <right/>
      <top/>
      <bottom style="medium">
        <color rgb="FF010000"/>
      </bottom>
      <diagonal/>
    </border>
    <border>
      <left style="medium">
        <color rgb="FF01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10000"/>
      </bottom>
      <diagonal/>
    </border>
    <border>
      <left/>
      <right/>
      <top style="thin">
        <color indexed="64"/>
      </top>
      <bottom style="medium">
        <color rgb="FF010000"/>
      </bottom>
      <diagonal/>
    </border>
    <border>
      <left/>
      <right style="thin">
        <color indexed="64"/>
      </right>
      <top style="thin">
        <color indexed="64"/>
      </top>
      <bottom style="medium">
        <color rgb="FF010000"/>
      </bottom>
      <diagonal/>
    </border>
    <border>
      <left style="thin">
        <color indexed="64"/>
      </left>
      <right/>
      <top style="medium">
        <color rgb="FF010000"/>
      </top>
      <bottom/>
      <diagonal/>
    </border>
    <border>
      <left/>
      <right style="thin">
        <color indexed="64"/>
      </right>
      <top style="medium">
        <color rgb="FF010000"/>
      </top>
      <bottom/>
      <diagonal/>
    </border>
    <border>
      <left style="medium">
        <color indexed="64"/>
      </left>
      <right/>
      <top style="medium">
        <color rgb="FF010000"/>
      </top>
      <bottom style="thin">
        <color indexed="64"/>
      </bottom>
      <diagonal/>
    </border>
    <border>
      <left/>
      <right style="medium">
        <color indexed="64"/>
      </right>
      <top style="medium">
        <color rgb="FF010000"/>
      </top>
      <bottom style="thin">
        <color indexed="64"/>
      </bottom>
      <diagonal/>
    </border>
    <border>
      <left style="medium">
        <color rgb="FF010000"/>
      </left>
      <right/>
      <top style="medium">
        <color rgb="FF010000"/>
      </top>
      <bottom style="medium">
        <color rgb="FF010000"/>
      </bottom>
      <diagonal/>
    </border>
    <border>
      <left style="medium">
        <color rgb="FF010000"/>
      </left>
      <right/>
      <top style="medium">
        <color rgb="FF010000"/>
      </top>
      <bottom style="thin">
        <color indexed="64"/>
      </bottom>
      <diagonal/>
    </border>
    <border>
      <left/>
      <right/>
      <top style="medium">
        <color rgb="FF010000"/>
      </top>
      <bottom style="thin">
        <color indexed="64"/>
      </bottom>
      <diagonal/>
    </border>
    <border>
      <left/>
      <right style="medium">
        <color rgb="FF010000"/>
      </right>
      <top style="medium">
        <color rgb="FF010000"/>
      </top>
      <bottom style="thin">
        <color indexed="64"/>
      </bottom>
      <diagonal/>
    </border>
    <border>
      <left style="medium">
        <color rgb="FF010000"/>
      </left>
      <right style="medium">
        <color rgb="FF010000"/>
      </right>
      <top/>
      <bottom/>
      <diagonal/>
    </border>
    <border>
      <left style="medium">
        <color rgb="FF010000"/>
      </left>
      <right style="medium">
        <color rgb="FF010000"/>
      </right>
      <top/>
      <bottom style="medium">
        <color rgb="FF010000"/>
      </bottom>
      <diagonal/>
    </border>
  </borders>
  <cellStyleXfs count="197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8" borderId="1" applyNumberFormat="0" applyAlignment="0" applyProtection="0"/>
    <xf numFmtId="0" fontId="21" fillId="8" borderId="1" applyNumberFormat="0" applyAlignment="0" applyProtection="0"/>
    <xf numFmtId="0" fontId="21" fillId="8" borderId="1" applyNumberFormat="0" applyAlignment="0" applyProtection="0"/>
    <xf numFmtId="0" fontId="11" fillId="0" borderId="2" applyNumberFormat="0" applyFill="0" applyAlignment="0" applyProtection="0"/>
    <xf numFmtId="0" fontId="17" fillId="21" borderId="3" applyNumberFormat="0" applyAlignment="0" applyProtection="0"/>
    <xf numFmtId="0" fontId="17" fillId="21" borderId="3" applyNumberFormat="0" applyAlignment="0" applyProtection="0"/>
    <xf numFmtId="0" fontId="17" fillId="21" borderId="3" applyNumberFormat="0" applyAlignment="0" applyProtection="0"/>
    <xf numFmtId="43" fontId="4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8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22" borderId="0" applyNumberFormat="0" applyBorder="0" applyAlignment="0" applyProtection="0"/>
    <xf numFmtId="0" fontId="11" fillId="0" borderId="2" applyNumberFormat="0" applyFill="0" applyAlignment="0" applyProtection="0"/>
    <xf numFmtId="0" fontId="11" fillId="0" borderId="2" applyNumberFormat="0" applyFill="0" applyAlignment="0" applyProtection="0"/>
    <xf numFmtId="0" fontId="11" fillId="0" borderId="2" applyNumberFormat="0" applyFill="0" applyAlignment="0" applyProtection="0"/>
    <xf numFmtId="43" fontId="8" fillId="0" borderId="0" applyFont="0" applyFill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45" fillId="0" borderId="0"/>
    <xf numFmtId="0" fontId="45" fillId="0" borderId="0"/>
    <xf numFmtId="0" fontId="8" fillId="0" borderId="0"/>
    <xf numFmtId="0" fontId="2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8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6" fillId="0" borderId="0"/>
    <xf numFmtId="0" fontId="1" fillId="0" borderId="0"/>
    <xf numFmtId="165" fontId="14" fillId="0" borderId="0"/>
    <xf numFmtId="0" fontId="45" fillId="0" borderId="0"/>
    <xf numFmtId="0" fontId="45" fillId="0" borderId="0"/>
    <xf numFmtId="0" fontId="1" fillId="24" borderId="7" applyNumberFormat="0" applyFont="0" applyAlignment="0" applyProtection="0"/>
    <xf numFmtId="0" fontId="1" fillId="24" borderId="7" applyNumberFormat="0" applyFont="0" applyAlignment="0" applyProtection="0"/>
    <xf numFmtId="0" fontId="1" fillId="24" borderId="7" applyNumberFormat="0" applyFont="0" applyAlignment="0" applyProtection="0"/>
    <xf numFmtId="0" fontId="28" fillId="8" borderId="8" applyNumberFormat="0" applyAlignment="0" applyProtection="0"/>
    <xf numFmtId="0" fontId="28" fillId="8" borderId="8" applyNumberFormat="0" applyAlignment="0" applyProtection="0"/>
    <xf numFmtId="0" fontId="28" fillId="8" borderId="8" applyNumberFormat="0" applyAlignment="0" applyProtection="0"/>
    <xf numFmtId="9" fontId="4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17" fillId="21" borderId="3" applyNumberFormat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70">
    <xf numFmtId="0" fontId="0" fillId="0" borderId="0" xfId="0"/>
    <xf numFmtId="0" fontId="47" fillId="0" borderId="0" xfId="0" applyNumberFormat="1" applyFont="1" applyFill="1" applyBorder="1" applyAlignment="1">
      <alignment horizontal="justify" vertical="distributed"/>
    </xf>
    <xf numFmtId="0" fontId="48" fillId="0" borderId="0" xfId="0" applyNumberFormat="1" applyFont="1" applyAlignment="1">
      <alignment horizontal="justify" vertical="distributed"/>
    </xf>
    <xf numFmtId="0" fontId="7" fillId="26" borderId="10" xfId="158" applyFont="1" applyFill="1" applyBorder="1" applyAlignment="1">
      <alignment horizontal="center" vertical="center" wrapText="1"/>
    </xf>
    <xf numFmtId="43" fontId="7" fillId="26" borderId="10" xfId="102" applyFont="1" applyFill="1" applyBorder="1" applyAlignment="1">
      <alignment horizontal="center" vertical="center" wrapText="1"/>
    </xf>
    <xf numFmtId="0" fontId="7" fillId="26" borderId="10" xfId="158" applyFont="1" applyFill="1" applyBorder="1" applyAlignment="1">
      <alignment horizontal="left" vertical="center" wrapText="1"/>
    </xf>
    <xf numFmtId="0" fontId="7" fillId="26" borderId="10" xfId="158" applyFont="1" applyFill="1" applyBorder="1" applyAlignment="1">
      <alignment horizontal="left" vertical="top" wrapText="1"/>
    </xf>
    <xf numFmtId="17" fontId="7" fillId="26" borderId="10" xfId="158" applyNumberFormat="1" applyFont="1" applyFill="1" applyBorder="1" applyAlignment="1">
      <alignment vertical="center" wrapText="1"/>
    </xf>
    <xf numFmtId="0" fontId="7" fillId="26" borderId="11" xfId="158" applyFont="1" applyFill="1" applyBorder="1" applyAlignment="1">
      <alignment vertical="center" wrapText="1"/>
    </xf>
    <xf numFmtId="0" fontId="7" fillId="26" borderId="10" xfId="158" applyFont="1" applyFill="1" applyBorder="1" applyAlignment="1">
      <alignment horizontal="center" vertical="center"/>
    </xf>
    <xf numFmtId="9" fontId="7" fillId="26" borderId="10" xfId="181" applyFont="1" applyFill="1" applyBorder="1" applyAlignment="1">
      <alignment horizontal="center" vertical="center" wrapText="1"/>
    </xf>
    <xf numFmtId="164" fontId="7" fillId="26" borderId="10" xfId="158" applyNumberFormat="1" applyFont="1" applyFill="1" applyBorder="1" applyAlignment="1">
      <alignment horizontal="center" vertical="center" wrapText="1"/>
    </xf>
    <xf numFmtId="0" fontId="7" fillId="27" borderId="10" xfId="158" applyFont="1" applyFill="1" applyBorder="1" applyAlignment="1">
      <alignment horizontal="center" vertical="center"/>
    </xf>
    <xf numFmtId="0" fontId="32" fillId="25" borderId="10" xfId="158" applyFont="1" applyFill="1" applyBorder="1" applyAlignment="1">
      <alignment horizontal="center" vertical="center" wrapText="1"/>
    </xf>
    <xf numFmtId="43" fontId="32" fillId="25" borderId="12" xfId="102" applyFont="1" applyFill="1" applyBorder="1" applyAlignment="1">
      <alignment horizontal="center" vertical="center" wrapText="1"/>
    </xf>
    <xf numFmtId="9" fontId="32" fillId="25" borderId="10" xfId="181" applyFont="1" applyFill="1" applyBorder="1" applyAlignment="1">
      <alignment horizontal="center" vertical="center" wrapText="1"/>
    </xf>
    <xf numFmtId="0" fontId="32" fillId="25" borderId="10" xfId="158" applyFont="1" applyFill="1" applyBorder="1" applyAlignment="1">
      <alignment horizontal="center" wrapText="1"/>
    </xf>
    <xf numFmtId="0" fontId="49" fillId="0" borderId="0" xfId="0" applyNumberFormat="1" applyFont="1" applyFill="1" applyBorder="1" applyAlignment="1">
      <alignment horizontal="center" wrapText="1"/>
    </xf>
    <xf numFmtId="43" fontId="7" fillId="26" borderId="12" xfId="102" applyFont="1" applyFill="1" applyBorder="1" applyAlignment="1">
      <alignment horizontal="center" vertical="center" wrapText="1"/>
    </xf>
    <xf numFmtId="0" fontId="7" fillId="26" borderId="13" xfId="158" applyFont="1" applyFill="1" applyBorder="1" applyAlignment="1">
      <alignment vertical="center" wrapText="1"/>
    </xf>
    <xf numFmtId="0" fontId="7" fillId="26" borderId="10" xfId="158" applyFont="1" applyFill="1" applyBorder="1" applyAlignment="1">
      <alignment vertical="center" wrapText="1"/>
    </xf>
    <xf numFmtId="0" fontId="48" fillId="26" borderId="10" xfId="0" applyNumberFormat="1" applyFont="1" applyFill="1" applyBorder="1" applyAlignment="1">
      <alignment horizontal="justify" vertical="distributed"/>
    </xf>
    <xf numFmtId="43" fontId="50" fillId="28" borderId="10" xfId="102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 wrapText="1"/>
    </xf>
    <xf numFmtId="0" fontId="51" fillId="0" borderId="0" xfId="0" applyFont="1"/>
    <xf numFmtId="0" fontId="51" fillId="0" borderId="0" xfId="0" applyFont="1" applyAlignment="1">
      <alignment horizontal="center" vertical="center"/>
    </xf>
    <xf numFmtId="9" fontId="51" fillId="0" borderId="0" xfId="181" applyFont="1" applyAlignment="1">
      <alignment horizontal="center" vertical="center"/>
    </xf>
    <xf numFmtId="0" fontId="47" fillId="0" borderId="0" xfId="0" applyNumberFormat="1" applyFont="1" applyAlignment="1">
      <alignment horizontal="justify" vertical="distributed"/>
    </xf>
    <xf numFmtId="0" fontId="47" fillId="0" borderId="0" xfId="0" applyNumberFormat="1" applyFont="1" applyBorder="1" applyAlignment="1">
      <alignment horizontal="justify" vertical="distributed"/>
    </xf>
    <xf numFmtId="0" fontId="52" fillId="0" borderId="0" xfId="0" applyNumberFormat="1" applyFont="1" applyFill="1" applyBorder="1" applyAlignment="1">
      <alignment horizontal="left" vertical="center" wrapText="1"/>
    </xf>
    <xf numFmtId="0" fontId="52" fillId="0" borderId="0" xfId="0" applyNumberFormat="1" applyFont="1" applyFill="1" applyBorder="1" applyAlignment="1">
      <alignment horizontal="justify" vertical="distributed"/>
    </xf>
    <xf numFmtId="0" fontId="47" fillId="0" borderId="0" xfId="0" applyNumberFormat="1" applyFont="1" applyFill="1" applyBorder="1" applyAlignment="1">
      <alignment vertical="distributed"/>
    </xf>
    <xf numFmtId="0" fontId="52" fillId="0" borderId="0" xfId="0" applyNumberFormat="1" applyFont="1" applyFill="1" applyBorder="1" applyAlignment="1">
      <alignment vertical="distributed"/>
    </xf>
    <xf numFmtId="0" fontId="53" fillId="0" borderId="0" xfId="0" applyNumberFormat="1" applyFont="1" applyFill="1" applyBorder="1" applyAlignment="1">
      <alignment horizontal="justify" vertical="distributed"/>
    </xf>
    <xf numFmtId="0" fontId="5" fillId="0" borderId="0" xfId="0" applyNumberFormat="1" applyFont="1" applyFill="1" applyBorder="1" applyAlignment="1">
      <alignment horizontal="left" vertical="center"/>
    </xf>
    <xf numFmtId="0" fontId="52" fillId="0" borderId="0" xfId="0" applyNumberFormat="1" applyFont="1" applyFill="1" applyBorder="1" applyAlignment="1">
      <alignment vertical="center"/>
    </xf>
    <xf numFmtId="0" fontId="52" fillId="0" borderId="0" xfId="0" applyNumberFormat="1" applyFont="1" applyFill="1" applyBorder="1" applyAlignment="1">
      <alignment horizontal="center" vertical="center"/>
    </xf>
    <xf numFmtId="43" fontId="51" fillId="0" borderId="0" xfId="102" applyFont="1" applyAlignment="1">
      <alignment horizontal="center" vertical="center"/>
    </xf>
    <xf numFmtId="0" fontId="53" fillId="0" borderId="0" xfId="0" applyNumberFormat="1" applyFont="1" applyFill="1" applyBorder="1" applyAlignment="1">
      <alignment vertical="distributed"/>
    </xf>
    <xf numFmtId="0" fontId="5" fillId="0" borderId="0" xfId="0" applyNumberFormat="1" applyFont="1" applyFill="1" applyBorder="1" applyAlignment="1">
      <alignment horizontal="justify" vertical="distributed"/>
    </xf>
    <xf numFmtId="0" fontId="49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9" fontId="7" fillId="26" borderId="10" xfId="181" applyFont="1" applyFill="1" applyBorder="1" applyAlignment="1">
      <alignment horizontal="left" vertical="center" wrapText="1"/>
    </xf>
    <xf numFmtId="17" fontId="7" fillId="26" borderId="10" xfId="158" applyNumberFormat="1" applyFont="1" applyFill="1" applyBorder="1" applyAlignment="1">
      <alignment horizontal="right" vertical="center" wrapText="1"/>
    </xf>
    <xf numFmtId="0" fontId="34" fillId="0" borderId="0" xfId="0" applyNumberFormat="1" applyFont="1" applyFill="1" applyBorder="1" applyAlignment="1">
      <alignment horizontal="center" vertical="distributed"/>
    </xf>
    <xf numFmtId="0" fontId="34" fillId="0" borderId="0" xfId="0" applyNumberFormat="1" applyFont="1" applyFill="1" applyBorder="1" applyAlignment="1">
      <alignment horizontal="left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NumberFormat="1" applyFont="1" applyAlignment="1">
      <alignment horizontal="justify" vertical="distributed"/>
    </xf>
    <xf numFmtId="0" fontId="49" fillId="0" borderId="0" xfId="0" applyNumberFormat="1" applyFont="1" applyFill="1" applyBorder="1" applyAlignment="1">
      <alignment vertical="center" wrapText="1"/>
    </xf>
    <xf numFmtId="0" fontId="49" fillId="0" borderId="0" xfId="0" applyNumberFormat="1" applyFont="1" applyFill="1" applyBorder="1" applyAlignment="1">
      <alignment horizontal="left" vertical="center"/>
    </xf>
    <xf numFmtId="9" fontId="35" fillId="28" borderId="10" xfId="181" applyFont="1" applyFill="1" applyBorder="1" applyAlignment="1">
      <alignment vertical="center" wrapText="1"/>
    </xf>
    <xf numFmtId="0" fontId="51" fillId="0" borderId="14" xfId="0" applyFont="1" applyBorder="1" applyAlignment="1">
      <alignment horizontal="center" vertical="center"/>
    </xf>
    <xf numFmtId="0" fontId="49" fillId="0" borderId="0" xfId="0" applyNumberFormat="1" applyFont="1" applyFill="1" applyBorder="1" applyAlignment="1">
      <alignment horizontal="center"/>
    </xf>
    <xf numFmtId="0" fontId="54" fillId="0" borderId="0" xfId="0" applyNumberFormat="1" applyFont="1" applyFill="1" applyBorder="1" applyAlignment="1">
      <alignment horizontal="center" wrapText="1"/>
    </xf>
    <xf numFmtId="0" fontId="48" fillId="0" borderId="0" xfId="0" applyNumberFormat="1" applyFont="1" applyAlignment="1">
      <alignment horizontal="center"/>
    </xf>
    <xf numFmtId="0" fontId="4" fillId="0" borderId="0" xfId="0" applyNumberFormat="1" applyFont="1" applyFill="1" applyBorder="1" applyAlignment="1">
      <alignment horizontal="left" vertical="center"/>
    </xf>
    <xf numFmtId="0" fontId="36" fillId="0" borderId="0" xfId="0" applyNumberFormat="1" applyFont="1" applyFill="1" applyBorder="1" applyAlignment="1">
      <alignment vertical="center" wrapText="1"/>
    </xf>
    <xf numFmtId="0" fontId="49" fillId="0" borderId="0" xfId="0" applyNumberFormat="1" applyFont="1" applyFill="1" applyBorder="1" applyAlignment="1">
      <alignment vertical="distributed"/>
    </xf>
    <xf numFmtId="0" fontId="54" fillId="0" borderId="0" xfId="0" applyNumberFormat="1" applyFont="1" applyFill="1" applyBorder="1" applyAlignment="1">
      <alignment vertical="distributed"/>
    </xf>
    <xf numFmtId="0" fontId="49" fillId="0" borderId="0" xfId="0" applyNumberFormat="1" applyFont="1" applyFill="1" applyBorder="1" applyAlignment="1">
      <alignment vertical="center"/>
    </xf>
    <xf numFmtId="43" fontId="35" fillId="28" borderId="10" xfId="102" applyFont="1" applyFill="1" applyBorder="1" applyAlignment="1">
      <alignment vertical="center" wrapText="1"/>
    </xf>
    <xf numFmtId="0" fontId="3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55" fillId="0" borderId="0" xfId="0" applyNumberFormat="1" applyFont="1" applyFill="1" applyBorder="1" applyAlignment="1">
      <alignment horizontal="left" vertical="center" wrapText="1"/>
    </xf>
    <xf numFmtId="0" fontId="55" fillId="0" borderId="0" xfId="0" applyNumberFormat="1" applyFont="1" applyFill="1" applyBorder="1" applyAlignment="1">
      <alignment horizontal="left" vertical="center"/>
    </xf>
    <xf numFmtId="0" fontId="48" fillId="0" borderId="0" xfId="0" applyNumberFormat="1" applyFont="1" applyFill="1" applyBorder="1" applyAlignment="1">
      <alignment horizontal="justify" vertical="distributed"/>
    </xf>
    <xf numFmtId="43" fontId="48" fillId="0" borderId="0" xfId="102" applyFont="1" applyAlignment="1">
      <alignment horizontal="center" vertical="center"/>
    </xf>
    <xf numFmtId="0" fontId="56" fillId="29" borderId="15" xfId="0" applyNumberFormat="1" applyFont="1" applyFill="1" applyBorder="1" applyAlignment="1">
      <alignment horizontal="justify" vertical="distributed"/>
    </xf>
    <xf numFmtId="0" fontId="38" fillId="29" borderId="15" xfId="158" applyFont="1" applyFill="1" applyBorder="1" applyAlignment="1">
      <alignment horizontal="left" vertical="center" wrapText="1"/>
    </xf>
    <xf numFmtId="43" fontId="50" fillId="29" borderId="15" xfId="102" applyFont="1" applyFill="1" applyBorder="1" applyAlignment="1">
      <alignment horizontal="center" vertical="center"/>
    </xf>
    <xf numFmtId="9" fontId="38" fillId="29" borderId="15" xfId="181" applyFont="1" applyFill="1" applyBorder="1" applyAlignment="1">
      <alignment horizontal="left" vertical="center" wrapText="1"/>
    </xf>
    <xf numFmtId="0" fontId="38" fillId="29" borderId="16" xfId="158" applyFont="1" applyFill="1" applyBorder="1" applyAlignment="1">
      <alignment horizontal="left" vertical="center" wrapText="1"/>
    </xf>
    <xf numFmtId="0" fontId="32" fillId="0" borderId="0" xfId="158" applyFont="1" applyFill="1" applyBorder="1" applyAlignment="1">
      <alignment horizontal="center" vertical="center" wrapText="1"/>
    </xf>
    <xf numFmtId="43" fontId="32" fillId="0" borderId="0" xfId="102" applyFont="1" applyFill="1" applyBorder="1" applyAlignment="1">
      <alignment horizontal="center" vertical="center" wrapText="1"/>
    </xf>
    <xf numFmtId="0" fontId="37" fillId="28" borderId="0" xfId="158" applyFont="1" applyFill="1" applyBorder="1" applyAlignment="1">
      <alignment vertical="center" wrapText="1"/>
    </xf>
    <xf numFmtId="0" fontId="37" fillId="28" borderId="0" xfId="158" applyFont="1" applyFill="1" applyBorder="1" applyAlignment="1">
      <alignment horizontal="center" vertical="center" wrapText="1"/>
    </xf>
    <xf numFmtId="43" fontId="37" fillId="28" borderId="0" xfId="102" applyFont="1" applyFill="1" applyBorder="1" applyAlignment="1">
      <alignment horizontal="center" vertical="center" wrapText="1"/>
    </xf>
    <xf numFmtId="9" fontId="37" fillId="28" borderId="0" xfId="181" applyFont="1" applyFill="1" applyBorder="1" applyAlignment="1">
      <alignment horizontal="center" vertical="center" wrapText="1"/>
    </xf>
    <xf numFmtId="0" fontId="55" fillId="28" borderId="0" xfId="0" applyFont="1" applyFill="1"/>
    <xf numFmtId="0" fontId="55" fillId="28" borderId="0" xfId="0" applyFont="1" applyFill="1" applyAlignment="1">
      <alignment horizontal="center" vertical="center"/>
    </xf>
    <xf numFmtId="0" fontId="48" fillId="0" borderId="0" xfId="0" applyNumberFormat="1" applyFont="1" applyAlignment="1">
      <alignment horizontal="center" vertical="center"/>
    </xf>
    <xf numFmtId="9" fontId="48" fillId="0" borderId="0" xfId="181" applyFont="1" applyAlignment="1">
      <alignment horizontal="center" vertical="center"/>
    </xf>
    <xf numFmtId="0" fontId="6" fillId="0" borderId="80" xfId="102" applyNumberFormat="1" applyFont="1" applyFill="1" applyBorder="1" applyAlignment="1">
      <alignment horizontal="center" wrapText="1"/>
    </xf>
    <xf numFmtId="43" fontId="6" fillId="0" borderId="80" xfId="102" applyFont="1" applyFill="1" applyBorder="1" applyAlignment="1">
      <alignment horizontal="center" wrapText="1"/>
    </xf>
    <xf numFmtId="43" fontId="30" fillId="0" borderId="17" xfId="102" applyFont="1" applyFill="1" applyBorder="1" applyAlignment="1">
      <alignment horizontal="center" vertical="center" wrapText="1"/>
    </xf>
    <xf numFmtId="0" fontId="30" fillId="0" borderId="10" xfId="102" applyNumberFormat="1" applyFont="1" applyFill="1" applyBorder="1" applyAlignment="1">
      <alignment horizontal="center" wrapText="1"/>
    </xf>
    <xf numFmtId="0" fontId="57" fillId="0" borderId="0" xfId="102" applyNumberFormat="1" applyFont="1" applyFill="1" applyAlignment="1">
      <alignment horizontal="left" vertical="top"/>
    </xf>
    <xf numFmtId="0" fontId="58" fillId="0" borderId="0" xfId="102" applyNumberFormat="1" applyFont="1" applyFill="1"/>
    <xf numFmtId="43" fontId="58" fillId="0" borderId="0" xfId="102" applyFont="1" applyFill="1"/>
    <xf numFmtId="0" fontId="58" fillId="0" borderId="0" xfId="102" applyNumberFormat="1" applyFont="1" applyFill="1" applyAlignment="1">
      <alignment horizontal="center"/>
    </xf>
    <xf numFmtId="43" fontId="58" fillId="0" borderId="0" xfId="102" applyFont="1" applyFill="1" applyAlignment="1">
      <alignment horizontal="center"/>
    </xf>
    <xf numFmtId="168" fontId="58" fillId="0" borderId="0" xfId="102" applyNumberFormat="1" applyFont="1" applyFill="1" applyAlignment="1">
      <alignment horizontal="center"/>
    </xf>
    <xf numFmtId="0" fontId="58" fillId="0" borderId="0" xfId="102" applyNumberFormat="1" applyFont="1" applyFill="1" applyAlignment="1">
      <alignment horizontal="left" vertical="top" wrapText="1"/>
    </xf>
    <xf numFmtId="0" fontId="30" fillId="0" borderId="81" xfId="102" applyNumberFormat="1" applyFont="1" applyFill="1" applyBorder="1" applyAlignment="1">
      <alignment horizontal="center" wrapText="1"/>
    </xf>
    <xf numFmtId="0" fontId="30" fillId="0" borderId="82" xfId="102" applyNumberFormat="1" applyFont="1" applyFill="1" applyBorder="1" applyAlignment="1">
      <alignment horizontal="center" wrapText="1"/>
    </xf>
    <xf numFmtId="0" fontId="30" fillId="0" borderId="82" xfId="102" applyNumberFormat="1" applyFont="1" applyFill="1" applyBorder="1" applyAlignment="1">
      <alignment horizontal="center" vertical="center" wrapText="1"/>
    </xf>
    <xf numFmtId="0" fontId="6" fillId="0" borderId="83" xfId="102" applyNumberFormat="1" applyFont="1" applyFill="1" applyBorder="1" applyAlignment="1">
      <alignment horizontal="center" wrapText="1"/>
    </xf>
    <xf numFmtId="0" fontId="6" fillId="0" borderId="80" xfId="102" applyNumberFormat="1" applyFont="1" applyFill="1" applyBorder="1" applyAlignment="1">
      <alignment horizontal="right" vertical="center" wrapText="1"/>
    </xf>
    <xf numFmtId="0" fontId="6" fillId="0" borderId="84" xfId="102" applyNumberFormat="1" applyFont="1" applyFill="1" applyBorder="1" applyAlignment="1">
      <alignment horizontal="center" wrapText="1"/>
    </xf>
    <xf numFmtId="43" fontId="6" fillId="0" borderId="85" xfId="102" applyFont="1" applyFill="1" applyBorder="1" applyAlignment="1">
      <alignment horizontal="center" wrapText="1"/>
    </xf>
    <xf numFmtId="0" fontId="6" fillId="0" borderId="85" xfId="102" applyNumberFormat="1" applyFont="1" applyFill="1" applyBorder="1" applyAlignment="1">
      <alignment horizontal="center" wrapText="1"/>
    </xf>
    <xf numFmtId="0" fontId="6" fillId="0" borderId="85" xfId="102" applyNumberFormat="1" applyFont="1" applyFill="1" applyBorder="1" applyAlignment="1">
      <alignment horizontal="right" vertical="center" wrapText="1"/>
    </xf>
    <xf numFmtId="0" fontId="40" fillId="0" borderId="80" xfId="102" applyNumberFormat="1" applyFont="1" applyFill="1" applyBorder="1" applyAlignment="1">
      <alignment vertical="top" wrapText="1"/>
    </xf>
    <xf numFmtId="0" fontId="6" fillId="0" borderId="0" xfId="102" applyNumberFormat="1" applyFont="1" applyFill="1" applyBorder="1" applyAlignment="1">
      <alignment horizontal="center" wrapText="1"/>
    </xf>
    <xf numFmtId="0" fontId="6" fillId="0" borderId="86" xfId="102" applyNumberFormat="1" applyFont="1" applyFill="1" applyBorder="1" applyAlignment="1">
      <alignment horizontal="center" wrapText="1"/>
    </xf>
    <xf numFmtId="0" fontId="6" fillId="0" borderId="0" xfId="102" applyNumberFormat="1" applyFont="1" applyFill="1" applyBorder="1" applyAlignment="1">
      <alignment horizontal="right" vertical="center" wrapText="1"/>
    </xf>
    <xf numFmtId="0" fontId="6" fillId="0" borderId="87" xfId="102" applyNumberFormat="1" applyFont="1" applyFill="1" applyBorder="1" applyAlignment="1">
      <alignment horizontal="center" wrapText="1"/>
    </xf>
    <xf numFmtId="43" fontId="6" fillId="0" borderId="87" xfId="102" applyFont="1" applyFill="1" applyBorder="1" applyAlignment="1">
      <alignment horizontal="center" wrapText="1"/>
    </xf>
    <xf numFmtId="0" fontId="6" fillId="0" borderId="0" xfId="102" applyNumberFormat="1" applyFont="1" applyFill="1" applyBorder="1" applyAlignment="1">
      <alignment horizontal="left" vertical="center" wrapText="1"/>
    </xf>
    <xf numFmtId="43" fontId="6" fillId="0" borderId="86" xfId="102" applyFont="1" applyFill="1" applyBorder="1" applyAlignment="1">
      <alignment horizontal="center" wrapText="1"/>
    </xf>
    <xf numFmtId="0" fontId="19" fillId="0" borderId="82" xfId="102" applyNumberFormat="1" applyFont="1" applyFill="1" applyBorder="1" applyAlignment="1">
      <alignment horizontal="center" vertical="center" wrapText="1"/>
    </xf>
    <xf numFmtId="0" fontId="41" fillId="0" borderId="80" xfId="102" applyNumberFormat="1" applyFont="1" applyFill="1" applyBorder="1" applyAlignment="1">
      <alignment horizontal="right" vertical="center" wrapText="1"/>
    </xf>
    <xf numFmtId="0" fontId="41" fillId="0" borderId="85" xfId="102" applyNumberFormat="1" applyFont="1" applyFill="1" applyBorder="1" applyAlignment="1">
      <alignment horizontal="right" vertical="center" wrapText="1"/>
    </xf>
    <xf numFmtId="0" fontId="18" fillId="0" borderId="82" xfId="102" applyNumberFormat="1" applyFont="1" applyFill="1" applyBorder="1" applyAlignment="1">
      <alignment horizontal="center" vertical="center" wrapText="1"/>
    </xf>
    <xf numFmtId="43" fontId="6" fillId="0" borderId="88" xfId="102" applyFont="1" applyFill="1" applyBorder="1" applyAlignment="1">
      <alignment horizontal="center" wrapText="1"/>
    </xf>
    <xf numFmtId="43" fontId="30" fillId="0" borderId="10" xfId="102" applyFont="1" applyFill="1" applyBorder="1" applyAlignment="1">
      <alignment horizontal="center" vertical="center" wrapText="1"/>
    </xf>
    <xf numFmtId="0" fontId="30" fillId="0" borderId="80" xfId="102" applyNumberFormat="1" applyFont="1" applyFill="1" applyBorder="1" applyAlignment="1">
      <alignment horizontal="center" wrapText="1"/>
    </xf>
    <xf numFmtId="0" fontId="30" fillId="0" borderId="18" xfId="102" applyNumberFormat="1" applyFont="1" applyFill="1" applyBorder="1" applyAlignment="1">
      <alignment horizontal="center" wrapText="1"/>
    </xf>
    <xf numFmtId="0" fontId="18" fillId="0" borderId="85" xfId="102" applyNumberFormat="1" applyFont="1" applyFill="1" applyBorder="1" applyAlignment="1">
      <alignment horizontal="center" vertical="center" wrapText="1"/>
    </xf>
    <xf numFmtId="0" fontId="30" fillId="0" borderId="19" xfId="102" applyNumberFormat="1" applyFont="1" applyFill="1" applyBorder="1" applyAlignment="1">
      <alignment horizontal="center" vertical="center" wrapText="1"/>
    </xf>
    <xf numFmtId="43" fontId="30" fillId="0" borderId="10" xfId="102" applyFont="1" applyFill="1" applyBorder="1" applyAlignment="1">
      <alignment horizontal="center" wrapText="1"/>
    </xf>
    <xf numFmtId="168" fontId="30" fillId="0" borderId="16" xfId="102" applyNumberFormat="1" applyFont="1" applyFill="1" applyBorder="1" applyAlignment="1">
      <alignment horizontal="center" wrapText="1"/>
    </xf>
    <xf numFmtId="0" fontId="18" fillId="0" borderId="80" xfId="102" applyNumberFormat="1" applyFont="1" applyFill="1" applyBorder="1" applyAlignment="1">
      <alignment horizontal="center" vertical="center" wrapText="1"/>
    </xf>
    <xf numFmtId="0" fontId="6" fillId="0" borderId="20" xfId="102" applyNumberFormat="1" applyFont="1" applyFill="1" applyBorder="1" applyAlignment="1">
      <alignment horizontal="left" vertical="center" wrapText="1"/>
    </xf>
    <xf numFmtId="168" fontId="30" fillId="0" borderId="14" xfId="102" applyNumberFormat="1" applyFont="1" applyFill="1" applyBorder="1" applyAlignment="1">
      <alignment horizontal="center" wrapText="1"/>
    </xf>
    <xf numFmtId="0" fontId="30" fillId="0" borderId="14" xfId="102" applyNumberFormat="1" applyFont="1" applyFill="1" applyBorder="1" applyAlignment="1">
      <alignment horizontal="center" wrapText="1"/>
    </xf>
    <xf numFmtId="43" fontId="30" fillId="0" borderId="14" xfId="102" applyFont="1" applyFill="1" applyBorder="1" applyAlignment="1">
      <alignment horizontal="center" wrapText="1"/>
    </xf>
    <xf numFmtId="168" fontId="30" fillId="0" borderId="10" xfId="102" applyNumberFormat="1" applyFont="1" applyFill="1" applyBorder="1" applyAlignment="1">
      <alignment horizontal="center" wrapText="1"/>
    </xf>
    <xf numFmtId="0" fontId="6" fillId="0" borderId="10" xfId="102" applyNumberFormat="1" applyFont="1" applyFill="1" applyBorder="1" applyAlignment="1">
      <alignment horizontal="left" vertical="center" wrapText="1"/>
    </xf>
    <xf numFmtId="0" fontId="6" fillId="0" borderId="11" xfId="102" applyNumberFormat="1" applyFont="1" applyFill="1" applyBorder="1" applyAlignment="1">
      <alignment horizontal="left" vertical="center" wrapText="1"/>
    </xf>
    <xf numFmtId="0" fontId="6" fillId="0" borderId="21" xfId="102" applyNumberFormat="1" applyFont="1" applyFill="1" applyBorder="1" applyAlignment="1">
      <alignment horizontal="center" vertical="center" wrapText="1"/>
    </xf>
    <xf numFmtId="0" fontId="6" fillId="0" borderId="22" xfId="102" applyNumberFormat="1" applyFont="1" applyFill="1" applyBorder="1" applyAlignment="1">
      <alignment horizontal="center" vertical="center" wrapText="1"/>
    </xf>
    <xf numFmtId="0" fontId="6" fillId="0" borderId="16" xfId="102" applyNumberFormat="1" applyFont="1" applyFill="1" applyBorder="1" applyAlignment="1">
      <alignment horizontal="center" vertical="center" wrapText="1"/>
    </xf>
    <xf numFmtId="0" fontId="6" fillId="0" borderId="10" xfId="102" applyNumberFormat="1" applyFont="1" applyFill="1" applyBorder="1" applyAlignment="1">
      <alignment horizontal="center" wrapText="1"/>
    </xf>
    <xf numFmtId="43" fontId="6" fillId="0" borderId="10" xfId="102" applyFont="1" applyFill="1" applyBorder="1" applyAlignment="1">
      <alignment horizontal="center" wrapText="1"/>
    </xf>
    <xf numFmtId="168" fontId="6" fillId="0" borderId="10" xfId="102" applyNumberFormat="1" applyFont="1" applyFill="1" applyBorder="1" applyAlignment="1">
      <alignment horizontal="center" wrapText="1"/>
    </xf>
    <xf numFmtId="0" fontId="6" fillId="0" borderId="10" xfId="102" applyNumberFormat="1" applyFont="1" applyFill="1" applyBorder="1" applyAlignment="1">
      <alignment horizontal="left" vertical="top" wrapText="1"/>
    </xf>
    <xf numFmtId="0" fontId="6" fillId="0" borderId="11" xfId="102" applyNumberFormat="1" applyFont="1" applyFill="1" applyBorder="1" applyAlignment="1">
      <alignment horizontal="left" vertical="top" wrapText="1"/>
    </xf>
    <xf numFmtId="0" fontId="6" fillId="0" borderId="23" xfId="102" applyNumberFormat="1" applyFont="1" applyFill="1" applyBorder="1" applyAlignment="1">
      <alignment horizontal="center" vertical="center" wrapText="1"/>
    </xf>
    <xf numFmtId="0" fontId="58" fillId="0" borderId="0" xfId="102" applyNumberFormat="1" applyFont="1" applyFill="1" applyAlignment="1">
      <alignment horizontal="left" vertical="top"/>
    </xf>
    <xf numFmtId="0" fontId="41" fillId="0" borderId="80" xfId="102" applyNumberFormat="1" applyFont="1" applyFill="1" applyBorder="1" applyAlignment="1">
      <alignment horizontal="left" vertical="top" wrapText="1"/>
    </xf>
    <xf numFmtId="0" fontId="6" fillId="0" borderId="12" xfId="102" applyNumberFormat="1" applyFont="1" applyFill="1" applyBorder="1" applyAlignment="1">
      <alignment horizontal="left" vertical="center" wrapText="1"/>
    </xf>
    <xf numFmtId="0" fontId="6" fillId="0" borderId="24" xfId="102" applyNumberFormat="1" applyFont="1" applyFill="1" applyBorder="1" applyAlignment="1">
      <alignment horizontal="center" vertical="center" wrapText="1"/>
    </xf>
    <xf numFmtId="0" fontId="6" fillId="0" borderId="25" xfId="102" applyNumberFormat="1" applyFont="1" applyFill="1" applyBorder="1" applyAlignment="1">
      <alignment horizontal="left" vertical="center" wrapText="1"/>
    </xf>
    <xf numFmtId="0" fontId="6" fillId="0" borderId="26" xfId="102" applyNumberFormat="1" applyFont="1" applyFill="1" applyBorder="1" applyAlignment="1">
      <alignment horizontal="center" vertical="center" wrapText="1"/>
    </xf>
    <xf numFmtId="0" fontId="6" fillId="0" borderId="27" xfId="102" applyNumberFormat="1" applyFont="1" applyFill="1" applyBorder="1" applyAlignment="1">
      <alignment horizontal="center" vertical="center" wrapText="1"/>
    </xf>
    <xf numFmtId="0" fontId="6" fillId="0" borderId="28" xfId="102" applyNumberFormat="1" applyFont="1" applyFill="1" applyBorder="1" applyAlignment="1">
      <alignment horizontal="center" vertical="center" wrapText="1"/>
    </xf>
    <xf numFmtId="0" fontId="58" fillId="0" borderId="19" xfId="102" applyNumberFormat="1" applyFont="1" applyFill="1" applyBorder="1"/>
    <xf numFmtId="0" fontId="6" fillId="0" borderId="29" xfId="102" applyNumberFormat="1" applyFont="1" applyFill="1" applyBorder="1" applyAlignment="1">
      <alignment horizontal="right" vertical="center" wrapText="1"/>
    </xf>
    <xf numFmtId="43" fontId="30" fillId="0" borderId="29" xfId="102" applyFont="1" applyFill="1" applyBorder="1" applyAlignment="1">
      <alignment horizontal="center" vertical="center" wrapText="1"/>
    </xf>
    <xf numFmtId="0" fontId="30" fillId="0" borderId="19" xfId="102" applyNumberFormat="1" applyFont="1" applyFill="1" applyBorder="1" applyAlignment="1">
      <alignment horizontal="center" wrapText="1"/>
    </xf>
    <xf numFmtId="0" fontId="6" fillId="0" borderId="19" xfId="102" applyNumberFormat="1" applyFont="1" applyFill="1" applyBorder="1" applyAlignment="1">
      <alignment horizontal="center" wrapText="1"/>
    </xf>
    <xf numFmtId="43" fontId="6" fillId="0" borderId="19" xfId="102" applyFont="1" applyFill="1" applyBorder="1" applyAlignment="1">
      <alignment horizontal="center" wrapText="1"/>
    </xf>
    <xf numFmtId="168" fontId="6" fillId="0" borderId="19" xfId="102" applyNumberFormat="1" applyFont="1" applyFill="1" applyBorder="1" applyAlignment="1">
      <alignment horizontal="center" wrapText="1"/>
    </xf>
    <xf numFmtId="0" fontId="6" fillId="0" borderId="29" xfId="102" applyNumberFormat="1" applyFont="1" applyFill="1" applyBorder="1" applyAlignment="1">
      <alignment horizontal="center" wrapText="1"/>
    </xf>
    <xf numFmtId="0" fontId="41" fillId="0" borderId="0" xfId="102" applyNumberFormat="1" applyFont="1" applyFill="1" applyBorder="1" applyAlignment="1">
      <alignment horizontal="right" vertical="center" wrapText="1"/>
    </xf>
    <xf numFmtId="43" fontId="6" fillId="0" borderId="84" xfId="102" applyFont="1" applyFill="1" applyBorder="1" applyAlignment="1">
      <alignment horizontal="left" vertical="top" wrapText="1"/>
    </xf>
    <xf numFmtId="43" fontId="6" fillId="0" borderId="84" xfId="102" applyFont="1" applyFill="1" applyBorder="1" applyAlignment="1">
      <alignment horizontal="justify" vertical="center" wrapText="1"/>
    </xf>
    <xf numFmtId="43" fontId="6" fillId="0" borderId="84" xfId="102" applyFont="1" applyFill="1" applyBorder="1" applyAlignment="1">
      <alignment horizontal="center" vertical="center" wrapText="1"/>
    </xf>
    <xf numFmtId="43" fontId="6" fillId="0" borderId="84" xfId="102" applyFont="1" applyFill="1" applyBorder="1" applyAlignment="1">
      <alignment horizontal="right" vertical="center" wrapText="1"/>
    </xf>
    <xf numFmtId="43" fontId="6" fillId="0" borderId="84" xfId="102" applyFont="1" applyFill="1" applyBorder="1" applyAlignment="1">
      <alignment horizontal="center" wrapText="1"/>
    </xf>
    <xf numFmtId="0" fontId="30" fillId="0" borderId="12" xfId="102" applyNumberFormat="1" applyFont="1" applyFill="1" applyBorder="1" applyAlignment="1">
      <alignment horizontal="center" wrapText="1"/>
    </xf>
    <xf numFmtId="43" fontId="30" fillId="0" borderId="12" xfId="102" applyFont="1" applyFill="1" applyBorder="1" applyAlignment="1">
      <alignment horizontal="center" wrapText="1"/>
    </xf>
    <xf numFmtId="168" fontId="30" fillId="0" borderId="12" xfId="102" applyNumberFormat="1" applyFont="1" applyFill="1" applyBorder="1" applyAlignment="1">
      <alignment horizontal="center" wrapText="1"/>
    </xf>
    <xf numFmtId="43" fontId="30" fillId="0" borderId="13" xfId="102" applyFont="1" applyFill="1" applyBorder="1" applyAlignment="1">
      <alignment horizontal="center" wrapText="1"/>
    </xf>
    <xf numFmtId="0" fontId="6" fillId="0" borderId="10" xfId="102" applyNumberFormat="1" applyFont="1" applyFill="1" applyBorder="1" applyAlignment="1">
      <alignment horizontal="center" vertical="center" wrapText="1"/>
    </xf>
    <xf numFmtId="0" fontId="30" fillId="0" borderId="30" xfId="102" applyNumberFormat="1" applyFont="1" applyFill="1" applyBorder="1" applyAlignment="1">
      <alignment horizontal="center" wrapText="1"/>
    </xf>
    <xf numFmtId="0" fontId="30" fillId="0" borderId="31" xfId="102" applyNumberFormat="1" applyFont="1" applyFill="1" applyBorder="1" applyAlignment="1">
      <alignment horizontal="center" wrapText="1"/>
    </xf>
    <xf numFmtId="43" fontId="6" fillId="0" borderId="31" xfId="102" applyFont="1" applyFill="1" applyBorder="1" applyAlignment="1">
      <alignment horizontal="center" wrapText="1"/>
    </xf>
    <xf numFmtId="168" fontId="30" fillId="0" borderId="31" xfId="102" applyNumberFormat="1" applyFont="1" applyFill="1" applyBorder="1" applyAlignment="1">
      <alignment horizontal="center" wrapText="1"/>
    </xf>
    <xf numFmtId="43" fontId="30" fillId="0" borderId="31" xfId="102" applyFont="1" applyFill="1" applyBorder="1" applyAlignment="1">
      <alignment horizontal="center" wrapText="1"/>
    </xf>
    <xf numFmtId="43" fontId="30" fillId="0" borderId="32" xfId="102" applyFont="1" applyFill="1" applyBorder="1" applyAlignment="1">
      <alignment horizontal="center" wrapText="1"/>
    </xf>
    <xf numFmtId="0" fontId="30" fillId="0" borderId="21" xfId="102" applyNumberFormat="1" applyFont="1" applyFill="1" applyBorder="1" applyAlignment="1">
      <alignment horizontal="center" wrapText="1"/>
    </xf>
    <xf numFmtId="0" fontId="6" fillId="0" borderId="20" xfId="102" applyNumberFormat="1" applyFont="1" applyFill="1" applyBorder="1" applyAlignment="1">
      <alignment horizontal="center" wrapText="1"/>
    </xf>
    <xf numFmtId="43" fontId="6" fillId="0" borderId="20" xfId="102" applyFont="1" applyFill="1" applyBorder="1" applyAlignment="1">
      <alignment horizontal="center" wrapText="1"/>
    </xf>
    <xf numFmtId="168" fontId="6" fillId="0" borderId="20" xfId="102" applyNumberFormat="1" applyFont="1" applyFill="1" applyBorder="1" applyAlignment="1">
      <alignment horizontal="center" wrapText="1"/>
    </xf>
    <xf numFmtId="43" fontId="6" fillId="0" borderId="33" xfId="102" applyFont="1" applyFill="1" applyBorder="1" applyAlignment="1">
      <alignment horizontal="center" wrapText="1"/>
    </xf>
    <xf numFmtId="0" fontId="6" fillId="0" borderId="18" xfId="102" applyNumberFormat="1" applyFont="1" applyFill="1" applyBorder="1" applyAlignment="1">
      <alignment horizontal="left" vertical="center" wrapText="1"/>
    </xf>
    <xf numFmtId="0" fontId="58" fillId="0" borderId="0" xfId="102" applyNumberFormat="1" applyFont="1" applyFill="1" applyBorder="1"/>
    <xf numFmtId="0" fontId="30" fillId="0" borderId="0" xfId="102" applyNumberFormat="1" applyFont="1" applyFill="1" applyBorder="1" applyAlignment="1">
      <alignment horizontal="center" vertical="center" wrapText="1"/>
    </xf>
    <xf numFmtId="0" fontId="6" fillId="0" borderId="34" xfId="102" applyNumberFormat="1" applyFont="1" applyFill="1" applyBorder="1" applyAlignment="1">
      <alignment horizontal="right" vertical="center" wrapText="1"/>
    </xf>
    <xf numFmtId="43" fontId="30" fillId="0" borderId="89" xfId="102" applyFont="1" applyFill="1" applyBorder="1" applyAlignment="1">
      <alignment horizontal="center" vertical="center" wrapText="1"/>
    </xf>
    <xf numFmtId="43" fontId="6" fillId="0" borderId="0" xfId="102" applyFont="1" applyFill="1" applyBorder="1" applyAlignment="1">
      <alignment horizontal="center" wrapText="1"/>
    </xf>
    <xf numFmtId="168" fontId="6" fillId="0" borderId="0" xfId="102" applyNumberFormat="1" applyFont="1" applyFill="1" applyBorder="1" applyAlignment="1">
      <alignment horizontal="center" wrapText="1"/>
    </xf>
    <xf numFmtId="0" fontId="6" fillId="0" borderId="90" xfId="102" applyNumberFormat="1" applyFont="1" applyFill="1" applyBorder="1" applyAlignment="1">
      <alignment horizontal="center" wrapText="1"/>
    </xf>
    <xf numFmtId="0" fontId="6" fillId="0" borderId="91" xfId="102" applyNumberFormat="1" applyFont="1" applyFill="1" applyBorder="1" applyAlignment="1">
      <alignment vertical="top" wrapText="1"/>
    </xf>
    <xf numFmtId="0" fontId="6" fillId="0" borderId="35" xfId="102" applyNumberFormat="1" applyFont="1" applyFill="1" applyBorder="1" applyAlignment="1">
      <alignment horizontal="center" wrapText="1"/>
    </xf>
    <xf numFmtId="0" fontId="6" fillId="0" borderId="36" xfId="102" applyNumberFormat="1" applyFont="1" applyFill="1" applyBorder="1" applyAlignment="1">
      <alignment horizontal="center" wrapText="1"/>
    </xf>
    <xf numFmtId="0" fontId="30" fillId="0" borderId="83" xfId="102" applyNumberFormat="1" applyFont="1" applyFill="1" applyBorder="1" applyAlignment="1">
      <alignment horizontal="center" wrapText="1"/>
    </xf>
    <xf numFmtId="0" fontId="30" fillId="0" borderId="16" xfId="102" applyNumberFormat="1" applyFont="1" applyFill="1" applyBorder="1" applyAlignment="1">
      <alignment horizontal="center" wrapText="1"/>
    </xf>
    <xf numFmtId="0" fontId="30" fillId="0" borderId="80" xfId="102" applyNumberFormat="1" applyFont="1" applyFill="1" applyBorder="1" applyAlignment="1">
      <alignment horizontal="center" vertical="center" wrapText="1"/>
    </xf>
    <xf numFmtId="43" fontId="30" fillId="0" borderId="0" xfId="102" applyFont="1" applyFill="1" applyBorder="1" applyAlignment="1">
      <alignment horizontal="center" vertical="center" wrapText="1"/>
    </xf>
    <xf numFmtId="0" fontId="30" fillId="0" borderId="13" xfId="102" applyNumberFormat="1" applyFont="1" applyFill="1" applyBorder="1" applyAlignment="1">
      <alignment horizontal="center"/>
    </xf>
    <xf numFmtId="0" fontId="30" fillId="0" borderId="37" xfId="102" applyNumberFormat="1" applyFont="1" applyFill="1" applyBorder="1" applyAlignment="1">
      <alignment horizontal="center" wrapText="1"/>
    </xf>
    <xf numFmtId="43" fontId="30" fillId="0" borderId="38" xfId="102" applyFont="1" applyFill="1" applyBorder="1" applyAlignment="1">
      <alignment horizontal="center" wrapText="1"/>
    </xf>
    <xf numFmtId="168" fontId="30" fillId="0" borderId="37" xfId="102" applyNumberFormat="1" applyFont="1" applyFill="1" applyBorder="1" applyAlignment="1">
      <alignment horizontal="center" wrapText="1"/>
    </xf>
    <xf numFmtId="0" fontId="30" fillId="0" borderId="35" xfId="102" applyNumberFormat="1" applyFont="1" applyFill="1" applyBorder="1" applyAlignment="1">
      <alignment horizontal="center" wrapText="1"/>
    </xf>
    <xf numFmtId="0" fontId="30" fillId="0" borderId="33" xfId="102" applyNumberFormat="1" applyFont="1" applyFill="1" applyBorder="1" applyAlignment="1">
      <alignment horizontal="center"/>
    </xf>
    <xf numFmtId="0" fontId="30" fillId="0" borderId="32" xfId="102" applyNumberFormat="1" applyFont="1" applyFill="1" applyBorder="1" applyAlignment="1">
      <alignment horizontal="center"/>
    </xf>
    <xf numFmtId="43" fontId="30" fillId="0" borderId="24" xfId="102" applyFont="1" applyFill="1" applyBorder="1" applyAlignment="1">
      <alignment horizontal="center"/>
    </xf>
    <xf numFmtId="168" fontId="30" fillId="0" borderId="32" xfId="102" applyNumberFormat="1" applyFont="1" applyFill="1" applyBorder="1" applyAlignment="1">
      <alignment horizontal="center"/>
    </xf>
    <xf numFmtId="43" fontId="6" fillId="0" borderId="24" xfId="102" applyFont="1" applyFill="1" applyBorder="1" applyAlignment="1">
      <alignment horizontal="center" wrapText="1"/>
    </xf>
    <xf numFmtId="0" fontId="30" fillId="0" borderId="23" xfId="102" applyNumberFormat="1" applyFont="1" applyFill="1" applyBorder="1" applyAlignment="1">
      <alignment horizontal="center"/>
    </xf>
    <xf numFmtId="0" fontId="30" fillId="0" borderId="24" xfId="102" applyNumberFormat="1" applyFont="1" applyFill="1" applyBorder="1" applyAlignment="1">
      <alignment horizontal="center"/>
    </xf>
    <xf numFmtId="0" fontId="6" fillId="0" borderId="39" xfId="102" applyNumberFormat="1" applyFont="1" applyFill="1" applyBorder="1" applyAlignment="1">
      <alignment horizontal="center" wrapText="1"/>
    </xf>
    <xf numFmtId="0" fontId="6" fillId="0" borderId="21" xfId="102" applyNumberFormat="1" applyFont="1" applyFill="1" applyBorder="1" applyAlignment="1">
      <alignment horizontal="center" wrapText="1"/>
    </xf>
    <xf numFmtId="43" fontId="6" fillId="0" borderId="21" xfId="102" applyFont="1" applyFill="1" applyBorder="1" applyAlignment="1">
      <alignment horizontal="center" wrapText="1"/>
    </xf>
    <xf numFmtId="168" fontId="6" fillId="0" borderId="21" xfId="102" applyNumberFormat="1" applyFont="1" applyFill="1" applyBorder="1" applyAlignment="1">
      <alignment horizontal="center" wrapText="1"/>
    </xf>
    <xf numFmtId="0" fontId="6" fillId="0" borderId="37" xfId="102" applyNumberFormat="1" applyFont="1" applyFill="1" applyBorder="1" applyAlignment="1">
      <alignment horizontal="center" wrapText="1"/>
    </xf>
    <xf numFmtId="43" fontId="6" fillId="0" borderId="38" xfId="102" applyFont="1" applyFill="1" applyBorder="1" applyAlignment="1">
      <alignment horizontal="center" wrapText="1"/>
    </xf>
    <xf numFmtId="168" fontId="6" fillId="0" borderId="37" xfId="102" applyNumberFormat="1" applyFont="1" applyFill="1" applyBorder="1" applyAlignment="1">
      <alignment horizontal="center" wrapText="1"/>
    </xf>
    <xf numFmtId="0" fontId="6" fillId="0" borderId="38" xfId="102" applyNumberFormat="1" applyFont="1" applyFill="1" applyBorder="1" applyAlignment="1">
      <alignment horizontal="center" wrapText="1"/>
    </xf>
    <xf numFmtId="0" fontId="6" fillId="0" borderId="40" xfId="102" applyNumberFormat="1" applyFont="1" applyFill="1" applyBorder="1" applyAlignment="1">
      <alignment horizontal="center" wrapText="1"/>
    </xf>
    <xf numFmtId="0" fontId="6" fillId="0" borderId="26" xfId="102" applyNumberFormat="1" applyFont="1" applyFill="1" applyBorder="1" applyAlignment="1">
      <alignment horizontal="center" wrapText="1"/>
    </xf>
    <xf numFmtId="43" fontId="6" fillId="0" borderId="27" xfId="102" applyFont="1" applyFill="1" applyBorder="1" applyAlignment="1">
      <alignment horizontal="center" wrapText="1"/>
    </xf>
    <xf numFmtId="168" fontId="6" fillId="0" borderId="26" xfId="102" applyNumberFormat="1" applyFont="1" applyFill="1" applyBorder="1" applyAlignment="1">
      <alignment horizontal="center" wrapText="1"/>
    </xf>
    <xf numFmtId="0" fontId="6" fillId="0" borderId="28" xfId="102" applyNumberFormat="1" applyFont="1" applyFill="1" applyBorder="1" applyAlignment="1">
      <alignment horizontal="center" wrapText="1"/>
    </xf>
    <xf numFmtId="0" fontId="6" fillId="0" borderId="27" xfId="102" applyNumberFormat="1" applyFont="1" applyFill="1" applyBorder="1" applyAlignment="1">
      <alignment horizontal="center" wrapText="1"/>
    </xf>
    <xf numFmtId="0" fontId="58" fillId="0" borderId="21" xfId="102" applyNumberFormat="1" applyFont="1" applyFill="1" applyBorder="1" applyAlignment="1">
      <alignment horizontal="center"/>
    </xf>
    <xf numFmtId="43" fontId="58" fillId="0" borderId="21" xfId="102" applyFont="1" applyFill="1" applyBorder="1" applyAlignment="1">
      <alignment horizontal="center"/>
    </xf>
    <xf numFmtId="168" fontId="58" fillId="0" borderId="21" xfId="102" applyNumberFormat="1" applyFont="1" applyFill="1" applyBorder="1" applyAlignment="1">
      <alignment horizontal="center"/>
    </xf>
    <xf numFmtId="0" fontId="6" fillId="0" borderId="20" xfId="102" applyNumberFormat="1" applyFont="1" applyFill="1" applyBorder="1" applyAlignment="1">
      <alignment horizontal="center" vertical="top"/>
    </xf>
    <xf numFmtId="0" fontId="6" fillId="0" borderId="10" xfId="102" applyNumberFormat="1" applyFont="1" applyFill="1" applyBorder="1" applyAlignment="1">
      <alignment horizontal="center" vertical="top"/>
    </xf>
    <xf numFmtId="0" fontId="6" fillId="0" borderId="25" xfId="102" applyNumberFormat="1" applyFont="1" applyFill="1" applyBorder="1" applyAlignment="1">
      <alignment horizontal="center" vertical="top"/>
    </xf>
    <xf numFmtId="0" fontId="6" fillId="0" borderId="36" xfId="102" applyNumberFormat="1" applyFont="1" applyFill="1" applyBorder="1" applyAlignment="1">
      <alignment horizontal="left" vertical="center" wrapText="1"/>
    </xf>
    <xf numFmtId="0" fontId="6" fillId="0" borderId="41" xfId="102" applyNumberFormat="1" applyFont="1" applyFill="1" applyBorder="1" applyAlignment="1">
      <alignment horizontal="left" vertical="center" wrapText="1"/>
    </xf>
    <xf numFmtId="0" fontId="6" fillId="0" borderId="19" xfId="102" applyNumberFormat="1" applyFont="1" applyFill="1" applyBorder="1" applyAlignment="1">
      <alignment horizontal="left" vertical="center" wrapText="1"/>
    </xf>
    <xf numFmtId="0" fontId="6" fillId="0" borderId="42" xfId="102" applyNumberFormat="1" applyFont="1" applyFill="1" applyBorder="1" applyAlignment="1">
      <alignment horizontal="left" vertical="center" wrapText="1"/>
    </xf>
    <xf numFmtId="43" fontId="30" fillId="0" borderId="92" xfId="102" applyFont="1" applyFill="1" applyBorder="1" applyAlignment="1">
      <alignment horizontal="center" vertical="center" wrapText="1"/>
    </xf>
    <xf numFmtId="0" fontId="6" fillId="0" borderId="30" xfId="102" applyNumberFormat="1" applyFont="1" applyFill="1" applyBorder="1" applyAlignment="1">
      <alignment horizontal="center" wrapText="1"/>
    </xf>
    <xf numFmtId="43" fontId="6" fillId="0" borderId="43" xfId="102" applyFont="1" applyFill="1" applyBorder="1" applyAlignment="1">
      <alignment horizontal="center" wrapText="1"/>
    </xf>
    <xf numFmtId="168" fontId="6" fillId="0" borderId="30" xfId="102" applyNumberFormat="1" applyFont="1" applyFill="1" applyBorder="1" applyAlignment="1">
      <alignment horizontal="center" wrapText="1"/>
    </xf>
    <xf numFmtId="0" fontId="6" fillId="0" borderId="44" xfId="102" applyNumberFormat="1" applyFont="1" applyFill="1" applyBorder="1" applyAlignment="1">
      <alignment horizontal="center" wrapText="1"/>
    </xf>
    <xf numFmtId="43" fontId="6" fillId="0" borderId="14" xfId="102" applyFont="1" applyFill="1" applyBorder="1" applyAlignment="1">
      <alignment horizontal="center" wrapText="1"/>
    </xf>
    <xf numFmtId="0" fontId="6" fillId="0" borderId="14" xfId="102" applyNumberFormat="1" applyFont="1" applyFill="1" applyBorder="1" applyAlignment="1">
      <alignment horizontal="center" wrapText="1"/>
    </xf>
    <xf numFmtId="0" fontId="58" fillId="0" borderId="0" xfId="102" applyNumberFormat="1" applyFont="1" applyFill="1" applyAlignment="1"/>
    <xf numFmtId="0" fontId="58" fillId="0" borderId="36" xfId="102" applyNumberFormat="1" applyFont="1" applyFill="1" applyBorder="1" applyAlignment="1"/>
    <xf numFmtId="43" fontId="58" fillId="0" borderId="0" xfId="102" applyFont="1" applyFill="1" applyAlignment="1"/>
    <xf numFmtId="0" fontId="58" fillId="0" borderId="45" xfId="102" applyNumberFormat="1" applyFont="1" applyFill="1" applyBorder="1" applyAlignment="1">
      <alignment horizontal="center"/>
    </xf>
    <xf numFmtId="43" fontId="58" fillId="0" borderId="34" xfId="102" applyFont="1" applyFill="1" applyBorder="1" applyAlignment="1">
      <alignment horizontal="center"/>
    </xf>
    <xf numFmtId="168" fontId="58" fillId="0" borderId="45" xfId="102" applyNumberFormat="1" applyFont="1" applyFill="1" applyBorder="1" applyAlignment="1">
      <alignment horizontal="center"/>
    </xf>
    <xf numFmtId="0" fontId="30" fillId="0" borderId="46" xfId="102" applyNumberFormat="1" applyFont="1" applyFill="1" applyBorder="1" applyAlignment="1">
      <alignment vertical="center" wrapText="1"/>
    </xf>
    <xf numFmtId="0" fontId="30" fillId="0" borderId="47" xfId="102" applyNumberFormat="1" applyFont="1" applyFill="1" applyBorder="1" applyAlignment="1">
      <alignment horizontal="center" wrapText="1"/>
    </xf>
    <xf numFmtId="43" fontId="30" fillId="0" borderId="48" xfId="102" applyFont="1" applyFill="1" applyBorder="1" applyAlignment="1">
      <alignment horizontal="center" wrapText="1"/>
    </xf>
    <xf numFmtId="168" fontId="30" fillId="0" borderId="47" xfId="102" applyNumberFormat="1" applyFont="1" applyFill="1" applyBorder="1" applyAlignment="1">
      <alignment horizontal="center" wrapText="1"/>
    </xf>
    <xf numFmtId="0" fontId="30" fillId="0" borderId="41" xfId="102" applyNumberFormat="1" applyFont="1" applyFill="1" applyBorder="1" applyAlignment="1">
      <alignment horizontal="center" wrapText="1"/>
    </xf>
    <xf numFmtId="43" fontId="30" fillId="0" borderId="49" xfId="102" applyFont="1" applyFill="1" applyBorder="1" applyAlignment="1">
      <alignment horizontal="center" wrapText="1"/>
    </xf>
    <xf numFmtId="0" fontId="30" fillId="0" borderId="49" xfId="102" applyNumberFormat="1" applyFont="1" applyFill="1" applyBorder="1" applyAlignment="1">
      <alignment horizontal="center" wrapText="1"/>
    </xf>
    <xf numFmtId="43" fontId="30" fillId="0" borderId="50" xfId="102" applyFont="1" applyFill="1" applyBorder="1" applyAlignment="1">
      <alignment horizontal="center" wrapText="1"/>
    </xf>
    <xf numFmtId="0" fontId="30" fillId="0" borderId="31" xfId="102" applyNumberFormat="1" applyFont="1" applyFill="1" applyBorder="1" applyAlignment="1">
      <alignment horizontal="center" vertical="center" wrapText="1"/>
    </xf>
    <xf numFmtId="0" fontId="30" fillId="0" borderId="93" xfId="102" applyNumberFormat="1" applyFont="1" applyFill="1" applyBorder="1" applyAlignment="1">
      <alignment horizontal="center" vertical="center" wrapText="1"/>
    </xf>
    <xf numFmtId="43" fontId="30" fillId="0" borderId="36" xfId="102" applyFont="1" applyFill="1" applyBorder="1" applyAlignment="1">
      <alignment horizontal="center" vertical="center" wrapText="1"/>
    </xf>
    <xf numFmtId="0" fontId="30" fillId="0" borderId="45" xfId="102" applyNumberFormat="1" applyFont="1" applyFill="1" applyBorder="1" applyAlignment="1">
      <alignment horizontal="center" wrapText="1"/>
    </xf>
    <xf numFmtId="0" fontId="30" fillId="0" borderId="39" xfId="102" applyNumberFormat="1" applyFont="1" applyFill="1" applyBorder="1" applyAlignment="1">
      <alignment horizontal="center" vertical="center" wrapText="1"/>
    </xf>
    <xf numFmtId="43" fontId="30" fillId="0" borderId="24" xfId="102" applyFont="1" applyFill="1" applyBorder="1" applyAlignment="1">
      <alignment horizontal="center" vertical="center" wrapText="1"/>
    </xf>
    <xf numFmtId="168" fontId="30" fillId="0" borderId="31" xfId="102" applyNumberFormat="1" applyFont="1" applyFill="1" applyBorder="1" applyAlignment="1">
      <alignment horizontal="center" vertical="center" wrapText="1"/>
    </xf>
    <xf numFmtId="168" fontId="6" fillId="0" borderId="23" xfId="102" applyNumberFormat="1" applyFont="1" applyFill="1" applyBorder="1" applyAlignment="1">
      <alignment horizontal="center" vertical="center" wrapText="1"/>
    </xf>
    <xf numFmtId="168" fontId="6" fillId="0" borderId="24" xfId="102" applyNumberFormat="1" applyFont="1" applyFill="1" applyBorder="1" applyAlignment="1">
      <alignment horizontal="center" vertical="center" wrapText="1"/>
    </xf>
    <xf numFmtId="0" fontId="6" fillId="0" borderId="15" xfId="102" applyNumberFormat="1" applyFont="1" applyFill="1" applyBorder="1" applyAlignment="1">
      <alignment horizontal="center" vertical="center" wrapText="1"/>
    </xf>
    <xf numFmtId="43" fontId="6" fillId="0" borderId="21" xfId="102" applyFont="1" applyFill="1" applyBorder="1" applyAlignment="1">
      <alignment horizontal="center" vertical="center" wrapText="1"/>
    </xf>
    <xf numFmtId="168" fontId="6" fillId="0" borderId="21" xfId="102" applyNumberFormat="1" applyFont="1" applyFill="1" applyBorder="1" applyAlignment="1">
      <alignment horizontal="center" vertical="center" wrapText="1"/>
    </xf>
    <xf numFmtId="0" fontId="6" fillId="0" borderId="51" xfId="102" applyNumberFormat="1" applyFont="1" applyFill="1" applyBorder="1" applyAlignment="1">
      <alignment horizontal="center" vertical="center" wrapText="1"/>
    </xf>
    <xf numFmtId="43" fontId="6" fillId="0" borderId="27" xfId="102" applyFont="1" applyFill="1" applyBorder="1" applyAlignment="1">
      <alignment horizontal="center" vertical="center" wrapText="1"/>
    </xf>
    <xf numFmtId="168" fontId="6" fillId="0" borderId="26" xfId="102" applyNumberFormat="1" applyFont="1" applyFill="1" applyBorder="1" applyAlignment="1">
      <alignment horizontal="center" vertical="center" wrapText="1"/>
    </xf>
    <xf numFmtId="43" fontId="6" fillId="0" borderId="22" xfId="102" applyFont="1" applyFill="1" applyBorder="1" applyAlignment="1">
      <alignment horizontal="center" vertical="center" wrapText="1"/>
    </xf>
    <xf numFmtId="0" fontId="30" fillId="0" borderId="51" xfId="102" applyNumberFormat="1" applyFont="1" applyFill="1" applyBorder="1" applyAlignment="1">
      <alignment horizontal="center" vertical="center" wrapText="1"/>
    </xf>
    <xf numFmtId="0" fontId="6" fillId="0" borderId="11" xfId="102" applyNumberFormat="1" applyFont="1" applyFill="1" applyBorder="1" applyAlignment="1">
      <alignment horizontal="center" vertical="center" wrapText="1"/>
    </xf>
    <xf numFmtId="0" fontId="6" fillId="0" borderId="19" xfId="102" applyNumberFormat="1" applyFont="1" applyFill="1" applyBorder="1" applyAlignment="1">
      <alignment horizontal="right" vertical="center" wrapText="1"/>
    </xf>
    <xf numFmtId="43" fontId="30" fillId="0" borderId="52" xfId="102" applyFont="1" applyFill="1" applyBorder="1" applyAlignment="1">
      <alignment horizontal="center" vertical="center" wrapText="1"/>
    </xf>
    <xf numFmtId="0" fontId="6" fillId="0" borderId="53" xfId="102" applyNumberFormat="1" applyFont="1" applyFill="1" applyBorder="1" applyAlignment="1">
      <alignment horizontal="center" wrapText="1"/>
    </xf>
    <xf numFmtId="43" fontId="6" fillId="0" borderId="29" xfId="102" applyFont="1" applyFill="1" applyBorder="1" applyAlignment="1">
      <alignment horizontal="center" wrapText="1"/>
    </xf>
    <xf numFmtId="168" fontId="6" fillId="0" borderId="53" xfId="102" applyNumberFormat="1" applyFont="1" applyFill="1" applyBorder="1" applyAlignment="1">
      <alignment horizontal="center" wrapText="1"/>
    </xf>
    <xf numFmtId="0" fontId="58" fillId="0" borderId="54" xfId="102" applyNumberFormat="1" applyFont="1" applyFill="1" applyBorder="1" applyAlignment="1">
      <alignment horizontal="center"/>
    </xf>
    <xf numFmtId="43" fontId="58" fillId="0" borderId="55" xfId="102" applyFont="1" applyFill="1" applyBorder="1" applyAlignment="1">
      <alignment horizontal="center"/>
    </xf>
    <xf numFmtId="43" fontId="30" fillId="0" borderId="22" xfId="102" applyFont="1" applyFill="1" applyBorder="1" applyAlignment="1">
      <alignment horizontal="center" wrapText="1"/>
    </xf>
    <xf numFmtId="168" fontId="30" fillId="0" borderId="21" xfId="102" applyNumberFormat="1" applyFont="1" applyFill="1" applyBorder="1" applyAlignment="1">
      <alignment horizontal="center" wrapText="1"/>
    </xf>
    <xf numFmtId="0" fontId="30" fillId="0" borderId="56" xfId="102" applyNumberFormat="1" applyFont="1" applyFill="1" applyBorder="1" applyAlignment="1">
      <alignment horizontal="center" vertical="center" wrapText="1"/>
    </xf>
    <xf numFmtId="0" fontId="30" fillId="0" borderId="11" xfId="102" applyNumberFormat="1" applyFont="1" applyFill="1" applyBorder="1" applyAlignment="1">
      <alignment horizontal="center" wrapText="1"/>
    </xf>
    <xf numFmtId="0" fontId="6" fillId="0" borderId="16" xfId="102" applyNumberFormat="1" applyFont="1" applyFill="1" applyBorder="1" applyAlignment="1">
      <alignment vertical="center" wrapText="1"/>
    </xf>
    <xf numFmtId="0" fontId="6" fillId="0" borderId="10" xfId="102" applyNumberFormat="1" applyFont="1" applyFill="1" applyBorder="1" applyAlignment="1">
      <alignment vertical="center" wrapText="1"/>
    </xf>
    <xf numFmtId="0" fontId="30" fillId="0" borderId="56" xfId="102" applyNumberFormat="1" applyFont="1" applyFill="1" applyBorder="1" applyAlignment="1">
      <alignment vertical="center" wrapText="1"/>
    </xf>
    <xf numFmtId="168" fontId="58" fillId="0" borderId="0" xfId="102" applyNumberFormat="1" applyFont="1" applyFill="1" applyAlignment="1"/>
    <xf numFmtId="0" fontId="30" fillId="0" borderId="10" xfId="102" applyNumberFormat="1" applyFont="1" applyFill="1" applyBorder="1" applyAlignment="1">
      <alignment vertical="center" wrapText="1"/>
    </xf>
    <xf numFmtId="0" fontId="6" fillId="0" borderId="0" xfId="102" applyNumberFormat="1" applyFont="1" applyFill="1" applyAlignment="1">
      <alignment horizontal="center"/>
    </xf>
    <xf numFmtId="43" fontId="6" fillId="0" borderId="0" xfId="102" applyFont="1" applyFill="1" applyAlignment="1">
      <alignment horizontal="center"/>
    </xf>
    <xf numFmtId="168" fontId="6" fillId="0" borderId="0" xfId="102" applyNumberFormat="1" applyFont="1" applyFill="1" applyAlignment="1">
      <alignment horizontal="center"/>
    </xf>
    <xf numFmtId="0" fontId="6" fillId="0" borderId="0" xfId="102" applyNumberFormat="1" applyFont="1" applyFill="1" applyAlignment="1">
      <alignment horizontal="left" vertical="top" wrapText="1"/>
    </xf>
    <xf numFmtId="0" fontId="6" fillId="0" borderId="0" xfId="102" applyNumberFormat="1" applyFont="1" applyFill="1"/>
    <xf numFmtId="43" fontId="6" fillId="0" borderId="0" xfId="102" applyFont="1" applyFill="1"/>
    <xf numFmtId="0" fontId="42" fillId="0" borderId="0" xfId="102" applyNumberFormat="1" applyFont="1" applyFill="1" applyAlignment="1">
      <alignment horizontal="center"/>
    </xf>
    <xf numFmtId="43" fontId="42" fillId="0" borderId="0" xfId="102" applyFont="1" applyFill="1" applyAlignment="1">
      <alignment horizontal="center"/>
    </xf>
    <xf numFmtId="168" fontId="42" fillId="0" borderId="0" xfId="102" applyNumberFormat="1" applyFont="1" applyFill="1" applyAlignment="1">
      <alignment horizontal="center"/>
    </xf>
    <xf numFmtId="0" fontId="42" fillId="0" borderId="0" xfId="102" applyNumberFormat="1" applyFont="1" applyFill="1" applyAlignment="1">
      <alignment horizontal="left" vertical="top" wrapText="1"/>
    </xf>
    <xf numFmtId="0" fontId="42" fillId="0" borderId="0" xfId="102" applyNumberFormat="1" applyFont="1" applyFill="1"/>
    <xf numFmtId="43" fontId="42" fillId="0" borderId="0" xfId="102" applyFont="1" applyFill="1"/>
    <xf numFmtId="9" fontId="32" fillId="0" borderId="0" xfId="181" applyFont="1" applyFill="1" applyBorder="1" applyAlignment="1">
      <alignment horizontal="center" vertical="center" wrapText="1"/>
    </xf>
    <xf numFmtId="0" fontId="35" fillId="28" borderId="10" xfId="158" applyFont="1" applyFill="1" applyBorder="1" applyAlignment="1">
      <alignment vertical="center" wrapText="1"/>
    </xf>
    <xf numFmtId="0" fontId="52" fillId="29" borderId="10" xfId="0" applyFont="1" applyFill="1" applyBorder="1" applyAlignment="1">
      <alignment horizontal="center" vertical="top"/>
    </xf>
    <xf numFmtId="0" fontId="51" fillId="0" borderId="0" xfId="0" applyFont="1" applyAlignment="1">
      <alignment horizontal="center"/>
    </xf>
    <xf numFmtId="0" fontId="52" fillId="29" borderId="10" xfId="0" applyFont="1" applyFill="1" applyBorder="1" applyAlignment="1">
      <alignment horizontal="center" vertical="top" wrapText="1"/>
    </xf>
    <xf numFmtId="43" fontId="51" fillId="0" borderId="0" xfId="0" applyNumberFormat="1" applyFont="1" applyAlignment="1">
      <alignment horizontal="center"/>
    </xf>
    <xf numFmtId="0" fontId="51" fillId="0" borderId="0" xfId="0" applyFont="1" applyAlignment="1">
      <alignment horizontal="center" vertical="top"/>
    </xf>
    <xf numFmtId="43" fontId="7" fillId="26" borderId="10" xfId="102" applyFont="1" applyFill="1" applyBorder="1" applyAlignment="1">
      <alignment vertical="center" wrapText="1"/>
    </xf>
    <xf numFmtId="17" fontId="7" fillId="26" borderId="10" xfId="158" applyNumberFormat="1" applyFont="1" applyFill="1" applyBorder="1" applyAlignment="1">
      <alignment horizontal="center" vertical="center" wrapText="1"/>
    </xf>
    <xf numFmtId="0" fontId="35" fillId="28" borderId="10" xfId="158" applyFont="1" applyFill="1" applyBorder="1" applyAlignment="1">
      <alignment horizontal="center" vertical="center" wrapText="1"/>
    </xf>
    <xf numFmtId="0" fontId="7" fillId="26" borderId="12" xfId="158" applyFont="1" applyFill="1" applyBorder="1" applyAlignment="1">
      <alignment horizontal="center" vertical="center" wrapText="1"/>
    </xf>
    <xf numFmtId="0" fontId="7" fillId="26" borderId="12" xfId="158" applyFont="1" applyFill="1" applyBorder="1" applyAlignment="1">
      <alignment horizontal="center" vertical="top" wrapText="1"/>
    </xf>
    <xf numFmtId="0" fontId="7" fillId="26" borderId="10" xfId="158" applyFont="1" applyFill="1" applyBorder="1" applyAlignment="1">
      <alignment horizontal="center" vertical="top" wrapText="1"/>
    </xf>
    <xf numFmtId="0" fontId="59" fillId="0" borderId="0" xfId="0" applyFont="1"/>
    <xf numFmtId="0" fontId="59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top"/>
    </xf>
    <xf numFmtId="43" fontId="35" fillId="28" borderId="10" xfId="158" applyNumberFormat="1" applyFont="1" applyFill="1" applyBorder="1" applyAlignment="1">
      <alignment horizontal="center" vertical="center" wrapText="1"/>
    </xf>
    <xf numFmtId="43" fontId="59" fillId="0" borderId="0" xfId="102" applyFont="1" applyAlignment="1">
      <alignment horizontal="center" vertical="center"/>
    </xf>
    <xf numFmtId="9" fontId="59" fillId="0" borderId="0" xfId="181" applyFont="1" applyAlignment="1">
      <alignment horizontal="center" vertical="center"/>
    </xf>
    <xf numFmtId="43" fontId="51" fillId="0" borderId="0" xfId="181" applyNumberFormat="1" applyFont="1" applyAlignment="1">
      <alignment horizontal="center" vertical="center"/>
    </xf>
    <xf numFmtId="0" fontId="38" fillId="29" borderId="15" xfId="158" applyFont="1" applyFill="1" applyBorder="1" applyAlignment="1">
      <alignment horizontal="center" vertical="center" wrapText="1"/>
    </xf>
    <xf numFmtId="0" fontId="32" fillId="0" borderId="0" xfId="158" applyFont="1" applyFill="1" applyBorder="1" applyAlignment="1">
      <alignment horizontal="center" vertical="top" wrapText="1"/>
    </xf>
    <xf numFmtId="0" fontId="37" fillId="28" borderId="0" xfId="158" applyFont="1" applyFill="1" applyBorder="1" applyAlignment="1">
      <alignment horizontal="center" vertical="top" wrapText="1"/>
    </xf>
    <xf numFmtId="0" fontId="48" fillId="0" borderId="0" xfId="0" applyNumberFormat="1" applyFont="1" applyAlignment="1">
      <alignment horizontal="center" vertical="top"/>
    </xf>
    <xf numFmtId="0" fontId="48" fillId="0" borderId="0" xfId="0" applyNumberFormat="1" applyFont="1" applyAlignment="1">
      <alignment horizontal="center" vertical="distributed"/>
    </xf>
    <xf numFmtId="43" fontId="35" fillId="28" borderId="10" xfId="158" applyNumberFormat="1" applyFont="1" applyFill="1" applyBorder="1" applyAlignment="1">
      <alignment vertical="center" wrapText="1"/>
    </xf>
    <xf numFmtId="43" fontId="34" fillId="0" borderId="0" xfId="102" applyFont="1" applyFill="1" applyBorder="1" applyAlignment="1">
      <alignment horizontal="center" vertical="center" wrapText="1"/>
    </xf>
    <xf numFmtId="0" fontId="5" fillId="28" borderId="10" xfId="158" applyFont="1" applyFill="1" applyBorder="1" applyAlignment="1">
      <alignment vertical="center" wrapText="1"/>
    </xf>
    <xf numFmtId="0" fontId="5" fillId="28" borderId="10" xfId="158" applyFont="1" applyFill="1" applyBorder="1" applyAlignment="1">
      <alignment horizontal="center" vertical="center" wrapText="1"/>
    </xf>
    <xf numFmtId="43" fontId="5" fillId="28" borderId="10" xfId="102" applyFont="1" applyFill="1" applyBorder="1" applyAlignment="1">
      <alignment horizontal="center" vertical="center" wrapText="1"/>
    </xf>
    <xf numFmtId="9" fontId="5" fillId="28" borderId="10" xfId="181" applyFont="1" applyFill="1" applyBorder="1" applyAlignment="1">
      <alignment vertical="center" wrapText="1"/>
    </xf>
    <xf numFmtId="43" fontId="34" fillId="0" borderId="0" xfId="0" applyNumberFormat="1" applyFont="1" applyFill="1" applyBorder="1" applyAlignment="1">
      <alignment horizontal="center" vertical="center" wrapText="1"/>
    </xf>
    <xf numFmtId="43" fontId="7" fillId="26" borderId="11" xfId="158" applyNumberFormat="1" applyFont="1" applyFill="1" applyBorder="1" applyAlignment="1">
      <alignment vertical="center" wrapText="1"/>
    </xf>
    <xf numFmtId="43" fontId="47" fillId="0" borderId="0" xfId="0" applyNumberFormat="1" applyFont="1" applyFill="1" applyBorder="1" applyAlignment="1">
      <alignment horizontal="justify" vertical="distributed"/>
    </xf>
    <xf numFmtId="0" fontId="7" fillId="26" borderId="11" xfId="158" applyFont="1" applyFill="1" applyBorder="1" applyAlignment="1">
      <alignment horizontal="left" vertical="center" wrapText="1"/>
    </xf>
    <xf numFmtId="0" fontId="7" fillId="26" borderId="21" xfId="158" applyFont="1" applyFill="1" applyBorder="1" applyAlignment="1">
      <alignment vertical="center" wrapText="1"/>
    </xf>
    <xf numFmtId="43" fontId="7" fillId="26" borderId="13" xfId="158" applyNumberFormat="1" applyFont="1" applyFill="1" applyBorder="1" applyAlignment="1">
      <alignment vertical="center" wrapText="1"/>
    </xf>
    <xf numFmtId="0" fontId="34" fillId="0" borderId="0" xfId="0" applyNumberFormat="1" applyFont="1" applyFill="1" applyAlignment="1">
      <alignment horizontal="justify" vertical="distributed"/>
    </xf>
    <xf numFmtId="0" fontId="48" fillId="0" borderId="0" xfId="0" applyNumberFormat="1" applyFont="1" applyFill="1" applyAlignment="1">
      <alignment horizontal="justify" vertical="distributed"/>
    </xf>
    <xf numFmtId="43" fontId="7" fillId="26" borderId="10" xfId="158" applyNumberFormat="1" applyFont="1" applyFill="1" applyBorder="1" applyAlignment="1">
      <alignment horizontal="center" vertical="center" wrapText="1"/>
    </xf>
    <xf numFmtId="0" fontId="7" fillId="26" borderId="21" xfId="158" applyFont="1" applyFill="1" applyBorder="1" applyAlignment="1">
      <alignment horizontal="center" vertical="center" wrapText="1"/>
    </xf>
    <xf numFmtId="0" fontId="32" fillId="25" borderId="12" xfId="158" applyFont="1" applyFill="1" applyBorder="1" applyAlignment="1">
      <alignment horizontal="center" vertical="center" wrapText="1"/>
    </xf>
    <xf numFmtId="9" fontId="32" fillId="25" borderId="12" xfId="181" applyFont="1" applyFill="1" applyBorder="1" applyAlignment="1">
      <alignment horizontal="center" vertical="center" wrapText="1"/>
    </xf>
    <xf numFmtId="0" fontId="32" fillId="25" borderId="13" xfId="158" applyFont="1" applyFill="1" applyBorder="1" applyAlignment="1">
      <alignment horizontal="center" vertical="center" wrapText="1"/>
    </xf>
    <xf numFmtId="0" fontId="7" fillId="26" borderId="10" xfId="158" applyFont="1" applyFill="1" applyBorder="1" applyAlignment="1">
      <alignment horizontal="left" vertical="center" wrapText="1"/>
    </xf>
    <xf numFmtId="0" fontId="7" fillId="26" borderId="10" xfId="158" applyFont="1" applyFill="1" applyBorder="1" applyAlignment="1">
      <alignment horizontal="center" vertical="center" wrapText="1"/>
    </xf>
    <xf numFmtId="43" fontId="7" fillId="26" borderId="10" xfId="102" applyFont="1" applyFill="1" applyBorder="1" applyAlignment="1">
      <alignment horizontal="center" vertical="center" wrapText="1"/>
    </xf>
    <xf numFmtId="9" fontId="7" fillId="26" borderId="10" xfId="181" applyFont="1" applyFill="1" applyBorder="1" applyAlignment="1">
      <alignment horizontal="center" vertical="center" wrapText="1"/>
    </xf>
    <xf numFmtId="17" fontId="7" fillId="26" borderId="10" xfId="158" applyNumberFormat="1" applyFont="1" applyFill="1" applyBorder="1" applyAlignment="1">
      <alignment horizontal="center" vertical="center" wrapText="1"/>
    </xf>
    <xf numFmtId="17" fontId="7" fillId="26" borderId="10" xfId="158" applyNumberFormat="1" applyFont="1" applyFill="1" applyBorder="1" applyAlignment="1">
      <alignment vertical="center" wrapText="1"/>
    </xf>
    <xf numFmtId="43" fontId="4" fillId="0" borderId="0" xfId="0" applyNumberFormat="1" applyFont="1" applyFill="1" applyBorder="1" applyAlignment="1">
      <alignment vertical="center" wrapText="1"/>
    </xf>
    <xf numFmtId="0" fontId="30" fillId="0" borderId="57" xfId="102" applyNumberFormat="1" applyFont="1" applyFill="1" applyBorder="1" applyAlignment="1">
      <alignment horizontal="center" vertical="center" wrapText="1"/>
    </xf>
    <xf numFmtId="0" fontId="30" fillId="0" borderId="58" xfId="102" applyNumberFormat="1" applyFont="1" applyFill="1" applyBorder="1" applyAlignment="1">
      <alignment horizontal="center" vertical="center" wrapText="1"/>
    </xf>
    <xf numFmtId="0" fontId="30" fillId="0" borderId="44" xfId="102" applyNumberFormat="1" applyFont="1" applyFill="1" applyBorder="1" applyAlignment="1">
      <alignment horizontal="center" vertical="center" wrapText="1"/>
    </xf>
    <xf numFmtId="0" fontId="6" fillId="0" borderId="11" xfId="102" applyNumberFormat="1" applyFont="1" applyFill="1" applyBorder="1" applyAlignment="1">
      <alignment horizontal="center" vertical="center" wrapText="1"/>
    </xf>
    <xf numFmtId="0" fontId="6" fillId="0" borderId="16" xfId="102" applyNumberFormat="1" applyFont="1" applyFill="1" applyBorder="1" applyAlignment="1">
      <alignment horizontal="center" vertical="center" wrapText="1"/>
    </xf>
    <xf numFmtId="0" fontId="6" fillId="0" borderId="17" xfId="102" applyNumberFormat="1" applyFont="1" applyFill="1" applyBorder="1" applyAlignment="1">
      <alignment horizontal="center" vertical="center" wrapText="1"/>
    </xf>
    <xf numFmtId="0" fontId="6" fillId="0" borderId="0" xfId="102" applyNumberFormat="1" applyFont="1" applyFill="1" applyBorder="1" applyAlignment="1">
      <alignment horizontal="center" vertical="center" wrapText="1"/>
    </xf>
    <xf numFmtId="0" fontId="6" fillId="0" borderId="18" xfId="102" applyNumberFormat="1" applyFont="1" applyFill="1" applyBorder="1" applyAlignment="1">
      <alignment horizontal="center" vertical="center" wrapText="1"/>
    </xf>
    <xf numFmtId="0" fontId="6" fillId="0" borderId="54" xfId="102" applyNumberFormat="1" applyFont="1" applyFill="1" applyBorder="1" applyAlignment="1">
      <alignment horizontal="left" vertical="center" wrapText="1"/>
    </xf>
    <xf numFmtId="0" fontId="6" fillId="0" borderId="36" xfId="102" applyNumberFormat="1" applyFont="1" applyFill="1" applyBorder="1" applyAlignment="1">
      <alignment horizontal="left" vertical="center" wrapText="1"/>
    </xf>
    <xf numFmtId="0" fontId="6" fillId="0" borderId="55" xfId="102" applyNumberFormat="1" applyFont="1" applyFill="1" applyBorder="1" applyAlignment="1">
      <alignment horizontal="left" vertical="center" wrapText="1"/>
    </xf>
    <xf numFmtId="0" fontId="6" fillId="0" borderId="45" xfId="102" applyNumberFormat="1" applyFont="1" applyFill="1" applyBorder="1" applyAlignment="1">
      <alignment horizontal="left" vertical="center" wrapText="1"/>
    </xf>
    <xf numFmtId="0" fontId="6" fillId="0" borderId="0" xfId="102" applyNumberFormat="1" applyFont="1" applyFill="1" applyBorder="1" applyAlignment="1">
      <alignment horizontal="left" vertical="center" wrapText="1"/>
    </xf>
    <xf numFmtId="0" fontId="6" fillId="0" borderId="34" xfId="102" applyNumberFormat="1" applyFont="1" applyFill="1" applyBorder="1" applyAlignment="1">
      <alignment horizontal="left" vertical="center" wrapText="1"/>
    </xf>
    <xf numFmtId="0" fontId="6" fillId="0" borderId="53" xfId="102" applyNumberFormat="1" applyFont="1" applyFill="1" applyBorder="1" applyAlignment="1">
      <alignment horizontal="left" vertical="center" wrapText="1"/>
    </xf>
    <xf numFmtId="0" fontId="6" fillId="0" borderId="19" xfId="102" applyNumberFormat="1" applyFont="1" applyFill="1" applyBorder="1" applyAlignment="1">
      <alignment horizontal="left" vertical="center" wrapText="1"/>
    </xf>
    <xf numFmtId="0" fontId="6" fillId="0" borderId="29" xfId="102" applyNumberFormat="1" applyFont="1" applyFill="1" applyBorder="1" applyAlignment="1">
      <alignment horizontal="left" vertical="center" wrapText="1"/>
    </xf>
    <xf numFmtId="0" fontId="6" fillId="0" borderId="13" xfId="102" applyNumberFormat="1" applyFont="1" applyFill="1" applyBorder="1" applyAlignment="1">
      <alignment horizontal="center" vertical="center" wrapText="1"/>
    </xf>
    <xf numFmtId="0" fontId="6" fillId="0" borderId="35" xfId="102" applyNumberFormat="1" applyFont="1" applyFill="1" applyBorder="1" applyAlignment="1">
      <alignment horizontal="center" vertical="center" wrapText="1"/>
    </xf>
    <xf numFmtId="0" fontId="6" fillId="0" borderId="57" xfId="102" applyNumberFormat="1" applyFont="1" applyFill="1" applyBorder="1" applyAlignment="1">
      <alignment horizontal="center" vertical="center" wrapText="1"/>
    </xf>
    <xf numFmtId="0" fontId="6" fillId="0" borderId="44" xfId="102" applyNumberFormat="1" applyFont="1" applyFill="1" applyBorder="1" applyAlignment="1">
      <alignment horizontal="center" vertical="center" wrapText="1"/>
    </xf>
    <xf numFmtId="0" fontId="6" fillId="0" borderId="12" xfId="102" applyNumberFormat="1" applyFont="1" applyFill="1" applyBorder="1" applyAlignment="1">
      <alignment horizontal="center" vertical="center" wrapText="1"/>
    </xf>
    <xf numFmtId="0" fontId="6" fillId="0" borderId="56" xfId="102" applyNumberFormat="1" applyFont="1" applyFill="1" applyBorder="1" applyAlignment="1">
      <alignment horizontal="center" vertical="center" wrapText="1"/>
    </xf>
    <xf numFmtId="0" fontId="6" fillId="0" borderId="14" xfId="102" applyNumberFormat="1" applyFont="1" applyFill="1" applyBorder="1" applyAlignment="1">
      <alignment horizontal="center" vertical="center" wrapText="1"/>
    </xf>
    <xf numFmtId="43" fontId="6" fillId="0" borderId="12" xfId="102" applyFont="1" applyFill="1" applyBorder="1" applyAlignment="1">
      <alignment horizontal="center" vertical="center" wrapText="1"/>
    </xf>
    <xf numFmtId="43" fontId="6" fillId="0" borderId="56" xfId="102" applyFont="1" applyFill="1" applyBorder="1" applyAlignment="1">
      <alignment horizontal="center" vertical="center" wrapText="1"/>
    </xf>
    <xf numFmtId="43" fontId="6" fillId="0" borderId="14" xfId="102" applyFont="1" applyFill="1" applyBorder="1" applyAlignment="1">
      <alignment horizontal="center" vertical="center" wrapText="1"/>
    </xf>
    <xf numFmtId="0" fontId="6" fillId="0" borderId="31" xfId="102" applyNumberFormat="1" applyFont="1" applyFill="1" applyBorder="1" applyAlignment="1">
      <alignment horizontal="center" vertical="center" wrapText="1"/>
    </xf>
    <xf numFmtId="0" fontId="6" fillId="0" borderId="24" xfId="102" applyNumberFormat="1" applyFont="1" applyFill="1" applyBorder="1" applyAlignment="1">
      <alignment horizontal="center" vertical="center" wrapText="1"/>
    </xf>
    <xf numFmtId="0" fontId="6" fillId="0" borderId="21" xfId="102" applyNumberFormat="1" applyFont="1" applyFill="1" applyBorder="1" applyAlignment="1">
      <alignment horizontal="center" vertical="center" wrapText="1"/>
    </xf>
    <xf numFmtId="0" fontId="6" fillId="0" borderId="22" xfId="102" applyNumberFormat="1" applyFont="1" applyFill="1" applyBorder="1" applyAlignment="1">
      <alignment horizontal="center" vertical="center" wrapText="1"/>
    </xf>
    <xf numFmtId="0" fontId="6" fillId="0" borderId="26" xfId="102" applyNumberFormat="1" applyFont="1" applyFill="1" applyBorder="1" applyAlignment="1">
      <alignment horizontal="center" vertical="center" wrapText="1"/>
    </xf>
    <xf numFmtId="0" fontId="6" fillId="0" borderId="27" xfId="102" applyNumberFormat="1" applyFont="1" applyFill="1" applyBorder="1" applyAlignment="1">
      <alignment horizontal="center" vertical="center" wrapText="1"/>
    </xf>
    <xf numFmtId="0" fontId="6" fillId="0" borderId="23" xfId="102" applyNumberFormat="1" applyFont="1" applyFill="1" applyBorder="1" applyAlignment="1">
      <alignment horizontal="center" vertical="center" wrapText="1"/>
    </xf>
    <xf numFmtId="43" fontId="6" fillId="0" borderId="33" xfId="102" applyFont="1" applyFill="1" applyBorder="1" applyAlignment="1">
      <alignment horizontal="center" vertical="center" wrapText="1"/>
    </xf>
    <xf numFmtId="43" fontId="6" fillId="0" borderId="11" xfId="102" applyFont="1" applyFill="1" applyBorder="1" applyAlignment="1">
      <alignment horizontal="center" vertical="center" wrapText="1"/>
    </xf>
    <xf numFmtId="0" fontId="30" fillId="0" borderId="59" xfId="102" applyNumberFormat="1" applyFont="1" applyFill="1" applyBorder="1" applyAlignment="1">
      <alignment horizontal="center" vertical="center" wrapText="1"/>
    </xf>
    <xf numFmtId="0" fontId="30" fillId="0" borderId="16" xfId="102" applyNumberFormat="1" applyFont="1" applyFill="1" applyBorder="1" applyAlignment="1">
      <alignment horizontal="center" vertical="center" wrapText="1"/>
    </xf>
    <xf numFmtId="0" fontId="30" fillId="0" borderId="10" xfId="102" applyNumberFormat="1" applyFont="1" applyFill="1" applyBorder="1" applyAlignment="1">
      <alignment horizontal="center" vertical="center" wrapText="1"/>
    </xf>
    <xf numFmtId="0" fontId="30" fillId="0" borderId="56" xfId="102" applyNumberFormat="1" applyFont="1" applyFill="1" applyBorder="1" applyAlignment="1">
      <alignment horizontal="center" vertical="center" wrapText="1"/>
    </xf>
    <xf numFmtId="0" fontId="30" fillId="0" borderId="21" xfId="102" applyNumberFormat="1" applyFont="1" applyFill="1" applyBorder="1" applyAlignment="1">
      <alignment horizontal="center" vertical="center" wrapText="1"/>
    </xf>
    <xf numFmtId="0" fontId="30" fillId="0" borderId="22" xfId="102" applyNumberFormat="1" applyFont="1" applyFill="1" applyBorder="1" applyAlignment="1">
      <alignment horizontal="center" vertical="center" wrapText="1"/>
    </xf>
    <xf numFmtId="0" fontId="30" fillId="0" borderId="60" xfId="102" applyNumberFormat="1" applyFont="1" applyFill="1" applyBorder="1" applyAlignment="1">
      <alignment horizontal="center" vertical="center" wrapText="1"/>
    </xf>
    <xf numFmtId="0" fontId="30" fillId="0" borderId="61" xfId="102" applyNumberFormat="1" applyFont="1" applyFill="1" applyBorder="1" applyAlignment="1">
      <alignment horizontal="center" vertical="center" wrapText="1"/>
    </xf>
    <xf numFmtId="0" fontId="30" fillId="0" borderId="53" xfId="102" applyNumberFormat="1" applyFont="1" applyFill="1" applyBorder="1" applyAlignment="1">
      <alignment horizontal="center" vertical="center" wrapText="1"/>
    </xf>
    <xf numFmtId="0" fontId="30" fillId="0" borderId="19" xfId="102" applyNumberFormat="1" applyFont="1" applyFill="1" applyBorder="1" applyAlignment="1">
      <alignment horizontal="center" vertical="center" wrapText="1"/>
    </xf>
    <xf numFmtId="0" fontId="30" fillId="0" borderId="66" xfId="102" applyNumberFormat="1" applyFont="1" applyFill="1" applyBorder="1" applyAlignment="1">
      <alignment horizontal="center" vertical="center" wrapText="1"/>
    </xf>
    <xf numFmtId="0" fontId="30" fillId="0" borderId="40" xfId="102" applyNumberFormat="1" applyFont="1" applyFill="1" applyBorder="1" applyAlignment="1">
      <alignment horizontal="center" vertical="center" wrapText="1"/>
    </xf>
    <xf numFmtId="0" fontId="30" fillId="0" borderId="67" xfId="102" applyNumberFormat="1" applyFont="1" applyFill="1" applyBorder="1" applyAlignment="1">
      <alignment horizontal="center" vertical="center" wrapText="1"/>
    </xf>
    <xf numFmtId="0" fontId="6" fillId="0" borderId="41" xfId="102" applyNumberFormat="1" applyFont="1" applyFill="1" applyBorder="1" applyAlignment="1">
      <alignment horizontal="left" vertical="center" wrapText="1"/>
    </xf>
    <xf numFmtId="0" fontId="6" fillId="0" borderId="18" xfId="102" applyNumberFormat="1" applyFont="1" applyFill="1" applyBorder="1" applyAlignment="1">
      <alignment horizontal="left" vertical="center" wrapText="1"/>
    </xf>
    <xf numFmtId="0" fontId="6" fillId="0" borderId="42" xfId="102" applyNumberFormat="1" applyFont="1" applyFill="1" applyBorder="1" applyAlignment="1">
      <alignment horizontal="left" vertical="center" wrapText="1"/>
    </xf>
    <xf numFmtId="0" fontId="6" fillId="0" borderId="50" xfId="102" applyNumberFormat="1" applyFont="1" applyFill="1" applyBorder="1" applyAlignment="1">
      <alignment horizontal="center" vertical="center" wrapText="1"/>
    </xf>
    <xf numFmtId="0" fontId="6" fillId="0" borderId="41" xfId="102" applyNumberFormat="1" applyFont="1" applyFill="1" applyBorder="1" applyAlignment="1">
      <alignment horizontal="center" vertical="center" wrapText="1"/>
    </xf>
    <xf numFmtId="0" fontId="6" fillId="0" borderId="68" xfId="102" applyNumberFormat="1" applyFont="1" applyFill="1" applyBorder="1" applyAlignment="1">
      <alignment horizontal="center" vertical="center" wrapText="1"/>
    </xf>
    <xf numFmtId="0" fontId="6" fillId="0" borderId="42" xfId="102" applyNumberFormat="1" applyFont="1" applyFill="1" applyBorder="1" applyAlignment="1">
      <alignment horizontal="center" vertical="center" wrapText="1"/>
    </xf>
    <xf numFmtId="0" fontId="6" fillId="0" borderId="49" xfId="102" applyNumberFormat="1" applyFont="1" applyFill="1" applyBorder="1" applyAlignment="1">
      <alignment horizontal="center" vertical="center" wrapText="1"/>
    </xf>
    <xf numFmtId="0" fontId="6" fillId="0" borderId="69" xfId="102" applyNumberFormat="1" applyFont="1" applyFill="1" applyBorder="1" applyAlignment="1">
      <alignment horizontal="center" vertical="center" wrapText="1"/>
    </xf>
    <xf numFmtId="43" fontId="6" fillId="0" borderId="48" xfId="102" applyFont="1" applyFill="1" applyBorder="1" applyAlignment="1">
      <alignment horizontal="center" vertical="center" wrapText="1"/>
    </xf>
    <xf numFmtId="43" fontId="6" fillId="0" borderId="70" xfId="102" applyFont="1" applyFill="1" applyBorder="1" applyAlignment="1">
      <alignment horizontal="center" vertical="center" wrapText="1"/>
    </xf>
    <xf numFmtId="43" fontId="6" fillId="0" borderId="71" xfId="102" applyFont="1" applyFill="1" applyBorder="1" applyAlignment="1">
      <alignment horizontal="center" vertical="center" wrapText="1"/>
    </xf>
    <xf numFmtId="0" fontId="6" fillId="0" borderId="31" xfId="102" applyNumberFormat="1" applyFont="1" applyFill="1" applyBorder="1" applyAlignment="1">
      <alignment horizontal="left" vertical="top" wrapText="1"/>
    </xf>
    <xf numFmtId="0" fontId="6" fillId="0" borderId="20" xfId="102" applyNumberFormat="1" applyFont="1" applyFill="1" applyBorder="1" applyAlignment="1">
      <alignment horizontal="left" vertical="top" wrapText="1"/>
    </xf>
    <xf numFmtId="0" fontId="6" fillId="0" borderId="21" xfId="102" applyNumberFormat="1" applyFont="1" applyFill="1" applyBorder="1" applyAlignment="1">
      <alignment horizontal="left" vertical="top" wrapText="1"/>
    </xf>
    <xf numFmtId="0" fontId="6" fillId="0" borderId="10" xfId="102" applyNumberFormat="1" applyFont="1" applyFill="1" applyBorder="1" applyAlignment="1">
      <alignment horizontal="left" vertical="top" wrapText="1"/>
    </xf>
    <xf numFmtId="0" fontId="6" fillId="0" borderId="26" xfId="102" applyNumberFormat="1" applyFont="1" applyFill="1" applyBorder="1" applyAlignment="1">
      <alignment horizontal="left" vertical="top" wrapText="1"/>
    </xf>
    <xf numFmtId="0" fontId="6" fillId="0" borderId="25" xfId="102" applyNumberFormat="1" applyFont="1" applyFill="1" applyBorder="1" applyAlignment="1">
      <alignment horizontal="left" vertical="top" wrapText="1"/>
    </xf>
    <xf numFmtId="0" fontId="6" fillId="0" borderId="20" xfId="102" applyNumberFormat="1" applyFont="1" applyFill="1" applyBorder="1" applyAlignment="1">
      <alignment horizontal="center" vertical="center" wrapText="1"/>
    </xf>
    <xf numFmtId="0" fontId="6" fillId="0" borderId="10" xfId="102" applyNumberFormat="1" applyFont="1" applyFill="1" applyBorder="1" applyAlignment="1">
      <alignment horizontal="center" vertical="center" wrapText="1"/>
    </xf>
    <xf numFmtId="0" fontId="6" fillId="0" borderId="25" xfId="102" applyNumberFormat="1" applyFont="1" applyFill="1" applyBorder="1" applyAlignment="1">
      <alignment horizontal="center" vertical="center" wrapText="1"/>
    </xf>
    <xf numFmtId="43" fontId="6" fillId="0" borderId="24" xfId="102" applyFont="1" applyFill="1" applyBorder="1" applyAlignment="1">
      <alignment horizontal="center" vertical="center" wrapText="1"/>
    </xf>
    <xf numFmtId="43" fontId="6" fillId="0" borderId="22" xfId="102" applyFont="1" applyFill="1" applyBorder="1" applyAlignment="1">
      <alignment horizontal="center" vertical="center" wrapText="1"/>
    </xf>
    <xf numFmtId="43" fontId="6" fillId="0" borderId="27" xfId="102" applyFont="1" applyFill="1" applyBorder="1" applyAlignment="1">
      <alignment horizontal="center" vertical="center" wrapText="1"/>
    </xf>
    <xf numFmtId="43" fontId="6" fillId="0" borderId="72" xfId="102" applyFont="1" applyFill="1" applyBorder="1" applyAlignment="1">
      <alignment horizontal="center" vertical="center" wrapText="1"/>
    </xf>
    <xf numFmtId="43" fontId="6" fillId="0" borderId="73" xfId="102" applyFont="1" applyFill="1" applyBorder="1" applyAlignment="1">
      <alignment horizontal="center" vertical="center" wrapText="1"/>
    </xf>
    <xf numFmtId="43" fontId="6" fillId="0" borderId="52" xfId="102" applyFont="1" applyFill="1" applyBorder="1" applyAlignment="1">
      <alignment horizontal="center" vertical="center" wrapText="1"/>
    </xf>
    <xf numFmtId="0" fontId="6" fillId="0" borderId="62" xfId="102" applyNumberFormat="1" applyFont="1" applyFill="1" applyBorder="1" applyAlignment="1">
      <alignment horizontal="center" vertical="center" wrapText="1"/>
    </xf>
    <xf numFmtId="43" fontId="6" fillId="0" borderId="63" xfId="102" applyFont="1" applyFill="1" applyBorder="1" applyAlignment="1">
      <alignment horizontal="center" vertical="center" wrapText="1"/>
    </xf>
    <xf numFmtId="43" fontId="6" fillId="0" borderId="64" xfId="102" applyFont="1" applyFill="1" applyBorder="1" applyAlignment="1">
      <alignment horizontal="center" vertical="center" wrapText="1"/>
    </xf>
    <xf numFmtId="43" fontId="6" fillId="0" borderId="65" xfId="102" applyFont="1" applyFill="1" applyBorder="1" applyAlignment="1">
      <alignment horizontal="center" vertical="center" wrapText="1"/>
    </xf>
    <xf numFmtId="0" fontId="30" fillId="0" borderId="94" xfId="102" applyNumberFormat="1" applyFont="1" applyFill="1" applyBorder="1" applyAlignment="1">
      <alignment horizontal="center" vertical="center" wrapText="1"/>
    </xf>
    <xf numFmtId="0" fontId="30" fillId="0" borderId="84" xfId="102" applyNumberFormat="1" applyFont="1" applyFill="1" applyBorder="1" applyAlignment="1">
      <alignment horizontal="center" vertical="center" wrapText="1"/>
    </xf>
    <xf numFmtId="0" fontId="30" fillId="0" borderId="54" xfId="102" applyNumberFormat="1" applyFont="1" applyFill="1" applyBorder="1" applyAlignment="1">
      <alignment horizontal="center" vertical="center" wrapText="1"/>
    </xf>
    <xf numFmtId="0" fontId="30" fillId="0" borderId="36" xfId="102" applyNumberFormat="1" applyFont="1" applyFill="1" applyBorder="1" applyAlignment="1">
      <alignment horizontal="center" vertical="center" wrapText="1"/>
    </xf>
    <xf numFmtId="0" fontId="30" fillId="0" borderId="31" xfId="102" applyNumberFormat="1" applyFont="1" applyFill="1" applyBorder="1" applyAlignment="1">
      <alignment horizontal="center" vertical="center" wrapText="1"/>
    </xf>
    <xf numFmtId="0" fontId="30" fillId="0" borderId="28" xfId="102" applyNumberFormat="1" applyFont="1" applyFill="1" applyBorder="1" applyAlignment="1">
      <alignment horizontal="center" vertical="center" wrapText="1"/>
    </xf>
    <xf numFmtId="0" fontId="30" fillId="0" borderId="24" xfId="102" applyNumberFormat="1" applyFont="1" applyFill="1" applyBorder="1" applyAlignment="1">
      <alignment horizontal="center" vertical="center" wrapText="1"/>
    </xf>
    <xf numFmtId="0" fontId="30" fillId="0" borderId="27" xfId="102" applyNumberFormat="1" applyFont="1" applyFill="1" applyBorder="1" applyAlignment="1">
      <alignment horizontal="center" vertical="center" wrapText="1"/>
    </xf>
    <xf numFmtId="0" fontId="30" fillId="0" borderId="95" xfId="102" applyNumberFormat="1" applyFont="1" applyFill="1" applyBorder="1" applyAlignment="1">
      <alignment horizontal="center" vertical="center" wrapText="1"/>
    </xf>
    <xf numFmtId="0" fontId="30" fillId="0" borderId="83" xfId="102" applyNumberFormat="1" applyFont="1" applyFill="1" applyBorder="1" applyAlignment="1">
      <alignment horizontal="center" vertical="center" wrapText="1"/>
    </xf>
    <xf numFmtId="0" fontId="30" fillId="0" borderId="96" xfId="102" applyNumberFormat="1" applyFont="1" applyFill="1" applyBorder="1" applyAlignment="1">
      <alignment horizontal="center" vertical="center" wrapText="1"/>
    </xf>
    <xf numFmtId="0" fontId="30" fillId="0" borderId="97" xfId="102" applyNumberFormat="1" applyFont="1" applyFill="1" applyBorder="1" applyAlignment="1">
      <alignment horizontal="center" vertical="center" wrapText="1"/>
    </xf>
    <xf numFmtId="0" fontId="30" fillId="0" borderId="95" xfId="102" applyNumberFormat="1" applyFont="1" applyFill="1" applyBorder="1" applyAlignment="1">
      <alignment horizontal="center" wrapText="1"/>
    </xf>
    <xf numFmtId="0" fontId="30" fillId="0" borderId="98" xfId="102" applyNumberFormat="1" applyFont="1" applyFill="1" applyBorder="1" applyAlignment="1">
      <alignment horizontal="center" wrapText="1"/>
    </xf>
    <xf numFmtId="0" fontId="30" fillId="0" borderId="54" xfId="102" applyNumberFormat="1" applyFont="1" applyFill="1" applyBorder="1" applyAlignment="1">
      <alignment horizontal="center" wrapText="1"/>
    </xf>
    <xf numFmtId="0" fontId="30" fillId="0" borderId="55" xfId="102" applyNumberFormat="1" applyFont="1" applyFill="1" applyBorder="1" applyAlignment="1">
      <alignment horizontal="center" wrapText="1"/>
    </xf>
    <xf numFmtId="0" fontId="6" fillId="0" borderId="31" xfId="102" applyNumberFormat="1" applyFont="1" applyFill="1" applyBorder="1" applyAlignment="1">
      <alignment horizontal="left" vertical="center" wrapText="1"/>
    </xf>
    <xf numFmtId="0" fontId="6" fillId="0" borderId="20" xfId="102" applyNumberFormat="1" applyFont="1" applyFill="1" applyBorder="1" applyAlignment="1">
      <alignment horizontal="left" vertical="center" wrapText="1"/>
    </xf>
    <xf numFmtId="0" fontId="6" fillId="0" borderId="21" xfId="102" applyNumberFormat="1" applyFont="1" applyFill="1" applyBorder="1" applyAlignment="1">
      <alignment horizontal="left" vertical="center" wrapText="1"/>
    </xf>
    <xf numFmtId="0" fontId="6" fillId="0" borderId="10" xfId="102" applyNumberFormat="1" applyFont="1" applyFill="1" applyBorder="1" applyAlignment="1">
      <alignment horizontal="left" vertical="center" wrapText="1"/>
    </xf>
    <xf numFmtId="0" fontId="6" fillId="0" borderId="26" xfId="102" applyNumberFormat="1" applyFont="1" applyFill="1" applyBorder="1" applyAlignment="1">
      <alignment horizontal="left" vertical="center" wrapText="1"/>
    </xf>
    <xf numFmtId="0" fontId="6" fillId="0" borderId="25" xfId="102" applyNumberFormat="1" applyFont="1" applyFill="1" applyBorder="1" applyAlignment="1">
      <alignment horizontal="left" vertical="center" wrapText="1"/>
    </xf>
    <xf numFmtId="0" fontId="6" fillId="0" borderId="20" xfId="102" applyNumberFormat="1" applyFont="1" applyFill="1" applyBorder="1" applyAlignment="1">
      <alignment horizontal="center" vertical="center"/>
    </xf>
    <xf numFmtId="0" fontId="6" fillId="0" borderId="10" xfId="102" applyNumberFormat="1" applyFont="1" applyFill="1" applyBorder="1" applyAlignment="1">
      <alignment horizontal="center" vertical="center"/>
    </xf>
    <xf numFmtId="0" fontId="6" fillId="0" borderId="25" xfId="102" applyNumberFormat="1" applyFont="1" applyFill="1" applyBorder="1" applyAlignment="1">
      <alignment horizontal="center" vertical="center"/>
    </xf>
    <xf numFmtId="43" fontId="30" fillId="0" borderId="20" xfId="102" applyFont="1" applyFill="1" applyBorder="1" applyAlignment="1">
      <alignment horizontal="center" vertical="center"/>
    </xf>
    <xf numFmtId="43" fontId="30" fillId="0" borderId="10" xfId="102" applyFont="1" applyFill="1" applyBorder="1" applyAlignment="1">
      <alignment horizontal="center" vertical="center"/>
    </xf>
    <xf numFmtId="43" fontId="30" fillId="0" borderId="25" xfId="102" applyFont="1" applyFill="1" applyBorder="1" applyAlignment="1">
      <alignment horizontal="center" vertical="center"/>
    </xf>
    <xf numFmtId="0" fontId="6" fillId="0" borderId="50" xfId="102" applyNumberFormat="1" applyFont="1" applyFill="1" applyBorder="1" applyAlignment="1">
      <alignment horizontal="center" vertical="center"/>
    </xf>
    <xf numFmtId="0" fontId="6" fillId="0" borderId="41" xfId="102" applyNumberFormat="1" applyFont="1" applyFill="1" applyBorder="1" applyAlignment="1">
      <alignment horizontal="center" vertical="center"/>
    </xf>
    <xf numFmtId="0" fontId="6" fillId="0" borderId="17" xfId="102" applyNumberFormat="1" applyFont="1" applyFill="1" applyBorder="1" applyAlignment="1">
      <alignment horizontal="center" vertical="center"/>
    </xf>
    <xf numFmtId="0" fontId="6" fillId="0" borderId="18" xfId="102" applyNumberFormat="1" applyFont="1" applyFill="1" applyBorder="1" applyAlignment="1">
      <alignment horizontal="center" vertical="center"/>
    </xf>
    <xf numFmtId="0" fontId="6" fillId="0" borderId="68" xfId="102" applyNumberFormat="1" applyFont="1" applyFill="1" applyBorder="1" applyAlignment="1">
      <alignment horizontal="center" vertical="center"/>
    </xf>
    <xf numFmtId="0" fontId="6" fillId="0" borderId="42" xfId="102" applyNumberFormat="1" applyFont="1" applyFill="1" applyBorder="1" applyAlignment="1">
      <alignment horizontal="center" vertical="center"/>
    </xf>
    <xf numFmtId="43" fontId="30" fillId="0" borderId="49" xfId="102" applyFont="1" applyFill="1" applyBorder="1" applyAlignment="1">
      <alignment horizontal="center" vertical="center"/>
    </xf>
    <xf numFmtId="43" fontId="30" fillId="0" borderId="56" xfId="102" applyFont="1" applyFill="1" applyBorder="1" applyAlignment="1">
      <alignment horizontal="center" vertical="center"/>
    </xf>
    <xf numFmtId="43" fontId="30" fillId="0" borderId="69" xfId="102" applyFont="1" applyFill="1" applyBorder="1" applyAlignment="1">
      <alignment horizontal="center" vertical="center"/>
    </xf>
    <xf numFmtId="0" fontId="6" fillId="0" borderId="31" xfId="102" applyNumberFormat="1" applyFont="1" applyFill="1" applyBorder="1" applyAlignment="1">
      <alignment horizontal="center" vertical="top" wrapText="1"/>
    </xf>
    <xf numFmtId="0" fontId="6" fillId="0" borderId="20" xfId="102" applyNumberFormat="1" applyFont="1" applyFill="1" applyBorder="1" applyAlignment="1">
      <alignment horizontal="center" vertical="top" wrapText="1"/>
    </xf>
    <xf numFmtId="0" fontId="6" fillId="0" borderId="21" xfId="102" applyNumberFormat="1" applyFont="1" applyFill="1" applyBorder="1" applyAlignment="1">
      <alignment horizontal="center" vertical="top" wrapText="1"/>
    </xf>
    <xf numFmtId="0" fontId="6" fillId="0" borderId="10" xfId="102" applyNumberFormat="1" applyFont="1" applyFill="1" applyBorder="1" applyAlignment="1">
      <alignment horizontal="center" vertical="top" wrapText="1"/>
    </xf>
    <xf numFmtId="0" fontId="6" fillId="0" borderId="26" xfId="102" applyNumberFormat="1" applyFont="1" applyFill="1" applyBorder="1" applyAlignment="1">
      <alignment horizontal="center" vertical="top" wrapText="1"/>
    </xf>
    <xf numFmtId="0" fontId="6" fillId="0" borderId="25" xfId="102" applyNumberFormat="1" applyFont="1" applyFill="1" applyBorder="1" applyAlignment="1">
      <alignment horizontal="center" vertical="top" wrapText="1"/>
    </xf>
    <xf numFmtId="43" fontId="6" fillId="0" borderId="20" xfId="102" applyFont="1" applyFill="1" applyBorder="1" applyAlignment="1">
      <alignment horizontal="center" vertical="center" wrapText="1"/>
    </xf>
    <xf numFmtId="43" fontId="6" fillId="0" borderId="10" xfId="102" applyFont="1" applyFill="1" applyBorder="1" applyAlignment="1">
      <alignment horizontal="center" vertical="center" wrapText="1"/>
    </xf>
    <xf numFmtId="43" fontId="6" fillId="0" borderId="25" xfId="102" applyFont="1" applyFill="1" applyBorder="1" applyAlignment="1">
      <alignment horizontal="center" vertical="center" wrapText="1"/>
    </xf>
    <xf numFmtId="0" fontId="30" fillId="0" borderId="99" xfId="102" applyNumberFormat="1" applyFont="1" applyFill="1" applyBorder="1" applyAlignment="1">
      <alignment horizontal="center" vertical="center" wrapText="1"/>
    </xf>
    <xf numFmtId="0" fontId="30" fillId="0" borderId="0" xfId="102" applyNumberFormat="1" applyFont="1" applyFill="1" applyBorder="1" applyAlignment="1">
      <alignment horizontal="center" vertical="center" wrapText="1"/>
    </xf>
    <xf numFmtId="0" fontId="30" fillId="0" borderId="80" xfId="102" applyNumberFormat="1" applyFont="1" applyFill="1" applyBorder="1" applyAlignment="1">
      <alignment horizontal="center" vertical="center" wrapText="1"/>
    </xf>
    <xf numFmtId="0" fontId="6" fillId="0" borderId="37" xfId="102" applyNumberFormat="1" applyFont="1" applyFill="1" applyBorder="1" applyAlignment="1">
      <alignment horizontal="left" vertical="center" wrapText="1"/>
    </xf>
    <xf numFmtId="0" fontId="6" fillId="0" borderId="12" xfId="102" applyNumberFormat="1" applyFont="1" applyFill="1" applyBorder="1" applyAlignment="1">
      <alignment horizontal="left" vertical="center" wrapText="1"/>
    </xf>
    <xf numFmtId="0" fontId="6" fillId="0" borderId="13" xfId="102" applyNumberFormat="1" applyFont="1" applyFill="1" applyBorder="1" applyAlignment="1">
      <alignment horizontal="center" wrapText="1"/>
    </xf>
    <xf numFmtId="0" fontId="6" fillId="0" borderId="35" xfId="102" applyNumberFormat="1" applyFont="1" applyFill="1" applyBorder="1" applyAlignment="1">
      <alignment horizontal="center" wrapText="1"/>
    </xf>
    <xf numFmtId="0" fontId="30" fillId="0" borderId="66" xfId="102" applyNumberFormat="1" applyFont="1" applyFill="1" applyBorder="1" applyAlignment="1">
      <alignment horizontal="center" vertical="top" wrapText="1"/>
    </xf>
    <xf numFmtId="0" fontId="30" fillId="0" borderId="40" xfId="102" applyNumberFormat="1" applyFont="1" applyFill="1" applyBorder="1" applyAlignment="1">
      <alignment horizontal="center" vertical="top" wrapText="1"/>
    </xf>
    <xf numFmtId="0" fontId="30" fillId="0" borderId="67" xfId="102" applyNumberFormat="1" applyFont="1" applyFill="1" applyBorder="1" applyAlignment="1">
      <alignment horizontal="center" vertical="top" wrapText="1"/>
    </xf>
    <xf numFmtId="0" fontId="30" fillId="0" borderId="32" xfId="102" applyNumberFormat="1" applyFont="1" applyFill="1" applyBorder="1" applyAlignment="1">
      <alignment horizontal="center" wrapText="1"/>
    </xf>
    <xf numFmtId="0" fontId="30" fillId="0" borderId="74" xfId="102" applyNumberFormat="1" applyFont="1" applyFill="1" applyBorder="1" applyAlignment="1">
      <alignment horizontal="center" wrapText="1"/>
    </xf>
    <xf numFmtId="0" fontId="30" fillId="0" borderId="45" xfId="102" applyNumberFormat="1" applyFont="1" applyFill="1" applyBorder="1" applyAlignment="1">
      <alignment horizontal="center" vertical="center" wrapText="1"/>
    </xf>
    <xf numFmtId="0" fontId="6" fillId="0" borderId="50" xfId="102" applyNumberFormat="1" applyFont="1" applyFill="1" applyBorder="1" applyAlignment="1">
      <alignment horizontal="center" wrapText="1"/>
    </xf>
    <xf numFmtId="0" fontId="6" fillId="0" borderId="36" xfId="102" applyNumberFormat="1" applyFont="1" applyFill="1" applyBorder="1" applyAlignment="1">
      <alignment horizontal="center" wrapText="1"/>
    </xf>
    <xf numFmtId="0" fontId="6" fillId="0" borderId="96" xfId="102" applyNumberFormat="1" applyFont="1" applyFill="1" applyBorder="1" applyAlignment="1">
      <alignment horizontal="center" vertical="center" wrapText="1"/>
    </xf>
    <xf numFmtId="0" fontId="6" fillId="0" borderId="80" xfId="102" applyNumberFormat="1" applyFont="1" applyFill="1" applyBorder="1" applyAlignment="1">
      <alignment horizontal="center" vertical="center" wrapText="1"/>
    </xf>
    <xf numFmtId="0" fontId="6" fillId="0" borderId="85" xfId="102" applyNumberFormat="1" applyFont="1" applyFill="1" applyBorder="1" applyAlignment="1">
      <alignment horizontal="center" vertical="center" wrapText="1"/>
    </xf>
    <xf numFmtId="43" fontId="30" fillId="0" borderId="97" xfId="102" applyFont="1" applyFill="1" applyBorder="1" applyAlignment="1">
      <alignment horizontal="center" vertical="center" wrapText="1"/>
    </xf>
    <xf numFmtId="43" fontId="30" fillId="0" borderId="99" xfId="102" applyFont="1" applyFill="1" applyBorder="1" applyAlignment="1">
      <alignment horizontal="center" vertical="center" wrapText="1"/>
    </xf>
    <xf numFmtId="43" fontId="30" fillId="0" borderId="100" xfId="102" applyFont="1" applyFill="1" applyBorder="1" applyAlignment="1">
      <alignment horizontal="center" vertical="center" wrapText="1"/>
    </xf>
    <xf numFmtId="0" fontId="30" fillId="0" borderId="39" xfId="102" applyNumberFormat="1" applyFont="1" applyFill="1" applyBorder="1" applyAlignment="1">
      <alignment horizontal="center" wrapText="1"/>
    </xf>
    <xf numFmtId="0" fontId="6" fillId="0" borderId="13" xfId="102" applyNumberFormat="1" applyFont="1" applyFill="1" applyBorder="1" applyAlignment="1">
      <alignment horizontal="left" vertical="center" wrapText="1"/>
    </xf>
    <xf numFmtId="0" fontId="6" fillId="0" borderId="59" xfId="102" applyNumberFormat="1" applyFont="1" applyFill="1" applyBorder="1" applyAlignment="1">
      <alignment horizontal="left" vertical="center" wrapText="1"/>
    </xf>
    <xf numFmtId="0" fontId="6" fillId="0" borderId="35" xfId="102" applyNumberFormat="1" applyFont="1" applyFill="1" applyBorder="1" applyAlignment="1">
      <alignment horizontal="left" vertical="center" wrapText="1"/>
    </xf>
    <xf numFmtId="0" fontId="6" fillId="0" borderId="17" xfId="102" applyNumberFormat="1" applyFont="1" applyFill="1" applyBorder="1" applyAlignment="1">
      <alignment horizontal="left" vertical="center" wrapText="1"/>
    </xf>
    <xf numFmtId="0" fontId="6" fillId="0" borderId="57" xfId="102" applyNumberFormat="1" applyFont="1" applyFill="1" applyBorder="1" applyAlignment="1">
      <alignment horizontal="left" vertical="center" wrapText="1"/>
    </xf>
    <xf numFmtId="0" fontId="6" fillId="0" borderId="58" xfId="102" applyNumberFormat="1" applyFont="1" applyFill="1" applyBorder="1" applyAlignment="1">
      <alignment horizontal="left" vertical="center" wrapText="1"/>
    </xf>
    <xf numFmtId="0" fontId="6" fillId="0" borderId="44" xfId="102" applyNumberFormat="1" applyFont="1" applyFill="1" applyBorder="1" applyAlignment="1">
      <alignment horizontal="left" vertical="center" wrapText="1"/>
    </xf>
    <xf numFmtId="0" fontId="6" fillId="0" borderId="90" xfId="102" applyNumberFormat="1" applyFont="1" applyFill="1" applyBorder="1" applyAlignment="1">
      <alignment horizontal="center" vertical="center" wrapText="1"/>
    </xf>
    <xf numFmtId="43" fontId="30" fillId="0" borderId="101" xfId="102" applyFont="1" applyFill="1" applyBorder="1" applyAlignment="1">
      <alignment horizontal="center" vertical="center" wrapText="1"/>
    </xf>
    <xf numFmtId="0" fontId="30" fillId="0" borderId="13" xfId="102" applyNumberFormat="1" applyFont="1" applyFill="1" applyBorder="1" applyAlignment="1">
      <alignment horizontal="center" vertical="center" wrapText="1"/>
    </xf>
    <xf numFmtId="0" fontId="30" fillId="0" borderId="35" xfId="102" applyNumberFormat="1" applyFont="1" applyFill="1" applyBorder="1" applyAlignment="1">
      <alignment horizontal="center" vertical="center" wrapText="1"/>
    </xf>
    <xf numFmtId="0" fontId="30" fillId="0" borderId="12" xfId="102" applyNumberFormat="1" applyFont="1" applyFill="1" applyBorder="1" applyAlignment="1">
      <alignment horizontal="center" vertical="center" wrapText="1"/>
    </xf>
    <xf numFmtId="0" fontId="30" fillId="0" borderId="14" xfId="102" applyNumberFormat="1" applyFont="1" applyFill="1" applyBorder="1" applyAlignment="1">
      <alignment horizontal="center" vertical="center" wrapText="1"/>
    </xf>
    <xf numFmtId="43" fontId="30" fillId="0" borderId="12" xfId="102" applyFont="1" applyFill="1" applyBorder="1" applyAlignment="1">
      <alignment horizontal="center" vertical="center" wrapText="1"/>
    </xf>
    <xf numFmtId="43" fontId="30" fillId="0" borderId="14" xfId="102" applyFont="1" applyFill="1" applyBorder="1" applyAlignment="1">
      <alignment horizontal="center" vertical="center" wrapText="1"/>
    </xf>
    <xf numFmtId="0" fontId="6" fillId="0" borderId="33" xfId="102" applyNumberFormat="1" applyFont="1" applyFill="1" applyBorder="1" applyAlignment="1">
      <alignment horizontal="left" vertical="center" wrapText="1"/>
    </xf>
    <xf numFmtId="0" fontId="6" fillId="0" borderId="62" xfId="102" applyNumberFormat="1" applyFont="1" applyFill="1" applyBorder="1" applyAlignment="1">
      <alignment horizontal="left" vertical="center" wrapText="1"/>
    </xf>
    <xf numFmtId="0" fontId="6" fillId="0" borderId="37" xfId="102" applyNumberFormat="1" applyFont="1" applyFill="1" applyBorder="1" applyAlignment="1">
      <alignment horizontal="center" vertical="center" wrapText="1"/>
    </xf>
    <xf numFmtId="0" fontId="6" fillId="0" borderId="38" xfId="102" applyNumberFormat="1" applyFont="1" applyFill="1" applyBorder="1" applyAlignment="1">
      <alignment horizontal="center" vertical="center" wrapText="1"/>
    </xf>
    <xf numFmtId="0" fontId="6" fillId="0" borderId="28" xfId="102" applyNumberFormat="1" applyFont="1" applyFill="1" applyBorder="1" applyAlignment="1">
      <alignment horizontal="center" vertical="center" wrapText="1"/>
    </xf>
    <xf numFmtId="43" fontId="30" fillId="0" borderId="33" xfId="102" applyFont="1" applyFill="1" applyBorder="1" applyAlignment="1">
      <alignment horizontal="center" vertical="center" wrapText="1"/>
    </xf>
    <xf numFmtId="43" fontId="30" fillId="0" borderId="13" xfId="102" applyFont="1" applyFill="1" applyBorder="1" applyAlignment="1">
      <alignment horizontal="center" vertical="center" wrapText="1"/>
    </xf>
    <xf numFmtId="43" fontId="30" fillId="0" borderId="62" xfId="102" applyFont="1" applyFill="1" applyBorder="1" applyAlignment="1">
      <alignment horizontal="center" vertical="center" wrapText="1"/>
    </xf>
    <xf numFmtId="43" fontId="30" fillId="0" borderId="97" xfId="102" applyFont="1" applyFill="1" applyBorder="1" applyAlignment="1">
      <alignment vertical="center" wrapText="1"/>
    </xf>
    <xf numFmtId="43" fontId="30" fillId="0" borderId="83" xfId="102" applyFont="1" applyFill="1" applyBorder="1" applyAlignment="1">
      <alignment vertical="center" wrapText="1"/>
    </xf>
    <xf numFmtId="43" fontId="30" fillId="0" borderId="98" xfId="102" applyFont="1" applyFill="1" applyBorder="1" applyAlignment="1">
      <alignment vertical="center" wrapText="1"/>
    </xf>
    <xf numFmtId="0" fontId="6" fillId="0" borderId="11" xfId="102" applyNumberFormat="1" applyFont="1" applyFill="1" applyBorder="1" applyAlignment="1">
      <alignment horizontal="left" vertical="center" wrapText="1"/>
    </xf>
    <xf numFmtId="43" fontId="30" fillId="0" borderId="11" xfId="102" applyFont="1" applyFill="1" applyBorder="1" applyAlignment="1">
      <alignment horizontal="center" vertical="center" wrapText="1"/>
    </xf>
    <xf numFmtId="0" fontId="6" fillId="0" borderId="13" xfId="102" applyNumberFormat="1" applyFont="1" applyFill="1" applyBorder="1" applyAlignment="1">
      <alignment horizontal="left" vertical="top" wrapText="1"/>
    </xf>
    <xf numFmtId="0" fontId="6" fillId="0" borderId="59" xfId="102" applyNumberFormat="1" applyFont="1" applyFill="1" applyBorder="1" applyAlignment="1">
      <alignment horizontal="left" vertical="top" wrapText="1"/>
    </xf>
    <xf numFmtId="0" fontId="6" fillId="0" borderId="35" xfId="102" applyNumberFormat="1" applyFont="1" applyFill="1" applyBorder="1" applyAlignment="1">
      <alignment horizontal="left" vertical="top" wrapText="1"/>
    </xf>
    <xf numFmtId="0" fontId="6" fillId="0" borderId="17" xfId="102" applyNumberFormat="1" applyFont="1" applyFill="1" applyBorder="1" applyAlignment="1">
      <alignment horizontal="left" vertical="top" wrapText="1"/>
    </xf>
    <xf numFmtId="0" fontId="6" fillId="0" borderId="0" xfId="102" applyNumberFormat="1" applyFont="1" applyFill="1" applyBorder="1" applyAlignment="1">
      <alignment horizontal="left" vertical="top" wrapText="1"/>
    </xf>
    <xf numFmtId="0" fontId="6" fillId="0" borderId="18" xfId="102" applyNumberFormat="1" applyFont="1" applyFill="1" applyBorder="1" applyAlignment="1">
      <alignment horizontal="left" vertical="top" wrapText="1"/>
    </xf>
    <xf numFmtId="0" fontId="6" fillId="0" borderId="57" xfId="102" applyNumberFormat="1" applyFont="1" applyFill="1" applyBorder="1" applyAlignment="1">
      <alignment horizontal="left" vertical="top" wrapText="1"/>
    </xf>
    <xf numFmtId="0" fontId="6" fillId="0" borderId="58" xfId="102" applyNumberFormat="1" applyFont="1" applyFill="1" applyBorder="1" applyAlignment="1">
      <alignment horizontal="left" vertical="top" wrapText="1"/>
    </xf>
    <xf numFmtId="0" fontId="6" fillId="0" borderId="44" xfId="102" applyNumberFormat="1" applyFont="1" applyFill="1" applyBorder="1" applyAlignment="1">
      <alignment horizontal="left" vertical="top" wrapText="1"/>
    </xf>
    <xf numFmtId="0" fontId="6" fillId="0" borderId="75" xfId="102" applyNumberFormat="1" applyFont="1" applyFill="1" applyBorder="1" applyAlignment="1">
      <alignment horizontal="left" vertical="center" wrapText="1"/>
    </xf>
    <xf numFmtId="0" fontId="6" fillId="0" borderId="76" xfId="102" applyNumberFormat="1" applyFont="1" applyFill="1" applyBorder="1" applyAlignment="1">
      <alignment horizontal="left" vertical="center" wrapText="1"/>
    </xf>
    <xf numFmtId="0" fontId="6" fillId="0" borderId="77" xfId="102" applyNumberFormat="1" applyFont="1" applyFill="1" applyBorder="1" applyAlignment="1">
      <alignment horizontal="center" vertical="center" wrapText="1"/>
    </xf>
    <xf numFmtId="0" fontId="6" fillId="0" borderId="75" xfId="102" applyNumberFormat="1" applyFont="1" applyFill="1" applyBorder="1" applyAlignment="1">
      <alignment horizontal="center" vertical="center" wrapText="1"/>
    </xf>
    <xf numFmtId="0" fontId="6" fillId="0" borderId="45" xfId="102" applyNumberFormat="1" applyFont="1" applyFill="1" applyBorder="1" applyAlignment="1">
      <alignment horizontal="center" vertical="center" wrapText="1"/>
    </xf>
    <xf numFmtId="0" fontId="6" fillId="0" borderId="34" xfId="102" applyNumberFormat="1" applyFont="1" applyFill="1" applyBorder="1" applyAlignment="1">
      <alignment horizontal="center" vertical="center" wrapText="1"/>
    </xf>
    <xf numFmtId="0" fontId="6" fillId="0" borderId="78" xfId="102" applyNumberFormat="1" applyFont="1" applyFill="1" applyBorder="1" applyAlignment="1">
      <alignment horizontal="center" vertical="center" wrapText="1"/>
    </xf>
    <xf numFmtId="0" fontId="6" fillId="0" borderId="76" xfId="102" applyNumberFormat="1" applyFont="1" applyFill="1" applyBorder="1" applyAlignment="1">
      <alignment horizontal="center" vertical="center" wrapText="1"/>
    </xf>
    <xf numFmtId="0" fontId="6" fillId="0" borderId="79" xfId="102" applyNumberFormat="1" applyFont="1" applyFill="1" applyBorder="1" applyAlignment="1">
      <alignment horizontal="center" vertical="center" wrapText="1"/>
    </xf>
    <xf numFmtId="0" fontId="6" fillId="0" borderId="30" xfId="102" applyNumberFormat="1" applyFont="1" applyFill="1" applyBorder="1" applyAlignment="1">
      <alignment horizontal="center" vertical="center" wrapText="1"/>
    </xf>
    <xf numFmtId="43" fontId="30" fillId="0" borderId="17" xfId="102" applyFont="1" applyFill="1" applyBorder="1" applyAlignment="1">
      <alignment horizontal="center" vertical="center" wrapText="1"/>
    </xf>
    <xf numFmtId="43" fontId="30" fillId="0" borderId="57" xfId="102" applyFont="1" applyFill="1" applyBorder="1" applyAlignment="1">
      <alignment horizontal="center" vertical="center" wrapText="1"/>
    </xf>
    <xf numFmtId="0" fontId="6" fillId="0" borderId="43" xfId="102" applyNumberFormat="1" applyFont="1" applyFill="1" applyBorder="1" applyAlignment="1">
      <alignment horizontal="center" vertical="center" wrapText="1"/>
    </xf>
    <xf numFmtId="0" fontId="6" fillId="0" borderId="102" xfId="102" applyNumberFormat="1" applyFont="1" applyFill="1" applyBorder="1" applyAlignment="1">
      <alignment vertical="center" wrapText="1"/>
    </xf>
    <xf numFmtId="0" fontId="6" fillId="0" borderId="103" xfId="102" applyNumberFormat="1" applyFont="1" applyFill="1" applyBorder="1" applyAlignment="1">
      <alignment vertical="center" wrapText="1"/>
    </xf>
    <xf numFmtId="0" fontId="6" fillId="0" borderId="104" xfId="102" applyNumberFormat="1" applyFont="1" applyFill="1" applyBorder="1" applyAlignment="1">
      <alignment vertical="center" wrapText="1"/>
    </xf>
    <xf numFmtId="0" fontId="30" fillId="0" borderId="105" xfId="102" applyNumberFormat="1" applyFont="1" applyFill="1" applyBorder="1" applyAlignment="1">
      <alignment vertical="center" wrapText="1"/>
    </xf>
    <xf numFmtId="0" fontId="30" fillId="0" borderId="83" xfId="102" applyNumberFormat="1" applyFont="1" applyFill="1" applyBorder="1" applyAlignment="1">
      <alignment vertical="center" wrapText="1"/>
    </xf>
    <xf numFmtId="0" fontId="30" fillId="0" borderId="106" xfId="102" applyNumberFormat="1" applyFont="1" applyFill="1" applyBorder="1" applyAlignment="1">
      <alignment vertical="center" wrapText="1"/>
    </xf>
    <xf numFmtId="0" fontId="30" fillId="0" borderId="50" xfId="102" applyNumberFormat="1" applyFont="1" applyFill="1" applyBorder="1" applyAlignment="1">
      <alignment horizontal="center" vertical="center" wrapText="1"/>
    </xf>
    <xf numFmtId="0" fontId="30" fillId="0" borderId="68" xfId="102" applyNumberFormat="1" applyFont="1" applyFill="1" applyBorder="1" applyAlignment="1">
      <alignment horizontal="center" vertical="center" wrapText="1"/>
    </xf>
    <xf numFmtId="43" fontId="30" fillId="0" borderId="10" xfId="102" applyFont="1" applyFill="1" applyBorder="1" applyAlignment="1">
      <alignment horizontal="center" vertical="center" wrapText="1"/>
    </xf>
    <xf numFmtId="0" fontId="30" fillId="0" borderId="10" xfId="102" applyNumberFormat="1" applyFont="1" applyFill="1" applyBorder="1" applyAlignment="1">
      <alignment horizontal="center" wrapText="1"/>
    </xf>
    <xf numFmtId="0" fontId="30" fillId="0" borderId="83" xfId="102" applyNumberFormat="1" applyFont="1" applyFill="1" applyBorder="1" applyAlignment="1">
      <alignment horizontal="center" wrapText="1"/>
    </xf>
    <xf numFmtId="0" fontId="30" fillId="0" borderId="107" xfId="102" applyNumberFormat="1" applyFont="1" applyFill="1" applyBorder="1" applyAlignment="1">
      <alignment horizontal="center" wrapText="1"/>
    </xf>
    <xf numFmtId="0" fontId="30" fillId="0" borderId="108" xfId="102" applyNumberFormat="1" applyFont="1" applyFill="1" applyBorder="1" applyAlignment="1">
      <alignment horizontal="center" wrapText="1"/>
    </xf>
    <xf numFmtId="0" fontId="30" fillId="0" borderId="96" xfId="102" applyNumberFormat="1" applyFont="1" applyFill="1" applyBorder="1" applyAlignment="1">
      <alignment horizontal="center" wrapText="1"/>
    </xf>
    <xf numFmtId="0" fontId="30" fillId="0" borderId="97" xfId="102" applyNumberFormat="1" applyFont="1" applyFill="1" applyBorder="1" applyAlignment="1">
      <alignment horizontal="center" wrapText="1"/>
    </xf>
    <xf numFmtId="0" fontId="6" fillId="0" borderId="109" xfId="102" applyNumberFormat="1" applyFont="1" applyFill="1" applyBorder="1" applyAlignment="1">
      <alignment horizontal="justify" vertical="center" wrapText="1"/>
    </xf>
    <xf numFmtId="0" fontId="6" fillId="0" borderId="81" xfId="102" applyNumberFormat="1" applyFont="1" applyFill="1" applyBorder="1" applyAlignment="1">
      <alignment horizontal="justify" vertical="center" wrapText="1"/>
    </xf>
    <xf numFmtId="0" fontId="6" fillId="0" borderId="82" xfId="102" applyNumberFormat="1" applyFont="1" applyFill="1" applyBorder="1" applyAlignment="1">
      <alignment horizontal="justify" vertical="center" wrapText="1"/>
    </xf>
    <xf numFmtId="0" fontId="6" fillId="0" borderId="109" xfId="102" applyNumberFormat="1" applyFont="1" applyFill="1" applyBorder="1" applyAlignment="1">
      <alignment horizontal="center" vertical="center" wrapText="1"/>
    </xf>
    <xf numFmtId="0" fontId="6" fillId="0" borderId="81" xfId="102" applyNumberFormat="1" applyFont="1" applyFill="1" applyBorder="1" applyAlignment="1">
      <alignment horizontal="center" vertical="center" wrapText="1"/>
    </xf>
    <xf numFmtId="0" fontId="6" fillId="0" borderId="82" xfId="102" applyNumberFormat="1" applyFont="1" applyFill="1" applyBorder="1" applyAlignment="1">
      <alignment horizontal="center" vertical="center" wrapText="1"/>
    </xf>
    <xf numFmtId="0" fontId="6" fillId="0" borderId="109" xfId="102" applyNumberFormat="1" applyFont="1" applyFill="1" applyBorder="1" applyAlignment="1">
      <alignment vertical="center" wrapText="1"/>
    </xf>
    <xf numFmtId="0" fontId="6" fillId="0" borderId="81" xfId="102" applyNumberFormat="1" applyFont="1" applyFill="1" applyBorder="1" applyAlignment="1">
      <alignment vertical="center" wrapText="1"/>
    </xf>
    <xf numFmtId="0" fontId="6" fillId="0" borderId="82" xfId="102" applyNumberFormat="1" applyFont="1" applyFill="1" applyBorder="1" applyAlignment="1">
      <alignment vertical="center" wrapText="1"/>
    </xf>
    <xf numFmtId="0" fontId="6" fillId="0" borderId="109" xfId="102" applyNumberFormat="1" applyFont="1" applyFill="1" applyBorder="1" applyAlignment="1">
      <alignment horizontal="center" wrapText="1"/>
    </xf>
    <xf numFmtId="0" fontId="6" fillId="0" borderId="81" xfId="102" applyNumberFormat="1" applyFont="1" applyFill="1" applyBorder="1" applyAlignment="1">
      <alignment horizontal="center" wrapText="1"/>
    </xf>
    <xf numFmtId="0" fontId="6" fillId="0" borderId="82" xfId="102" applyNumberFormat="1" applyFont="1" applyFill="1" applyBorder="1" applyAlignment="1">
      <alignment horizontal="center" wrapText="1"/>
    </xf>
    <xf numFmtId="0" fontId="30" fillId="0" borderId="110" xfId="102" applyNumberFormat="1" applyFont="1" applyFill="1" applyBorder="1" applyAlignment="1">
      <alignment vertical="center" wrapText="1"/>
    </xf>
    <xf numFmtId="0" fontId="30" fillId="0" borderId="111" xfId="102" applyNumberFormat="1" applyFont="1" applyFill="1" applyBorder="1" applyAlignment="1">
      <alignment vertical="center" wrapText="1"/>
    </xf>
    <xf numFmtId="0" fontId="30" fillId="0" borderId="112" xfId="102" applyNumberFormat="1" applyFont="1" applyFill="1" applyBorder="1" applyAlignment="1">
      <alignment vertical="center" wrapText="1"/>
    </xf>
    <xf numFmtId="0" fontId="30" fillId="0" borderId="109" xfId="102" applyNumberFormat="1" applyFont="1" applyFill="1" applyBorder="1" applyAlignment="1">
      <alignment vertical="center" wrapText="1"/>
    </xf>
    <xf numFmtId="0" fontId="30" fillId="0" borderId="82" xfId="102" applyNumberFormat="1" applyFont="1" applyFill="1" applyBorder="1" applyAlignment="1">
      <alignment vertical="center" wrapText="1"/>
    </xf>
    <xf numFmtId="0" fontId="30" fillId="0" borderId="109" xfId="102" applyNumberFormat="1" applyFont="1" applyFill="1" applyBorder="1" applyAlignment="1">
      <alignment horizontal="center" vertical="center" wrapText="1"/>
    </xf>
    <xf numFmtId="0" fontId="30" fillId="0" borderId="81" xfId="102" applyNumberFormat="1" applyFont="1" applyFill="1" applyBorder="1" applyAlignment="1">
      <alignment horizontal="center" vertical="center" wrapText="1"/>
    </xf>
    <xf numFmtId="0" fontId="30" fillId="0" borderId="82" xfId="102" applyNumberFormat="1" applyFont="1" applyFill="1" applyBorder="1" applyAlignment="1">
      <alignment horizontal="center" vertical="center" wrapText="1"/>
    </xf>
    <xf numFmtId="0" fontId="30" fillId="0" borderId="109" xfId="102" applyNumberFormat="1" applyFont="1" applyFill="1" applyBorder="1" applyAlignment="1">
      <alignment horizontal="center" wrapText="1"/>
    </xf>
    <xf numFmtId="0" fontId="30" fillId="0" borderId="81" xfId="102" applyNumberFormat="1" applyFont="1" applyFill="1" applyBorder="1" applyAlignment="1">
      <alignment horizontal="center" wrapText="1"/>
    </xf>
    <xf numFmtId="0" fontId="30" fillId="0" borderId="82" xfId="102" applyNumberFormat="1" applyFont="1" applyFill="1" applyBorder="1" applyAlignment="1">
      <alignment horizontal="center" wrapText="1"/>
    </xf>
    <xf numFmtId="0" fontId="30" fillId="0" borderId="81" xfId="102" applyNumberFormat="1" applyFont="1" applyFill="1" applyBorder="1" applyAlignment="1">
      <alignment vertical="center" wrapText="1"/>
    </xf>
    <xf numFmtId="0" fontId="6" fillId="0" borderId="97" xfId="102" applyNumberFormat="1" applyFont="1" applyFill="1" applyBorder="1" applyAlignment="1">
      <alignment vertical="center" wrapText="1"/>
    </xf>
    <xf numFmtId="0" fontId="6" fillId="0" borderId="83" xfId="102" applyNumberFormat="1" applyFont="1" applyFill="1" applyBorder="1" applyAlignment="1">
      <alignment vertical="center" wrapText="1"/>
    </xf>
    <xf numFmtId="0" fontId="6" fillId="0" borderId="96" xfId="102" applyNumberFormat="1" applyFont="1" applyFill="1" applyBorder="1" applyAlignment="1">
      <alignment vertical="center" wrapText="1"/>
    </xf>
    <xf numFmtId="0" fontId="6" fillId="0" borderId="99" xfId="102" applyNumberFormat="1" applyFont="1" applyFill="1" applyBorder="1" applyAlignment="1">
      <alignment vertical="center" wrapText="1"/>
    </xf>
    <xf numFmtId="0" fontId="6" fillId="0" borderId="0" xfId="102" applyNumberFormat="1" applyFont="1" applyFill="1" applyBorder="1" applyAlignment="1">
      <alignment vertical="center" wrapText="1"/>
    </xf>
    <xf numFmtId="0" fontId="6" fillId="0" borderId="80" xfId="102" applyNumberFormat="1" applyFont="1" applyFill="1" applyBorder="1" applyAlignment="1">
      <alignment vertical="center" wrapText="1"/>
    </xf>
    <xf numFmtId="0" fontId="6" fillId="0" borderId="100" xfId="102" applyNumberFormat="1" applyFont="1" applyFill="1" applyBorder="1" applyAlignment="1">
      <alignment vertical="center" wrapText="1"/>
    </xf>
    <xf numFmtId="0" fontId="6" fillId="0" borderId="84" xfId="102" applyNumberFormat="1" applyFont="1" applyFill="1" applyBorder="1" applyAlignment="1">
      <alignment vertical="center" wrapText="1"/>
    </xf>
    <xf numFmtId="0" fontId="6" fillId="0" borderId="85" xfId="102" applyNumberFormat="1" applyFont="1" applyFill="1" applyBorder="1" applyAlignment="1">
      <alignment vertical="center" wrapText="1"/>
    </xf>
    <xf numFmtId="0" fontId="6" fillId="0" borderId="97" xfId="102" applyNumberFormat="1" applyFont="1" applyFill="1" applyBorder="1" applyAlignment="1">
      <alignment horizontal="center" vertical="center" wrapText="1"/>
    </xf>
    <xf numFmtId="0" fontId="6" fillId="0" borderId="99" xfId="102" applyNumberFormat="1" applyFont="1" applyFill="1" applyBorder="1" applyAlignment="1">
      <alignment horizontal="center" vertical="center" wrapText="1"/>
    </xf>
    <xf numFmtId="0" fontId="6" fillId="0" borderId="100" xfId="102" applyNumberFormat="1" applyFont="1" applyFill="1" applyBorder="1" applyAlignment="1">
      <alignment horizontal="center" vertical="center" wrapText="1"/>
    </xf>
    <xf numFmtId="0" fontId="6" fillId="0" borderId="87" xfId="102" applyNumberFormat="1" applyFont="1" applyFill="1" applyBorder="1" applyAlignment="1">
      <alignment horizontal="center" vertical="center" wrapText="1"/>
    </xf>
    <xf numFmtId="0" fontId="6" fillId="0" borderId="113" xfId="102" applyNumberFormat="1" applyFont="1" applyFill="1" applyBorder="1" applyAlignment="1">
      <alignment horizontal="center" vertical="center" wrapText="1"/>
    </xf>
    <xf numFmtId="0" fontId="6" fillId="0" borderId="114" xfId="102" applyNumberFormat="1" applyFont="1" applyFill="1" applyBorder="1" applyAlignment="1">
      <alignment horizontal="center" vertical="center" wrapText="1"/>
    </xf>
    <xf numFmtId="0" fontId="6" fillId="0" borderId="97" xfId="102" applyNumberFormat="1" applyFont="1" applyFill="1" applyBorder="1" applyAlignment="1">
      <alignment horizontal="justify" vertical="center" wrapText="1"/>
    </xf>
    <xf numFmtId="0" fontId="6" fillId="0" borderId="83" xfId="102" applyNumberFormat="1" applyFont="1" applyFill="1" applyBorder="1" applyAlignment="1">
      <alignment horizontal="justify" vertical="center" wrapText="1"/>
    </xf>
    <xf numFmtId="0" fontId="6" fillId="0" borderId="96" xfId="102" applyNumberFormat="1" applyFont="1" applyFill="1" applyBorder="1" applyAlignment="1">
      <alignment horizontal="justify" vertical="center" wrapText="1"/>
    </xf>
    <xf numFmtId="0" fontId="6" fillId="0" borderId="99" xfId="102" applyNumberFormat="1" applyFont="1" applyFill="1" applyBorder="1" applyAlignment="1">
      <alignment horizontal="justify" vertical="center" wrapText="1"/>
    </xf>
    <xf numFmtId="0" fontId="6" fillId="0" borderId="0" xfId="102" applyNumberFormat="1" applyFont="1" applyFill="1" applyBorder="1" applyAlignment="1">
      <alignment horizontal="justify" vertical="center" wrapText="1"/>
    </xf>
    <xf numFmtId="0" fontId="6" fillId="0" borderId="80" xfId="102" applyNumberFormat="1" applyFont="1" applyFill="1" applyBorder="1" applyAlignment="1">
      <alignment horizontal="justify" vertical="center" wrapText="1"/>
    </xf>
    <xf numFmtId="0" fontId="6" fillId="0" borderId="100" xfId="102" applyNumberFormat="1" applyFont="1" applyFill="1" applyBorder="1" applyAlignment="1">
      <alignment horizontal="justify" vertical="center" wrapText="1"/>
    </xf>
    <xf numFmtId="0" fontId="6" fillId="0" borderId="84" xfId="102" applyNumberFormat="1" applyFont="1" applyFill="1" applyBorder="1" applyAlignment="1">
      <alignment horizontal="justify" vertical="center" wrapText="1"/>
    </xf>
    <xf numFmtId="0" fontId="6" fillId="0" borderId="85" xfId="102" applyNumberFormat="1" applyFont="1" applyFill="1" applyBorder="1" applyAlignment="1">
      <alignment horizontal="justify" vertical="center" wrapText="1"/>
    </xf>
    <xf numFmtId="0" fontId="6" fillId="0" borderId="97" xfId="102" applyNumberFormat="1" applyFont="1" applyFill="1" applyBorder="1" applyAlignment="1">
      <alignment horizontal="left" vertical="center" wrapText="1"/>
    </xf>
    <xf numFmtId="0" fontId="6" fillId="0" borderId="83" xfId="102" applyNumberFormat="1" applyFont="1" applyFill="1" applyBorder="1" applyAlignment="1">
      <alignment horizontal="left" vertical="center" wrapText="1"/>
    </xf>
    <xf numFmtId="0" fontId="6" fillId="0" borderId="96" xfId="102" applyNumberFormat="1" applyFont="1" applyFill="1" applyBorder="1" applyAlignment="1">
      <alignment horizontal="left" vertical="center" wrapText="1"/>
    </xf>
    <xf numFmtId="0" fontId="6" fillId="0" borderId="99" xfId="102" applyNumberFormat="1" applyFont="1" applyFill="1" applyBorder="1" applyAlignment="1">
      <alignment horizontal="left" vertical="center" wrapText="1"/>
    </xf>
    <xf numFmtId="0" fontId="6" fillId="0" borderId="80" xfId="102" applyNumberFormat="1" applyFont="1" applyFill="1" applyBorder="1" applyAlignment="1">
      <alignment horizontal="left" vertical="center" wrapText="1"/>
    </xf>
    <xf numFmtId="0" fontId="6" fillId="0" borderId="100" xfId="102" applyNumberFormat="1" applyFont="1" applyFill="1" applyBorder="1" applyAlignment="1">
      <alignment horizontal="left" vertical="center" wrapText="1"/>
    </xf>
    <xf numFmtId="0" fontId="6" fillId="0" borderId="84" xfId="102" applyNumberFormat="1" applyFont="1" applyFill="1" applyBorder="1" applyAlignment="1">
      <alignment horizontal="left" vertical="center" wrapText="1"/>
    </xf>
    <xf numFmtId="0" fontId="6" fillId="0" borderId="85" xfId="102" applyNumberFormat="1" applyFont="1" applyFill="1" applyBorder="1" applyAlignment="1">
      <alignment horizontal="left" vertical="center" wrapText="1"/>
    </xf>
    <xf numFmtId="0" fontId="30" fillId="0" borderId="109" xfId="102" applyNumberFormat="1" applyFont="1" applyFill="1" applyBorder="1" applyAlignment="1">
      <alignment horizontal="justify" vertical="center" wrapText="1"/>
    </xf>
    <xf numFmtId="0" fontId="30" fillId="0" borderId="81" xfId="102" applyNumberFormat="1" applyFont="1" applyFill="1" applyBorder="1" applyAlignment="1">
      <alignment horizontal="justify" vertical="center" wrapText="1"/>
    </xf>
    <xf numFmtId="0" fontId="30" fillId="0" borderId="82" xfId="102" applyNumberFormat="1" applyFont="1" applyFill="1" applyBorder="1" applyAlignment="1">
      <alignment horizontal="justify" vertical="center" wrapText="1"/>
    </xf>
    <xf numFmtId="0" fontId="6" fillId="0" borderId="97" xfId="102" applyNumberFormat="1" applyFont="1" applyFill="1" applyBorder="1" applyAlignment="1">
      <alignment horizontal="center" wrapText="1"/>
    </xf>
    <xf numFmtId="0" fontId="6" fillId="0" borderId="96" xfId="102" applyNumberFormat="1" applyFont="1" applyFill="1" applyBorder="1" applyAlignment="1">
      <alignment horizontal="center" wrapText="1"/>
    </xf>
    <xf numFmtId="0" fontId="6" fillId="0" borderId="100" xfId="102" applyNumberFormat="1" applyFont="1" applyFill="1" applyBorder="1" applyAlignment="1">
      <alignment horizontal="center" wrapText="1"/>
    </xf>
    <xf numFmtId="0" fontId="6" fillId="0" borderId="85" xfId="102" applyNumberFormat="1" applyFont="1" applyFill="1" applyBorder="1" applyAlignment="1">
      <alignment horizontal="center" wrapText="1"/>
    </xf>
    <xf numFmtId="0" fontId="6" fillId="0" borderId="87" xfId="102" applyNumberFormat="1" applyFont="1" applyFill="1" applyBorder="1" applyAlignment="1">
      <alignment horizontal="center" wrapText="1"/>
    </xf>
    <xf numFmtId="0" fontId="6" fillId="0" borderId="114" xfId="102" applyNumberFormat="1" applyFont="1" applyFill="1" applyBorder="1" applyAlignment="1">
      <alignment horizontal="center" wrapText="1"/>
    </xf>
    <xf numFmtId="0" fontId="37" fillId="28" borderId="10" xfId="158" applyFont="1" applyFill="1" applyBorder="1" applyAlignment="1">
      <alignment horizontal="left" vertical="center" wrapText="1"/>
    </xf>
    <xf numFmtId="0" fontId="37" fillId="28" borderId="10" xfId="158" applyFont="1" applyFill="1" applyBorder="1" applyAlignment="1">
      <alignment vertical="center" wrapText="1"/>
    </xf>
    <xf numFmtId="0" fontId="37" fillId="28" borderId="10" xfId="158" applyFont="1" applyFill="1" applyBorder="1" applyAlignment="1">
      <alignment horizontal="center" vertical="center" wrapText="1"/>
    </xf>
    <xf numFmtId="0" fontId="37" fillId="28" borderId="11" xfId="158" applyFont="1" applyFill="1" applyBorder="1" applyAlignment="1">
      <alignment horizontal="center" vertical="center" wrapText="1"/>
    </xf>
    <xf numFmtId="0" fontId="37" fillId="28" borderId="15" xfId="158" applyFont="1" applyFill="1" applyBorder="1" applyAlignment="1">
      <alignment horizontal="center" vertical="center" wrapText="1"/>
    </xf>
    <xf numFmtId="0" fontId="37" fillId="28" borderId="16" xfId="158" applyFont="1" applyFill="1" applyBorder="1" applyAlignment="1">
      <alignment horizontal="center" vertical="center" wrapText="1"/>
    </xf>
    <xf numFmtId="0" fontId="32" fillId="25" borderId="11" xfId="158" applyFont="1" applyFill="1" applyBorder="1" applyAlignment="1">
      <alignment horizontal="center" vertical="center" wrapText="1"/>
    </xf>
    <xf numFmtId="0" fontId="32" fillId="25" borderId="61" xfId="158" applyFont="1" applyFill="1" applyBorder="1" applyAlignment="1">
      <alignment horizontal="center" vertical="center" wrapText="1"/>
    </xf>
    <xf numFmtId="0" fontId="32" fillId="25" borderId="14" xfId="158" applyFont="1" applyFill="1" applyBorder="1" applyAlignment="1">
      <alignment horizontal="center" vertical="center" wrapText="1"/>
    </xf>
    <xf numFmtId="0" fontId="32" fillId="25" borderId="10" xfId="158" applyFont="1" applyFill="1" applyBorder="1" applyAlignment="1">
      <alignment horizontal="center" vertical="center" wrapText="1"/>
    </xf>
    <xf numFmtId="0" fontId="32" fillId="25" borderId="14" xfId="158" applyFont="1" applyFill="1" applyBorder="1" applyAlignment="1">
      <alignment horizontal="center" vertical="top" wrapText="1"/>
    </xf>
    <xf numFmtId="0" fontId="32" fillId="25" borderId="10" xfId="158" applyFont="1" applyFill="1" applyBorder="1" applyAlignment="1">
      <alignment horizontal="center" vertical="top" wrapText="1"/>
    </xf>
    <xf numFmtId="0" fontId="32" fillId="25" borderId="56" xfId="158" applyFont="1" applyFill="1" applyBorder="1" applyAlignment="1">
      <alignment horizontal="center" vertical="center" wrapText="1"/>
    </xf>
    <xf numFmtId="0" fontId="32" fillId="25" borderId="15" xfId="158" applyFont="1" applyFill="1" applyBorder="1" applyAlignment="1">
      <alignment horizontal="center" vertical="center"/>
    </xf>
    <xf numFmtId="0" fontId="32" fillId="25" borderId="16" xfId="158" applyFont="1" applyFill="1" applyBorder="1" applyAlignment="1">
      <alignment horizontal="center" vertical="center"/>
    </xf>
    <xf numFmtId="0" fontId="48" fillId="0" borderId="0" xfId="0" applyNumberFormat="1" applyFont="1" applyFill="1" applyBorder="1" applyAlignment="1">
      <alignment horizontal="left" vertical="top"/>
    </xf>
    <xf numFmtId="0" fontId="31" fillId="25" borderId="10" xfId="158" applyFont="1" applyFill="1" applyBorder="1" applyAlignment="1">
      <alignment horizontal="left" vertical="center" wrapText="1"/>
    </xf>
    <xf numFmtId="0" fontId="32" fillId="25" borderId="12" xfId="158" applyFont="1" applyFill="1" applyBorder="1" applyAlignment="1">
      <alignment horizontal="center" vertical="center" wrapText="1"/>
    </xf>
    <xf numFmtId="0" fontId="32" fillId="25" borderId="12" xfId="158" applyFont="1" applyFill="1" applyBorder="1" applyAlignment="1">
      <alignment horizontal="center" vertical="top" wrapText="1"/>
    </xf>
    <xf numFmtId="0" fontId="32" fillId="25" borderId="11" xfId="158" applyFont="1" applyFill="1" applyBorder="1" applyAlignment="1">
      <alignment horizontal="center" vertical="center"/>
    </xf>
    <xf numFmtId="0" fontId="32" fillId="25" borderId="57" xfId="158" applyFont="1" applyFill="1" applyBorder="1" applyAlignment="1">
      <alignment horizontal="center" vertical="center" wrapText="1"/>
    </xf>
    <xf numFmtId="0" fontId="32" fillId="25" borderId="13" xfId="158" applyFont="1" applyFill="1" applyBorder="1" applyAlignment="1">
      <alignment horizontal="center" vertical="center" wrapText="1"/>
    </xf>
    <xf numFmtId="0" fontId="32" fillId="25" borderId="30" xfId="158" applyFont="1" applyFill="1" applyBorder="1" applyAlignment="1">
      <alignment horizontal="center" vertical="center" wrapText="1"/>
    </xf>
    <xf numFmtId="0" fontId="32" fillId="25" borderId="21" xfId="158" applyFont="1" applyFill="1" applyBorder="1" applyAlignment="1">
      <alignment horizontal="center" vertical="center" wrapText="1"/>
    </xf>
    <xf numFmtId="0" fontId="44" fillId="25" borderId="32" xfId="158" applyFont="1" applyFill="1" applyBorder="1" applyAlignment="1">
      <alignment horizontal="left" vertical="center" wrapText="1"/>
    </xf>
    <xf numFmtId="0" fontId="44" fillId="25" borderId="39" xfId="158" applyFont="1" applyFill="1" applyBorder="1" applyAlignment="1">
      <alignment horizontal="left" vertical="center" wrapText="1"/>
    </xf>
    <xf numFmtId="0" fontId="44" fillId="25" borderId="10" xfId="158" applyFont="1" applyFill="1" applyBorder="1" applyAlignment="1">
      <alignment horizontal="left" vertical="center" wrapText="1"/>
    </xf>
    <xf numFmtId="0" fontId="35" fillId="28" borderId="11" xfId="158" applyFont="1" applyFill="1" applyBorder="1" applyAlignment="1">
      <alignment horizontal="center" vertical="center" wrapText="1"/>
    </xf>
    <xf numFmtId="0" fontId="35" fillId="28" borderId="15" xfId="158" applyFont="1" applyFill="1" applyBorder="1" applyAlignment="1">
      <alignment horizontal="center" vertical="center" wrapText="1"/>
    </xf>
    <xf numFmtId="0" fontId="35" fillId="28" borderId="16" xfId="158" applyFont="1" applyFill="1" applyBorder="1" applyAlignment="1">
      <alignment horizontal="center" vertical="center" wrapText="1"/>
    </xf>
    <xf numFmtId="0" fontId="50" fillId="28" borderId="11" xfId="0" applyFont="1" applyFill="1" applyBorder="1" applyAlignment="1">
      <alignment horizontal="center"/>
    </xf>
    <xf numFmtId="0" fontId="50" fillId="28" borderId="15" xfId="0" applyFont="1" applyFill="1" applyBorder="1" applyAlignment="1">
      <alignment horizontal="center"/>
    </xf>
    <xf numFmtId="0" fontId="50" fillId="28" borderId="16" xfId="0" applyFont="1" applyFill="1" applyBorder="1" applyAlignment="1">
      <alignment horizontal="center"/>
    </xf>
    <xf numFmtId="0" fontId="32" fillId="25" borderId="58" xfId="158" applyFont="1" applyFill="1" applyBorder="1" applyAlignment="1">
      <alignment horizontal="center" vertical="center"/>
    </xf>
    <xf numFmtId="0" fontId="32" fillId="25" borderId="44" xfId="158" applyFont="1" applyFill="1" applyBorder="1" applyAlignment="1">
      <alignment horizontal="center" vertical="center"/>
    </xf>
    <xf numFmtId="0" fontId="31" fillId="25" borderId="31" xfId="158" applyFont="1" applyFill="1" applyBorder="1" applyAlignment="1">
      <alignment horizontal="left" vertical="center" wrapText="1"/>
    </xf>
    <xf numFmtId="0" fontId="31" fillId="25" borderId="20" xfId="158" applyFont="1" applyFill="1" applyBorder="1" applyAlignment="1">
      <alignment horizontal="left" vertical="center" wrapText="1"/>
    </xf>
    <xf numFmtId="0" fontId="31" fillId="25" borderId="24" xfId="158" applyFont="1" applyFill="1" applyBorder="1" applyAlignment="1">
      <alignment horizontal="left" vertical="center" wrapText="1"/>
    </xf>
    <xf numFmtId="0" fontId="52" fillId="0" borderId="0" xfId="0" applyNumberFormat="1" applyFont="1" applyFill="1" applyBorder="1" applyAlignment="1">
      <alignment horizontal="left" vertical="center"/>
    </xf>
    <xf numFmtId="0" fontId="31" fillId="25" borderId="11" xfId="158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1" fillId="25" borderId="33" xfId="158" applyFont="1" applyFill="1" applyBorder="1" applyAlignment="1">
      <alignment horizontal="left" vertical="center" wrapText="1"/>
    </xf>
    <xf numFmtId="0" fontId="60" fillId="29" borderId="10" xfId="0" applyFont="1" applyFill="1" applyBorder="1" applyAlignment="1">
      <alignment horizontal="center"/>
    </xf>
    <xf numFmtId="0" fontId="33" fillId="29" borderId="10" xfId="0" applyFont="1" applyFill="1" applyBorder="1" applyAlignment="1">
      <alignment horizontal="center"/>
    </xf>
    <xf numFmtId="0" fontId="47" fillId="29" borderId="10" xfId="0" applyFont="1" applyFill="1" applyBorder="1" applyAlignment="1">
      <alignment horizontal="center"/>
    </xf>
    <xf numFmtId="0" fontId="47" fillId="29" borderId="10" xfId="0" applyFont="1" applyFill="1" applyBorder="1" applyAlignment="1">
      <alignment horizontal="center" wrapText="1"/>
    </xf>
  </cellXfs>
  <cellStyles count="197">
    <cellStyle name="20% - Accent1 2" xfId="1" xr:uid="{00000000-0005-0000-0000-000000000000}"/>
    <cellStyle name="20% - Accent1 3" xfId="2" xr:uid="{00000000-0005-0000-0000-000001000000}"/>
    <cellStyle name="20% - Accent1 4" xfId="3" xr:uid="{00000000-0005-0000-0000-000002000000}"/>
    <cellStyle name="20% - Accent2 2" xfId="4" xr:uid="{00000000-0005-0000-0000-000003000000}"/>
    <cellStyle name="20% - Accent2 3" xfId="5" xr:uid="{00000000-0005-0000-0000-000004000000}"/>
    <cellStyle name="20% - Accent2 4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3 4" xfId="9" xr:uid="{00000000-0005-0000-0000-000008000000}"/>
    <cellStyle name="20% - Accent4 2" xfId="10" xr:uid="{00000000-0005-0000-0000-000009000000}"/>
    <cellStyle name="20% - Accent4 3" xfId="11" xr:uid="{00000000-0005-0000-0000-00000A000000}"/>
    <cellStyle name="20% - Accent4 4" xfId="12" xr:uid="{00000000-0005-0000-0000-00000B000000}"/>
    <cellStyle name="20% - Accent5 2" xfId="13" xr:uid="{00000000-0005-0000-0000-00000C000000}"/>
    <cellStyle name="20% - Accent5 3" xfId="14" xr:uid="{00000000-0005-0000-0000-00000D000000}"/>
    <cellStyle name="20% - Accent5 4" xfId="15" xr:uid="{00000000-0005-0000-0000-00000E000000}"/>
    <cellStyle name="20% - Accent6 2" xfId="16" xr:uid="{00000000-0005-0000-0000-00000F000000}"/>
    <cellStyle name="20% - Accent6 3" xfId="17" xr:uid="{00000000-0005-0000-0000-000010000000}"/>
    <cellStyle name="20% - Accent6 4" xfId="18" xr:uid="{00000000-0005-0000-0000-000011000000}"/>
    <cellStyle name="20æ% - Accent1" xfId="19" xr:uid="{00000000-0005-0000-0000-000012000000}"/>
    <cellStyle name="20æ% - Accent2" xfId="20" xr:uid="{00000000-0005-0000-0000-000013000000}"/>
    <cellStyle name="20æ% - Accent3" xfId="21" xr:uid="{00000000-0005-0000-0000-000014000000}"/>
    <cellStyle name="20æ% - Accent4" xfId="22" xr:uid="{00000000-0005-0000-0000-000015000000}"/>
    <cellStyle name="20æ% - Accent5" xfId="23" xr:uid="{00000000-0005-0000-0000-000016000000}"/>
    <cellStyle name="20æ% - Accent6" xfId="24" xr:uid="{00000000-0005-0000-0000-000017000000}"/>
    <cellStyle name="40% - Accent1 2" xfId="25" xr:uid="{00000000-0005-0000-0000-000018000000}"/>
    <cellStyle name="40% - Accent1 3" xfId="26" xr:uid="{00000000-0005-0000-0000-000019000000}"/>
    <cellStyle name="40% - Accent1 4" xfId="27" xr:uid="{00000000-0005-0000-0000-00001A000000}"/>
    <cellStyle name="40% - Accent2 2" xfId="28" xr:uid="{00000000-0005-0000-0000-00001B000000}"/>
    <cellStyle name="40% - Accent2 3" xfId="29" xr:uid="{00000000-0005-0000-0000-00001C000000}"/>
    <cellStyle name="40% - Accent2 4" xfId="30" xr:uid="{00000000-0005-0000-0000-00001D000000}"/>
    <cellStyle name="40% - Accent3 2" xfId="31" xr:uid="{00000000-0005-0000-0000-00001E000000}"/>
    <cellStyle name="40% - Accent3 3" xfId="32" xr:uid="{00000000-0005-0000-0000-00001F000000}"/>
    <cellStyle name="40% - Accent3 4" xfId="33" xr:uid="{00000000-0005-0000-0000-000020000000}"/>
    <cellStyle name="40% - Accent4 2" xfId="34" xr:uid="{00000000-0005-0000-0000-000021000000}"/>
    <cellStyle name="40% - Accent4 3" xfId="35" xr:uid="{00000000-0005-0000-0000-000022000000}"/>
    <cellStyle name="40% - Accent4 4" xfId="36" xr:uid="{00000000-0005-0000-0000-000023000000}"/>
    <cellStyle name="40% - Accent5 2" xfId="37" xr:uid="{00000000-0005-0000-0000-000024000000}"/>
    <cellStyle name="40% - Accent5 3" xfId="38" xr:uid="{00000000-0005-0000-0000-000025000000}"/>
    <cellStyle name="40% - Accent5 4" xfId="39" xr:uid="{00000000-0005-0000-0000-000026000000}"/>
    <cellStyle name="40% - Accent6 2" xfId="40" xr:uid="{00000000-0005-0000-0000-000027000000}"/>
    <cellStyle name="40% - Accent6 3" xfId="41" xr:uid="{00000000-0005-0000-0000-000028000000}"/>
    <cellStyle name="40% - Accent6 4" xfId="42" xr:uid="{00000000-0005-0000-0000-000029000000}"/>
    <cellStyle name="40æ% - Accent1" xfId="43" xr:uid="{00000000-0005-0000-0000-00002A000000}"/>
    <cellStyle name="40æ% - Accent2" xfId="44" xr:uid="{00000000-0005-0000-0000-00002B000000}"/>
    <cellStyle name="40æ% - Accent3" xfId="45" xr:uid="{00000000-0005-0000-0000-00002C000000}"/>
    <cellStyle name="40æ% - Accent4" xfId="46" xr:uid="{00000000-0005-0000-0000-00002D000000}"/>
    <cellStyle name="40æ% - Accent5" xfId="47" xr:uid="{00000000-0005-0000-0000-00002E000000}"/>
    <cellStyle name="40æ% - Accent6" xfId="48" xr:uid="{00000000-0005-0000-0000-00002F000000}"/>
    <cellStyle name="60% - Accent1 2" xfId="49" xr:uid="{00000000-0005-0000-0000-000030000000}"/>
    <cellStyle name="60% - Accent1 3" xfId="50" xr:uid="{00000000-0005-0000-0000-000031000000}"/>
    <cellStyle name="60% - Accent1 4" xfId="51" xr:uid="{00000000-0005-0000-0000-000032000000}"/>
    <cellStyle name="60% - Accent2 2" xfId="52" xr:uid="{00000000-0005-0000-0000-000033000000}"/>
    <cellStyle name="60% - Accent2 3" xfId="53" xr:uid="{00000000-0005-0000-0000-000034000000}"/>
    <cellStyle name="60% - Accent2 4" xfId="54" xr:uid="{00000000-0005-0000-0000-000035000000}"/>
    <cellStyle name="60% - Accent3 2" xfId="55" xr:uid="{00000000-0005-0000-0000-000036000000}"/>
    <cellStyle name="60% - Accent3 3" xfId="56" xr:uid="{00000000-0005-0000-0000-000037000000}"/>
    <cellStyle name="60% - Accent3 4" xfId="57" xr:uid="{00000000-0005-0000-0000-000038000000}"/>
    <cellStyle name="60% - Accent4 2" xfId="58" xr:uid="{00000000-0005-0000-0000-000039000000}"/>
    <cellStyle name="60% - Accent4 3" xfId="59" xr:uid="{00000000-0005-0000-0000-00003A000000}"/>
    <cellStyle name="60% - Accent4 4" xfId="60" xr:uid="{00000000-0005-0000-0000-00003B000000}"/>
    <cellStyle name="60% - Accent5 2" xfId="61" xr:uid="{00000000-0005-0000-0000-00003C000000}"/>
    <cellStyle name="60% - Accent5 3" xfId="62" xr:uid="{00000000-0005-0000-0000-00003D000000}"/>
    <cellStyle name="60% - Accent5 4" xfId="63" xr:uid="{00000000-0005-0000-0000-00003E000000}"/>
    <cellStyle name="60% - Accent6 2" xfId="64" xr:uid="{00000000-0005-0000-0000-00003F000000}"/>
    <cellStyle name="60% - Accent6 3" xfId="65" xr:uid="{00000000-0005-0000-0000-000040000000}"/>
    <cellStyle name="60% - Accent6 4" xfId="66" xr:uid="{00000000-0005-0000-0000-000041000000}"/>
    <cellStyle name="60æ% - Accent1" xfId="67" xr:uid="{00000000-0005-0000-0000-000042000000}"/>
    <cellStyle name="60æ% - Accent2" xfId="68" xr:uid="{00000000-0005-0000-0000-000043000000}"/>
    <cellStyle name="60æ% - Accent3" xfId="69" xr:uid="{00000000-0005-0000-0000-000044000000}"/>
    <cellStyle name="60æ% - Accent4" xfId="70" xr:uid="{00000000-0005-0000-0000-000045000000}"/>
    <cellStyle name="60æ% - Accent5" xfId="71" xr:uid="{00000000-0005-0000-0000-000046000000}"/>
    <cellStyle name="60æ% - Accent6" xfId="72" xr:uid="{00000000-0005-0000-0000-000047000000}"/>
    <cellStyle name="Accent1 2" xfId="73" xr:uid="{00000000-0005-0000-0000-000048000000}"/>
    <cellStyle name="Accent1 3" xfId="74" xr:uid="{00000000-0005-0000-0000-000049000000}"/>
    <cellStyle name="Accent1 4" xfId="75" xr:uid="{00000000-0005-0000-0000-00004A000000}"/>
    <cellStyle name="Accent2 2" xfId="76" xr:uid="{00000000-0005-0000-0000-00004C000000}"/>
    <cellStyle name="Accent2 3" xfId="77" xr:uid="{00000000-0005-0000-0000-00004D000000}"/>
    <cellStyle name="Accent2 4" xfId="78" xr:uid="{00000000-0005-0000-0000-00004E000000}"/>
    <cellStyle name="Accent3 2" xfId="79" xr:uid="{00000000-0005-0000-0000-00004F000000}"/>
    <cellStyle name="Accent3 3" xfId="80" xr:uid="{00000000-0005-0000-0000-000050000000}"/>
    <cellStyle name="Accent3 4" xfId="81" xr:uid="{00000000-0005-0000-0000-000051000000}"/>
    <cellStyle name="Accent4 2" xfId="82" xr:uid="{00000000-0005-0000-0000-000052000000}"/>
    <cellStyle name="Accent4 3" xfId="83" xr:uid="{00000000-0005-0000-0000-000053000000}"/>
    <cellStyle name="Accent4 4" xfId="84" xr:uid="{00000000-0005-0000-0000-000054000000}"/>
    <cellStyle name="Accent5 2" xfId="85" xr:uid="{00000000-0005-0000-0000-000055000000}"/>
    <cellStyle name="Accent5 3" xfId="86" xr:uid="{00000000-0005-0000-0000-000056000000}"/>
    <cellStyle name="Accent5 4" xfId="87" xr:uid="{00000000-0005-0000-0000-000057000000}"/>
    <cellStyle name="Accent6 2" xfId="88" xr:uid="{00000000-0005-0000-0000-000058000000}"/>
    <cellStyle name="Accent6 3" xfId="89" xr:uid="{00000000-0005-0000-0000-000059000000}"/>
    <cellStyle name="Accent6 4" xfId="90" xr:uid="{00000000-0005-0000-0000-00005A000000}"/>
    <cellStyle name="Avertissement 2" xfId="91" xr:uid="{00000000-0005-0000-0000-00005B000000}"/>
    <cellStyle name="Bad 2" xfId="92" xr:uid="{00000000-0005-0000-0000-00005C000000}"/>
    <cellStyle name="Bad 3" xfId="93" xr:uid="{00000000-0005-0000-0000-00005D000000}"/>
    <cellStyle name="Bad 4" xfId="94" xr:uid="{00000000-0005-0000-0000-00005E000000}"/>
    <cellStyle name="Calculation 2" xfId="95" xr:uid="{00000000-0005-0000-0000-00005F000000}"/>
    <cellStyle name="Calculation 3" xfId="96" xr:uid="{00000000-0005-0000-0000-000060000000}"/>
    <cellStyle name="Calculation 4" xfId="97" xr:uid="{00000000-0005-0000-0000-000061000000}"/>
    <cellStyle name="Cellule lie" xfId="98" xr:uid="{00000000-0005-0000-0000-000062000000}"/>
    <cellStyle name="Check Cell 2" xfId="99" xr:uid="{00000000-0005-0000-0000-000063000000}"/>
    <cellStyle name="Check Cell 3" xfId="100" xr:uid="{00000000-0005-0000-0000-000064000000}"/>
    <cellStyle name="Check Cell 4" xfId="101" xr:uid="{00000000-0005-0000-0000-000065000000}"/>
    <cellStyle name="Comma" xfId="102" builtinId="3"/>
    <cellStyle name="Comma 2" xfId="103" xr:uid="{00000000-0005-0000-0000-000067000000}"/>
    <cellStyle name="Comma 2 2" xfId="104" xr:uid="{00000000-0005-0000-0000-000068000000}"/>
    <cellStyle name="Comma 3" xfId="105" xr:uid="{00000000-0005-0000-0000-000069000000}"/>
    <cellStyle name="Comma 3 2" xfId="106" xr:uid="{00000000-0005-0000-0000-00006A000000}"/>
    <cellStyle name="Comma 3 3" xfId="107" xr:uid="{00000000-0005-0000-0000-00006B000000}"/>
    <cellStyle name="Comma 4" xfId="108" xr:uid="{00000000-0005-0000-0000-00006C000000}"/>
    <cellStyle name="Comma 4 2" xfId="109" xr:uid="{00000000-0005-0000-0000-00006D000000}"/>
    <cellStyle name="Comma 4 3" xfId="110" xr:uid="{00000000-0005-0000-0000-00006E000000}"/>
    <cellStyle name="Currency 2" xfId="111" xr:uid="{00000000-0005-0000-0000-00006F000000}"/>
    <cellStyle name="Currency 2 2" xfId="112" xr:uid="{00000000-0005-0000-0000-000070000000}"/>
    <cellStyle name="Currency 2 2 2" xfId="113" xr:uid="{00000000-0005-0000-0000-000071000000}"/>
    <cellStyle name="Currency 2 3" xfId="114" xr:uid="{00000000-0005-0000-0000-000072000000}"/>
    <cellStyle name="Currency 2 4" xfId="115" xr:uid="{00000000-0005-0000-0000-000073000000}"/>
    <cellStyle name="Currency 2 5" xfId="116" xr:uid="{00000000-0005-0000-0000-000074000000}"/>
    <cellStyle name="Currency 2 6" xfId="117" xr:uid="{00000000-0005-0000-0000-000075000000}"/>
    <cellStyle name="Currency 2 7" xfId="118" xr:uid="{00000000-0005-0000-0000-000076000000}"/>
    <cellStyle name="Currency 3" xfId="119" xr:uid="{00000000-0005-0000-0000-000077000000}"/>
    <cellStyle name="Currency 3 2" xfId="120" xr:uid="{00000000-0005-0000-0000-000078000000}"/>
    <cellStyle name="Currency 4" xfId="121" xr:uid="{00000000-0005-0000-0000-000079000000}"/>
    <cellStyle name="Currency 4 2" xfId="122" xr:uid="{00000000-0005-0000-0000-00007A000000}"/>
    <cellStyle name="Currency 4 3" xfId="123" xr:uid="{00000000-0005-0000-0000-00007B000000}"/>
    <cellStyle name="Entre" xfId="124" xr:uid="{00000000-0005-0000-0000-00007C000000}"/>
    <cellStyle name="Explanatory Text 2" xfId="125" xr:uid="{00000000-0005-0000-0000-00007D000000}"/>
    <cellStyle name="Explanatory Text 3" xfId="126" xr:uid="{00000000-0005-0000-0000-00007E000000}"/>
    <cellStyle name="Explanatory Text 4" xfId="127" xr:uid="{00000000-0005-0000-0000-00007F000000}"/>
    <cellStyle name="Good 2" xfId="128" xr:uid="{00000000-0005-0000-0000-000080000000}"/>
    <cellStyle name="Good 3" xfId="129" xr:uid="{00000000-0005-0000-0000-000081000000}"/>
    <cellStyle name="Good 4" xfId="130" xr:uid="{00000000-0005-0000-0000-000082000000}"/>
    <cellStyle name="Heading 1 2" xfId="131" xr:uid="{00000000-0005-0000-0000-000083000000}"/>
    <cellStyle name="Heading 1 3" xfId="132" xr:uid="{00000000-0005-0000-0000-000084000000}"/>
    <cellStyle name="Heading 1 4" xfId="133" xr:uid="{00000000-0005-0000-0000-000085000000}"/>
    <cellStyle name="Heading 2 2" xfId="134" xr:uid="{00000000-0005-0000-0000-000086000000}"/>
    <cellStyle name="Heading 2 3" xfId="135" xr:uid="{00000000-0005-0000-0000-000087000000}"/>
    <cellStyle name="Heading 2 4" xfId="136" xr:uid="{00000000-0005-0000-0000-000088000000}"/>
    <cellStyle name="Heading 3 2" xfId="137" xr:uid="{00000000-0005-0000-0000-000089000000}"/>
    <cellStyle name="Heading 3 3" xfId="138" xr:uid="{00000000-0005-0000-0000-00008A000000}"/>
    <cellStyle name="Heading 3 4" xfId="139" xr:uid="{00000000-0005-0000-0000-00008B000000}"/>
    <cellStyle name="Heading 4 2" xfId="140" xr:uid="{00000000-0005-0000-0000-00008C000000}"/>
    <cellStyle name="Heading 4 3" xfId="141" xr:uid="{00000000-0005-0000-0000-00008D000000}"/>
    <cellStyle name="Heading 4 4" xfId="142" xr:uid="{00000000-0005-0000-0000-00008E000000}"/>
    <cellStyle name="Input 2" xfId="143" xr:uid="{00000000-0005-0000-0000-00008F000000}"/>
    <cellStyle name="Input 3" xfId="144" xr:uid="{00000000-0005-0000-0000-000090000000}"/>
    <cellStyle name="Input 4" xfId="145" xr:uid="{00000000-0005-0000-0000-000091000000}"/>
    <cellStyle name="Insatisfaisant 2" xfId="146" xr:uid="{00000000-0005-0000-0000-000092000000}"/>
    <cellStyle name="Linked Cell 2" xfId="147" xr:uid="{00000000-0005-0000-0000-000093000000}"/>
    <cellStyle name="Linked Cell 3" xfId="148" xr:uid="{00000000-0005-0000-0000-000094000000}"/>
    <cellStyle name="Linked Cell 4" xfId="149" xr:uid="{00000000-0005-0000-0000-000095000000}"/>
    <cellStyle name="Milliers 2" xfId="150" xr:uid="{00000000-0005-0000-0000-000096000000}"/>
    <cellStyle name="Neutral 2" xfId="151" xr:uid="{00000000-0005-0000-0000-000097000000}"/>
    <cellStyle name="Neutral 3" xfId="152" xr:uid="{00000000-0005-0000-0000-000098000000}"/>
    <cellStyle name="Neutral 4" xfId="153" xr:uid="{00000000-0005-0000-0000-000099000000}"/>
    <cellStyle name="Normal" xfId="0" builtinId="0"/>
    <cellStyle name="Normal 10" xfId="154" xr:uid="{00000000-0005-0000-0000-00009B000000}"/>
    <cellStyle name="Normal 11" xfId="155" xr:uid="{00000000-0005-0000-0000-00009C000000}"/>
    <cellStyle name="Normal 12" xfId="156" xr:uid="{00000000-0005-0000-0000-00009D000000}"/>
    <cellStyle name="Normal 2" xfId="157" xr:uid="{00000000-0005-0000-0000-00009E000000}"/>
    <cellStyle name="Normal 2 2" xfId="158" xr:uid="{00000000-0005-0000-0000-00009F000000}"/>
    <cellStyle name="Normal 2 2 2" xfId="159" xr:uid="{00000000-0005-0000-0000-0000A0000000}"/>
    <cellStyle name="Normal 2 2 3" xfId="160" xr:uid="{00000000-0005-0000-0000-0000A1000000}"/>
    <cellStyle name="Normal 2 3" xfId="161" xr:uid="{00000000-0005-0000-0000-0000A2000000}"/>
    <cellStyle name="Normal 2 4" xfId="162" xr:uid="{00000000-0005-0000-0000-0000A3000000}"/>
    <cellStyle name="Normal 2 5" xfId="163" xr:uid="{00000000-0005-0000-0000-0000A4000000}"/>
    <cellStyle name="Normal 2_budget assainissement 2011-2014" xfId="164" xr:uid="{00000000-0005-0000-0000-0000A5000000}"/>
    <cellStyle name="Normal 3" xfId="165" xr:uid="{00000000-0005-0000-0000-0000A6000000}"/>
    <cellStyle name="Normal 3 2" xfId="166" xr:uid="{00000000-0005-0000-0000-0000A7000000}"/>
    <cellStyle name="Normal 3 3" xfId="167" xr:uid="{00000000-0005-0000-0000-0000A8000000}"/>
    <cellStyle name="Normal 4" xfId="168" xr:uid="{00000000-0005-0000-0000-0000A9000000}"/>
    <cellStyle name="Normal 4 2" xfId="169" xr:uid="{00000000-0005-0000-0000-0000AA000000}"/>
    <cellStyle name="Normal 5" xfId="170" xr:uid="{00000000-0005-0000-0000-0000AB000000}"/>
    <cellStyle name="Normal 6" xfId="171" xr:uid="{00000000-0005-0000-0000-0000AC000000}"/>
    <cellStyle name="Normal 7" xfId="172" xr:uid="{00000000-0005-0000-0000-0000AD000000}"/>
    <cellStyle name="Normal 8" xfId="173" xr:uid="{00000000-0005-0000-0000-0000AE000000}"/>
    <cellStyle name="Normal 9" xfId="174" xr:uid="{00000000-0005-0000-0000-0000AF000000}"/>
    <cellStyle name="Note 2" xfId="175" xr:uid="{00000000-0005-0000-0000-0000B0000000}"/>
    <cellStyle name="Note 3" xfId="176" xr:uid="{00000000-0005-0000-0000-0000B1000000}"/>
    <cellStyle name="Note 4" xfId="177" xr:uid="{00000000-0005-0000-0000-0000B2000000}"/>
    <cellStyle name="Output 2" xfId="178" xr:uid="{00000000-0005-0000-0000-0000B3000000}"/>
    <cellStyle name="Output 3" xfId="179" xr:uid="{00000000-0005-0000-0000-0000B4000000}"/>
    <cellStyle name="Output 4" xfId="180" xr:uid="{00000000-0005-0000-0000-0000B5000000}"/>
    <cellStyle name="Percent" xfId="181" builtinId="5"/>
    <cellStyle name="Percent 2" xfId="182" xr:uid="{00000000-0005-0000-0000-0000B7000000}"/>
    <cellStyle name="Percent 3" xfId="183" xr:uid="{00000000-0005-0000-0000-0000B8000000}"/>
    <cellStyle name="Percent 4" xfId="184" xr:uid="{00000000-0005-0000-0000-0000B9000000}"/>
    <cellStyle name="Title 2" xfId="185" xr:uid="{00000000-0005-0000-0000-0000BA000000}"/>
    <cellStyle name="Title 3" xfId="186" xr:uid="{00000000-0005-0000-0000-0000BB000000}"/>
    <cellStyle name="Title 4" xfId="187" xr:uid="{00000000-0005-0000-0000-0000BC000000}"/>
    <cellStyle name="Titre 1 2" xfId="188" xr:uid="{00000000-0005-0000-0000-0000BD000000}"/>
    <cellStyle name="Titreæ" xfId="189" xr:uid="{00000000-0005-0000-0000-0000BE000000}"/>
    <cellStyle name="Total 2" xfId="190" xr:uid="{00000000-0005-0000-0000-0000BF000000}"/>
    <cellStyle name="Total 3" xfId="191" xr:uid="{00000000-0005-0000-0000-0000C0000000}"/>
    <cellStyle name="Total 4" xfId="192" xr:uid="{00000000-0005-0000-0000-0000C1000000}"/>
    <cellStyle name="Vrification de cellule" xfId="193" xr:uid="{00000000-0005-0000-0000-0000C2000000}"/>
    <cellStyle name="Warning Text 2" xfId="194" xr:uid="{00000000-0005-0000-0000-0000C3000000}"/>
    <cellStyle name="Warning Text 3" xfId="195" xr:uid="{00000000-0005-0000-0000-0000C4000000}"/>
    <cellStyle name="Warning Text 4" xfId="196" xr:uid="{00000000-0005-0000-0000-0000C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nellyw/AppData/Local/Microsoft/Windows/Temporary%20Internet%20Files/Content.Outlook/ZZL6C5BX/Mod&#232;le%20de%20PEP-POA-PPDM-FM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User/Downloads/POA-PPM-PAP%20III_V1807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MR-PEP "/>
      <sheetName val="2.Plan Annuel d'opération"/>
      <sheetName val="2.a Activ-chrono-coûts 5ans  "/>
      <sheetName val="2.b Activ-chrono-coûts 5ans "/>
      <sheetName val="3.Activ-chrono-coûts 1an"/>
      <sheetName val="4. PPM Outils Cécile "/>
      <sheetName val="4. Plan de passation de marché"/>
      <sheetName val="5. PF - Outils Cécile "/>
      <sheetName val="5.Prévision flux de trésorerie"/>
      <sheetName val="6.  Plan Financier Moyen Term"/>
      <sheetName val="7. Plan trésorerie pr l'année"/>
      <sheetName val="7.a Gestion Risques IDENTIF"/>
      <sheetName val="7.b Gestion Risques QUALIF"/>
      <sheetName val="7.c Gestion Risques PLAN-MITIG"/>
      <sheetName val="8. Plan d'entreti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15">
          <cell r="F15">
            <v>2</v>
          </cell>
          <cell r="G15">
            <v>2</v>
          </cell>
        </row>
        <row r="18">
          <cell r="F18">
            <v>3</v>
          </cell>
          <cell r="G18">
            <v>3</v>
          </cell>
        </row>
        <row r="19">
          <cell r="F19">
            <v>2</v>
          </cell>
          <cell r="G19">
            <v>2</v>
          </cell>
        </row>
        <row r="20">
          <cell r="F20">
            <v>3</v>
          </cell>
          <cell r="G20">
            <v>3</v>
          </cell>
        </row>
        <row r="21">
          <cell r="F21">
            <v>2</v>
          </cell>
          <cell r="G21">
            <v>3</v>
          </cell>
        </row>
        <row r="22">
          <cell r="F22">
            <v>3</v>
          </cell>
          <cell r="G22">
            <v>3</v>
          </cell>
        </row>
        <row r="23">
          <cell r="F23">
            <v>3</v>
          </cell>
          <cell r="G23">
            <v>3</v>
          </cell>
        </row>
        <row r="24">
          <cell r="F24">
            <v>2</v>
          </cell>
          <cell r="G24">
            <v>3</v>
          </cell>
        </row>
        <row r="25">
          <cell r="F25">
            <v>3</v>
          </cell>
          <cell r="G25">
            <v>3</v>
          </cell>
        </row>
        <row r="26">
          <cell r="F26">
            <v>3</v>
          </cell>
          <cell r="G26">
            <v>3</v>
          </cell>
        </row>
        <row r="27">
          <cell r="F27">
            <v>3</v>
          </cell>
          <cell r="G27">
            <v>3</v>
          </cell>
        </row>
        <row r="28">
          <cell r="F28">
            <v>2</v>
          </cell>
          <cell r="G28">
            <v>2</v>
          </cell>
        </row>
        <row r="29">
          <cell r="F29">
            <v>3</v>
          </cell>
          <cell r="G29">
            <v>3</v>
          </cell>
        </row>
        <row r="30">
          <cell r="F30">
            <v>2</v>
          </cell>
          <cell r="G30">
            <v>2</v>
          </cell>
        </row>
        <row r="31">
          <cell r="F31">
            <v>3</v>
          </cell>
          <cell r="G31">
            <v>3</v>
          </cell>
        </row>
        <row r="32">
          <cell r="F32">
            <v>1</v>
          </cell>
          <cell r="G32">
            <v>3</v>
          </cell>
        </row>
        <row r="33">
          <cell r="F33">
            <v>3</v>
          </cell>
          <cell r="G33">
            <v>3</v>
          </cell>
        </row>
        <row r="34">
          <cell r="F34">
            <v>3</v>
          </cell>
          <cell r="G34">
            <v>3</v>
          </cell>
        </row>
      </sheetData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R-PEP "/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  <sheetName val="8. Gestion Risques IDENTIF"/>
      <sheetName val="8.a Gestion Risques QUALIF"/>
      <sheetName val="8.b Gestion Risques PLAN-MITIG"/>
      <sheetName val="9. Plan d'entretien"/>
    </sheetNames>
    <sheetDataSet>
      <sheetData sheetId="0" refreshError="1"/>
      <sheetData sheetId="1" refreshError="1">
        <row r="17">
          <cell r="D17">
            <v>9000000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281"/>
  <sheetViews>
    <sheetView topLeftCell="A6" zoomScale="90" zoomScaleNormal="90" workbookViewId="0">
      <selection activeCell="J247" sqref="J247"/>
    </sheetView>
  </sheetViews>
  <sheetFormatPr defaultColWidth="10.85546875" defaultRowHeight="15.75" outlineLevelCol="1" x14ac:dyDescent="0.25"/>
  <cols>
    <col min="1" max="1" width="26.140625" style="92" customWidth="1"/>
    <col min="2" max="2" width="13.28515625" style="87" customWidth="1"/>
    <col min="3" max="3" width="14.28515625" style="87" customWidth="1"/>
    <col min="4" max="4" width="18.140625" style="87" customWidth="1"/>
    <col min="5" max="5" width="10.85546875" style="87" hidden="1" customWidth="1"/>
    <col min="6" max="6" width="16.85546875" style="87" hidden="1" customWidth="1"/>
    <col min="7" max="8" width="15.5703125" style="87" hidden="1" customWidth="1" outlineLevel="1"/>
    <col min="9" max="9" width="16.5703125" style="87" hidden="1" customWidth="1" outlineLevel="1" collapsed="1"/>
    <col min="10" max="10" width="20.5703125" style="88" customWidth="1" collapsed="1"/>
    <col min="11" max="11" width="20.140625" style="89" customWidth="1"/>
    <col min="12" max="12" width="14.28515625" style="89" hidden="1" customWidth="1" outlineLevel="1"/>
    <col min="13" max="13" width="14.28515625" style="90" customWidth="1" collapsed="1"/>
    <col min="14" max="14" width="11.28515625" style="91" hidden="1" customWidth="1" outlineLevel="1"/>
    <col min="15" max="15" width="18.28515625" style="90" customWidth="1" collapsed="1"/>
    <col min="16" max="16" width="12.5703125" style="89" hidden="1" customWidth="1" outlineLevel="1"/>
    <col min="17" max="17" width="17.28515625" style="90" customWidth="1" collapsed="1"/>
    <col min="18" max="18" width="14.85546875" style="89" hidden="1" customWidth="1" outlineLevel="1"/>
    <col min="19" max="19" width="18.42578125" style="90" customWidth="1" collapsed="1"/>
    <col min="20" max="20" width="12.140625" style="89" hidden="1" customWidth="1" outlineLevel="1"/>
    <col min="21" max="21" width="15.28515625" style="90" customWidth="1" collapsed="1"/>
    <col min="22" max="22" width="9.7109375" style="89" customWidth="1"/>
    <col min="23" max="23" width="10.42578125" style="89" customWidth="1"/>
    <col min="24" max="24" width="25.5703125" style="87" customWidth="1"/>
    <col min="25" max="25" width="77.42578125" style="87" customWidth="1"/>
    <col min="26" max="26" width="62.5703125" style="87" customWidth="1"/>
    <col min="27" max="16384" width="10.85546875" style="87"/>
  </cols>
  <sheetData>
    <row r="2" spans="1:26" ht="23.25" x14ac:dyDescent="0.25">
      <c r="A2" s="86" t="s">
        <v>7</v>
      </c>
    </row>
    <row r="3" spans="1:26" ht="16.5" thickBot="1" x14ac:dyDescent="0.3"/>
    <row r="4" spans="1:26" ht="16.5" thickBot="1" x14ac:dyDescent="0.3">
      <c r="A4" s="566"/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</row>
    <row r="5" spans="1:26" ht="16.5" thickBot="1" x14ac:dyDescent="0.3">
      <c r="A5" s="574" t="s">
        <v>8</v>
      </c>
      <c r="B5" s="582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75"/>
    </row>
    <row r="6" spans="1:26" ht="16.5" thickBot="1" x14ac:dyDescent="0.3">
      <c r="A6" s="566"/>
      <c r="B6" s="566"/>
      <c r="C6" s="566"/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566"/>
      <c r="W6" s="566"/>
    </row>
    <row r="7" spans="1:26" ht="16.5" thickBot="1" x14ac:dyDescent="0.3">
      <c r="A7" s="574" t="s">
        <v>9</v>
      </c>
      <c r="B7" s="575"/>
      <c r="C7" s="565"/>
      <c r="D7" s="566"/>
      <c r="E7" s="566"/>
      <c r="F7" s="566"/>
      <c r="G7" s="566"/>
      <c r="H7" s="566"/>
      <c r="I7" s="566"/>
      <c r="J7" s="566"/>
      <c r="K7" s="566"/>
      <c r="L7" s="566"/>
      <c r="M7" s="566"/>
      <c r="N7" s="566"/>
      <c r="O7" s="566"/>
      <c r="P7" s="566"/>
      <c r="Q7" s="566"/>
      <c r="R7" s="566"/>
      <c r="S7" s="566"/>
      <c r="T7" s="566"/>
      <c r="U7" s="566"/>
      <c r="V7" s="566"/>
      <c r="W7" s="567"/>
    </row>
    <row r="8" spans="1:26" ht="16.5" thickBot="1" x14ac:dyDescent="0.3">
      <c r="A8" s="566"/>
      <c r="B8" s="566"/>
      <c r="C8" s="566"/>
      <c r="D8" s="566"/>
      <c r="E8" s="566"/>
      <c r="F8" s="566"/>
      <c r="G8" s="566"/>
      <c r="H8" s="566"/>
      <c r="I8" s="566"/>
      <c r="J8" s="566"/>
      <c r="K8" s="566"/>
      <c r="L8" s="566"/>
      <c r="M8" s="566"/>
      <c r="N8" s="566"/>
      <c r="O8" s="566"/>
      <c r="P8" s="566"/>
      <c r="Q8" s="566"/>
      <c r="R8" s="566"/>
      <c r="S8" s="566"/>
      <c r="T8" s="566"/>
      <c r="U8" s="566"/>
      <c r="V8" s="566"/>
      <c r="W8" s="566"/>
    </row>
    <row r="9" spans="1:26" ht="101.25" thickBot="1" x14ac:dyDescent="0.3">
      <c r="A9" s="576" t="s">
        <v>10</v>
      </c>
      <c r="B9" s="577"/>
      <c r="C9" s="577"/>
      <c r="D9" s="577"/>
      <c r="E9" s="577"/>
      <c r="F9" s="577"/>
      <c r="G9" s="577"/>
      <c r="H9" s="577"/>
      <c r="I9" s="577"/>
      <c r="J9" s="578"/>
      <c r="K9" s="93"/>
      <c r="L9" s="579" t="s">
        <v>11</v>
      </c>
      <c r="M9" s="581"/>
      <c r="N9" s="579" t="s">
        <v>12</v>
      </c>
      <c r="O9" s="581"/>
      <c r="P9" s="94" t="s">
        <v>13</v>
      </c>
      <c r="Q9" s="94"/>
      <c r="R9" s="94">
        <v>2018</v>
      </c>
      <c r="S9" s="94">
        <v>2019</v>
      </c>
      <c r="T9" s="94">
        <v>2020</v>
      </c>
      <c r="U9" s="94">
        <v>2021</v>
      </c>
      <c r="V9" s="94">
        <v>2022</v>
      </c>
      <c r="W9" s="94" t="s">
        <v>14</v>
      </c>
      <c r="Y9" s="95" t="s">
        <v>187</v>
      </c>
      <c r="Z9" s="95" t="s">
        <v>188</v>
      </c>
    </row>
    <row r="10" spans="1:26" x14ac:dyDescent="0.25">
      <c r="A10" s="598"/>
      <c r="B10" s="599"/>
      <c r="C10" s="599"/>
      <c r="D10" s="599"/>
      <c r="E10" s="599"/>
      <c r="F10" s="599"/>
      <c r="G10" s="599"/>
      <c r="H10" s="599"/>
      <c r="I10" s="599"/>
      <c r="J10" s="600"/>
      <c r="K10" s="96"/>
      <c r="L10" s="618"/>
      <c r="M10" s="619"/>
      <c r="N10" s="618"/>
      <c r="O10" s="619"/>
      <c r="P10" s="622"/>
      <c r="Q10" s="83" t="s">
        <v>15</v>
      </c>
      <c r="R10" s="82"/>
      <c r="S10" s="83"/>
      <c r="T10" s="82"/>
      <c r="U10" s="83"/>
      <c r="V10" s="82"/>
      <c r="W10" s="82"/>
      <c r="Y10" s="97"/>
      <c r="Z10" s="97"/>
    </row>
    <row r="11" spans="1:26" ht="16.5" thickBot="1" x14ac:dyDescent="0.3">
      <c r="A11" s="604"/>
      <c r="B11" s="605"/>
      <c r="C11" s="605"/>
      <c r="D11" s="605"/>
      <c r="E11" s="605"/>
      <c r="F11" s="605"/>
      <c r="G11" s="605"/>
      <c r="H11" s="605"/>
      <c r="I11" s="605"/>
      <c r="J11" s="606"/>
      <c r="K11" s="98"/>
      <c r="L11" s="620"/>
      <c r="M11" s="621"/>
      <c r="N11" s="620"/>
      <c r="O11" s="621"/>
      <c r="P11" s="623"/>
      <c r="Q11" s="99" t="s">
        <v>16</v>
      </c>
      <c r="R11" s="100"/>
      <c r="S11" s="99"/>
      <c r="T11" s="100"/>
      <c r="U11" s="99"/>
      <c r="V11" s="100"/>
      <c r="W11" s="100"/>
      <c r="Y11" s="101"/>
      <c r="Z11" s="101"/>
    </row>
    <row r="12" spans="1:26" ht="16.5" thickBot="1" x14ac:dyDescent="0.3">
      <c r="A12" s="566"/>
      <c r="B12" s="566"/>
      <c r="C12" s="566"/>
      <c r="D12" s="566"/>
      <c r="E12" s="566"/>
      <c r="F12" s="566"/>
      <c r="G12" s="566"/>
      <c r="H12" s="566"/>
      <c r="I12" s="566"/>
      <c r="J12" s="566"/>
      <c r="K12" s="566"/>
      <c r="L12" s="566"/>
      <c r="M12" s="566"/>
      <c r="N12" s="566"/>
      <c r="O12" s="566"/>
      <c r="P12" s="566"/>
      <c r="Q12" s="566"/>
      <c r="R12" s="566"/>
      <c r="S12" s="566"/>
      <c r="T12" s="566"/>
      <c r="U12" s="566"/>
      <c r="V12" s="566"/>
      <c r="W12" s="566"/>
    </row>
    <row r="13" spans="1:26" ht="16.5" thickBot="1" x14ac:dyDescent="0.3">
      <c r="A13" s="574" t="s">
        <v>9</v>
      </c>
      <c r="B13" s="575"/>
      <c r="C13" s="565"/>
      <c r="D13" s="566"/>
      <c r="E13" s="566"/>
      <c r="F13" s="566"/>
      <c r="G13" s="566"/>
      <c r="H13" s="566"/>
      <c r="I13" s="566"/>
      <c r="J13" s="566"/>
      <c r="K13" s="566"/>
      <c r="L13" s="566"/>
      <c r="M13" s="566"/>
      <c r="N13" s="566"/>
      <c r="O13" s="566"/>
      <c r="P13" s="566"/>
      <c r="Q13" s="566"/>
      <c r="R13" s="566"/>
      <c r="S13" s="566"/>
      <c r="T13" s="566"/>
      <c r="U13" s="566"/>
      <c r="V13" s="566"/>
      <c r="W13" s="567"/>
    </row>
    <row r="14" spans="1:26" ht="16.5" thickBot="1" x14ac:dyDescent="0.3">
      <c r="A14" s="566"/>
      <c r="B14" s="566"/>
      <c r="C14" s="566"/>
      <c r="D14" s="566"/>
      <c r="E14" s="566"/>
      <c r="F14" s="566"/>
      <c r="G14" s="566"/>
      <c r="H14" s="566"/>
      <c r="I14" s="566"/>
      <c r="J14" s="566"/>
      <c r="K14" s="566"/>
      <c r="L14" s="566"/>
      <c r="M14" s="566"/>
      <c r="N14" s="566"/>
      <c r="O14" s="566"/>
      <c r="P14" s="566"/>
      <c r="Q14" s="566"/>
      <c r="R14" s="566"/>
      <c r="S14" s="566"/>
      <c r="T14" s="566"/>
      <c r="U14" s="566"/>
      <c r="V14" s="566"/>
      <c r="W14" s="566"/>
    </row>
    <row r="15" spans="1:26" ht="30.75" thickBot="1" x14ac:dyDescent="0.3">
      <c r="A15" s="576" t="s">
        <v>10</v>
      </c>
      <c r="B15" s="577"/>
      <c r="C15" s="577"/>
      <c r="D15" s="577"/>
      <c r="E15" s="577"/>
      <c r="F15" s="577"/>
      <c r="G15" s="577"/>
      <c r="H15" s="577"/>
      <c r="I15" s="577"/>
      <c r="J15" s="578"/>
      <c r="K15" s="93"/>
      <c r="L15" s="579" t="s">
        <v>11</v>
      </c>
      <c r="M15" s="581"/>
      <c r="N15" s="579" t="s">
        <v>12</v>
      </c>
      <c r="O15" s="581"/>
      <c r="P15" s="94" t="s">
        <v>17</v>
      </c>
      <c r="Q15" s="94"/>
      <c r="R15" s="94">
        <v>2018</v>
      </c>
      <c r="S15" s="94">
        <v>2019</v>
      </c>
      <c r="T15" s="94">
        <v>2020</v>
      </c>
      <c r="U15" s="94">
        <v>2021</v>
      </c>
      <c r="V15" s="94">
        <v>2022</v>
      </c>
      <c r="W15" s="94" t="s">
        <v>14</v>
      </c>
      <c r="Y15" s="95"/>
      <c r="Z15" s="95"/>
    </row>
    <row r="16" spans="1:26" x14ac:dyDescent="0.25">
      <c r="A16" s="598"/>
      <c r="B16" s="599"/>
      <c r="C16" s="599"/>
      <c r="D16" s="599"/>
      <c r="E16" s="599"/>
      <c r="F16" s="599"/>
      <c r="G16" s="599"/>
      <c r="H16" s="599"/>
      <c r="I16" s="599"/>
      <c r="J16" s="600"/>
      <c r="K16" s="96"/>
      <c r="L16" s="618"/>
      <c r="M16" s="619"/>
      <c r="N16" s="618"/>
      <c r="O16" s="619"/>
      <c r="P16" s="622"/>
      <c r="Q16" s="83" t="s">
        <v>15</v>
      </c>
      <c r="R16" s="82"/>
      <c r="S16" s="83"/>
      <c r="T16" s="82"/>
      <c r="U16" s="83"/>
      <c r="V16" s="82"/>
      <c r="W16" s="82"/>
      <c r="Y16" s="97"/>
      <c r="Z16" s="97"/>
    </row>
    <row r="17" spans="1:26" ht="16.5" thickBot="1" x14ac:dyDescent="0.3">
      <c r="A17" s="604"/>
      <c r="B17" s="605"/>
      <c r="C17" s="605"/>
      <c r="D17" s="605"/>
      <c r="E17" s="605"/>
      <c r="F17" s="605"/>
      <c r="G17" s="605"/>
      <c r="H17" s="605"/>
      <c r="I17" s="605"/>
      <c r="J17" s="606"/>
      <c r="K17" s="98"/>
      <c r="L17" s="620"/>
      <c r="M17" s="621"/>
      <c r="N17" s="620"/>
      <c r="O17" s="621"/>
      <c r="P17" s="623"/>
      <c r="Q17" s="99" t="s">
        <v>16</v>
      </c>
      <c r="R17" s="100"/>
      <c r="S17" s="99"/>
      <c r="T17" s="100"/>
      <c r="U17" s="99"/>
      <c r="V17" s="100"/>
      <c r="W17" s="100"/>
      <c r="Y17" s="101"/>
      <c r="Z17" s="101"/>
    </row>
    <row r="18" spans="1:26" ht="16.5" thickBot="1" x14ac:dyDescent="0.3">
      <c r="A18" s="566"/>
      <c r="B18" s="566"/>
      <c r="C18" s="566"/>
      <c r="D18" s="566"/>
      <c r="E18" s="566"/>
      <c r="F18" s="566"/>
      <c r="G18" s="566"/>
      <c r="H18" s="566"/>
      <c r="I18" s="566"/>
      <c r="J18" s="566"/>
      <c r="K18" s="566"/>
      <c r="L18" s="566"/>
      <c r="M18" s="566"/>
      <c r="N18" s="566"/>
      <c r="O18" s="566"/>
      <c r="P18" s="566"/>
      <c r="Q18" s="566"/>
      <c r="R18" s="566"/>
      <c r="S18" s="566"/>
      <c r="T18" s="566"/>
      <c r="U18" s="566"/>
      <c r="V18" s="566"/>
      <c r="W18" s="566"/>
    </row>
    <row r="19" spans="1:26" ht="16.5" thickBot="1" x14ac:dyDescent="0.3">
      <c r="A19" s="574" t="s">
        <v>9</v>
      </c>
      <c r="B19" s="575"/>
      <c r="C19" s="565"/>
      <c r="D19" s="566"/>
      <c r="E19" s="566"/>
      <c r="F19" s="566"/>
      <c r="G19" s="566"/>
      <c r="H19" s="566"/>
      <c r="I19" s="566"/>
      <c r="J19" s="566"/>
      <c r="K19" s="566"/>
      <c r="L19" s="566"/>
      <c r="M19" s="566"/>
      <c r="N19" s="566"/>
      <c r="O19" s="566"/>
      <c r="P19" s="566"/>
      <c r="Q19" s="566"/>
      <c r="R19" s="566"/>
      <c r="S19" s="566"/>
      <c r="T19" s="566"/>
      <c r="U19" s="566"/>
      <c r="V19" s="566"/>
      <c r="W19" s="566"/>
    </row>
    <row r="20" spans="1:26" ht="16.5" thickBot="1" x14ac:dyDescent="0.3">
      <c r="A20" s="566"/>
      <c r="B20" s="566"/>
      <c r="C20" s="566"/>
      <c r="D20" s="566"/>
      <c r="E20" s="566"/>
      <c r="F20" s="566"/>
      <c r="G20" s="566"/>
      <c r="H20" s="566"/>
      <c r="I20" s="566"/>
      <c r="J20" s="566"/>
      <c r="K20" s="566"/>
      <c r="L20" s="566"/>
      <c r="M20" s="566"/>
      <c r="N20" s="566"/>
      <c r="O20" s="566"/>
      <c r="P20" s="566"/>
      <c r="Q20" s="566"/>
      <c r="R20" s="566"/>
      <c r="S20" s="566"/>
      <c r="T20" s="566"/>
      <c r="U20" s="566"/>
      <c r="V20" s="566"/>
      <c r="W20" s="566"/>
    </row>
    <row r="21" spans="1:26" ht="30.75" thickBot="1" x14ac:dyDescent="0.3">
      <c r="A21" s="576" t="s">
        <v>10</v>
      </c>
      <c r="B21" s="577"/>
      <c r="C21" s="577"/>
      <c r="D21" s="577"/>
      <c r="E21" s="577"/>
      <c r="F21" s="577"/>
      <c r="G21" s="577"/>
      <c r="H21" s="577"/>
      <c r="I21" s="577"/>
      <c r="J21" s="578"/>
      <c r="K21" s="93"/>
      <c r="L21" s="579" t="s">
        <v>11</v>
      </c>
      <c r="M21" s="581"/>
      <c r="N21" s="579" t="s">
        <v>18</v>
      </c>
      <c r="O21" s="581"/>
      <c r="P21" s="94" t="s">
        <v>13</v>
      </c>
      <c r="Q21" s="94"/>
      <c r="R21" s="94">
        <v>2018</v>
      </c>
      <c r="S21" s="94">
        <v>2019</v>
      </c>
      <c r="T21" s="94">
        <v>2020</v>
      </c>
      <c r="U21" s="94">
        <v>2021</v>
      </c>
      <c r="V21" s="94">
        <v>2022</v>
      </c>
      <c r="W21" s="94" t="s">
        <v>14</v>
      </c>
      <c r="Y21" s="95"/>
      <c r="Z21" s="95"/>
    </row>
    <row r="22" spans="1:26" x14ac:dyDescent="0.25">
      <c r="A22" s="598"/>
      <c r="B22" s="599"/>
      <c r="C22" s="599"/>
      <c r="D22" s="599"/>
      <c r="E22" s="599"/>
      <c r="F22" s="599"/>
      <c r="G22" s="599"/>
      <c r="H22" s="599"/>
      <c r="I22" s="599"/>
      <c r="J22" s="600"/>
      <c r="K22" s="96"/>
      <c r="L22" s="618"/>
      <c r="M22" s="619"/>
      <c r="N22" s="618"/>
      <c r="O22" s="619"/>
      <c r="P22" s="622"/>
      <c r="Q22" s="83" t="s">
        <v>15</v>
      </c>
      <c r="R22" s="82"/>
      <c r="S22" s="83"/>
      <c r="T22" s="82"/>
      <c r="U22" s="83"/>
      <c r="V22" s="82"/>
      <c r="W22" s="82"/>
      <c r="Y22" s="97"/>
      <c r="Z22" s="97"/>
    </row>
    <row r="23" spans="1:26" ht="16.5" thickBot="1" x14ac:dyDescent="0.3">
      <c r="A23" s="604"/>
      <c r="B23" s="605"/>
      <c r="C23" s="605"/>
      <c r="D23" s="605"/>
      <c r="E23" s="605"/>
      <c r="F23" s="605"/>
      <c r="G23" s="605"/>
      <c r="H23" s="605"/>
      <c r="I23" s="605"/>
      <c r="J23" s="606"/>
      <c r="K23" s="98"/>
      <c r="L23" s="620"/>
      <c r="M23" s="621"/>
      <c r="N23" s="620"/>
      <c r="O23" s="621"/>
      <c r="P23" s="623"/>
      <c r="Q23" s="99" t="s">
        <v>16</v>
      </c>
      <c r="R23" s="100"/>
      <c r="S23" s="99"/>
      <c r="T23" s="100"/>
      <c r="U23" s="99"/>
      <c r="V23" s="100"/>
      <c r="W23" s="100"/>
      <c r="Y23" s="101"/>
      <c r="Z23" s="101"/>
    </row>
    <row r="24" spans="1:26" ht="16.5" thickBot="1" x14ac:dyDescent="0.3">
      <c r="A24" s="566"/>
      <c r="B24" s="566"/>
      <c r="C24" s="566"/>
      <c r="D24" s="566"/>
      <c r="E24" s="566"/>
      <c r="F24" s="566"/>
      <c r="G24" s="566"/>
      <c r="H24" s="566"/>
      <c r="I24" s="566"/>
      <c r="J24" s="566"/>
      <c r="K24" s="566"/>
      <c r="L24" s="566"/>
      <c r="M24" s="566"/>
      <c r="N24" s="566"/>
      <c r="O24" s="566"/>
      <c r="P24" s="566"/>
      <c r="Q24" s="566"/>
      <c r="R24" s="566"/>
      <c r="S24" s="566"/>
      <c r="T24" s="566"/>
      <c r="U24" s="566"/>
      <c r="V24" s="566"/>
      <c r="W24" s="566"/>
    </row>
    <row r="25" spans="1:26" ht="16.5" hidden="1" thickBot="1" x14ac:dyDescent="0.3">
      <c r="A25" s="574" t="s">
        <v>19</v>
      </c>
      <c r="B25" s="582"/>
      <c r="C25" s="582"/>
      <c r="D25" s="582"/>
      <c r="E25" s="582"/>
      <c r="F25" s="582"/>
      <c r="G25" s="582"/>
      <c r="H25" s="582"/>
      <c r="I25" s="582"/>
      <c r="J25" s="582"/>
      <c r="K25" s="582"/>
      <c r="L25" s="582"/>
      <c r="M25" s="582"/>
      <c r="N25" s="582"/>
      <c r="O25" s="582"/>
      <c r="P25" s="582"/>
      <c r="Q25" s="582"/>
      <c r="R25" s="582"/>
      <c r="S25" s="582"/>
      <c r="T25" s="582"/>
      <c r="U25" s="582"/>
      <c r="V25" s="582"/>
      <c r="W25" s="575"/>
    </row>
    <row r="26" spans="1:26" ht="16.5" hidden="1" thickBot="1" x14ac:dyDescent="0.3">
      <c r="A26" s="566"/>
      <c r="B26" s="566"/>
      <c r="C26" s="566"/>
      <c r="D26" s="566"/>
      <c r="E26" s="566"/>
      <c r="F26" s="566"/>
      <c r="G26" s="566"/>
      <c r="H26" s="566"/>
      <c r="I26" s="566"/>
      <c r="J26" s="566"/>
      <c r="K26" s="566"/>
      <c r="L26" s="566"/>
      <c r="M26" s="566"/>
      <c r="N26" s="566"/>
      <c r="O26" s="566"/>
      <c r="P26" s="566"/>
      <c r="Q26" s="566"/>
      <c r="R26" s="566"/>
      <c r="S26" s="566"/>
      <c r="T26" s="566"/>
      <c r="U26" s="566"/>
      <c r="V26" s="566"/>
      <c r="W26" s="566"/>
    </row>
    <row r="27" spans="1:26" ht="16.5" hidden="1" thickBot="1" x14ac:dyDescent="0.3">
      <c r="A27" s="574" t="s">
        <v>9</v>
      </c>
      <c r="B27" s="575"/>
      <c r="C27" s="565" t="s">
        <v>20</v>
      </c>
      <c r="D27" s="566"/>
      <c r="E27" s="566"/>
      <c r="F27" s="566"/>
      <c r="G27" s="566"/>
      <c r="H27" s="566"/>
      <c r="I27" s="566"/>
      <c r="J27" s="566"/>
      <c r="K27" s="566"/>
      <c r="L27" s="566"/>
      <c r="M27" s="566"/>
      <c r="N27" s="566"/>
      <c r="O27" s="566"/>
      <c r="P27" s="566"/>
      <c r="Q27" s="566"/>
      <c r="R27" s="566"/>
      <c r="S27" s="566"/>
      <c r="T27" s="566"/>
      <c r="U27" s="566"/>
      <c r="V27" s="566"/>
      <c r="W27" s="567"/>
    </row>
    <row r="28" spans="1:26" ht="16.5" hidden="1" thickBot="1" x14ac:dyDescent="0.3">
      <c r="A28" s="566"/>
      <c r="B28" s="566"/>
      <c r="C28" s="566"/>
      <c r="D28" s="566"/>
      <c r="E28" s="566"/>
      <c r="F28" s="566"/>
      <c r="G28" s="566"/>
      <c r="H28" s="566"/>
      <c r="I28" s="566"/>
      <c r="J28" s="566"/>
      <c r="K28" s="566"/>
      <c r="L28" s="566"/>
      <c r="M28" s="566"/>
      <c r="N28" s="566"/>
      <c r="O28" s="566"/>
      <c r="P28" s="566"/>
      <c r="Q28" s="566"/>
      <c r="R28" s="566"/>
      <c r="S28" s="566"/>
      <c r="T28" s="566"/>
      <c r="U28" s="566"/>
      <c r="V28" s="566"/>
      <c r="W28" s="566"/>
    </row>
    <row r="29" spans="1:26" ht="16.5" hidden="1" thickBot="1" x14ac:dyDescent="0.3">
      <c r="A29" s="615" t="s">
        <v>10</v>
      </c>
      <c r="B29" s="616"/>
      <c r="C29" s="616"/>
      <c r="D29" s="617"/>
      <c r="E29" s="576" t="s">
        <v>11</v>
      </c>
      <c r="F29" s="577"/>
      <c r="G29" s="577"/>
      <c r="H29" s="577"/>
      <c r="I29" s="578"/>
      <c r="J29" s="576" t="s">
        <v>21</v>
      </c>
      <c r="K29" s="577"/>
      <c r="L29" s="577"/>
      <c r="M29" s="577"/>
      <c r="N29" s="577"/>
      <c r="O29" s="578"/>
      <c r="P29" s="579" t="s">
        <v>22</v>
      </c>
      <c r="Q29" s="580"/>
      <c r="R29" s="580"/>
      <c r="S29" s="580"/>
      <c r="T29" s="580"/>
      <c r="U29" s="580"/>
      <c r="V29" s="580"/>
      <c r="W29" s="581"/>
    </row>
    <row r="30" spans="1:26" ht="47.1" hidden="1" customHeight="1" thickBot="1" x14ac:dyDescent="0.3">
      <c r="A30" s="559" t="s">
        <v>23</v>
      </c>
      <c r="B30" s="560"/>
      <c r="C30" s="560"/>
      <c r="D30" s="561"/>
      <c r="E30" s="562" t="s">
        <v>6</v>
      </c>
      <c r="F30" s="563"/>
      <c r="G30" s="563"/>
      <c r="H30" s="563"/>
      <c r="I30" s="564"/>
      <c r="J30" s="565" t="s">
        <v>24</v>
      </c>
      <c r="K30" s="566"/>
      <c r="L30" s="566"/>
      <c r="M30" s="566"/>
      <c r="N30" s="566"/>
      <c r="O30" s="567"/>
      <c r="P30" s="568" t="s">
        <v>25</v>
      </c>
      <c r="Q30" s="569"/>
      <c r="R30" s="569"/>
      <c r="S30" s="569"/>
      <c r="T30" s="569"/>
      <c r="U30" s="569"/>
      <c r="V30" s="569"/>
      <c r="W30" s="569"/>
    </row>
    <row r="31" spans="1:26" ht="16.5" hidden="1" thickBot="1" x14ac:dyDescent="0.3">
      <c r="A31" s="566"/>
      <c r="B31" s="566"/>
      <c r="C31" s="566"/>
      <c r="D31" s="566"/>
      <c r="E31" s="566"/>
      <c r="F31" s="566"/>
      <c r="G31" s="566"/>
      <c r="H31" s="566"/>
      <c r="I31" s="566"/>
      <c r="J31" s="566"/>
      <c r="K31" s="566"/>
      <c r="L31" s="566"/>
      <c r="M31" s="566"/>
      <c r="N31" s="566"/>
      <c r="O31" s="566"/>
      <c r="P31" s="566"/>
      <c r="Q31" s="566"/>
      <c r="R31" s="566"/>
      <c r="S31" s="566"/>
      <c r="T31" s="566"/>
      <c r="U31" s="566"/>
      <c r="V31" s="566"/>
      <c r="W31" s="566"/>
    </row>
    <row r="32" spans="1:26" ht="16.5" hidden="1" thickBot="1" x14ac:dyDescent="0.3">
      <c r="A32" s="574" t="s">
        <v>9</v>
      </c>
      <c r="B32" s="575"/>
      <c r="C32" s="565" t="s">
        <v>26</v>
      </c>
      <c r="D32" s="566"/>
      <c r="E32" s="566"/>
      <c r="F32" s="566"/>
      <c r="G32" s="566"/>
      <c r="H32" s="566"/>
      <c r="I32" s="566"/>
      <c r="J32" s="566"/>
      <c r="K32" s="566"/>
      <c r="L32" s="566"/>
      <c r="M32" s="566"/>
      <c r="N32" s="566"/>
      <c r="O32" s="566"/>
      <c r="P32" s="566"/>
      <c r="Q32" s="566"/>
      <c r="R32" s="566"/>
      <c r="S32" s="566"/>
      <c r="T32" s="566"/>
      <c r="U32" s="566"/>
      <c r="V32" s="566"/>
      <c r="W32" s="567"/>
    </row>
    <row r="33" spans="1:26" ht="16.5" hidden="1" thickBot="1" x14ac:dyDescent="0.3">
      <c r="A33" s="566"/>
      <c r="B33" s="566"/>
      <c r="C33" s="566"/>
      <c r="D33" s="566"/>
      <c r="E33" s="566"/>
      <c r="F33" s="566"/>
      <c r="G33" s="566"/>
      <c r="H33" s="566"/>
      <c r="I33" s="566"/>
      <c r="J33" s="566"/>
      <c r="K33" s="566"/>
      <c r="L33" s="566"/>
      <c r="M33" s="566"/>
      <c r="N33" s="566"/>
      <c r="O33" s="566"/>
      <c r="P33" s="566"/>
      <c r="Q33" s="566"/>
      <c r="R33" s="566"/>
      <c r="S33" s="566"/>
      <c r="T33" s="566"/>
      <c r="U33" s="566"/>
      <c r="V33" s="566"/>
      <c r="W33" s="566"/>
    </row>
    <row r="34" spans="1:26" ht="16.5" hidden="1" thickBot="1" x14ac:dyDescent="0.3">
      <c r="A34" s="576" t="s">
        <v>10</v>
      </c>
      <c r="B34" s="577"/>
      <c r="C34" s="577"/>
      <c r="D34" s="578"/>
      <c r="E34" s="576" t="s">
        <v>11</v>
      </c>
      <c r="F34" s="577"/>
      <c r="G34" s="577"/>
      <c r="H34" s="577"/>
      <c r="I34" s="578"/>
      <c r="J34" s="576" t="s">
        <v>21</v>
      </c>
      <c r="K34" s="577"/>
      <c r="L34" s="577"/>
      <c r="M34" s="577"/>
      <c r="N34" s="577"/>
      <c r="O34" s="578"/>
      <c r="P34" s="579" t="s">
        <v>27</v>
      </c>
      <c r="Q34" s="580"/>
      <c r="R34" s="580"/>
      <c r="S34" s="580"/>
      <c r="T34" s="580"/>
      <c r="U34" s="580"/>
      <c r="V34" s="580"/>
      <c r="W34" s="581"/>
    </row>
    <row r="35" spans="1:26" ht="66" hidden="1" customHeight="1" thickBot="1" x14ac:dyDescent="0.3">
      <c r="A35" s="559" t="s">
        <v>28</v>
      </c>
      <c r="B35" s="560"/>
      <c r="C35" s="560"/>
      <c r="D35" s="561"/>
      <c r="E35" s="562" t="s">
        <v>6</v>
      </c>
      <c r="F35" s="563"/>
      <c r="G35" s="563"/>
      <c r="H35" s="563"/>
      <c r="I35" s="564"/>
      <c r="J35" s="565" t="s">
        <v>29</v>
      </c>
      <c r="K35" s="566"/>
      <c r="L35" s="566"/>
      <c r="M35" s="566"/>
      <c r="N35" s="566"/>
      <c r="O35" s="567"/>
      <c r="P35" s="568" t="s">
        <v>25</v>
      </c>
      <c r="Q35" s="569"/>
      <c r="R35" s="569"/>
      <c r="S35" s="569"/>
      <c r="T35" s="569"/>
      <c r="U35" s="569"/>
      <c r="V35" s="569"/>
      <c r="W35" s="569"/>
    </row>
    <row r="36" spans="1:26" ht="16.5" hidden="1" thickBot="1" x14ac:dyDescent="0.3">
      <c r="A36" s="566"/>
      <c r="B36" s="566"/>
      <c r="C36" s="566"/>
      <c r="D36" s="566"/>
      <c r="E36" s="566"/>
      <c r="F36" s="566"/>
      <c r="G36" s="566"/>
      <c r="H36" s="566"/>
      <c r="I36" s="566"/>
      <c r="J36" s="566"/>
      <c r="K36" s="566"/>
      <c r="L36" s="566"/>
      <c r="M36" s="566"/>
      <c r="N36" s="566"/>
      <c r="O36" s="566"/>
      <c r="P36" s="566"/>
      <c r="Q36" s="566"/>
      <c r="R36" s="566"/>
      <c r="S36" s="566"/>
      <c r="T36" s="566"/>
      <c r="U36" s="566"/>
      <c r="V36" s="566"/>
      <c r="W36" s="566"/>
    </row>
    <row r="37" spans="1:26" ht="16.5" hidden="1" thickBot="1" x14ac:dyDescent="0.3">
      <c r="A37" s="574" t="s">
        <v>9</v>
      </c>
      <c r="B37" s="575"/>
      <c r="C37" s="565" t="s">
        <v>30</v>
      </c>
      <c r="D37" s="566"/>
      <c r="E37" s="566"/>
      <c r="F37" s="566"/>
      <c r="G37" s="566"/>
      <c r="H37" s="566"/>
      <c r="I37" s="566"/>
      <c r="J37" s="566"/>
      <c r="K37" s="566"/>
      <c r="L37" s="566"/>
      <c r="M37" s="566"/>
      <c r="N37" s="566"/>
      <c r="O37" s="566"/>
      <c r="P37" s="566"/>
      <c r="Q37" s="566"/>
      <c r="R37" s="566"/>
      <c r="S37" s="566"/>
      <c r="T37" s="566"/>
      <c r="U37" s="566"/>
      <c r="V37" s="566"/>
      <c r="W37" s="566"/>
    </row>
    <row r="38" spans="1:26" ht="16.5" hidden="1" thickBot="1" x14ac:dyDescent="0.3">
      <c r="A38" s="566"/>
      <c r="B38" s="566"/>
      <c r="C38" s="566"/>
      <c r="D38" s="566"/>
      <c r="E38" s="566"/>
      <c r="F38" s="566"/>
      <c r="G38" s="566"/>
      <c r="H38" s="566"/>
      <c r="I38" s="566"/>
      <c r="J38" s="566"/>
      <c r="K38" s="566"/>
      <c r="L38" s="566"/>
      <c r="M38" s="566"/>
      <c r="N38" s="566"/>
      <c r="O38" s="566"/>
      <c r="P38" s="566"/>
      <c r="Q38" s="566"/>
      <c r="R38" s="566"/>
      <c r="S38" s="566"/>
      <c r="T38" s="566"/>
      <c r="U38" s="566"/>
      <c r="V38" s="566"/>
      <c r="W38" s="566"/>
    </row>
    <row r="39" spans="1:26" ht="16.5" hidden="1" thickBot="1" x14ac:dyDescent="0.3">
      <c r="A39" s="576" t="s">
        <v>10</v>
      </c>
      <c r="B39" s="577"/>
      <c r="C39" s="577"/>
      <c r="D39" s="578"/>
      <c r="E39" s="576" t="s">
        <v>11</v>
      </c>
      <c r="F39" s="577"/>
      <c r="G39" s="577"/>
      <c r="H39" s="577"/>
      <c r="I39" s="578"/>
      <c r="J39" s="576" t="s">
        <v>21</v>
      </c>
      <c r="K39" s="577"/>
      <c r="L39" s="577"/>
      <c r="M39" s="577"/>
      <c r="N39" s="577"/>
      <c r="O39" s="578"/>
      <c r="P39" s="579" t="s">
        <v>4</v>
      </c>
      <c r="Q39" s="580"/>
      <c r="R39" s="580"/>
      <c r="S39" s="580"/>
      <c r="T39" s="580"/>
      <c r="U39" s="580"/>
      <c r="V39" s="580"/>
      <c r="W39" s="581"/>
    </row>
    <row r="40" spans="1:26" ht="30" hidden="1" customHeight="1" thickBot="1" x14ac:dyDescent="0.3">
      <c r="A40" s="565" t="s">
        <v>31</v>
      </c>
      <c r="B40" s="566"/>
      <c r="C40" s="566"/>
      <c r="D40" s="567"/>
      <c r="E40" s="562" t="s">
        <v>6</v>
      </c>
      <c r="F40" s="563"/>
      <c r="G40" s="563"/>
      <c r="H40" s="563"/>
      <c r="I40" s="564"/>
      <c r="J40" s="565" t="s">
        <v>29</v>
      </c>
      <c r="K40" s="566"/>
      <c r="L40" s="566"/>
      <c r="M40" s="566"/>
      <c r="N40" s="566"/>
      <c r="O40" s="567"/>
      <c r="P40" s="568" t="s">
        <v>32</v>
      </c>
      <c r="Q40" s="569"/>
      <c r="R40" s="569"/>
      <c r="S40" s="569"/>
      <c r="T40" s="569"/>
      <c r="U40" s="569"/>
      <c r="V40" s="569"/>
      <c r="W40" s="570"/>
    </row>
    <row r="41" spans="1:26" ht="16.5" hidden="1" thickBot="1" x14ac:dyDescent="0.3">
      <c r="A41" s="566"/>
      <c r="B41" s="566"/>
      <c r="C41" s="566"/>
      <c r="D41" s="566"/>
      <c r="E41" s="566"/>
      <c r="F41" s="566"/>
      <c r="G41" s="566"/>
      <c r="H41" s="566"/>
      <c r="I41" s="566"/>
      <c r="J41" s="566"/>
      <c r="K41" s="566"/>
      <c r="L41" s="566"/>
      <c r="M41" s="566"/>
      <c r="N41" s="566"/>
      <c r="O41" s="566"/>
      <c r="P41" s="566"/>
      <c r="Q41" s="566"/>
      <c r="R41" s="566"/>
      <c r="S41" s="566"/>
      <c r="T41" s="566"/>
      <c r="U41" s="566"/>
      <c r="V41" s="566"/>
      <c r="W41" s="566"/>
    </row>
    <row r="42" spans="1:26" ht="16.5" thickBot="1" x14ac:dyDescent="0.3">
      <c r="A42" s="574" t="s">
        <v>33</v>
      </c>
      <c r="B42" s="582"/>
      <c r="C42" s="582"/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V42" s="582"/>
      <c r="W42" s="575"/>
    </row>
    <row r="43" spans="1:26" ht="16.5" thickBot="1" x14ac:dyDescent="0.3">
      <c r="A43" s="566"/>
      <c r="B43" s="566"/>
      <c r="C43" s="566"/>
      <c r="D43" s="566"/>
      <c r="E43" s="566"/>
      <c r="F43" s="566"/>
      <c r="G43" s="566"/>
      <c r="H43" s="566"/>
      <c r="I43" s="566"/>
      <c r="J43" s="566"/>
      <c r="K43" s="566"/>
      <c r="L43" s="566"/>
      <c r="M43" s="566"/>
      <c r="N43" s="566"/>
      <c r="O43" s="566"/>
      <c r="P43" s="566"/>
      <c r="Q43" s="566"/>
      <c r="R43" s="566"/>
      <c r="S43" s="566"/>
      <c r="T43" s="566"/>
      <c r="U43" s="566"/>
      <c r="V43" s="566"/>
      <c r="W43" s="566"/>
    </row>
    <row r="44" spans="1:26" ht="16.5" thickBot="1" x14ac:dyDescent="0.3">
      <c r="A44" s="574" t="s">
        <v>105</v>
      </c>
      <c r="B44" s="575"/>
      <c r="C44" s="565" t="s">
        <v>104</v>
      </c>
      <c r="D44" s="566"/>
      <c r="E44" s="566"/>
      <c r="F44" s="566"/>
      <c r="G44" s="566"/>
      <c r="H44" s="566"/>
      <c r="I44" s="566"/>
      <c r="J44" s="566"/>
      <c r="K44" s="566"/>
      <c r="L44" s="566"/>
      <c r="M44" s="566"/>
      <c r="N44" s="566"/>
      <c r="O44" s="566"/>
      <c r="P44" s="566"/>
      <c r="Q44" s="566"/>
      <c r="R44" s="566"/>
      <c r="S44" s="566"/>
      <c r="T44" s="566"/>
      <c r="U44" s="566"/>
      <c r="V44" s="566"/>
      <c r="W44" s="567"/>
    </row>
    <row r="45" spans="1:26" ht="16.5" thickBot="1" x14ac:dyDescent="0.3">
      <c r="A45" s="566"/>
      <c r="B45" s="566"/>
      <c r="C45" s="566"/>
      <c r="D45" s="566"/>
      <c r="E45" s="566"/>
      <c r="F45" s="566"/>
      <c r="G45" s="566"/>
      <c r="H45" s="566"/>
      <c r="I45" s="566"/>
      <c r="J45" s="566"/>
      <c r="K45" s="566"/>
      <c r="L45" s="566"/>
      <c r="M45" s="566"/>
      <c r="N45" s="566"/>
      <c r="O45" s="566"/>
      <c r="P45" s="566"/>
      <c r="Q45" s="566"/>
      <c r="R45" s="566"/>
      <c r="S45" s="566"/>
      <c r="T45" s="566"/>
      <c r="U45" s="566"/>
      <c r="V45" s="566"/>
      <c r="W45" s="566"/>
    </row>
    <row r="46" spans="1:26" ht="30.75" thickBot="1" x14ac:dyDescent="0.3">
      <c r="A46" s="576" t="s">
        <v>10</v>
      </c>
      <c r="B46" s="577"/>
      <c r="C46" s="577"/>
      <c r="D46" s="577"/>
      <c r="E46" s="577"/>
      <c r="F46" s="577"/>
      <c r="G46" s="577"/>
      <c r="H46" s="577"/>
      <c r="I46" s="577"/>
      <c r="J46" s="578"/>
      <c r="K46" s="93"/>
      <c r="L46" s="579" t="s">
        <v>35</v>
      </c>
      <c r="M46" s="581"/>
      <c r="N46" s="579" t="s">
        <v>12</v>
      </c>
      <c r="O46" s="581"/>
      <c r="P46" s="94" t="s">
        <v>36</v>
      </c>
      <c r="Q46" s="94"/>
      <c r="R46" s="94">
        <v>2018</v>
      </c>
      <c r="S46" s="94">
        <v>2019</v>
      </c>
      <c r="T46" s="94">
        <v>2020</v>
      </c>
      <c r="U46" s="94">
        <v>2021</v>
      </c>
      <c r="V46" s="94">
        <v>2022</v>
      </c>
      <c r="W46" s="94" t="s">
        <v>14</v>
      </c>
      <c r="Y46" s="95"/>
      <c r="Z46" s="95"/>
    </row>
    <row r="47" spans="1:26" x14ac:dyDescent="0.25">
      <c r="A47" s="598" t="s">
        <v>101</v>
      </c>
      <c r="B47" s="599"/>
      <c r="C47" s="599"/>
      <c r="D47" s="599"/>
      <c r="E47" s="599"/>
      <c r="F47" s="599"/>
      <c r="G47" s="599"/>
      <c r="H47" s="599"/>
      <c r="I47" s="599"/>
      <c r="J47" s="600"/>
      <c r="K47" s="96"/>
      <c r="L47" s="592" t="s">
        <v>102</v>
      </c>
      <c r="M47" s="487"/>
      <c r="N47" s="592">
        <v>0</v>
      </c>
      <c r="O47" s="487"/>
      <c r="P47" s="595">
        <v>2016</v>
      </c>
      <c r="Q47" s="83" t="s">
        <v>15</v>
      </c>
      <c r="R47" s="82">
        <v>5</v>
      </c>
      <c r="S47" s="83">
        <v>5</v>
      </c>
      <c r="T47" s="82">
        <v>5</v>
      </c>
      <c r="U47" s="83">
        <v>5</v>
      </c>
      <c r="V47" s="82">
        <v>5</v>
      </c>
      <c r="W47" s="82">
        <f>SUM(R47:V47)</f>
        <v>25</v>
      </c>
      <c r="Y47" s="102"/>
      <c r="Z47" s="102"/>
    </row>
    <row r="48" spans="1:26" x14ac:dyDescent="0.25">
      <c r="A48" s="601"/>
      <c r="B48" s="602"/>
      <c r="C48" s="602"/>
      <c r="D48" s="602"/>
      <c r="E48" s="602"/>
      <c r="F48" s="602"/>
      <c r="G48" s="602"/>
      <c r="H48" s="602"/>
      <c r="I48" s="602"/>
      <c r="J48" s="603"/>
      <c r="K48" s="103"/>
      <c r="L48" s="593"/>
      <c r="M48" s="488"/>
      <c r="N48" s="593"/>
      <c r="O48" s="488"/>
      <c r="P48" s="596"/>
      <c r="Q48" s="83" t="s">
        <v>155</v>
      </c>
      <c r="R48" s="82">
        <v>0</v>
      </c>
      <c r="S48" s="83">
        <v>5</v>
      </c>
      <c r="T48" s="82">
        <v>5</v>
      </c>
      <c r="U48" s="83">
        <v>5</v>
      </c>
      <c r="V48" s="82">
        <v>5</v>
      </c>
      <c r="W48" s="82">
        <f>SUM(R48:V48)</f>
        <v>20</v>
      </c>
      <c r="Y48" s="102"/>
      <c r="Z48" s="102"/>
    </row>
    <row r="49" spans="1:26" ht="16.5" thickBot="1" x14ac:dyDescent="0.3">
      <c r="A49" s="604"/>
      <c r="B49" s="605"/>
      <c r="C49" s="605"/>
      <c r="D49" s="605"/>
      <c r="E49" s="605"/>
      <c r="F49" s="605"/>
      <c r="G49" s="605"/>
      <c r="H49" s="605"/>
      <c r="I49" s="605"/>
      <c r="J49" s="606"/>
      <c r="K49" s="98"/>
      <c r="L49" s="594"/>
      <c r="M49" s="489"/>
      <c r="N49" s="594"/>
      <c r="O49" s="489"/>
      <c r="P49" s="597"/>
      <c r="Q49" s="99" t="s">
        <v>16</v>
      </c>
      <c r="R49" s="100"/>
      <c r="S49" s="99"/>
      <c r="T49" s="100"/>
      <c r="U49" s="99"/>
      <c r="V49" s="100"/>
      <c r="W49" s="104"/>
      <c r="Y49" s="101"/>
      <c r="Z49" s="101"/>
    </row>
    <row r="50" spans="1:26" x14ac:dyDescent="0.25">
      <c r="A50" s="598" t="s">
        <v>156</v>
      </c>
      <c r="B50" s="599"/>
      <c r="C50" s="599"/>
      <c r="D50" s="599"/>
      <c r="E50" s="599"/>
      <c r="F50" s="599"/>
      <c r="G50" s="599"/>
      <c r="H50" s="599"/>
      <c r="I50" s="599"/>
      <c r="J50" s="600"/>
      <c r="K50" s="96"/>
      <c r="L50" s="592" t="s">
        <v>102</v>
      </c>
      <c r="M50" s="487"/>
      <c r="N50" s="592">
        <v>0</v>
      </c>
      <c r="O50" s="487"/>
      <c r="P50" s="595">
        <v>2016</v>
      </c>
      <c r="Q50" s="83" t="s">
        <v>15</v>
      </c>
      <c r="R50" s="82">
        <v>0</v>
      </c>
      <c r="S50" s="83">
        <v>1</v>
      </c>
      <c r="T50" s="82">
        <v>1</v>
      </c>
      <c r="U50" s="83">
        <v>1</v>
      </c>
      <c r="V50" s="82">
        <v>1</v>
      </c>
      <c r="W50" s="82">
        <f>SUM(R50:V50)</f>
        <v>4</v>
      </c>
      <c r="Y50" s="105"/>
      <c r="Z50" s="105"/>
    </row>
    <row r="51" spans="1:26" x14ac:dyDescent="0.25">
      <c r="A51" s="601"/>
      <c r="B51" s="602"/>
      <c r="C51" s="602"/>
      <c r="D51" s="602"/>
      <c r="E51" s="602"/>
      <c r="F51" s="602"/>
      <c r="G51" s="602"/>
      <c r="H51" s="602"/>
      <c r="I51" s="602"/>
      <c r="J51" s="603"/>
      <c r="K51" s="103"/>
      <c r="L51" s="593"/>
      <c r="M51" s="488"/>
      <c r="N51" s="593"/>
      <c r="O51" s="488"/>
      <c r="P51" s="596"/>
      <c r="Q51" s="83" t="s">
        <v>155</v>
      </c>
      <c r="R51" s="82">
        <v>0</v>
      </c>
      <c r="S51" s="83">
        <v>1</v>
      </c>
      <c r="T51" s="82">
        <v>1</v>
      </c>
      <c r="U51" s="83">
        <v>1</v>
      </c>
      <c r="V51" s="82">
        <v>1</v>
      </c>
      <c r="W51" s="82">
        <v>4</v>
      </c>
      <c r="Y51" s="105"/>
      <c r="Z51" s="105"/>
    </row>
    <row r="52" spans="1:26" ht="16.5" thickBot="1" x14ac:dyDescent="0.3">
      <c r="A52" s="604"/>
      <c r="B52" s="605"/>
      <c r="C52" s="605"/>
      <c r="D52" s="605"/>
      <c r="E52" s="605"/>
      <c r="F52" s="605"/>
      <c r="G52" s="605"/>
      <c r="H52" s="605"/>
      <c r="I52" s="605"/>
      <c r="J52" s="606"/>
      <c r="K52" s="98"/>
      <c r="L52" s="594"/>
      <c r="M52" s="489"/>
      <c r="N52" s="594"/>
      <c r="O52" s="489"/>
      <c r="P52" s="597"/>
      <c r="Q52" s="99" t="s">
        <v>16</v>
      </c>
      <c r="R52" s="100"/>
      <c r="S52" s="99"/>
      <c r="T52" s="100"/>
      <c r="U52" s="99"/>
      <c r="V52" s="100"/>
      <c r="W52" s="100"/>
      <c r="Y52" s="105"/>
      <c r="Z52" s="105"/>
    </row>
    <row r="53" spans="1:26" ht="16.5" thickBot="1" x14ac:dyDescent="0.3">
      <c r="A53" s="566"/>
      <c r="B53" s="566"/>
      <c r="C53" s="566"/>
      <c r="D53" s="566"/>
      <c r="E53" s="566"/>
      <c r="F53" s="566"/>
      <c r="G53" s="566"/>
      <c r="H53" s="566"/>
      <c r="I53" s="566"/>
      <c r="J53" s="566"/>
      <c r="K53" s="566"/>
      <c r="L53" s="566"/>
      <c r="M53" s="566"/>
      <c r="N53" s="566"/>
      <c r="O53" s="566"/>
      <c r="P53" s="566"/>
      <c r="Q53" s="566"/>
      <c r="R53" s="566"/>
      <c r="S53" s="566"/>
      <c r="T53" s="566"/>
      <c r="U53" s="566"/>
      <c r="V53" s="566"/>
      <c r="W53" s="566"/>
    </row>
    <row r="54" spans="1:26" ht="16.5" customHeight="1" thickBot="1" x14ac:dyDescent="0.3">
      <c r="A54" s="574" t="s">
        <v>106</v>
      </c>
      <c r="B54" s="575"/>
      <c r="C54" s="565" t="s">
        <v>103</v>
      </c>
      <c r="D54" s="566"/>
      <c r="E54" s="566"/>
      <c r="F54" s="566"/>
      <c r="G54" s="566"/>
      <c r="H54" s="566"/>
      <c r="I54" s="566"/>
      <c r="J54" s="566"/>
      <c r="K54" s="566"/>
      <c r="L54" s="566"/>
      <c r="M54" s="566"/>
      <c r="N54" s="566"/>
      <c r="O54" s="566"/>
      <c r="P54" s="566"/>
      <c r="Q54" s="566"/>
      <c r="R54" s="566"/>
      <c r="S54" s="566"/>
      <c r="T54" s="566"/>
      <c r="U54" s="566"/>
      <c r="V54" s="566"/>
      <c r="W54" s="567"/>
    </row>
    <row r="55" spans="1:26" ht="16.5" thickBot="1" x14ac:dyDescent="0.3">
      <c r="A55" s="566"/>
      <c r="B55" s="566"/>
      <c r="C55" s="566"/>
      <c r="D55" s="566"/>
      <c r="E55" s="566"/>
      <c r="F55" s="566"/>
      <c r="G55" s="566"/>
      <c r="H55" s="566"/>
      <c r="I55" s="566"/>
      <c r="J55" s="566"/>
      <c r="K55" s="566"/>
      <c r="L55" s="566"/>
      <c r="M55" s="566"/>
      <c r="N55" s="566"/>
      <c r="O55" s="566"/>
      <c r="P55" s="566"/>
      <c r="Q55" s="566"/>
      <c r="R55" s="566"/>
      <c r="S55" s="566"/>
      <c r="T55" s="566"/>
      <c r="U55" s="566"/>
      <c r="V55" s="566"/>
      <c r="W55" s="566"/>
    </row>
    <row r="56" spans="1:26" ht="30.75" thickBot="1" x14ac:dyDescent="0.3">
      <c r="A56" s="576" t="s">
        <v>10</v>
      </c>
      <c r="B56" s="577"/>
      <c r="C56" s="577"/>
      <c r="D56" s="577"/>
      <c r="E56" s="577"/>
      <c r="F56" s="577"/>
      <c r="G56" s="577"/>
      <c r="H56" s="577"/>
      <c r="I56" s="577"/>
      <c r="J56" s="578"/>
      <c r="K56" s="93"/>
      <c r="L56" s="579" t="s">
        <v>11</v>
      </c>
      <c r="M56" s="581"/>
      <c r="N56" s="579" t="s">
        <v>18</v>
      </c>
      <c r="O56" s="581"/>
      <c r="P56" s="94" t="s">
        <v>36</v>
      </c>
      <c r="Q56" s="94"/>
      <c r="R56" s="94">
        <v>2018</v>
      </c>
      <c r="S56" s="94">
        <v>2019</v>
      </c>
      <c r="T56" s="94">
        <v>2020</v>
      </c>
      <c r="U56" s="94">
        <v>2021</v>
      </c>
      <c r="V56" s="94">
        <v>2022</v>
      </c>
      <c r="W56" s="94" t="s">
        <v>14</v>
      </c>
      <c r="Y56" s="95"/>
      <c r="Z56" s="95"/>
    </row>
    <row r="57" spans="1:26" x14ac:dyDescent="0.25">
      <c r="A57" s="598" t="s">
        <v>110</v>
      </c>
      <c r="B57" s="599"/>
      <c r="C57" s="599"/>
      <c r="D57" s="599"/>
      <c r="E57" s="599"/>
      <c r="F57" s="599"/>
      <c r="G57" s="599"/>
      <c r="H57" s="599"/>
      <c r="I57" s="599"/>
      <c r="J57" s="600"/>
      <c r="K57" s="96"/>
      <c r="L57" s="592" t="s">
        <v>111</v>
      </c>
      <c r="M57" s="487"/>
      <c r="N57" s="592">
        <v>46000</v>
      </c>
      <c r="O57" s="487"/>
      <c r="P57" s="595">
        <v>2016</v>
      </c>
      <c r="Q57" s="83" t="s">
        <v>15</v>
      </c>
      <c r="R57" s="82">
        <v>46000</v>
      </c>
      <c r="S57" s="83">
        <f>R57+S58</f>
        <v>52000</v>
      </c>
      <c r="T57" s="82">
        <f>S57+T58</f>
        <v>64000</v>
      </c>
      <c r="U57" s="83">
        <f>T57+U58</f>
        <v>78200</v>
      </c>
      <c r="V57" s="82"/>
      <c r="W57" s="82">
        <v>78200</v>
      </c>
      <c r="Y57" s="102"/>
      <c r="Z57" s="102"/>
    </row>
    <row r="58" spans="1:26" x14ac:dyDescent="0.25">
      <c r="A58" s="601"/>
      <c r="B58" s="602"/>
      <c r="C58" s="602"/>
      <c r="D58" s="602"/>
      <c r="E58" s="602"/>
      <c r="F58" s="602"/>
      <c r="G58" s="602"/>
      <c r="H58" s="602"/>
      <c r="I58" s="602"/>
      <c r="J58" s="603"/>
      <c r="K58" s="103"/>
      <c r="L58" s="593"/>
      <c r="M58" s="488"/>
      <c r="N58" s="593"/>
      <c r="O58" s="488"/>
      <c r="P58" s="596"/>
      <c r="Q58" s="83" t="s">
        <v>155</v>
      </c>
      <c r="R58" s="82">
        <v>0</v>
      </c>
      <c r="S58" s="83">
        <v>6000</v>
      </c>
      <c r="T58" s="82">
        <v>12000</v>
      </c>
      <c r="U58" s="83">
        <v>14200</v>
      </c>
      <c r="V58" s="82"/>
      <c r="W58" s="82"/>
      <c r="Y58" s="102"/>
      <c r="Z58" s="102"/>
    </row>
    <row r="59" spans="1:26" ht="16.5" thickBot="1" x14ac:dyDescent="0.3">
      <c r="A59" s="604"/>
      <c r="B59" s="605"/>
      <c r="C59" s="605"/>
      <c r="D59" s="605"/>
      <c r="E59" s="605"/>
      <c r="F59" s="605"/>
      <c r="G59" s="605"/>
      <c r="H59" s="605"/>
      <c r="I59" s="605"/>
      <c r="J59" s="606"/>
      <c r="K59" s="98"/>
      <c r="L59" s="594"/>
      <c r="M59" s="489"/>
      <c r="N59" s="594"/>
      <c r="O59" s="489"/>
      <c r="P59" s="597"/>
      <c r="Q59" s="99" t="s">
        <v>16</v>
      </c>
      <c r="R59" s="100"/>
      <c r="S59" s="99"/>
      <c r="T59" s="100"/>
      <c r="U59" s="99"/>
      <c r="V59" s="100"/>
      <c r="W59" s="100"/>
      <c r="Y59" s="101"/>
      <c r="Z59" s="101"/>
    </row>
    <row r="60" spans="1:26" x14ac:dyDescent="0.25">
      <c r="A60" s="607" t="s">
        <v>112</v>
      </c>
      <c r="B60" s="608"/>
      <c r="C60" s="608"/>
      <c r="D60" s="608"/>
      <c r="E60" s="608"/>
      <c r="F60" s="608"/>
      <c r="G60" s="608"/>
      <c r="H60" s="608"/>
      <c r="I60" s="608"/>
      <c r="J60" s="609"/>
      <c r="K60" s="96"/>
      <c r="L60" s="592" t="s">
        <v>113</v>
      </c>
      <c r="M60" s="487"/>
      <c r="N60" s="592">
        <v>103000</v>
      </c>
      <c r="O60" s="487"/>
      <c r="P60" s="595">
        <v>2016</v>
      </c>
      <c r="Q60" s="83" t="s">
        <v>15</v>
      </c>
      <c r="R60" s="106">
        <v>111500</v>
      </c>
      <c r="S60" s="107">
        <v>162000</v>
      </c>
      <c r="T60" s="106">
        <v>169000</v>
      </c>
      <c r="U60" s="107">
        <v>183000</v>
      </c>
      <c r="V60" s="106">
        <v>183000</v>
      </c>
      <c r="W60" s="106">
        <v>183000</v>
      </c>
      <c r="Y60" s="97"/>
      <c r="Z60" s="97"/>
    </row>
    <row r="61" spans="1:26" ht="16.5" thickBot="1" x14ac:dyDescent="0.3">
      <c r="A61" s="610"/>
      <c r="B61" s="358"/>
      <c r="C61" s="358"/>
      <c r="D61" s="358"/>
      <c r="E61" s="358"/>
      <c r="F61" s="358"/>
      <c r="G61" s="358"/>
      <c r="H61" s="358"/>
      <c r="I61" s="358"/>
      <c r="J61" s="611"/>
      <c r="K61" s="103"/>
      <c r="L61" s="593"/>
      <c r="M61" s="488"/>
      <c r="N61" s="593"/>
      <c r="O61" s="488"/>
      <c r="P61" s="596"/>
      <c r="Q61" s="83" t="s">
        <v>155</v>
      </c>
      <c r="R61" s="104">
        <v>119000</v>
      </c>
      <c r="S61" s="109">
        <v>159000</v>
      </c>
      <c r="T61" s="104">
        <v>169000</v>
      </c>
      <c r="U61" s="109">
        <v>183000</v>
      </c>
      <c r="V61" s="104">
        <v>183000</v>
      </c>
      <c r="W61" s="104">
        <v>183000</v>
      </c>
      <c r="Y61" s="97"/>
      <c r="Z61" s="97"/>
    </row>
    <row r="62" spans="1:26" ht="16.5" thickBot="1" x14ac:dyDescent="0.3">
      <c r="A62" s="612"/>
      <c r="B62" s="613"/>
      <c r="C62" s="613"/>
      <c r="D62" s="613"/>
      <c r="E62" s="613"/>
      <c r="F62" s="613"/>
      <c r="G62" s="613"/>
      <c r="H62" s="613"/>
      <c r="I62" s="613"/>
      <c r="J62" s="614"/>
      <c r="K62" s="98"/>
      <c r="L62" s="594"/>
      <c r="M62" s="489"/>
      <c r="N62" s="594"/>
      <c r="O62" s="489"/>
      <c r="P62" s="597"/>
      <c r="Q62" s="99" t="s">
        <v>16</v>
      </c>
      <c r="R62" s="104"/>
      <c r="S62" s="109"/>
      <c r="T62" s="104"/>
      <c r="U62" s="109"/>
      <c r="V62" s="104"/>
      <c r="W62" s="104"/>
      <c r="Y62" s="97"/>
      <c r="Z62" s="97"/>
    </row>
    <row r="63" spans="1:26" x14ac:dyDescent="0.25">
      <c r="A63" s="583" t="s">
        <v>114</v>
      </c>
      <c r="B63" s="584"/>
      <c r="C63" s="584"/>
      <c r="D63" s="584"/>
      <c r="E63" s="584"/>
      <c r="F63" s="584"/>
      <c r="G63" s="584"/>
      <c r="H63" s="584"/>
      <c r="I63" s="584"/>
      <c r="J63" s="585"/>
      <c r="K63" s="96"/>
      <c r="L63" s="592" t="s">
        <v>6</v>
      </c>
      <c r="M63" s="487"/>
      <c r="N63" s="592">
        <v>0.54</v>
      </c>
      <c r="O63" s="487"/>
      <c r="P63" s="595">
        <v>2016</v>
      </c>
      <c r="Q63" s="83" t="s">
        <v>15</v>
      </c>
      <c r="R63" s="82">
        <v>56</v>
      </c>
      <c r="S63" s="83">
        <v>59</v>
      </c>
      <c r="T63" s="82">
        <v>63</v>
      </c>
      <c r="U63" s="83">
        <v>66</v>
      </c>
      <c r="V63" s="82">
        <v>71</v>
      </c>
      <c r="W63" s="82">
        <v>75</v>
      </c>
      <c r="Y63" s="102"/>
      <c r="Z63" s="102"/>
    </row>
    <row r="64" spans="1:26" ht="16.5" thickBot="1" x14ac:dyDescent="0.3">
      <c r="A64" s="586"/>
      <c r="B64" s="587"/>
      <c r="C64" s="587"/>
      <c r="D64" s="587"/>
      <c r="E64" s="587"/>
      <c r="F64" s="587"/>
      <c r="G64" s="587"/>
      <c r="H64" s="587"/>
      <c r="I64" s="587"/>
      <c r="J64" s="588"/>
      <c r="K64" s="103"/>
      <c r="L64" s="593"/>
      <c r="M64" s="488"/>
      <c r="N64" s="593"/>
      <c r="O64" s="488"/>
      <c r="P64" s="596"/>
      <c r="Q64" s="99" t="s">
        <v>155</v>
      </c>
      <c r="R64" s="100">
        <v>56</v>
      </c>
      <c r="S64" s="99">
        <v>59</v>
      </c>
      <c r="T64" s="100">
        <v>63</v>
      </c>
      <c r="U64" s="99">
        <v>66</v>
      </c>
      <c r="V64" s="100">
        <v>71</v>
      </c>
      <c r="W64" s="100">
        <v>75</v>
      </c>
      <c r="Y64" s="102"/>
      <c r="Z64" s="102"/>
    </row>
    <row r="65" spans="1:26" ht="16.5" thickBot="1" x14ac:dyDescent="0.3">
      <c r="A65" s="589"/>
      <c r="B65" s="590"/>
      <c r="C65" s="590"/>
      <c r="D65" s="590"/>
      <c r="E65" s="590"/>
      <c r="F65" s="590"/>
      <c r="G65" s="590"/>
      <c r="H65" s="590"/>
      <c r="I65" s="590"/>
      <c r="J65" s="591"/>
      <c r="K65" s="98"/>
      <c r="L65" s="594"/>
      <c r="M65" s="489"/>
      <c r="N65" s="594"/>
      <c r="O65" s="489"/>
      <c r="P65" s="597"/>
      <c r="Q65" s="99" t="s">
        <v>16</v>
      </c>
      <c r="R65" s="100"/>
      <c r="S65" s="99"/>
      <c r="T65" s="100"/>
      <c r="U65" s="99"/>
      <c r="V65" s="100"/>
      <c r="W65" s="100"/>
      <c r="Y65" s="101"/>
      <c r="Z65" s="101"/>
    </row>
    <row r="66" spans="1:26" x14ac:dyDescent="0.25">
      <c r="A66" s="583" t="s">
        <v>115</v>
      </c>
      <c r="B66" s="584"/>
      <c r="C66" s="584"/>
      <c r="D66" s="584"/>
      <c r="E66" s="584"/>
      <c r="F66" s="584"/>
      <c r="G66" s="584"/>
      <c r="H66" s="584"/>
      <c r="I66" s="584"/>
      <c r="J66" s="585"/>
      <c r="K66" s="96"/>
      <c r="L66" s="592" t="s">
        <v>116</v>
      </c>
      <c r="M66" s="487"/>
      <c r="N66" s="592">
        <v>0.67</v>
      </c>
      <c r="O66" s="487"/>
      <c r="P66" s="595">
        <v>2016</v>
      </c>
      <c r="Q66" s="83" t="s">
        <v>15</v>
      </c>
      <c r="R66" s="82">
        <v>0.9</v>
      </c>
      <c r="S66" s="83">
        <v>1.07</v>
      </c>
      <c r="T66" s="82">
        <v>1.22</v>
      </c>
      <c r="U66" s="83">
        <v>1.32</v>
      </c>
      <c r="V66" s="82">
        <v>1.41</v>
      </c>
      <c r="W66" s="82">
        <v>1.41</v>
      </c>
      <c r="Y66" s="102"/>
      <c r="Z66" s="102"/>
    </row>
    <row r="67" spans="1:26" ht="16.5" thickBot="1" x14ac:dyDescent="0.3">
      <c r="A67" s="586"/>
      <c r="B67" s="587"/>
      <c r="C67" s="587"/>
      <c r="D67" s="587"/>
      <c r="E67" s="587"/>
      <c r="F67" s="587"/>
      <c r="G67" s="587"/>
      <c r="H67" s="587"/>
      <c r="I67" s="587"/>
      <c r="J67" s="588"/>
      <c r="K67" s="103"/>
      <c r="L67" s="593"/>
      <c r="M67" s="488"/>
      <c r="N67" s="593"/>
      <c r="O67" s="488"/>
      <c r="P67" s="596"/>
      <c r="Q67" s="99" t="s">
        <v>155</v>
      </c>
      <c r="R67" s="100">
        <v>0</v>
      </c>
      <c r="S67" s="99">
        <v>1.07</v>
      </c>
      <c r="T67" s="100">
        <v>1.22</v>
      </c>
      <c r="U67" s="99">
        <v>1.32</v>
      </c>
      <c r="V67" s="100">
        <v>1.41</v>
      </c>
      <c r="W67" s="100">
        <v>1.41</v>
      </c>
      <c r="Y67" s="102"/>
      <c r="Z67" s="102"/>
    </row>
    <row r="68" spans="1:26" ht="16.5" thickBot="1" x14ac:dyDescent="0.3">
      <c r="A68" s="589"/>
      <c r="B68" s="590"/>
      <c r="C68" s="590"/>
      <c r="D68" s="590"/>
      <c r="E68" s="590"/>
      <c r="F68" s="590"/>
      <c r="G68" s="590"/>
      <c r="H68" s="590"/>
      <c r="I68" s="590"/>
      <c r="J68" s="591"/>
      <c r="K68" s="98"/>
      <c r="L68" s="594"/>
      <c r="M68" s="489"/>
      <c r="N68" s="594"/>
      <c r="O68" s="489"/>
      <c r="P68" s="597"/>
      <c r="Q68" s="99" t="s">
        <v>16</v>
      </c>
      <c r="R68" s="100"/>
      <c r="S68" s="99"/>
      <c r="T68" s="100"/>
      <c r="U68" s="99"/>
      <c r="V68" s="100"/>
      <c r="W68" s="100"/>
      <c r="Y68" s="101"/>
      <c r="Z68" s="101"/>
    </row>
    <row r="69" spans="1:26" ht="16.5" thickBot="1" x14ac:dyDescent="0.3">
      <c r="A69" s="566"/>
      <c r="B69" s="566"/>
      <c r="C69" s="566"/>
      <c r="D69" s="566"/>
      <c r="E69" s="566"/>
      <c r="F69" s="566"/>
      <c r="G69" s="566"/>
      <c r="H69" s="566"/>
      <c r="I69" s="566"/>
      <c r="J69" s="566"/>
      <c r="K69" s="566"/>
      <c r="L69" s="566"/>
      <c r="M69" s="566"/>
      <c r="N69" s="566"/>
      <c r="O69" s="566"/>
      <c r="P69" s="566"/>
      <c r="Q69" s="566"/>
      <c r="R69" s="566"/>
      <c r="S69" s="566"/>
      <c r="T69" s="566"/>
      <c r="U69" s="566"/>
      <c r="V69" s="566"/>
      <c r="W69" s="566"/>
    </row>
    <row r="70" spans="1:26" ht="16.5" customHeight="1" thickBot="1" x14ac:dyDescent="0.3">
      <c r="A70" s="574" t="s">
        <v>117</v>
      </c>
      <c r="B70" s="575"/>
      <c r="C70" s="565" t="s">
        <v>118</v>
      </c>
      <c r="D70" s="566"/>
      <c r="E70" s="566"/>
      <c r="F70" s="566"/>
      <c r="G70" s="566"/>
      <c r="H70" s="566"/>
      <c r="I70" s="566"/>
      <c r="J70" s="566"/>
      <c r="K70" s="566"/>
      <c r="L70" s="566"/>
      <c r="M70" s="566"/>
      <c r="N70" s="566"/>
      <c r="O70" s="566"/>
      <c r="P70" s="566"/>
      <c r="Q70" s="566"/>
      <c r="R70" s="566"/>
      <c r="S70" s="566"/>
      <c r="T70" s="566"/>
      <c r="U70" s="566"/>
      <c r="V70" s="566"/>
      <c r="W70" s="567"/>
    </row>
    <row r="71" spans="1:26" ht="16.5" thickBot="1" x14ac:dyDescent="0.3">
      <c r="A71" s="566"/>
      <c r="B71" s="566"/>
      <c r="C71" s="566"/>
      <c r="D71" s="566"/>
      <c r="E71" s="566"/>
      <c r="F71" s="566"/>
      <c r="G71" s="566"/>
      <c r="H71" s="566"/>
      <c r="I71" s="566"/>
      <c r="J71" s="566"/>
      <c r="K71" s="566"/>
      <c r="L71" s="566"/>
      <c r="M71" s="566"/>
      <c r="N71" s="566"/>
      <c r="O71" s="566"/>
      <c r="P71" s="566"/>
      <c r="Q71" s="566"/>
      <c r="R71" s="566"/>
      <c r="S71" s="566"/>
      <c r="T71" s="566"/>
      <c r="U71" s="566"/>
      <c r="V71" s="566"/>
      <c r="W71" s="566"/>
    </row>
    <row r="72" spans="1:26" ht="30.75" thickBot="1" x14ac:dyDescent="0.3">
      <c r="A72" s="576" t="s">
        <v>10</v>
      </c>
      <c r="B72" s="577"/>
      <c r="C72" s="577"/>
      <c r="D72" s="577"/>
      <c r="E72" s="577"/>
      <c r="F72" s="577"/>
      <c r="G72" s="577"/>
      <c r="H72" s="577"/>
      <c r="I72" s="577"/>
      <c r="J72" s="578"/>
      <c r="K72" s="93"/>
      <c r="L72" s="579" t="s">
        <v>11</v>
      </c>
      <c r="M72" s="581"/>
      <c r="N72" s="579" t="s">
        <v>18</v>
      </c>
      <c r="O72" s="581"/>
      <c r="P72" s="94" t="s">
        <v>36</v>
      </c>
      <c r="Q72" s="94"/>
      <c r="R72" s="94">
        <v>2018</v>
      </c>
      <c r="S72" s="94">
        <v>2019</v>
      </c>
      <c r="T72" s="94">
        <v>2020</v>
      </c>
      <c r="U72" s="94">
        <v>2021</v>
      </c>
      <c r="V72" s="94">
        <v>2022</v>
      </c>
      <c r="W72" s="94" t="s">
        <v>14</v>
      </c>
      <c r="Y72" s="110"/>
      <c r="Z72" s="110"/>
    </row>
    <row r="73" spans="1:26" ht="18" x14ac:dyDescent="0.25">
      <c r="A73" s="583" t="s">
        <v>157</v>
      </c>
      <c r="B73" s="584"/>
      <c r="C73" s="584"/>
      <c r="D73" s="584"/>
      <c r="E73" s="584"/>
      <c r="F73" s="584"/>
      <c r="G73" s="584"/>
      <c r="H73" s="584"/>
      <c r="I73" s="584"/>
      <c r="J73" s="585"/>
      <c r="K73" s="96"/>
      <c r="L73" s="592" t="s">
        <v>120</v>
      </c>
      <c r="M73" s="487"/>
      <c r="N73" s="592">
        <v>0.44</v>
      </c>
      <c r="O73" s="487"/>
      <c r="P73" s="595">
        <v>2016</v>
      </c>
      <c r="Q73" s="83" t="s">
        <v>15</v>
      </c>
      <c r="R73" s="82">
        <v>0</v>
      </c>
      <c r="S73" s="83">
        <v>0</v>
      </c>
      <c r="T73" s="82">
        <v>0</v>
      </c>
      <c r="U73" s="83">
        <v>0</v>
      </c>
      <c r="V73" s="82">
        <v>0.6</v>
      </c>
      <c r="W73" s="82">
        <v>0.6</v>
      </c>
      <c r="Y73" s="111"/>
      <c r="Z73" s="111"/>
    </row>
    <row r="74" spans="1:26" ht="18.75" thickBot="1" x14ac:dyDescent="0.3">
      <c r="A74" s="586"/>
      <c r="B74" s="587"/>
      <c r="C74" s="587"/>
      <c r="D74" s="587"/>
      <c r="E74" s="587"/>
      <c r="F74" s="587"/>
      <c r="G74" s="587"/>
      <c r="H74" s="587"/>
      <c r="I74" s="587"/>
      <c r="J74" s="588"/>
      <c r="K74" s="103"/>
      <c r="L74" s="593"/>
      <c r="M74" s="488"/>
      <c r="N74" s="593"/>
      <c r="O74" s="488"/>
      <c r="P74" s="596"/>
      <c r="Q74" s="99" t="s">
        <v>155</v>
      </c>
      <c r="R74" s="100"/>
      <c r="S74" s="99"/>
      <c r="T74" s="100"/>
      <c r="U74" s="99"/>
      <c r="V74" s="100"/>
      <c r="W74" s="100"/>
      <c r="Y74" s="111"/>
      <c r="Z74" s="111"/>
    </row>
    <row r="75" spans="1:26" ht="18.75" thickBot="1" x14ac:dyDescent="0.3">
      <c r="A75" s="589"/>
      <c r="B75" s="590"/>
      <c r="C75" s="590"/>
      <c r="D75" s="590"/>
      <c r="E75" s="590"/>
      <c r="F75" s="590"/>
      <c r="G75" s="590"/>
      <c r="H75" s="590"/>
      <c r="I75" s="590"/>
      <c r="J75" s="591"/>
      <c r="K75" s="98"/>
      <c r="L75" s="594"/>
      <c r="M75" s="489"/>
      <c r="N75" s="594"/>
      <c r="O75" s="489"/>
      <c r="P75" s="597"/>
      <c r="Q75" s="99" t="s">
        <v>16</v>
      </c>
      <c r="R75" s="100"/>
      <c r="S75" s="99"/>
      <c r="T75" s="100"/>
      <c r="U75" s="99"/>
      <c r="V75" s="100"/>
      <c r="W75" s="100"/>
      <c r="Y75" s="112"/>
      <c r="Z75" s="112"/>
    </row>
    <row r="76" spans="1:26" ht="18" x14ac:dyDescent="0.25">
      <c r="A76" s="583" t="s">
        <v>119</v>
      </c>
      <c r="B76" s="584"/>
      <c r="C76" s="584"/>
      <c r="D76" s="584"/>
      <c r="E76" s="584"/>
      <c r="F76" s="584"/>
      <c r="G76" s="584"/>
      <c r="H76" s="584"/>
      <c r="I76" s="584"/>
      <c r="J76" s="585"/>
      <c r="K76" s="96"/>
      <c r="L76" s="592" t="s">
        <v>120</v>
      </c>
      <c r="M76" s="487"/>
      <c r="N76" s="592">
        <v>0.19</v>
      </c>
      <c r="O76" s="487"/>
      <c r="P76" s="595">
        <v>2016</v>
      </c>
      <c r="Q76" s="83" t="s">
        <v>15</v>
      </c>
      <c r="R76" s="82">
        <v>0</v>
      </c>
      <c r="S76" s="83">
        <v>0</v>
      </c>
      <c r="T76" s="82">
        <v>0</v>
      </c>
      <c r="U76" s="83">
        <v>0</v>
      </c>
      <c r="V76" s="82">
        <v>0.41</v>
      </c>
      <c r="W76" s="82">
        <v>0.41</v>
      </c>
      <c r="Y76" s="111"/>
      <c r="Z76" s="111"/>
    </row>
    <row r="77" spans="1:26" ht="18.75" thickBot="1" x14ac:dyDescent="0.3">
      <c r="A77" s="586"/>
      <c r="B77" s="587"/>
      <c r="C77" s="587"/>
      <c r="D77" s="587"/>
      <c r="E77" s="587"/>
      <c r="F77" s="587"/>
      <c r="G77" s="587"/>
      <c r="H77" s="587"/>
      <c r="I77" s="587"/>
      <c r="J77" s="588"/>
      <c r="K77" s="103"/>
      <c r="L77" s="593"/>
      <c r="M77" s="488"/>
      <c r="N77" s="593"/>
      <c r="O77" s="488"/>
      <c r="P77" s="596"/>
      <c r="Q77" s="99" t="s">
        <v>155</v>
      </c>
      <c r="R77" s="100"/>
      <c r="S77" s="99"/>
      <c r="T77" s="100"/>
      <c r="U77" s="99"/>
      <c r="V77" s="100"/>
      <c r="W77" s="100"/>
      <c r="Y77" s="111"/>
      <c r="Z77" s="111"/>
    </row>
    <row r="78" spans="1:26" ht="18.75" thickBot="1" x14ac:dyDescent="0.3">
      <c r="A78" s="589"/>
      <c r="B78" s="590"/>
      <c r="C78" s="590"/>
      <c r="D78" s="590"/>
      <c r="E78" s="590"/>
      <c r="F78" s="590"/>
      <c r="G78" s="590"/>
      <c r="H78" s="590"/>
      <c r="I78" s="590"/>
      <c r="J78" s="591"/>
      <c r="K78" s="98"/>
      <c r="L78" s="594"/>
      <c r="M78" s="489"/>
      <c r="N78" s="594"/>
      <c r="O78" s="489"/>
      <c r="P78" s="597"/>
      <c r="Q78" s="99" t="s">
        <v>16</v>
      </c>
      <c r="R78" s="100"/>
      <c r="S78" s="99"/>
      <c r="T78" s="100"/>
      <c r="U78" s="99"/>
      <c r="V78" s="100"/>
      <c r="W78" s="100"/>
      <c r="Y78" s="112"/>
      <c r="Z78" s="112"/>
    </row>
    <row r="79" spans="1:26" ht="18" x14ac:dyDescent="0.25">
      <c r="A79" s="583" t="s">
        <v>121</v>
      </c>
      <c r="B79" s="584"/>
      <c r="C79" s="584"/>
      <c r="D79" s="584"/>
      <c r="E79" s="584"/>
      <c r="F79" s="584"/>
      <c r="G79" s="584"/>
      <c r="H79" s="584"/>
      <c r="I79" s="584"/>
      <c r="J79" s="585"/>
      <c r="K79" s="96"/>
      <c r="L79" s="592" t="s">
        <v>120</v>
      </c>
      <c r="M79" s="487"/>
      <c r="N79" s="592">
        <v>0.05</v>
      </c>
      <c r="O79" s="487"/>
      <c r="P79" s="595">
        <v>2016</v>
      </c>
      <c r="Q79" s="83" t="s">
        <v>15</v>
      </c>
      <c r="R79" s="82">
        <v>0</v>
      </c>
      <c r="S79" s="83">
        <v>0</v>
      </c>
      <c r="T79" s="82">
        <v>0</v>
      </c>
      <c r="U79" s="83">
        <v>0</v>
      </c>
      <c r="V79" s="82">
        <v>0.08</v>
      </c>
      <c r="W79" s="82">
        <v>0.08</v>
      </c>
      <c r="Y79" s="111"/>
      <c r="Z79" s="111"/>
    </row>
    <row r="80" spans="1:26" ht="18.75" thickBot="1" x14ac:dyDescent="0.3">
      <c r="A80" s="586"/>
      <c r="B80" s="587"/>
      <c r="C80" s="587"/>
      <c r="D80" s="587"/>
      <c r="E80" s="587"/>
      <c r="F80" s="587"/>
      <c r="G80" s="587"/>
      <c r="H80" s="587"/>
      <c r="I80" s="587"/>
      <c r="J80" s="588"/>
      <c r="K80" s="103"/>
      <c r="L80" s="593"/>
      <c r="M80" s="488"/>
      <c r="N80" s="593"/>
      <c r="O80" s="488"/>
      <c r="P80" s="596"/>
      <c r="Q80" s="99" t="s">
        <v>155</v>
      </c>
      <c r="R80" s="100"/>
      <c r="S80" s="99"/>
      <c r="T80" s="100"/>
      <c r="U80" s="99"/>
      <c r="V80" s="100"/>
      <c r="W80" s="100"/>
      <c r="Y80" s="111"/>
      <c r="Z80" s="111"/>
    </row>
    <row r="81" spans="1:26" ht="18.75" thickBot="1" x14ac:dyDescent="0.3">
      <c r="A81" s="589"/>
      <c r="B81" s="590"/>
      <c r="C81" s="590"/>
      <c r="D81" s="590"/>
      <c r="E81" s="590"/>
      <c r="F81" s="590"/>
      <c r="G81" s="590"/>
      <c r="H81" s="590"/>
      <c r="I81" s="590"/>
      <c r="J81" s="591"/>
      <c r="K81" s="98"/>
      <c r="L81" s="594"/>
      <c r="M81" s="489"/>
      <c r="N81" s="594"/>
      <c r="O81" s="489"/>
      <c r="P81" s="597"/>
      <c r="Q81" s="99" t="s">
        <v>16</v>
      </c>
      <c r="R81" s="100"/>
      <c r="S81" s="99"/>
      <c r="T81" s="100"/>
      <c r="U81" s="99"/>
      <c r="V81" s="100"/>
      <c r="W81" s="100"/>
      <c r="Y81" s="112"/>
      <c r="Z81" s="112"/>
    </row>
    <row r="82" spans="1:26" ht="18" x14ac:dyDescent="0.25">
      <c r="A82" s="583" t="s">
        <v>122</v>
      </c>
      <c r="B82" s="584"/>
      <c r="C82" s="584"/>
      <c r="D82" s="584"/>
      <c r="E82" s="584"/>
      <c r="F82" s="584"/>
      <c r="G82" s="584"/>
      <c r="H82" s="584"/>
      <c r="I82" s="584"/>
      <c r="J82" s="585"/>
      <c r="K82" s="96"/>
      <c r="L82" s="592" t="s">
        <v>123</v>
      </c>
      <c r="M82" s="487"/>
      <c r="N82" s="592">
        <v>3.3</v>
      </c>
      <c r="O82" s="487"/>
      <c r="P82" s="595">
        <v>2016</v>
      </c>
      <c r="Q82" s="83" t="s">
        <v>15</v>
      </c>
      <c r="R82" s="82">
        <v>0</v>
      </c>
      <c r="S82" s="83">
        <v>0</v>
      </c>
      <c r="T82" s="82">
        <v>0</v>
      </c>
      <c r="U82" s="83">
        <v>0</v>
      </c>
      <c r="V82" s="82">
        <v>12</v>
      </c>
      <c r="W82" s="82">
        <v>12</v>
      </c>
      <c r="Y82" s="111"/>
      <c r="Z82" s="111"/>
    </row>
    <row r="83" spans="1:26" ht="18.75" thickBot="1" x14ac:dyDescent="0.3">
      <c r="A83" s="586"/>
      <c r="B83" s="587"/>
      <c r="C83" s="587"/>
      <c r="D83" s="587"/>
      <c r="E83" s="587"/>
      <c r="F83" s="587"/>
      <c r="G83" s="587"/>
      <c r="H83" s="587"/>
      <c r="I83" s="587"/>
      <c r="J83" s="588"/>
      <c r="K83" s="103"/>
      <c r="L83" s="593"/>
      <c r="M83" s="488"/>
      <c r="N83" s="593"/>
      <c r="O83" s="488"/>
      <c r="P83" s="596"/>
      <c r="Q83" s="99" t="s">
        <v>155</v>
      </c>
      <c r="R83" s="100"/>
      <c r="S83" s="99"/>
      <c r="T83" s="100"/>
      <c r="U83" s="99"/>
      <c r="V83" s="100"/>
      <c r="W83" s="100"/>
      <c r="Y83" s="111"/>
      <c r="Z83" s="111"/>
    </row>
    <row r="84" spans="1:26" ht="18.75" thickBot="1" x14ac:dyDescent="0.3">
      <c r="A84" s="589"/>
      <c r="B84" s="590"/>
      <c r="C84" s="590"/>
      <c r="D84" s="590"/>
      <c r="E84" s="590"/>
      <c r="F84" s="590"/>
      <c r="G84" s="590"/>
      <c r="H84" s="590"/>
      <c r="I84" s="590"/>
      <c r="J84" s="591"/>
      <c r="K84" s="98"/>
      <c r="L84" s="594"/>
      <c r="M84" s="489"/>
      <c r="N84" s="594"/>
      <c r="O84" s="489"/>
      <c r="P84" s="597"/>
      <c r="Q84" s="99" t="s">
        <v>16</v>
      </c>
      <c r="R84" s="100"/>
      <c r="S84" s="99"/>
      <c r="T84" s="100"/>
      <c r="U84" s="99"/>
      <c r="V84" s="100"/>
      <c r="W84" s="100"/>
      <c r="Y84" s="112"/>
      <c r="Z84" s="112"/>
    </row>
    <row r="85" spans="1:26" ht="18" x14ac:dyDescent="0.25">
      <c r="A85" s="583" t="s">
        <v>124</v>
      </c>
      <c r="B85" s="584"/>
      <c r="C85" s="584"/>
      <c r="D85" s="584"/>
      <c r="E85" s="584"/>
      <c r="F85" s="584"/>
      <c r="G85" s="584"/>
      <c r="H85" s="584"/>
      <c r="I85" s="584"/>
      <c r="J85" s="585"/>
      <c r="K85" s="96"/>
      <c r="L85" s="592" t="s">
        <v>6</v>
      </c>
      <c r="M85" s="487"/>
      <c r="N85" s="592">
        <v>13</v>
      </c>
      <c r="O85" s="487"/>
      <c r="P85" s="595">
        <v>2016</v>
      </c>
      <c r="Q85" s="83" t="s">
        <v>15</v>
      </c>
      <c r="R85" s="82">
        <v>0</v>
      </c>
      <c r="S85" s="83">
        <v>0</v>
      </c>
      <c r="T85" s="82">
        <v>0</v>
      </c>
      <c r="U85" s="83">
        <v>0</v>
      </c>
      <c r="V85" s="82">
        <v>0.35</v>
      </c>
      <c r="W85" s="82">
        <v>0.2</v>
      </c>
      <c r="Y85" s="111"/>
      <c r="Z85" s="111"/>
    </row>
    <row r="86" spans="1:26" ht="18.75" thickBot="1" x14ac:dyDescent="0.3">
      <c r="A86" s="586"/>
      <c r="B86" s="587"/>
      <c r="C86" s="587"/>
      <c r="D86" s="587"/>
      <c r="E86" s="587"/>
      <c r="F86" s="587"/>
      <c r="G86" s="587"/>
      <c r="H86" s="587"/>
      <c r="I86" s="587"/>
      <c r="J86" s="588"/>
      <c r="K86" s="103"/>
      <c r="L86" s="593"/>
      <c r="M86" s="488"/>
      <c r="N86" s="593"/>
      <c r="O86" s="488"/>
      <c r="P86" s="596"/>
      <c r="Q86" s="99" t="s">
        <v>155</v>
      </c>
      <c r="R86" s="100"/>
      <c r="S86" s="99"/>
      <c r="T86" s="100"/>
      <c r="U86" s="99"/>
      <c r="V86" s="100"/>
      <c r="W86" s="100"/>
      <c r="Y86" s="111"/>
      <c r="Z86" s="111"/>
    </row>
    <row r="87" spans="1:26" ht="18.75" thickBot="1" x14ac:dyDescent="0.3">
      <c r="A87" s="589"/>
      <c r="B87" s="590"/>
      <c r="C87" s="590"/>
      <c r="D87" s="590"/>
      <c r="E87" s="590"/>
      <c r="F87" s="590"/>
      <c r="G87" s="590"/>
      <c r="H87" s="590"/>
      <c r="I87" s="590"/>
      <c r="J87" s="591"/>
      <c r="K87" s="98"/>
      <c r="L87" s="594"/>
      <c r="M87" s="489"/>
      <c r="N87" s="594"/>
      <c r="O87" s="489"/>
      <c r="P87" s="597"/>
      <c r="Q87" s="99" t="s">
        <v>16</v>
      </c>
      <c r="R87" s="100"/>
      <c r="S87" s="99"/>
      <c r="T87" s="100"/>
      <c r="U87" s="99"/>
      <c r="V87" s="100"/>
      <c r="W87" s="100"/>
      <c r="Y87" s="112"/>
      <c r="Z87" s="112"/>
    </row>
    <row r="88" spans="1:26" ht="18" x14ac:dyDescent="0.25">
      <c r="A88" s="583" t="s">
        <v>125</v>
      </c>
      <c r="B88" s="584"/>
      <c r="C88" s="584"/>
      <c r="D88" s="584"/>
      <c r="E88" s="584"/>
      <c r="F88" s="584"/>
      <c r="G88" s="584"/>
      <c r="H88" s="584"/>
      <c r="I88" s="584"/>
      <c r="J88" s="585"/>
      <c r="K88" s="96"/>
      <c r="L88" s="592" t="s">
        <v>6</v>
      </c>
      <c r="M88" s="487"/>
      <c r="N88" s="592">
        <v>0.05</v>
      </c>
      <c r="O88" s="487"/>
      <c r="P88" s="595">
        <v>2016</v>
      </c>
      <c r="Q88" s="83" t="s">
        <v>15</v>
      </c>
      <c r="R88" s="82">
        <v>0</v>
      </c>
      <c r="S88" s="83">
        <v>0</v>
      </c>
      <c r="T88" s="82">
        <v>0</v>
      </c>
      <c r="U88" s="83">
        <v>0</v>
      </c>
      <c r="V88" s="82">
        <v>0.2</v>
      </c>
      <c r="W88" s="82">
        <v>0.2</v>
      </c>
      <c r="Y88" s="111"/>
      <c r="Z88" s="111"/>
    </row>
    <row r="89" spans="1:26" ht="18.75" thickBot="1" x14ac:dyDescent="0.3">
      <c r="A89" s="586"/>
      <c r="B89" s="587"/>
      <c r="C89" s="587"/>
      <c r="D89" s="587"/>
      <c r="E89" s="587"/>
      <c r="F89" s="587"/>
      <c r="G89" s="587"/>
      <c r="H89" s="587"/>
      <c r="I89" s="587"/>
      <c r="J89" s="588"/>
      <c r="K89" s="103"/>
      <c r="L89" s="593"/>
      <c r="M89" s="488"/>
      <c r="N89" s="593"/>
      <c r="O89" s="488"/>
      <c r="P89" s="596"/>
      <c r="Q89" s="99" t="s">
        <v>155</v>
      </c>
      <c r="R89" s="100"/>
      <c r="S89" s="99"/>
      <c r="T89" s="100"/>
      <c r="U89" s="99"/>
      <c r="V89" s="100"/>
      <c r="W89" s="100"/>
      <c r="Y89" s="111"/>
      <c r="Z89" s="111"/>
    </row>
    <row r="90" spans="1:26" ht="18.75" thickBot="1" x14ac:dyDescent="0.3">
      <c r="A90" s="589"/>
      <c r="B90" s="590"/>
      <c r="C90" s="590"/>
      <c r="D90" s="590"/>
      <c r="E90" s="590"/>
      <c r="F90" s="590"/>
      <c r="G90" s="590"/>
      <c r="H90" s="590"/>
      <c r="I90" s="590"/>
      <c r="J90" s="591"/>
      <c r="K90" s="98"/>
      <c r="L90" s="594"/>
      <c r="M90" s="489"/>
      <c r="N90" s="594"/>
      <c r="O90" s="489"/>
      <c r="P90" s="597"/>
      <c r="Q90" s="99" t="s">
        <v>16</v>
      </c>
      <c r="R90" s="100"/>
      <c r="S90" s="99"/>
      <c r="T90" s="100"/>
      <c r="U90" s="99"/>
      <c r="V90" s="100"/>
      <c r="W90" s="100"/>
      <c r="Y90" s="112"/>
      <c r="Z90" s="112"/>
    </row>
    <row r="91" spans="1:26" ht="18" x14ac:dyDescent="0.25">
      <c r="A91" s="583" t="s">
        <v>126</v>
      </c>
      <c r="B91" s="584"/>
      <c r="C91" s="584"/>
      <c r="D91" s="584"/>
      <c r="E91" s="584"/>
      <c r="F91" s="584"/>
      <c r="G91" s="584"/>
      <c r="H91" s="584"/>
      <c r="I91" s="584"/>
      <c r="J91" s="585"/>
      <c r="K91" s="96"/>
      <c r="L91" s="592" t="s">
        <v>6</v>
      </c>
      <c r="M91" s="487"/>
      <c r="N91" s="592">
        <v>0.75</v>
      </c>
      <c r="O91" s="487"/>
      <c r="P91" s="595">
        <v>2016</v>
      </c>
      <c r="Q91" s="83" t="s">
        <v>15</v>
      </c>
      <c r="R91" s="82">
        <v>0</v>
      </c>
      <c r="S91" s="83">
        <v>0</v>
      </c>
      <c r="T91" s="82">
        <v>0</v>
      </c>
      <c r="U91" s="83">
        <v>0</v>
      </c>
      <c r="V91" s="82">
        <v>0.85</v>
      </c>
      <c r="W91" s="82">
        <v>0.85</v>
      </c>
      <c r="Y91" s="111"/>
      <c r="Z91" s="111"/>
    </row>
    <row r="92" spans="1:26" ht="18.75" thickBot="1" x14ac:dyDescent="0.3">
      <c r="A92" s="586"/>
      <c r="B92" s="587"/>
      <c r="C92" s="587"/>
      <c r="D92" s="587"/>
      <c r="E92" s="587"/>
      <c r="F92" s="587"/>
      <c r="G92" s="587"/>
      <c r="H92" s="587"/>
      <c r="I92" s="587"/>
      <c r="J92" s="588"/>
      <c r="K92" s="103"/>
      <c r="L92" s="593"/>
      <c r="M92" s="488"/>
      <c r="N92" s="593"/>
      <c r="O92" s="488"/>
      <c r="P92" s="596"/>
      <c r="Q92" s="99" t="s">
        <v>155</v>
      </c>
      <c r="R92" s="100"/>
      <c r="S92" s="99"/>
      <c r="T92" s="100"/>
      <c r="U92" s="99"/>
      <c r="V92" s="100"/>
      <c r="W92" s="100"/>
      <c r="Y92" s="111"/>
      <c r="Z92" s="111"/>
    </row>
    <row r="93" spans="1:26" ht="18.75" thickBot="1" x14ac:dyDescent="0.3">
      <c r="A93" s="589"/>
      <c r="B93" s="590"/>
      <c r="C93" s="590"/>
      <c r="D93" s="590"/>
      <c r="E93" s="590"/>
      <c r="F93" s="590"/>
      <c r="G93" s="590"/>
      <c r="H93" s="590"/>
      <c r="I93" s="590"/>
      <c r="J93" s="591"/>
      <c r="K93" s="98"/>
      <c r="L93" s="594"/>
      <c r="M93" s="489"/>
      <c r="N93" s="594"/>
      <c r="O93" s="489"/>
      <c r="P93" s="597"/>
      <c r="Q93" s="99" t="s">
        <v>16</v>
      </c>
      <c r="R93" s="100"/>
      <c r="S93" s="99"/>
      <c r="T93" s="100"/>
      <c r="U93" s="99"/>
      <c r="V93" s="100"/>
      <c r="W93" s="100"/>
      <c r="Y93" s="112"/>
      <c r="Z93" s="112"/>
    </row>
    <row r="94" spans="1:26" ht="16.5" thickBot="1" x14ac:dyDescent="0.3">
      <c r="A94" s="566"/>
      <c r="B94" s="566"/>
      <c r="C94" s="566"/>
      <c r="D94" s="566"/>
      <c r="E94" s="566"/>
      <c r="F94" s="566"/>
      <c r="G94" s="566"/>
      <c r="H94" s="566"/>
      <c r="I94" s="566"/>
      <c r="J94" s="566"/>
      <c r="K94" s="566"/>
      <c r="L94" s="566"/>
      <c r="M94" s="566"/>
      <c r="N94" s="566"/>
      <c r="O94" s="566"/>
      <c r="P94" s="566"/>
      <c r="Q94" s="566"/>
      <c r="R94" s="566"/>
      <c r="S94" s="566"/>
      <c r="T94" s="566"/>
      <c r="U94" s="566"/>
      <c r="V94" s="566"/>
      <c r="W94" s="566"/>
    </row>
    <row r="95" spans="1:26" ht="16.5" customHeight="1" thickBot="1" x14ac:dyDescent="0.3">
      <c r="A95" s="574" t="s">
        <v>128</v>
      </c>
      <c r="B95" s="575"/>
      <c r="C95" s="565" t="s">
        <v>127</v>
      </c>
      <c r="D95" s="566"/>
      <c r="E95" s="566"/>
      <c r="F95" s="566"/>
      <c r="G95" s="566"/>
      <c r="H95" s="566"/>
      <c r="I95" s="566"/>
      <c r="J95" s="566"/>
      <c r="K95" s="566"/>
      <c r="L95" s="566"/>
      <c r="M95" s="566"/>
      <c r="N95" s="566"/>
      <c r="O95" s="566"/>
      <c r="P95" s="566"/>
      <c r="Q95" s="566"/>
      <c r="R95" s="566"/>
      <c r="S95" s="566"/>
      <c r="T95" s="566"/>
      <c r="U95" s="566"/>
      <c r="V95" s="566"/>
      <c r="W95" s="567"/>
    </row>
    <row r="96" spans="1:26" ht="16.5" thickBot="1" x14ac:dyDescent="0.3">
      <c r="A96" s="566"/>
      <c r="B96" s="566"/>
      <c r="C96" s="566"/>
      <c r="D96" s="566"/>
      <c r="E96" s="566"/>
      <c r="F96" s="566"/>
      <c r="G96" s="566"/>
      <c r="H96" s="566"/>
      <c r="I96" s="566"/>
      <c r="J96" s="566"/>
      <c r="K96" s="566"/>
      <c r="L96" s="566"/>
      <c r="M96" s="566"/>
      <c r="N96" s="566"/>
      <c r="O96" s="566"/>
      <c r="P96" s="566"/>
      <c r="Q96" s="566"/>
      <c r="R96" s="566"/>
      <c r="S96" s="566"/>
      <c r="T96" s="566"/>
      <c r="U96" s="566"/>
      <c r="V96" s="566"/>
      <c r="W96" s="566"/>
    </row>
    <row r="97" spans="1:26" ht="30.75" thickBot="1" x14ac:dyDescent="0.3">
      <c r="A97" s="576" t="s">
        <v>10</v>
      </c>
      <c r="B97" s="577"/>
      <c r="C97" s="577"/>
      <c r="D97" s="577"/>
      <c r="E97" s="577"/>
      <c r="F97" s="577"/>
      <c r="G97" s="577"/>
      <c r="H97" s="577"/>
      <c r="I97" s="577"/>
      <c r="J97" s="578"/>
      <c r="K97" s="93"/>
      <c r="L97" s="576" t="s">
        <v>11</v>
      </c>
      <c r="M97" s="578"/>
      <c r="N97" s="576" t="s">
        <v>18</v>
      </c>
      <c r="O97" s="578"/>
      <c r="P97" s="95" t="s">
        <v>36</v>
      </c>
      <c r="Q97" s="94"/>
      <c r="R97" s="94">
        <v>2018</v>
      </c>
      <c r="S97" s="94">
        <v>2019</v>
      </c>
      <c r="T97" s="94">
        <v>2020</v>
      </c>
      <c r="U97" s="94">
        <v>2021</v>
      </c>
      <c r="V97" s="94">
        <v>2022</v>
      </c>
      <c r="W97" s="94" t="s">
        <v>14</v>
      </c>
      <c r="Y97" s="113"/>
      <c r="Z97" s="113"/>
    </row>
    <row r="98" spans="1:26" ht="18" x14ac:dyDescent="0.25">
      <c r="A98" s="583" t="s">
        <v>129</v>
      </c>
      <c r="B98" s="584"/>
      <c r="C98" s="584"/>
      <c r="D98" s="584"/>
      <c r="E98" s="584"/>
      <c r="F98" s="584"/>
      <c r="G98" s="584"/>
      <c r="H98" s="584"/>
      <c r="I98" s="584"/>
      <c r="J98" s="585"/>
      <c r="K98" s="96"/>
      <c r="L98" s="592" t="s">
        <v>120</v>
      </c>
      <c r="M98" s="487"/>
      <c r="N98" s="592">
        <v>0</v>
      </c>
      <c r="O98" s="487"/>
      <c r="P98" s="595">
        <v>2016</v>
      </c>
      <c r="Q98" s="83" t="s">
        <v>15</v>
      </c>
      <c r="R98" s="89">
        <v>0</v>
      </c>
      <c r="S98" s="114">
        <v>500</v>
      </c>
      <c r="T98" s="82">
        <v>1000</v>
      </c>
      <c r="U98" s="83">
        <v>1500</v>
      </c>
      <c r="V98" s="82">
        <v>2000</v>
      </c>
      <c r="W98" s="82">
        <v>4000</v>
      </c>
      <c r="Y98" s="111"/>
      <c r="Z98" s="111"/>
    </row>
    <row r="99" spans="1:26" ht="18" x14ac:dyDescent="0.25">
      <c r="A99" s="586"/>
      <c r="B99" s="587"/>
      <c r="C99" s="587"/>
      <c r="D99" s="587"/>
      <c r="E99" s="587"/>
      <c r="F99" s="587"/>
      <c r="G99" s="587"/>
      <c r="H99" s="587"/>
      <c r="I99" s="587"/>
      <c r="J99" s="588"/>
      <c r="K99" s="103"/>
      <c r="L99" s="593"/>
      <c r="M99" s="488"/>
      <c r="N99" s="593"/>
      <c r="O99" s="488"/>
      <c r="P99" s="596"/>
      <c r="Q99" s="83"/>
      <c r="S99" s="83"/>
      <c r="T99" s="82"/>
      <c r="U99" s="83"/>
      <c r="V99" s="82"/>
      <c r="W99" s="82"/>
      <c r="Y99" s="111"/>
      <c r="Z99" s="111"/>
    </row>
    <row r="100" spans="1:26" ht="18.75" thickBot="1" x14ac:dyDescent="0.3">
      <c r="A100" s="589"/>
      <c r="B100" s="590"/>
      <c r="C100" s="590"/>
      <c r="D100" s="590"/>
      <c r="E100" s="590"/>
      <c r="F100" s="590"/>
      <c r="G100" s="590"/>
      <c r="H100" s="590"/>
      <c r="I100" s="590"/>
      <c r="J100" s="591"/>
      <c r="K100" s="98">
        <f>0.2*J140</f>
        <v>62000</v>
      </c>
      <c r="L100" s="594"/>
      <c r="M100" s="489"/>
      <c r="N100" s="594"/>
      <c r="O100" s="489"/>
      <c r="P100" s="597"/>
      <c r="Q100" s="99" t="s">
        <v>16</v>
      </c>
      <c r="R100" s="100"/>
      <c r="S100" s="99"/>
      <c r="T100" s="100"/>
      <c r="U100" s="99"/>
      <c r="V100" s="100"/>
      <c r="W100" s="100"/>
      <c r="Y100" s="112"/>
      <c r="Z100" s="112"/>
    </row>
    <row r="101" spans="1:26" ht="16.5" thickBot="1" x14ac:dyDescent="0.3">
      <c r="A101" s="566"/>
      <c r="B101" s="566"/>
      <c r="C101" s="566"/>
      <c r="D101" s="566"/>
      <c r="E101" s="566"/>
      <c r="F101" s="566"/>
      <c r="G101" s="566"/>
      <c r="H101" s="566"/>
      <c r="I101" s="566"/>
      <c r="J101" s="566"/>
      <c r="K101" s="566"/>
      <c r="L101" s="566"/>
      <c r="M101" s="566"/>
      <c r="N101" s="566"/>
      <c r="O101" s="566"/>
      <c r="P101" s="566"/>
      <c r="Q101" s="566"/>
      <c r="R101" s="566"/>
      <c r="S101" s="566"/>
      <c r="T101" s="566"/>
      <c r="U101" s="566"/>
      <c r="V101" s="566"/>
      <c r="W101" s="566"/>
    </row>
    <row r="102" spans="1:26" ht="16.5" hidden="1" customHeight="1" thickBot="1" x14ac:dyDescent="0.3">
      <c r="A102" s="574" t="s">
        <v>37</v>
      </c>
      <c r="B102" s="582"/>
      <c r="C102" s="582"/>
      <c r="D102" s="582"/>
      <c r="E102" s="582"/>
      <c r="F102" s="582"/>
      <c r="G102" s="582"/>
      <c r="H102" s="582"/>
      <c r="I102" s="582"/>
      <c r="J102" s="582"/>
      <c r="K102" s="582"/>
      <c r="L102" s="582"/>
      <c r="M102" s="582"/>
      <c r="N102" s="582"/>
      <c r="O102" s="582"/>
      <c r="P102" s="582"/>
      <c r="Q102" s="582"/>
      <c r="R102" s="582"/>
      <c r="S102" s="582"/>
      <c r="T102" s="582"/>
      <c r="U102" s="582"/>
      <c r="V102" s="582"/>
      <c r="W102" s="575"/>
    </row>
    <row r="103" spans="1:26" ht="16.5" hidden="1" customHeight="1" thickBot="1" x14ac:dyDescent="0.3">
      <c r="A103" s="566"/>
      <c r="B103" s="566"/>
      <c r="C103" s="566"/>
      <c r="D103" s="566"/>
      <c r="E103" s="566"/>
      <c r="F103" s="566"/>
      <c r="G103" s="566"/>
      <c r="H103" s="566"/>
      <c r="I103" s="566"/>
      <c r="J103" s="566"/>
      <c r="K103" s="566"/>
      <c r="L103" s="566"/>
      <c r="M103" s="566"/>
      <c r="N103" s="566"/>
      <c r="O103" s="566"/>
      <c r="P103" s="566"/>
      <c r="Q103" s="566"/>
      <c r="R103" s="566"/>
      <c r="S103" s="566"/>
      <c r="T103" s="566"/>
      <c r="U103" s="566"/>
      <c r="V103" s="566"/>
      <c r="W103" s="566"/>
    </row>
    <row r="104" spans="1:26" ht="16.5" hidden="1" customHeight="1" thickBot="1" x14ac:dyDescent="0.3">
      <c r="A104" s="574" t="s">
        <v>34</v>
      </c>
      <c r="B104" s="575"/>
      <c r="C104" s="565" t="s">
        <v>38</v>
      </c>
      <c r="D104" s="566"/>
      <c r="E104" s="566"/>
      <c r="F104" s="566"/>
      <c r="G104" s="566"/>
      <c r="H104" s="566"/>
      <c r="I104" s="566"/>
      <c r="J104" s="566"/>
      <c r="K104" s="566"/>
      <c r="L104" s="566"/>
      <c r="M104" s="566"/>
      <c r="N104" s="566"/>
      <c r="O104" s="566"/>
      <c r="P104" s="566"/>
      <c r="Q104" s="566"/>
      <c r="R104" s="566"/>
      <c r="S104" s="566"/>
      <c r="T104" s="566"/>
      <c r="U104" s="566"/>
      <c r="V104" s="566"/>
      <c r="W104" s="567"/>
    </row>
    <row r="105" spans="1:26" ht="16.5" hidden="1" customHeight="1" thickBot="1" x14ac:dyDescent="0.3">
      <c r="A105" s="566"/>
      <c r="B105" s="566"/>
      <c r="C105" s="566"/>
      <c r="D105" s="566"/>
      <c r="E105" s="566"/>
      <c r="F105" s="566"/>
      <c r="G105" s="566"/>
      <c r="H105" s="566"/>
      <c r="I105" s="566"/>
      <c r="J105" s="566"/>
      <c r="K105" s="566"/>
      <c r="L105" s="566"/>
      <c r="M105" s="566"/>
      <c r="N105" s="566"/>
      <c r="O105" s="566"/>
      <c r="P105" s="566"/>
      <c r="Q105" s="566"/>
      <c r="R105" s="566"/>
      <c r="S105" s="566"/>
      <c r="T105" s="566"/>
      <c r="U105" s="566"/>
      <c r="V105" s="566"/>
      <c r="W105" s="566"/>
    </row>
    <row r="106" spans="1:26" ht="16.5" hidden="1" customHeight="1" thickBot="1" x14ac:dyDescent="0.3">
      <c r="A106" s="576" t="s">
        <v>39</v>
      </c>
      <c r="B106" s="577"/>
      <c r="C106" s="577"/>
      <c r="D106" s="578"/>
      <c r="E106" s="576" t="s">
        <v>40</v>
      </c>
      <c r="F106" s="577"/>
      <c r="G106" s="577"/>
      <c r="H106" s="577"/>
      <c r="I106" s="578"/>
      <c r="J106" s="576" t="s">
        <v>21</v>
      </c>
      <c r="K106" s="577"/>
      <c r="L106" s="577"/>
      <c r="M106" s="577"/>
      <c r="N106" s="577"/>
      <c r="O106" s="578"/>
      <c r="P106" s="579" t="s">
        <v>22</v>
      </c>
      <c r="Q106" s="580"/>
      <c r="R106" s="580"/>
      <c r="S106" s="580"/>
      <c r="T106" s="580"/>
      <c r="U106" s="580"/>
      <c r="V106" s="580"/>
      <c r="W106" s="581"/>
    </row>
    <row r="107" spans="1:26" ht="20.100000000000001" hidden="1" customHeight="1" thickBot="1" x14ac:dyDescent="0.3">
      <c r="A107" s="559" t="s">
        <v>41</v>
      </c>
      <c r="B107" s="560"/>
      <c r="C107" s="560"/>
      <c r="D107" s="561"/>
      <c r="E107" s="562" t="s">
        <v>6</v>
      </c>
      <c r="F107" s="563"/>
      <c r="G107" s="563"/>
      <c r="H107" s="563"/>
      <c r="I107" s="564"/>
      <c r="J107" s="565" t="s">
        <v>42</v>
      </c>
      <c r="K107" s="566"/>
      <c r="L107" s="566"/>
      <c r="M107" s="566"/>
      <c r="N107" s="566"/>
      <c r="O107" s="566"/>
      <c r="P107" s="569" t="s">
        <v>43</v>
      </c>
      <c r="Q107" s="569"/>
      <c r="R107" s="569"/>
      <c r="S107" s="569"/>
      <c r="T107" s="569"/>
      <c r="U107" s="569"/>
      <c r="V107" s="569"/>
      <c r="W107" s="570"/>
    </row>
    <row r="108" spans="1:26" ht="16.5" hidden="1" customHeight="1" thickBot="1" x14ac:dyDescent="0.3">
      <c r="A108" s="566"/>
      <c r="B108" s="566"/>
      <c r="C108" s="566"/>
      <c r="D108" s="566"/>
      <c r="E108" s="566"/>
      <c r="F108" s="566"/>
      <c r="G108" s="566"/>
      <c r="H108" s="566"/>
      <c r="I108" s="566"/>
      <c r="J108" s="566"/>
      <c r="K108" s="566"/>
      <c r="L108" s="566"/>
      <c r="M108" s="566"/>
      <c r="N108" s="566"/>
      <c r="O108" s="566"/>
      <c r="P108" s="566"/>
      <c r="Q108" s="566"/>
      <c r="R108" s="566"/>
      <c r="S108" s="566"/>
      <c r="T108" s="566"/>
      <c r="U108" s="566"/>
      <c r="V108" s="566"/>
      <c r="W108" s="566"/>
    </row>
    <row r="109" spans="1:26" ht="16.5" hidden="1" customHeight="1" thickBot="1" x14ac:dyDescent="0.3">
      <c r="A109" s="574" t="s">
        <v>34</v>
      </c>
      <c r="B109" s="575"/>
      <c r="C109" s="565" t="s">
        <v>44</v>
      </c>
      <c r="D109" s="566"/>
      <c r="E109" s="566"/>
      <c r="F109" s="566"/>
      <c r="G109" s="566"/>
      <c r="H109" s="566"/>
      <c r="I109" s="566"/>
      <c r="J109" s="566"/>
      <c r="K109" s="566"/>
      <c r="L109" s="566"/>
      <c r="M109" s="566"/>
      <c r="N109" s="566"/>
      <c r="O109" s="566"/>
      <c r="P109" s="566"/>
      <c r="Q109" s="566"/>
      <c r="R109" s="566"/>
      <c r="S109" s="566"/>
      <c r="T109" s="566"/>
      <c r="U109" s="566"/>
      <c r="V109" s="566"/>
      <c r="W109" s="567"/>
    </row>
    <row r="110" spans="1:26" ht="16.5" hidden="1" customHeight="1" thickBot="1" x14ac:dyDescent="0.3">
      <c r="A110" s="566"/>
      <c r="B110" s="566"/>
      <c r="C110" s="566"/>
      <c r="D110" s="566"/>
      <c r="E110" s="566"/>
      <c r="F110" s="566"/>
      <c r="G110" s="566"/>
      <c r="H110" s="566"/>
      <c r="I110" s="566"/>
      <c r="J110" s="566"/>
      <c r="K110" s="566"/>
      <c r="L110" s="566"/>
      <c r="M110" s="566"/>
      <c r="N110" s="566"/>
      <c r="O110" s="566"/>
      <c r="P110" s="566"/>
      <c r="Q110" s="566"/>
      <c r="R110" s="566"/>
      <c r="S110" s="566"/>
      <c r="T110" s="566"/>
      <c r="U110" s="566"/>
      <c r="V110" s="566"/>
      <c r="W110" s="566"/>
    </row>
    <row r="111" spans="1:26" ht="16.5" hidden="1" customHeight="1" thickBot="1" x14ac:dyDescent="0.3">
      <c r="A111" s="576" t="s">
        <v>39</v>
      </c>
      <c r="B111" s="577"/>
      <c r="C111" s="577"/>
      <c r="D111" s="578"/>
      <c r="E111" s="576" t="s">
        <v>40</v>
      </c>
      <c r="F111" s="577"/>
      <c r="G111" s="577"/>
      <c r="H111" s="577"/>
      <c r="I111" s="578"/>
      <c r="J111" s="576" t="s">
        <v>21</v>
      </c>
      <c r="K111" s="577"/>
      <c r="L111" s="577"/>
      <c r="M111" s="577"/>
      <c r="N111" s="577"/>
      <c r="O111" s="578"/>
      <c r="P111" s="579" t="s">
        <v>4</v>
      </c>
      <c r="Q111" s="580"/>
      <c r="R111" s="580"/>
      <c r="S111" s="580"/>
      <c r="T111" s="580"/>
      <c r="U111" s="580"/>
      <c r="V111" s="580"/>
      <c r="W111" s="581"/>
    </row>
    <row r="112" spans="1:26" ht="20.100000000000001" hidden="1" customHeight="1" thickBot="1" x14ac:dyDescent="0.3">
      <c r="A112" s="565" t="s">
        <v>45</v>
      </c>
      <c r="B112" s="566"/>
      <c r="C112" s="566"/>
      <c r="D112" s="567"/>
      <c r="E112" s="562" t="s">
        <v>6</v>
      </c>
      <c r="F112" s="563"/>
      <c r="G112" s="563"/>
      <c r="H112" s="563"/>
      <c r="I112" s="564"/>
      <c r="J112" s="565" t="s">
        <v>46</v>
      </c>
      <c r="K112" s="566"/>
      <c r="L112" s="566"/>
      <c r="M112" s="566"/>
      <c r="N112" s="566"/>
      <c r="O112" s="566"/>
      <c r="P112" s="569" t="s">
        <v>43</v>
      </c>
      <c r="Q112" s="569"/>
      <c r="R112" s="569"/>
      <c r="S112" s="569"/>
      <c r="T112" s="569"/>
      <c r="U112" s="569"/>
      <c r="V112" s="569"/>
      <c r="W112" s="570"/>
    </row>
    <row r="113" spans="1:23" ht="20.100000000000001" hidden="1" customHeight="1" thickBot="1" x14ac:dyDescent="0.3">
      <c r="A113" s="565" t="s">
        <v>47</v>
      </c>
      <c r="B113" s="566"/>
      <c r="C113" s="566"/>
      <c r="D113" s="567"/>
      <c r="E113" s="562" t="s">
        <v>6</v>
      </c>
      <c r="F113" s="563"/>
      <c r="G113" s="563"/>
      <c r="H113" s="563"/>
      <c r="I113" s="564"/>
      <c r="J113" s="565" t="s">
        <v>46</v>
      </c>
      <c r="K113" s="566"/>
      <c r="L113" s="566"/>
      <c r="M113" s="566"/>
      <c r="N113" s="566"/>
      <c r="O113" s="566"/>
      <c r="P113" s="569" t="s">
        <v>43</v>
      </c>
      <c r="Q113" s="569"/>
      <c r="R113" s="569"/>
      <c r="S113" s="569"/>
      <c r="T113" s="569"/>
      <c r="U113" s="569"/>
      <c r="V113" s="569"/>
      <c r="W113" s="570"/>
    </row>
    <row r="114" spans="1:23" ht="16.5" hidden="1" customHeight="1" thickBot="1" x14ac:dyDescent="0.3">
      <c r="A114" s="566"/>
      <c r="B114" s="566"/>
      <c r="C114" s="566"/>
      <c r="D114" s="566"/>
      <c r="E114" s="566"/>
      <c r="F114" s="566"/>
      <c r="G114" s="566"/>
      <c r="H114" s="566"/>
      <c r="I114" s="566"/>
      <c r="J114" s="566"/>
      <c r="K114" s="566"/>
      <c r="L114" s="566"/>
      <c r="M114" s="566"/>
      <c r="N114" s="566"/>
      <c r="O114" s="566"/>
      <c r="P114" s="566"/>
      <c r="Q114" s="566"/>
      <c r="R114" s="566"/>
      <c r="S114" s="566"/>
      <c r="T114" s="566"/>
      <c r="U114" s="566"/>
      <c r="V114" s="566"/>
      <c r="W114" s="566"/>
    </row>
    <row r="115" spans="1:23" ht="16.5" hidden="1" customHeight="1" thickBot="1" x14ac:dyDescent="0.3">
      <c r="A115" s="574" t="s">
        <v>34</v>
      </c>
      <c r="B115" s="575"/>
      <c r="C115" s="565" t="s">
        <v>48</v>
      </c>
      <c r="D115" s="566"/>
      <c r="E115" s="566"/>
      <c r="F115" s="566"/>
      <c r="G115" s="566"/>
      <c r="H115" s="566"/>
      <c r="I115" s="566"/>
      <c r="J115" s="566"/>
      <c r="K115" s="566"/>
      <c r="L115" s="566"/>
      <c r="M115" s="566"/>
      <c r="N115" s="566"/>
      <c r="O115" s="566"/>
      <c r="P115" s="566"/>
      <c r="Q115" s="566"/>
      <c r="R115" s="566"/>
      <c r="S115" s="566"/>
      <c r="T115" s="566"/>
      <c r="U115" s="566"/>
      <c r="V115" s="566"/>
      <c r="W115" s="567"/>
    </row>
    <row r="116" spans="1:23" ht="16.5" hidden="1" customHeight="1" thickBot="1" x14ac:dyDescent="0.3">
      <c r="A116" s="566"/>
      <c r="B116" s="566"/>
      <c r="C116" s="566"/>
      <c r="D116" s="566"/>
      <c r="E116" s="566"/>
      <c r="F116" s="566"/>
      <c r="G116" s="566"/>
      <c r="H116" s="566"/>
      <c r="I116" s="566"/>
      <c r="J116" s="566"/>
      <c r="K116" s="566"/>
      <c r="L116" s="566"/>
      <c r="M116" s="566"/>
      <c r="N116" s="566"/>
      <c r="O116" s="566"/>
      <c r="P116" s="566"/>
      <c r="Q116" s="566"/>
      <c r="R116" s="566"/>
      <c r="S116" s="566"/>
      <c r="T116" s="566"/>
      <c r="U116" s="566"/>
      <c r="V116" s="566"/>
      <c r="W116" s="566"/>
    </row>
    <row r="117" spans="1:23" ht="16.5" hidden="1" customHeight="1" thickBot="1" x14ac:dyDescent="0.3">
      <c r="A117" s="576" t="s">
        <v>39</v>
      </c>
      <c r="B117" s="577"/>
      <c r="C117" s="577"/>
      <c r="D117" s="578"/>
      <c r="E117" s="576" t="s">
        <v>40</v>
      </c>
      <c r="F117" s="577"/>
      <c r="G117" s="577"/>
      <c r="H117" s="577"/>
      <c r="I117" s="578"/>
      <c r="J117" s="576" t="s">
        <v>21</v>
      </c>
      <c r="K117" s="577"/>
      <c r="L117" s="577"/>
      <c r="M117" s="577"/>
      <c r="N117" s="577"/>
      <c r="O117" s="578"/>
      <c r="P117" s="579" t="s">
        <v>4</v>
      </c>
      <c r="Q117" s="580"/>
      <c r="R117" s="580"/>
      <c r="S117" s="580"/>
      <c r="T117" s="580"/>
      <c r="U117" s="580"/>
      <c r="V117" s="580"/>
      <c r="W117" s="581"/>
    </row>
    <row r="118" spans="1:23" ht="16.5" hidden="1" customHeight="1" thickBot="1" x14ac:dyDescent="0.3">
      <c r="A118" s="565" t="s">
        <v>49</v>
      </c>
      <c r="B118" s="566"/>
      <c r="C118" s="566"/>
      <c r="D118" s="567"/>
      <c r="E118" s="562" t="s">
        <v>50</v>
      </c>
      <c r="F118" s="563"/>
      <c r="G118" s="563"/>
      <c r="H118" s="563"/>
      <c r="I118" s="564"/>
      <c r="J118" s="565" t="s">
        <v>51</v>
      </c>
      <c r="K118" s="566"/>
      <c r="L118" s="566"/>
      <c r="M118" s="566"/>
      <c r="N118" s="566"/>
      <c r="O118" s="567"/>
      <c r="P118" s="568"/>
      <c r="Q118" s="569"/>
      <c r="R118" s="569"/>
      <c r="S118" s="569"/>
      <c r="T118" s="569"/>
      <c r="U118" s="569"/>
      <c r="V118" s="569"/>
      <c r="W118" s="570"/>
    </row>
    <row r="119" spans="1:23" ht="16.5" hidden="1" customHeight="1" thickBot="1" x14ac:dyDescent="0.3">
      <c r="A119" s="565" t="s">
        <v>52</v>
      </c>
      <c r="B119" s="566"/>
      <c r="C119" s="566"/>
      <c r="D119" s="567"/>
      <c r="E119" s="562" t="s">
        <v>53</v>
      </c>
      <c r="F119" s="563"/>
      <c r="G119" s="563"/>
      <c r="H119" s="563"/>
      <c r="I119" s="564"/>
      <c r="J119" s="565" t="s">
        <v>51</v>
      </c>
      <c r="K119" s="566"/>
      <c r="L119" s="566"/>
      <c r="M119" s="566"/>
      <c r="N119" s="566"/>
      <c r="O119" s="567"/>
      <c r="P119" s="568"/>
      <c r="Q119" s="569"/>
      <c r="R119" s="569"/>
      <c r="S119" s="569"/>
      <c r="T119" s="569"/>
      <c r="U119" s="569"/>
      <c r="V119" s="569"/>
      <c r="W119" s="570"/>
    </row>
    <row r="120" spans="1:23" ht="16.5" hidden="1" customHeight="1" thickBot="1" x14ac:dyDescent="0.3">
      <c r="A120" s="566"/>
      <c r="B120" s="566"/>
      <c r="C120" s="566"/>
      <c r="D120" s="566"/>
      <c r="E120" s="566"/>
      <c r="F120" s="566"/>
      <c r="G120" s="566"/>
      <c r="H120" s="566"/>
      <c r="I120" s="566"/>
      <c r="J120" s="566"/>
      <c r="K120" s="566"/>
      <c r="L120" s="566"/>
      <c r="M120" s="566"/>
      <c r="N120" s="566"/>
      <c r="O120" s="566"/>
      <c r="P120" s="566"/>
      <c r="Q120" s="566"/>
      <c r="R120" s="566"/>
      <c r="S120" s="566"/>
      <c r="T120" s="566"/>
      <c r="U120" s="566"/>
      <c r="V120" s="566"/>
      <c r="W120" s="566"/>
    </row>
    <row r="121" spans="1:23" ht="16.5" hidden="1" customHeight="1" thickBot="1" x14ac:dyDescent="0.3">
      <c r="A121" s="574" t="s">
        <v>34</v>
      </c>
      <c r="B121" s="575"/>
      <c r="C121" s="565" t="s">
        <v>54</v>
      </c>
      <c r="D121" s="566"/>
      <c r="E121" s="566"/>
      <c r="F121" s="566"/>
      <c r="G121" s="566"/>
      <c r="H121" s="566"/>
      <c r="I121" s="566"/>
      <c r="J121" s="566"/>
      <c r="K121" s="566"/>
      <c r="L121" s="566"/>
      <c r="M121" s="566"/>
      <c r="N121" s="566"/>
      <c r="O121" s="566"/>
      <c r="P121" s="566"/>
      <c r="Q121" s="566"/>
      <c r="R121" s="566"/>
      <c r="S121" s="566"/>
      <c r="T121" s="566"/>
      <c r="U121" s="566"/>
      <c r="V121" s="566"/>
      <c r="W121" s="567"/>
    </row>
    <row r="122" spans="1:23" ht="16.5" hidden="1" customHeight="1" thickBot="1" x14ac:dyDescent="0.3">
      <c r="A122" s="566"/>
      <c r="B122" s="566"/>
      <c r="C122" s="566"/>
      <c r="D122" s="566"/>
      <c r="E122" s="566"/>
      <c r="F122" s="566"/>
      <c r="G122" s="566"/>
      <c r="H122" s="566"/>
      <c r="I122" s="566"/>
      <c r="J122" s="566"/>
      <c r="K122" s="566"/>
      <c r="L122" s="566"/>
      <c r="M122" s="566"/>
      <c r="N122" s="566"/>
      <c r="O122" s="566"/>
      <c r="P122" s="566"/>
      <c r="Q122" s="566"/>
      <c r="R122" s="566"/>
      <c r="S122" s="566"/>
      <c r="T122" s="566"/>
      <c r="U122" s="566"/>
      <c r="V122" s="566"/>
      <c r="W122" s="566"/>
    </row>
    <row r="123" spans="1:23" ht="16.5" hidden="1" customHeight="1" thickBot="1" x14ac:dyDescent="0.3">
      <c r="A123" s="576" t="s">
        <v>10</v>
      </c>
      <c r="B123" s="577"/>
      <c r="C123" s="577"/>
      <c r="D123" s="578"/>
      <c r="E123" s="576" t="s">
        <v>40</v>
      </c>
      <c r="F123" s="577"/>
      <c r="G123" s="577"/>
      <c r="H123" s="577"/>
      <c r="I123" s="578"/>
      <c r="J123" s="576" t="s">
        <v>21</v>
      </c>
      <c r="K123" s="577"/>
      <c r="L123" s="577"/>
      <c r="M123" s="577"/>
      <c r="N123" s="577"/>
      <c r="O123" s="578"/>
      <c r="P123" s="579" t="s">
        <v>4</v>
      </c>
      <c r="Q123" s="580"/>
      <c r="R123" s="580"/>
      <c r="S123" s="580"/>
      <c r="T123" s="580"/>
      <c r="U123" s="580"/>
      <c r="V123" s="580"/>
      <c r="W123" s="581"/>
    </row>
    <row r="124" spans="1:23" ht="30" hidden="1" customHeight="1" thickBot="1" x14ac:dyDescent="0.3">
      <c r="A124" s="559" t="s">
        <v>54</v>
      </c>
      <c r="B124" s="560"/>
      <c r="C124" s="560"/>
      <c r="D124" s="561"/>
      <c r="E124" s="562" t="s">
        <v>55</v>
      </c>
      <c r="F124" s="563"/>
      <c r="G124" s="563"/>
      <c r="H124" s="563"/>
      <c r="I124" s="564"/>
      <c r="J124" s="565" t="s">
        <v>56</v>
      </c>
      <c r="K124" s="566"/>
      <c r="L124" s="566"/>
      <c r="M124" s="566"/>
      <c r="N124" s="566"/>
      <c r="O124" s="567"/>
      <c r="P124" s="568"/>
      <c r="Q124" s="569"/>
      <c r="R124" s="569"/>
      <c r="S124" s="569"/>
      <c r="T124" s="569"/>
      <c r="U124" s="569"/>
      <c r="V124" s="569"/>
      <c r="W124" s="570"/>
    </row>
    <row r="125" spans="1:23" ht="16.5" hidden="1" customHeight="1" thickBot="1" x14ac:dyDescent="0.3">
      <c r="A125" s="566"/>
      <c r="B125" s="566"/>
      <c r="C125" s="566"/>
      <c r="D125" s="566"/>
      <c r="E125" s="566"/>
      <c r="F125" s="566"/>
      <c r="G125" s="566"/>
      <c r="H125" s="566"/>
      <c r="I125" s="566"/>
      <c r="J125" s="566"/>
      <c r="K125" s="566"/>
      <c r="L125" s="566"/>
      <c r="M125" s="566"/>
      <c r="N125" s="566"/>
      <c r="O125" s="566"/>
      <c r="P125" s="566"/>
      <c r="Q125" s="566"/>
      <c r="R125" s="566"/>
      <c r="S125" s="566"/>
      <c r="T125" s="566"/>
      <c r="U125" s="566"/>
      <c r="V125" s="566"/>
      <c r="W125" s="566"/>
    </row>
    <row r="126" spans="1:23" x14ac:dyDescent="0.25">
      <c r="A126" s="571" t="s">
        <v>57</v>
      </c>
      <c r="B126" s="572"/>
      <c r="C126" s="572"/>
      <c r="D126" s="572"/>
      <c r="E126" s="572"/>
      <c r="F126" s="572"/>
      <c r="G126" s="572"/>
      <c r="H126" s="572"/>
      <c r="I126" s="572"/>
      <c r="J126" s="572"/>
      <c r="K126" s="572"/>
      <c r="L126" s="572"/>
      <c r="M126" s="572"/>
      <c r="N126" s="572"/>
      <c r="O126" s="572"/>
      <c r="P126" s="572"/>
      <c r="Q126" s="572"/>
      <c r="R126" s="572"/>
      <c r="S126" s="572"/>
      <c r="T126" s="572"/>
      <c r="U126" s="572"/>
      <c r="V126" s="572"/>
      <c r="W126" s="573"/>
    </row>
    <row r="127" spans="1:23" ht="16.5" thickBot="1" x14ac:dyDescent="0.3">
      <c r="A127" s="544"/>
      <c r="B127" s="545"/>
      <c r="C127" s="545"/>
      <c r="D127" s="545"/>
      <c r="E127" s="545"/>
      <c r="F127" s="545"/>
      <c r="G127" s="545"/>
      <c r="H127" s="545"/>
      <c r="I127" s="545"/>
      <c r="J127" s="545"/>
      <c r="K127" s="545"/>
      <c r="L127" s="545"/>
      <c r="M127" s="545"/>
      <c r="N127" s="545"/>
      <c r="O127" s="545"/>
      <c r="P127" s="545"/>
      <c r="Q127" s="545"/>
      <c r="R127" s="545"/>
      <c r="S127" s="545"/>
      <c r="T127" s="545"/>
      <c r="U127" s="545"/>
      <c r="V127" s="545"/>
      <c r="W127" s="546"/>
    </row>
    <row r="128" spans="1:23" ht="16.5" customHeight="1" thickBot="1" x14ac:dyDescent="0.3">
      <c r="A128" s="547" t="s">
        <v>158</v>
      </c>
      <c r="B128" s="548"/>
      <c r="C128" s="548"/>
      <c r="D128" s="548"/>
      <c r="E128" s="548"/>
      <c r="F128" s="548"/>
      <c r="G128" s="548"/>
      <c r="H128" s="548"/>
      <c r="I128" s="548"/>
      <c r="J128" s="548"/>
      <c r="K128" s="548"/>
      <c r="L128" s="548"/>
      <c r="M128" s="548"/>
      <c r="N128" s="548"/>
      <c r="O128" s="548"/>
      <c r="P128" s="548"/>
      <c r="Q128" s="548"/>
      <c r="R128" s="548"/>
      <c r="S128" s="548"/>
      <c r="T128" s="548"/>
      <c r="U128" s="548"/>
      <c r="V128" s="548"/>
      <c r="W128" s="549"/>
    </row>
    <row r="129" spans="1:26" ht="30.75" thickBot="1" x14ac:dyDescent="0.3">
      <c r="A129" s="550" t="s">
        <v>0</v>
      </c>
      <c r="B129" s="429"/>
      <c r="C129" s="429"/>
      <c r="D129" s="429"/>
      <c r="E129" s="429"/>
      <c r="F129" s="429"/>
      <c r="G129" s="384" t="s">
        <v>40</v>
      </c>
      <c r="H129" s="384"/>
      <c r="I129" s="384" t="s">
        <v>131</v>
      </c>
      <c r="J129" s="552" t="s">
        <v>132</v>
      </c>
      <c r="K129" s="85"/>
      <c r="L129" s="553">
        <v>2018</v>
      </c>
      <c r="M129" s="553"/>
      <c r="N129" s="554">
        <v>2019</v>
      </c>
      <c r="O129" s="439"/>
      <c r="P129" s="555">
        <v>2020</v>
      </c>
      <c r="Q129" s="556"/>
      <c r="R129" s="438">
        <v>2021</v>
      </c>
      <c r="S129" s="557"/>
      <c r="T129" s="558">
        <v>2022</v>
      </c>
      <c r="U129" s="557"/>
      <c r="V129" s="116" t="s">
        <v>59</v>
      </c>
      <c r="W129" s="117" t="s">
        <v>14</v>
      </c>
      <c r="Y129" s="118"/>
      <c r="Z129" s="118"/>
    </row>
    <row r="130" spans="1:26" ht="30.75" thickBot="1" x14ac:dyDescent="0.3">
      <c r="A130" s="551"/>
      <c r="B130" s="391"/>
      <c r="C130" s="391"/>
      <c r="D130" s="391"/>
      <c r="E130" s="391"/>
      <c r="F130" s="391"/>
      <c r="G130" s="384"/>
      <c r="H130" s="384"/>
      <c r="I130" s="384"/>
      <c r="J130" s="552"/>
      <c r="K130" s="85"/>
      <c r="L130" s="85" t="s">
        <v>159</v>
      </c>
      <c r="M130" s="120" t="s">
        <v>160</v>
      </c>
      <c r="N130" s="121" t="s">
        <v>159</v>
      </c>
      <c r="O130" s="120" t="s">
        <v>160</v>
      </c>
      <c r="P130" s="85" t="s">
        <v>159</v>
      </c>
      <c r="Q130" s="120" t="s">
        <v>160</v>
      </c>
      <c r="R130" s="85" t="s">
        <v>159</v>
      </c>
      <c r="S130" s="120" t="s">
        <v>160</v>
      </c>
      <c r="T130" s="85" t="s">
        <v>159</v>
      </c>
      <c r="U130" s="120" t="s">
        <v>160</v>
      </c>
      <c r="V130" s="85"/>
      <c r="W130" s="85"/>
      <c r="Y130" s="122"/>
      <c r="Z130" s="122"/>
    </row>
    <row r="131" spans="1:26" ht="18" x14ac:dyDescent="0.25">
      <c r="A131" s="443" t="s">
        <v>130</v>
      </c>
      <c r="B131" s="443"/>
      <c r="C131" s="443"/>
      <c r="D131" s="443"/>
      <c r="E131" s="443"/>
      <c r="F131" s="509"/>
      <c r="G131" s="540" t="s">
        <v>102</v>
      </c>
      <c r="H131" s="543"/>
      <c r="I131" s="366" t="s">
        <v>133</v>
      </c>
      <c r="J131" s="542">
        <f>'[2]1.Plan Annuel d''opération'!D17</f>
        <v>9000000</v>
      </c>
      <c r="K131" s="124" t="s">
        <v>15</v>
      </c>
      <c r="L131" s="125">
        <v>0</v>
      </c>
      <c r="M131" s="126">
        <v>0</v>
      </c>
      <c r="N131" s="127">
        <v>4</v>
      </c>
      <c r="O131" s="120">
        <v>1350000</v>
      </c>
      <c r="P131" s="85">
        <v>4</v>
      </c>
      <c r="Q131" s="120">
        <v>1950000</v>
      </c>
      <c r="R131" s="85">
        <v>4</v>
      </c>
      <c r="S131" s="120">
        <v>3200000</v>
      </c>
      <c r="T131" s="85">
        <v>4</v>
      </c>
      <c r="U131" s="120">
        <f>1300000+1200000</f>
        <v>2500000</v>
      </c>
      <c r="V131" s="85">
        <v>20</v>
      </c>
      <c r="W131" s="85">
        <v>20</v>
      </c>
      <c r="Y131" s="111"/>
      <c r="Z131" s="111"/>
    </row>
    <row r="132" spans="1:26" ht="18.75" thickBot="1" x14ac:dyDescent="0.3">
      <c r="A132" s="445"/>
      <c r="B132" s="445"/>
      <c r="C132" s="445"/>
      <c r="D132" s="445"/>
      <c r="E132" s="445"/>
      <c r="F132" s="520"/>
      <c r="G132" s="375"/>
      <c r="H132" s="376"/>
      <c r="I132" s="350"/>
      <c r="J132" s="521"/>
      <c r="K132" s="127" t="s">
        <v>155</v>
      </c>
      <c r="L132" s="133">
        <v>0</v>
      </c>
      <c r="M132" s="134">
        <v>0</v>
      </c>
      <c r="N132" s="135">
        <v>4</v>
      </c>
      <c r="O132" s="134">
        <f>O131</f>
        <v>1350000</v>
      </c>
      <c r="P132" s="133">
        <v>4</v>
      </c>
      <c r="Q132" s="134">
        <f>Q131</f>
        <v>1950000</v>
      </c>
      <c r="R132" s="133">
        <v>4</v>
      </c>
      <c r="S132" s="134">
        <v>3200000</v>
      </c>
      <c r="T132" s="133">
        <v>4</v>
      </c>
      <c r="U132" s="134">
        <v>2500000</v>
      </c>
      <c r="V132" s="133">
        <f>L132+N132+P132+R132+T132</f>
        <v>16</v>
      </c>
      <c r="W132" s="133">
        <v>16</v>
      </c>
      <c r="Y132" s="112"/>
      <c r="Z132" s="112"/>
    </row>
    <row r="133" spans="1:26" ht="18" x14ac:dyDescent="0.25">
      <c r="A133" s="445"/>
      <c r="B133" s="445"/>
      <c r="C133" s="445"/>
      <c r="D133" s="445"/>
      <c r="E133" s="445"/>
      <c r="F133" s="520"/>
      <c r="G133" s="375"/>
      <c r="H133" s="376"/>
      <c r="I133" s="350"/>
      <c r="J133" s="521"/>
      <c r="K133" s="127" t="s">
        <v>16</v>
      </c>
      <c r="L133" s="133"/>
      <c r="M133" s="134"/>
      <c r="N133" s="135"/>
      <c r="O133" s="134"/>
      <c r="P133" s="133"/>
      <c r="Q133" s="134"/>
      <c r="R133" s="133"/>
      <c r="S133" s="134"/>
      <c r="T133" s="133"/>
      <c r="U133" s="134"/>
      <c r="V133" s="133"/>
      <c r="W133" s="133"/>
      <c r="Y133" s="111"/>
      <c r="Z133" s="111"/>
    </row>
    <row r="134" spans="1:26" ht="18" x14ac:dyDescent="0.25">
      <c r="A134" s="522" t="s">
        <v>161</v>
      </c>
      <c r="B134" s="523"/>
      <c r="C134" s="523"/>
      <c r="D134" s="524"/>
      <c r="E134" s="128"/>
      <c r="F134" s="129"/>
      <c r="G134" s="375" t="s">
        <v>102</v>
      </c>
      <c r="H134" s="376"/>
      <c r="I134" s="350" t="s">
        <v>162</v>
      </c>
      <c r="J134" s="521">
        <v>125000</v>
      </c>
      <c r="K134" s="127" t="s">
        <v>15</v>
      </c>
      <c r="L134" s="85">
        <v>0</v>
      </c>
      <c r="M134" s="120">
        <v>0</v>
      </c>
      <c r="N134" s="127">
        <v>1</v>
      </c>
      <c r="O134" s="120">
        <f>J134-M134</f>
        <v>125000</v>
      </c>
      <c r="P134" s="85">
        <v>0</v>
      </c>
      <c r="Q134" s="120">
        <v>0</v>
      </c>
      <c r="R134" s="85">
        <v>0</v>
      </c>
      <c r="S134" s="120">
        <v>0</v>
      </c>
      <c r="T134" s="85">
        <v>0</v>
      </c>
      <c r="U134" s="120">
        <v>0</v>
      </c>
      <c r="V134" s="133">
        <f>L134+N134+P134+R134+T134</f>
        <v>1</v>
      </c>
      <c r="W134" s="85">
        <f>V134</f>
        <v>1</v>
      </c>
      <c r="Y134" s="111"/>
      <c r="Z134" s="111"/>
    </row>
    <row r="135" spans="1:26" ht="18" x14ac:dyDescent="0.25">
      <c r="A135" s="525"/>
      <c r="B135" s="526"/>
      <c r="C135" s="526"/>
      <c r="D135" s="527"/>
      <c r="E135" s="128"/>
      <c r="F135" s="129"/>
      <c r="G135" s="375"/>
      <c r="H135" s="376"/>
      <c r="I135" s="350"/>
      <c r="J135" s="521"/>
      <c r="K135" s="127" t="s">
        <v>155</v>
      </c>
      <c r="L135" s="133">
        <f>L134</f>
        <v>0</v>
      </c>
      <c r="M135" s="134">
        <f t="shared" ref="M135:W135" si="0">M134</f>
        <v>0</v>
      </c>
      <c r="N135" s="133">
        <f t="shared" si="0"/>
        <v>1</v>
      </c>
      <c r="O135" s="134">
        <f t="shared" si="0"/>
        <v>125000</v>
      </c>
      <c r="P135" s="133">
        <f t="shared" si="0"/>
        <v>0</v>
      </c>
      <c r="Q135" s="134">
        <f t="shared" si="0"/>
        <v>0</v>
      </c>
      <c r="R135" s="133">
        <f t="shared" si="0"/>
        <v>0</v>
      </c>
      <c r="S135" s="134">
        <f t="shared" si="0"/>
        <v>0</v>
      </c>
      <c r="T135" s="133">
        <f t="shared" si="0"/>
        <v>0</v>
      </c>
      <c r="U135" s="134">
        <f t="shared" si="0"/>
        <v>0</v>
      </c>
      <c r="V135" s="133">
        <f t="shared" si="0"/>
        <v>1</v>
      </c>
      <c r="W135" s="133">
        <f t="shared" si="0"/>
        <v>1</v>
      </c>
      <c r="Y135" s="111"/>
      <c r="Z135" s="111"/>
    </row>
    <row r="136" spans="1:26" ht="18.75" thickBot="1" x14ac:dyDescent="0.3">
      <c r="A136" s="528"/>
      <c r="B136" s="529"/>
      <c r="C136" s="529"/>
      <c r="D136" s="530"/>
      <c r="E136" s="128"/>
      <c r="F136" s="129"/>
      <c r="G136" s="375"/>
      <c r="H136" s="376"/>
      <c r="I136" s="350"/>
      <c r="J136" s="521"/>
      <c r="K136" s="127" t="s">
        <v>16</v>
      </c>
      <c r="L136" s="133"/>
      <c r="M136" s="134"/>
      <c r="N136" s="135"/>
      <c r="O136" s="134"/>
      <c r="P136" s="133"/>
      <c r="Q136" s="134"/>
      <c r="R136" s="133"/>
      <c r="S136" s="134"/>
      <c r="T136" s="133"/>
      <c r="U136" s="134"/>
      <c r="V136" s="133"/>
      <c r="W136" s="133"/>
      <c r="Y136" s="111"/>
      <c r="Z136" s="111"/>
    </row>
    <row r="137" spans="1:26" s="139" customFormat="1" ht="18" x14ac:dyDescent="0.25">
      <c r="A137" s="522" t="s">
        <v>163</v>
      </c>
      <c r="B137" s="523"/>
      <c r="C137" s="523"/>
      <c r="D137" s="524"/>
      <c r="E137" s="136"/>
      <c r="F137" s="137"/>
      <c r="G137" s="375" t="s">
        <v>102</v>
      </c>
      <c r="H137" s="376"/>
      <c r="I137" s="379" t="s">
        <v>133</v>
      </c>
      <c r="J137" s="521">
        <v>175000</v>
      </c>
      <c r="K137" s="127" t="s">
        <v>15</v>
      </c>
      <c r="L137" s="85">
        <v>0</v>
      </c>
      <c r="M137" s="120">
        <v>0</v>
      </c>
      <c r="N137" s="127">
        <v>4</v>
      </c>
      <c r="O137" s="120">
        <v>35000</v>
      </c>
      <c r="P137" s="85">
        <v>4</v>
      </c>
      <c r="Q137" s="120">
        <v>43750</v>
      </c>
      <c r="R137" s="85">
        <v>4</v>
      </c>
      <c r="S137" s="120">
        <v>43750</v>
      </c>
      <c r="T137" s="85">
        <v>4</v>
      </c>
      <c r="U137" s="120">
        <v>52500</v>
      </c>
      <c r="V137" s="133">
        <f>L137+N137+P137+R137+T137</f>
        <v>16</v>
      </c>
      <c r="W137" s="85">
        <f>V137</f>
        <v>16</v>
      </c>
      <c r="Y137" s="140"/>
      <c r="Z137" s="140"/>
    </row>
    <row r="138" spans="1:26" ht="18" x14ac:dyDescent="0.25">
      <c r="A138" s="525"/>
      <c r="B138" s="526"/>
      <c r="C138" s="526"/>
      <c r="D138" s="527"/>
      <c r="E138" s="128"/>
      <c r="F138" s="129"/>
      <c r="G138" s="375"/>
      <c r="H138" s="376"/>
      <c r="I138" s="350"/>
      <c r="J138" s="521"/>
      <c r="K138" s="127" t="s">
        <v>155</v>
      </c>
      <c r="L138" s="133">
        <v>0</v>
      </c>
      <c r="M138" s="134">
        <v>0</v>
      </c>
      <c r="N138" s="135">
        <v>4</v>
      </c>
      <c r="O138" s="134">
        <v>35000</v>
      </c>
      <c r="P138" s="133">
        <v>4</v>
      </c>
      <c r="Q138" s="134">
        <f>Q137</f>
        <v>43750</v>
      </c>
      <c r="R138" s="133">
        <v>4</v>
      </c>
      <c r="S138" s="134">
        <f>S137</f>
        <v>43750</v>
      </c>
      <c r="T138" s="133">
        <v>4</v>
      </c>
      <c r="U138" s="134">
        <f>U137</f>
        <v>52500</v>
      </c>
      <c r="V138" s="133">
        <f>L138+N138+P138+R138+T138</f>
        <v>16</v>
      </c>
      <c r="W138" s="85">
        <f>V138</f>
        <v>16</v>
      </c>
      <c r="Y138" s="111"/>
      <c r="Z138" s="111"/>
    </row>
    <row r="139" spans="1:26" ht="18" x14ac:dyDescent="0.25">
      <c r="A139" s="528"/>
      <c r="B139" s="529"/>
      <c r="C139" s="529"/>
      <c r="D139" s="530"/>
      <c r="E139" s="128"/>
      <c r="F139" s="129"/>
      <c r="G139" s="375"/>
      <c r="H139" s="376"/>
      <c r="I139" s="350"/>
      <c r="J139" s="521"/>
      <c r="K139" s="127" t="s">
        <v>16</v>
      </c>
      <c r="L139" s="133"/>
      <c r="M139" s="134"/>
      <c r="N139" s="135"/>
      <c r="O139" s="134"/>
      <c r="P139" s="133"/>
      <c r="Q139" s="134"/>
      <c r="R139" s="133"/>
      <c r="S139" s="134"/>
      <c r="T139" s="133"/>
      <c r="U139" s="134"/>
      <c r="V139" s="133"/>
      <c r="W139" s="133"/>
      <c r="Y139" s="111"/>
      <c r="Z139" s="111"/>
    </row>
    <row r="140" spans="1:26" ht="17.100000000000001" customHeight="1" x14ac:dyDescent="0.25">
      <c r="A140" s="494" t="s">
        <v>95</v>
      </c>
      <c r="B140" s="495"/>
      <c r="C140" s="495"/>
      <c r="D140" s="495"/>
      <c r="E140" s="495"/>
      <c r="F140" s="531"/>
      <c r="G140" s="533" t="s">
        <v>2</v>
      </c>
      <c r="H140" s="534"/>
      <c r="I140" s="511" t="s">
        <v>133</v>
      </c>
      <c r="J140" s="515">
        <v>310000</v>
      </c>
      <c r="K140" s="127" t="s">
        <v>15</v>
      </c>
      <c r="L140" s="85">
        <v>0</v>
      </c>
      <c r="M140" s="120">
        <v>0</v>
      </c>
      <c r="N140" s="127">
        <v>1</v>
      </c>
      <c r="O140" s="120">
        <v>77500</v>
      </c>
      <c r="P140" s="85">
        <v>1</v>
      </c>
      <c r="Q140" s="120">
        <v>77500</v>
      </c>
      <c r="R140" s="85">
        <v>1</v>
      </c>
      <c r="S140" s="120">
        <v>62000</v>
      </c>
      <c r="T140" s="85">
        <v>1</v>
      </c>
      <c r="U140" s="120">
        <v>93000</v>
      </c>
      <c r="V140" s="133">
        <f>L140+N140+P140+R140+T140</f>
        <v>4</v>
      </c>
      <c r="W140" s="85">
        <f>V140</f>
        <v>4</v>
      </c>
      <c r="Y140" s="111"/>
      <c r="Z140" s="111"/>
    </row>
    <row r="141" spans="1:26" ht="28.5" customHeight="1" thickBot="1" x14ac:dyDescent="0.3">
      <c r="A141" s="497"/>
      <c r="B141" s="358"/>
      <c r="C141" s="358"/>
      <c r="D141" s="358"/>
      <c r="E141" s="358"/>
      <c r="F141" s="359"/>
      <c r="G141" s="535"/>
      <c r="H141" s="536"/>
      <c r="I141" s="539"/>
      <c r="J141" s="541"/>
      <c r="K141" s="127" t="s">
        <v>155</v>
      </c>
      <c r="L141" s="133">
        <v>0</v>
      </c>
      <c r="M141" s="134">
        <v>0</v>
      </c>
      <c r="N141" s="135">
        <v>1</v>
      </c>
      <c r="O141" s="134">
        <v>77500</v>
      </c>
      <c r="P141" s="133">
        <f>P140</f>
        <v>1</v>
      </c>
      <c r="Q141" s="134">
        <v>77500</v>
      </c>
      <c r="R141" s="133">
        <f>R140</f>
        <v>1</v>
      </c>
      <c r="S141" s="134">
        <v>62000</v>
      </c>
      <c r="T141" s="133">
        <f>T140</f>
        <v>1</v>
      </c>
      <c r="U141" s="134">
        <v>93000</v>
      </c>
      <c r="V141" s="133">
        <f>L141+N141+P141+R141+T141</f>
        <v>4</v>
      </c>
      <c r="W141" s="85">
        <f>V141</f>
        <v>4</v>
      </c>
      <c r="Y141" s="112"/>
      <c r="Z141" s="112"/>
    </row>
    <row r="142" spans="1:26" ht="28.5" customHeight="1" x14ac:dyDescent="0.25">
      <c r="A142" s="498"/>
      <c r="B142" s="499"/>
      <c r="C142" s="499"/>
      <c r="D142" s="499"/>
      <c r="E142" s="499"/>
      <c r="F142" s="532"/>
      <c r="G142" s="537"/>
      <c r="H142" s="538"/>
      <c r="I142" s="540"/>
      <c r="J142" s="542"/>
      <c r="K142" s="127" t="s">
        <v>16</v>
      </c>
      <c r="L142" s="133"/>
      <c r="M142" s="134"/>
      <c r="N142" s="135"/>
      <c r="O142" s="134"/>
      <c r="P142" s="133"/>
      <c r="Q142" s="134"/>
      <c r="R142" s="133"/>
      <c r="S142" s="134"/>
      <c r="T142" s="133"/>
      <c r="U142" s="134"/>
      <c r="V142" s="133"/>
      <c r="W142" s="133"/>
      <c r="Y142" s="111"/>
      <c r="Z142" s="111"/>
    </row>
    <row r="143" spans="1:26" ht="17.100000000000001" customHeight="1" x14ac:dyDescent="0.25">
      <c r="A143" s="444" t="s">
        <v>107</v>
      </c>
      <c r="B143" s="445"/>
      <c r="C143" s="445"/>
      <c r="D143" s="445"/>
      <c r="E143" s="445"/>
      <c r="F143" s="520"/>
      <c r="G143" s="375" t="s">
        <v>102</v>
      </c>
      <c r="H143" s="376"/>
      <c r="I143" s="350" t="s">
        <v>164</v>
      </c>
      <c r="J143" s="521">
        <v>711595.6</v>
      </c>
      <c r="K143" s="127" t="s">
        <v>15</v>
      </c>
      <c r="L143" s="133">
        <v>0</v>
      </c>
      <c r="M143" s="134">
        <v>0</v>
      </c>
      <c r="N143" s="135">
        <v>2</v>
      </c>
      <c r="O143" s="134">
        <f>595000+30000</f>
        <v>625000</v>
      </c>
      <c r="P143" s="133">
        <v>2</v>
      </c>
      <c r="Q143" s="134">
        <v>28865.200000000001</v>
      </c>
      <c r="R143" s="133">
        <v>2</v>
      </c>
      <c r="S143" s="134">
        <v>28865.200000000001</v>
      </c>
      <c r="T143" s="133">
        <v>2</v>
      </c>
      <c r="U143" s="134">
        <v>28865.200000000001</v>
      </c>
      <c r="V143" s="133">
        <f>L143+N143+P143+R143+T143</f>
        <v>8</v>
      </c>
      <c r="W143" s="133">
        <f>V143</f>
        <v>8</v>
      </c>
      <c r="Y143" s="111"/>
      <c r="Z143" s="111"/>
    </row>
    <row r="144" spans="1:26" ht="17.100000000000001" customHeight="1" x14ac:dyDescent="0.25">
      <c r="A144" s="444"/>
      <c r="B144" s="445"/>
      <c r="C144" s="445"/>
      <c r="D144" s="445"/>
      <c r="E144" s="445"/>
      <c r="F144" s="520"/>
      <c r="G144" s="375"/>
      <c r="H144" s="376"/>
      <c r="I144" s="350"/>
      <c r="J144" s="521"/>
      <c r="K144" s="127" t="s">
        <v>155</v>
      </c>
      <c r="L144" s="133">
        <f>L143</f>
        <v>0</v>
      </c>
      <c r="M144" s="134">
        <f>M143</f>
        <v>0</v>
      </c>
      <c r="N144" s="135">
        <v>2</v>
      </c>
      <c r="O144" s="134">
        <f>O143</f>
        <v>625000</v>
      </c>
      <c r="P144" s="133">
        <v>2</v>
      </c>
      <c r="Q144" s="134">
        <f>Q143</f>
        <v>28865.200000000001</v>
      </c>
      <c r="R144" s="133">
        <v>2</v>
      </c>
      <c r="S144" s="134">
        <f>S143</f>
        <v>28865.200000000001</v>
      </c>
      <c r="T144" s="133">
        <v>2</v>
      </c>
      <c r="U144" s="134">
        <f>U143</f>
        <v>28865.200000000001</v>
      </c>
      <c r="V144" s="133">
        <f>L144+N144+P144+R144+T144</f>
        <v>8</v>
      </c>
      <c r="W144" s="133">
        <f>V144</f>
        <v>8</v>
      </c>
      <c r="Y144" s="111"/>
      <c r="Z144" s="111"/>
    </row>
    <row r="145" spans="1:26" ht="29.25" customHeight="1" thickBot="1" x14ac:dyDescent="0.3">
      <c r="A145" s="444"/>
      <c r="B145" s="445"/>
      <c r="C145" s="445"/>
      <c r="D145" s="445"/>
      <c r="E145" s="445"/>
      <c r="F145" s="520"/>
      <c r="G145" s="375"/>
      <c r="H145" s="376"/>
      <c r="I145" s="350"/>
      <c r="J145" s="521"/>
      <c r="K145" s="127" t="s">
        <v>16</v>
      </c>
      <c r="L145" s="133"/>
      <c r="M145" s="134"/>
      <c r="N145" s="135"/>
      <c r="O145" s="134"/>
      <c r="P145" s="133"/>
      <c r="Q145" s="134"/>
      <c r="R145" s="133"/>
      <c r="S145" s="134"/>
      <c r="T145" s="133"/>
      <c r="U145" s="134"/>
      <c r="V145" s="133"/>
      <c r="W145" s="133"/>
      <c r="Y145" s="112"/>
      <c r="Z145" s="112"/>
    </row>
    <row r="146" spans="1:26" ht="17.100000000000001" customHeight="1" x14ac:dyDescent="0.25">
      <c r="A146" s="444" t="s">
        <v>108</v>
      </c>
      <c r="B146" s="445"/>
      <c r="C146" s="445"/>
      <c r="D146" s="445"/>
      <c r="E146" s="445"/>
      <c r="F146" s="520"/>
      <c r="G146" s="375" t="s">
        <v>2</v>
      </c>
      <c r="H146" s="376"/>
      <c r="I146" s="350" t="s">
        <v>133</v>
      </c>
      <c r="J146" s="521">
        <f>200000+100000+100000</f>
        <v>400000</v>
      </c>
      <c r="K146" s="127" t="s">
        <v>15</v>
      </c>
      <c r="L146" s="85">
        <v>0</v>
      </c>
      <c r="M146" s="120">
        <v>0</v>
      </c>
      <c r="N146" s="127">
        <v>2</v>
      </c>
      <c r="O146" s="120">
        <v>75000</v>
      </c>
      <c r="P146" s="85">
        <v>2</v>
      </c>
      <c r="Q146" s="120">
        <v>100000</v>
      </c>
      <c r="R146" s="85">
        <v>2</v>
      </c>
      <c r="S146" s="120">
        <v>110000</v>
      </c>
      <c r="T146" s="85">
        <v>2</v>
      </c>
      <c r="U146" s="120">
        <v>115000</v>
      </c>
      <c r="V146" s="133">
        <f>L146+N146+P146+R146+T146</f>
        <v>8</v>
      </c>
      <c r="W146" s="85">
        <f>V146</f>
        <v>8</v>
      </c>
      <c r="Y146" s="111"/>
      <c r="Z146" s="111"/>
    </row>
    <row r="147" spans="1:26" ht="17.100000000000001" customHeight="1" x14ac:dyDescent="0.25">
      <c r="A147" s="444"/>
      <c r="B147" s="445"/>
      <c r="C147" s="445"/>
      <c r="D147" s="445"/>
      <c r="E147" s="445"/>
      <c r="F147" s="520"/>
      <c r="G147" s="375"/>
      <c r="H147" s="376"/>
      <c r="I147" s="350"/>
      <c r="J147" s="521"/>
      <c r="K147" s="127" t="s">
        <v>155</v>
      </c>
      <c r="L147" s="85">
        <v>0</v>
      </c>
      <c r="M147" s="120">
        <v>0</v>
      </c>
      <c r="N147" s="127">
        <v>2</v>
      </c>
      <c r="O147" s="134">
        <f>O146</f>
        <v>75000</v>
      </c>
      <c r="P147" s="85">
        <v>2</v>
      </c>
      <c r="Q147" s="134">
        <f>Q146</f>
        <v>100000</v>
      </c>
      <c r="R147" s="85">
        <v>2</v>
      </c>
      <c r="S147" s="134">
        <f>S146</f>
        <v>110000</v>
      </c>
      <c r="T147" s="85">
        <v>2</v>
      </c>
      <c r="U147" s="134">
        <f>U146</f>
        <v>115000</v>
      </c>
      <c r="V147" s="133">
        <f>L147+N147+P147+R147+T147</f>
        <v>8</v>
      </c>
      <c r="W147" s="85">
        <f>V147</f>
        <v>8</v>
      </c>
      <c r="Y147" s="111"/>
      <c r="Z147" s="111"/>
    </row>
    <row r="148" spans="1:26" ht="26.25" customHeight="1" thickBot="1" x14ac:dyDescent="0.3">
      <c r="A148" s="475"/>
      <c r="B148" s="476"/>
      <c r="C148" s="476"/>
      <c r="D148" s="476"/>
      <c r="E148" s="476"/>
      <c r="F148" s="494"/>
      <c r="G148" s="511"/>
      <c r="H148" s="512"/>
      <c r="I148" s="364"/>
      <c r="J148" s="515"/>
      <c r="K148" s="127" t="s">
        <v>16</v>
      </c>
      <c r="L148" s="133"/>
      <c r="M148" s="134"/>
      <c r="N148" s="135"/>
      <c r="O148" s="134"/>
      <c r="P148" s="133"/>
      <c r="Q148" s="134"/>
      <c r="R148" s="133"/>
      <c r="S148" s="134"/>
      <c r="T148" s="133"/>
      <c r="U148" s="134"/>
      <c r="V148" s="133"/>
      <c r="W148" s="133"/>
      <c r="Y148" s="112"/>
      <c r="Z148" s="112"/>
    </row>
    <row r="149" spans="1:26" ht="18" customHeight="1" x14ac:dyDescent="0.25">
      <c r="A149" s="442" t="s">
        <v>97</v>
      </c>
      <c r="B149" s="443"/>
      <c r="C149" s="443"/>
      <c r="D149" s="443"/>
      <c r="E149" s="443"/>
      <c r="F149" s="509"/>
      <c r="G149" s="373" t="s">
        <v>102</v>
      </c>
      <c r="H149" s="374"/>
      <c r="I149" s="379" t="s">
        <v>162</v>
      </c>
      <c r="J149" s="514">
        <v>1300000</v>
      </c>
      <c r="K149" s="127" t="s">
        <v>15</v>
      </c>
      <c r="L149" s="133">
        <f>L150</f>
        <v>0</v>
      </c>
      <c r="M149" s="134">
        <v>0</v>
      </c>
      <c r="N149" s="135">
        <f>N150</f>
        <v>1</v>
      </c>
      <c r="O149" s="134">
        <f>260000+65000</f>
        <v>325000</v>
      </c>
      <c r="P149" s="133">
        <f>P150</f>
        <v>1</v>
      </c>
      <c r="Q149" s="134">
        <f>O149</f>
        <v>325000</v>
      </c>
      <c r="R149" s="133">
        <f>R150</f>
        <v>1</v>
      </c>
      <c r="S149" s="134">
        <f>Q149</f>
        <v>325000</v>
      </c>
      <c r="T149" s="133">
        <f>T150</f>
        <v>1</v>
      </c>
      <c r="U149" s="134">
        <f>S149</f>
        <v>325000</v>
      </c>
      <c r="V149" s="133">
        <f>L149+N149+P149+R149+T149</f>
        <v>4</v>
      </c>
      <c r="W149" s="133">
        <f>V149</f>
        <v>4</v>
      </c>
      <c r="Y149" s="111"/>
      <c r="Z149" s="111"/>
    </row>
    <row r="150" spans="1:26" ht="18" customHeight="1" x14ac:dyDescent="0.25">
      <c r="A150" s="475"/>
      <c r="B150" s="476"/>
      <c r="C150" s="476"/>
      <c r="D150" s="476"/>
      <c r="E150" s="476"/>
      <c r="F150" s="494"/>
      <c r="G150" s="511"/>
      <c r="H150" s="512"/>
      <c r="I150" s="364"/>
      <c r="J150" s="515"/>
      <c r="K150" s="127" t="s">
        <v>155</v>
      </c>
      <c r="L150" s="133">
        <v>0</v>
      </c>
      <c r="M150" s="134">
        <f>M149</f>
        <v>0</v>
      </c>
      <c r="N150" s="135">
        <v>1</v>
      </c>
      <c r="O150" s="134">
        <f>O149</f>
        <v>325000</v>
      </c>
      <c r="P150" s="133">
        <v>1</v>
      </c>
      <c r="Q150" s="134">
        <f>Q149</f>
        <v>325000</v>
      </c>
      <c r="R150" s="133">
        <v>1</v>
      </c>
      <c r="S150" s="134">
        <f>S149</f>
        <v>325000</v>
      </c>
      <c r="T150" s="133">
        <v>1</v>
      </c>
      <c r="U150" s="134">
        <f>U149</f>
        <v>325000</v>
      </c>
      <c r="V150" s="133">
        <f>L150+N150+P150+R150+T150</f>
        <v>4</v>
      </c>
      <c r="W150" s="133">
        <f>V150</f>
        <v>4</v>
      </c>
      <c r="Y150" s="111"/>
      <c r="Z150" s="111"/>
    </row>
    <row r="151" spans="1:26" ht="18.75" thickBot="1" x14ac:dyDescent="0.3">
      <c r="A151" s="446"/>
      <c r="B151" s="447"/>
      <c r="C151" s="447"/>
      <c r="D151" s="447"/>
      <c r="E151" s="447"/>
      <c r="F151" s="510"/>
      <c r="G151" s="377"/>
      <c r="H151" s="378"/>
      <c r="I151" s="513"/>
      <c r="J151" s="516"/>
      <c r="K151" s="85" t="s">
        <v>16</v>
      </c>
      <c r="L151" s="133"/>
      <c r="M151" s="134"/>
      <c r="N151" s="135"/>
      <c r="O151" s="134"/>
      <c r="P151" s="133"/>
      <c r="Q151" s="134"/>
      <c r="R151" s="133"/>
      <c r="S151" s="134"/>
      <c r="T151" s="133"/>
      <c r="U151" s="134"/>
      <c r="V151" s="133"/>
      <c r="W151" s="133"/>
      <c r="Y151" s="112"/>
      <c r="Z151" s="112"/>
    </row>
    <row r="152" spans="1:26" ht="21.75" customHeight="1" thickBot="1" x14ac:dyDescent="0.3">
      <c r="A152" s="390" t="s">
        <v>134</v>
      </c>
      <c r="B152" s="391"/>
      <c r="C152" s="391"/>
      <c r="D152" s="391"/>
      <c r="E152" s="391"/>
      <c r="F152" s="391"/>
      <c r="G152" s="147"/>
      <c r="H152" s="119"/>
      <c r="I152" s="148"/>
      <c r="J152" s="149">
        <f>J131+J134+J137+J140+J143+J146+J149</f>
        <v>12021595.6</v>
      </c>
      <c r="K152" s="150"/>
      <c r="L152" s="151"/>
      <c r="M152" s="152"/>
      <c r="N152" s="153"/>
      <c r="O152" s="152"/>
      <c r="P152" s="151"/>
      <c r="Q152" s="152"/>
      <c r="R152" s="151"/>
      <c r="S152" s="152"/>
      <c r="T152" s="151"/>
      <c r="U152" s="152"/>
      <c r="V152" s="151"/>
      <c r="W152" s="154"/>
      <c r="Y152" s="155"/>
      <c r="Z152" s="155"/>
    </row>
    <row r="153" spans="1:26" ht="18.75" thickBot="1" x14ac:dyDescent="0.3">
      <c r="A153" s="156"/>
      <c r="B153" s="157"/>
      <c r="C153" s="157"/>
      <c r="D153" s="158"/>
      <c r="E153" s="158"/>
      <c r="F153" s="158"/>
      <c r="G153" s="158"/>
      <c r="H153" s="158"/>
      <c r="I153" s="159"/>
      <c r="J153" s="159"/>
      <c r="K153" s="160"/>
      <c r="L153" s="160"/>
      <c r="M153" s="160"/>
      <c r="N153" s="160"/>
      <c r="O153" s="160"/>
      <c r="P153" s="160"/>
      <c r="Q153" s="160"/>
      <c r="R153" s="160"/>
      <c r="S153" s="160"/>
      <c r="T153" s="98"/>
      <c r="U153" s="160"/>
      <c r="V153" s="98"/>
      <c r="W153" s="98"/>
      <c r="Y153" s="155"/>
      <c r="Z153" s="155"/>
    </row>
    <row r="154" spans="1:26" ht="16.5" customHeight="1" thickBot="1" x14ac:dyDescent="0.3">
      <c r="A154" s="517" t="s">
        <v>135</v>
      </c>
      <c r="B154" s="518"/>
      <c r="C154" s="518"/>
      <c r="D154" s="518"/>
      <c r="E154" s="518"/>
      <c r="F154" s="518"/>
      <c r="G154" s="518"/>
      <c r="H154" s="518"/>
      <c r="I154" s="518"/>
      <c r="J154" s="518"/>
      <c r="K154" s="518"/>
      <c r="L154" s="518"/>
      <c r="M154" s="518"/>
      <c r="N154" s="518"/>
      <c r="O154" s="518"/>
      <c r="P154" s="518"/>
      <c r="Q154" s="518"/>
      <c r="R154" s="518"/>
      <c r="S154" s="518"/>
      <c r="T154" s="518"/>
      <c r="U154" s="518"/>
      <c r="V154" s="518"/>
      <c r="W154" s="519"/>
    </row>
    <row r="155" spans="1:26" ht="30" x14ac:dyDescent="0.25">
      <c r="A155" s="503" t="s">
        <v>0</v>
      </c>
      <c r="B155" s="382"/>
      <c r="C155" s="382"/>
      <c r="D155" s="382"/>
      <c r="E155" s="382"/>
      <c r="F155" s="504"/>
      <c r="G155" s="503" t="s">
        <v>40</v>
      </c>
      <c r="H155" s="504"/>
      <c r="I155" s="505" t="s">
        <v>131</v>
      </c>
      <c r="J155" s="507" t="s">
        <v>132</v>
      </c>
      <c r="K155" s="85"/>
      <c r="L155" s="493">
        <v>2018</v>
      </c>
      <c r="M155" s="493"/>
      <c r="N155" s="493">
        <v>2019</v>
      </c>
      <c r="O155" s="493"/>
      <c r="P155" s="493">
        <v>2020</v>
      </c>
      <c r="Q155" s="493"/>
      <c r="R155" s="493">
        <v>2021</v>
      </c>
      <c r="S155" s="493"/>
      <c r="T155" s="493">
        <v>2022</v>
      </c>
      <c r="U155" s="493"/>
      <c r="V155" s="85" t="s">
        <v>58</v>
      </c>
      <c r="W155" s="85" t="s">
        <v>14</v>
      </c>
    </row>
    <row r="156" spans="1:26" ht="30.75" thickBot="1" x14ac:dyDescent="0.3">
      <c r="A156" s="346"/>
      <c r="B156" s="347"/>
      <c r="C156" s="347"/>
      <c r="D156" s="347"/>
      <c r="E156" s="347"/>
      <c r="F156" s="348"/>
      <c r="G156" s="346"/>
      <c r="H156" s="348"/>
      <c r="I156" s="506"/>
      <c r="J156" s="508"/>
      <c r="K156" s="85"/>
      <c r="L156" s="161" t="s">
        <v>159</v>
      </c>
      <c r="M156" s="162" t="s">
        <v>160</v>
      </c>
      <c r="N156" s="163" t="s">
        <v>159</v>
      </c>
      <c r="O156" s="162" t="s">
        <v>160</v>
      </c>
      <c r="P156" s="161" t="s">
        <v>159</v>
      </c>
      <c r="Q156" s="162" t="s">
        <v>160</v>
      </c>
      <c r="R156" s="161" t="s">
        <v>159</v>
      </c>
      <c r="S156" s="162" t="s">
        <v>160</v>
      </c>
      <c r="T156" s="161" t="s">
        <v>159</v>
      </c>
      <c r="U156" s="164" t="s">
        <v>160</v>
      </c>
      <c r="V156" s="85" t="s">
        <v>58</v>
      </c>
      <c r="W156" s="85" t="s">
        <v>14</v>
      </c>
      <c r="Y156" s="118"/>
      <c r="Z156" s="118"/>
    </row>
    <row r="157" spans="1:26" ht="17.100000000000001" customHeight="1" thickBot="1" x14ac:dyDescent="0.3">
      <c r="A157" s="445" t="s">
        <v>98</v>
      </c>
      <c r="B157" s="445"/>
      <c r="C157" s="445"/>
      <c r="D157" s="445"/>
      <c r="E157" s="445"/>
      <c r="F157" s="445"/>
      <c r="G157" s="414" t="s">
        <v>136</v>
      </c>
      <c r="H157" s="414"/>
      <c r="I157" s="488" t="s">
        <v>137</v>
      </c>
      <c r="J157" s="491">
        <v>950000</v>
      </c>
      <c r="K157" s="166" t="s">
        <v>15</v>
      </c>
      <c r="L157" s="167">
        <v>0</v>
      </c>
      <c r="M157" s="168">
        <v>0</v>
      </c>
      <c r="N157" s="169">
        <v>1</v>
      </c>
      <c r="O157" s="170">
        <v>250000</v>
      </c>
      <c r="P157" s="167">
        <v>1</v>
      </c>
      <c r="Q157" s="170">
        <v>700000</v>
      </c>
      <c r="R157" s="167">
        <v>0</v>
      </c>
      <c r="S157" s="170"/>
      <c r="T157" s="167">
        <v>0</v>
      </c>
      <c r="U157" s="171"/>
      <c r="V157" s="133">
        <f>L157+N157+P157+R157+T157</f>
        <v>2</v>
      </c>
      <c r="W157" s="85">
        <v>2</v>
      </c>
      <c r="Y157" s="111"/>
      <c r="Z157" s="111"/>
    </row>
    <row r="158" spans="1:26" ht="17.100000000000001" customHeight="1" thickBot="1" x14ac:dyDescent="0.3">
      <c r="A158" s="445"/>
      <c r="B158" s="445"/>
      <c r="C158" s="445"/>
      <c r="D158" s="445"/>
      <c r="E158" s="445"/>
      <c r="F158" s="445"/>
      <c r="G158" s="414"/>
      <c r="H158" s="414"/>
      <c r="I158" s="488"/>
      <c r="J158" s="491"/>
      <c r="K158" s="172" t="s">
        <v>155</v>
      </c>
      <c r="L158" s="173">
        <f>L157</f>
        <v>0</v>
      </c>
      <c r="M158" s="174">
        <f t="shared" ref="M158:W158" si="1">M157</f>
        <v>0</v>
      </c>
      <c r="N158" s="173">
        <f t="shared" si="1"/>
        <v>1</v>
      </c>
      <c r="O158" s="174">
        <f t="shared" si="1"/>
        <v>250000</v>
      </c>
      <c r="P158" s="173">
        <f t="shared" si="1"/>
        <v>1</v>
      </c>
      <c r="Q158" s="174">
        <f t="shared" si="1"/>
        <v>700000</v>
      </c>
      <c r="R158" s="173">
        <f t="shared" si="1"/>
        <v>0</v>
      </c>
      <c r="S158" s="174">
        <f t="shared" si="1"/>
        <v>0</v>
      </c>
      <c r="T158" s="173">
        <f t="shared" si="1"/>
        <v>0</v>
      </c>
      <c r="U158" s="174">
        <f t="shared" si="1"/>
        <v>0</v>
      </c>
      <c r="V158" s="173">
        <f t="shared" si="1"/>
        <v>2</v>
      </c>
      <c r="W158" s="173">
        <f t="shared" si="1"/>
        <v>2</v>
      </c>
      <c r="Y158" s="111"/>
      <c r="Z158" s="111"/>
    </row>
    <row r="159" spans="1:26" ht="18.75" thickBot="1" x14ac:dyDescent="0.3">
      <c r="A159" s="445"/>
      <c r="B159" s="445"/>
      <c r="C159" s="445"/>
      <c r="D159" s="445"/>
      <c r="E159" s="445"/>
      <c r="F159" s="445"/>
      <c r="G159" s="414"/>
      <c r="H159" s="414"/>
      <c r="I159" s="489"/>
      <c r="J159" s="492"/>
      <c r="K159" s="173" t="s">
        <v>16</v>
      </c>
      <c r="L159" s="173"/>
      <c r="M159" s="174"/>
      <c r="N159" s="175"/>
      <c r="O159" s="174"/>
      <c r="P159" s="173"/>
      <c r="Q159" s="174"/>
      <c r="R159" s="173"/>
      <c r="S159" s="174"/>
      <c r="T159" s="173"/>
      <c r="U159" s="176"/>
      <c r="V159" s="133"/>
      <c r="W159" s="133"/>
      <c r="Y159" s="112"/>
      <c r="Z159" s="112"/>
    </row>
    <row r="160" spans="1:26" ht="18.75" thickBot="1" x14ac:dyDescent="0.3">
      <c r="A160" s="494" t="s">
        <v>138</v>
      </c>
      <c r="B160" s="495"/>
      <c r="C160" s="495"/>
      <c r="D160" s="495"/>
      <c r="E160" s="495"/>
      <c r="F160" s="496"/>
      <c r="G160" s="414" t="s">
        <v>2</v>
      </c>
      <c r="H160" s="414"/>
      <c r="I160" s="487" t="s">
        <v>137</v>
      </c>
      <c r="J160" s="490">
        <v>750000</v>
      </c>
      <c r="K160" s="167" t="s">
        <v>15</v>
      </c>
      <c r="L160" s="167">
        <v>0</v>
      </c>
      <c r="M160" s="170">
        <v>0</v>
      </c>
      <c r="N160" s="169">
        <v>1</v>
      </c>
      <c r="O160" s="170">
        <v>750000</v>
      </c>
      <c r="P160" s="167">
        <v>0</v>
      </c>
      <c r="Q160" s="170"/>
      <c r="R160" s="167">
        <v>0</v>
      </c>
      <c r="S160" s="170"/>
      <c r="T160" s="167">
        <v>0</v>
      </c>
      <c r="U160" s="171"/>
      <c r="V160" s="133">
        <f>L160+N160+P160+R160+T160</f>
        <v>1</v>
      </c>
      <c r="W160" s="85">
        <v>2</v>
      </c>
      <c r="Y160" s="111"/>
      <c r="Z160" s="111"/>
    </row>
    <row r="161" spans="1:26" ht="17.100000000000001" customHeight="1" thickBot="1" x14ac:dyDescent="0.3">
      <c r="A161" s="497"/>
      <c r="B161" s="358"/>
      <c r="C161" s="358"/>
      <c r="D161" s="358"/>
      <c r="E161" s="358"/>
      <c r="F161" s="396"/>
      <c r="G161" s="414"/>
      <c r="H161" s="414"/>
      <c r="I161" s="488"/>
      <c r="J161" s="491"/>
      <c r="K161" s="173" t="s">
        <v>155</v>
      </c>
      <c r="L161" s="173">
        <f>L160</f>
        <v>0</v>
      </c>
      <c r="M161" s="174">
        <f t="shared" ref="M161:W161" si="2">M160</f>
        <v>0</v>
      </c>
      <c r="N161" s="173">
        <f t="shared" si="2"/>
        <v>1</v>
      </c>
      <c r="O161" s="174">
        <f t="shared" si="2"/>
        <v>750000</v>
      </c>
      <c r="P161" s="173">
        <f t="shared" si="2"/>
        <v>0</v>
      </c>
      <c r="Q161" s="173">
        <f t="shared" si="2"/>
        <v>0</v>
      </c>
      <c r="R161" s="173">
        <f t="shared" si="2"/>
        <v>0</v>
      </c>
      <c r="S161" s="173">
        <f t="shared" si="2"/>
        <v>0</v>
      </c>
      <c r="T161" s="173">
        <f t="shared" si="2"/>
        <v>0</v>
      </c>
      <c r="U161" s="173">
        <f t="shared" si="2"/>
        <v>0</v>
      </c>
      <c r="V161" s="173">
        <f t="shared" si="2"/>
        <v>1</v>
      </c>
      <c r="W161" s="173">
        <f t="shared" si="2"/>
        <v>2</v>
      </c>
      <c r="Y161" s="111"/>
      <c r="Z161" s="111"/>
    </row>
    <row r="162" spans="1:26" ht="18.75" thickBot="1" x14ac:dyDescent="0.3">
      <c r="A162" s="498"/>
      <c r="B162" s="499"/>
      <c r="C162" s="499"/>
      <c r="D162" s="499"/>
      <c r="E162" s="499"/>
      <c r="F162" s="500"/>
      <c r="G162" s="414"/>
      <c r="H162" s="414"/>
      <c r="I162" s="501"/>
      <c r="J162" s="502"/>
      <c r="K162" s="173" t="s">
        <v>16</v>
      </c>
      <c r="L162" s="173"/>
      <c r="M162" s="174"/>
      <c r="N162" s="175"/>
      <c r="O162" s="174"/>
      <c r="P162" s="173"/>
      <c r="Q162" s="174"/>
      <c r="R162" s="173"/>
      <c r="S162" s="174"/>
      <c r="T162" s="173"/>
      <c r="U162" s="176"/>
      <c r="V162" s="133"/>
      <c r="W162" s="133"/>
      <c r="Y162" s="112"/>
      <c r="Z162" s="112"/>
    </row>
    <row r="163" spans="1:26" ht="21.75" customHeight="1" thickBot="1" x14ac:dyDescent="0.3">
      <c r="A163" s="445" t="s">
        <v>99</v>
      </c>
      <c r="B163" s="445"/>
      <c r="C163" s="445"/>
      <c r="D163" s="445"/>
      <c r="E163" s="445"/>
      <c r="F163" s="445"/>
      <c r="G163" s="414" t="s">
        <v>2</v>
      </c>
      <c r="H163" s="414"/>
      <c r="I163" s="487" t="s">
        <v>137</v>
      </c>
      <c r="J163" s="490">
        <v>400000</v>
      </c>
      <c r="K163" s="167" t="s">
        <v>15</v>
      </c>
      <c r="L163" s="167">
        <v>0</v>
      </c>
      <c r="M163" s="168">
        <v>0</v>
      </c>
      <c r="N163" s="169">
        <v>1</v>
      </c>
      <c r="O163" s="170">
        <v>100000</v>
      </c>
      <c r="P163" s="167">
        <v>1</v>
      </c>
      <c r="Q163" s="170">
        <v>150000</v>
      </c>
      <c r="R163" s="167">
        <v>1</v>
      </c>
      <c r="S163" s="170">
        <v>150000</v>
      </c>
      <c r="T163" s="167">
        <v>0</v>
      </c>
      <c r="U163" s="171"/>
      <c r="V163" s="133">
        <f>L163+N163+P163+R163+T163</f>
        <v>3</v>
      </c>
      <c r="W163" s="85">
        <f>V163</f>
        <v>3</v>
      </c>
      <c r="Y163" s="111"/>
      <c r="Z163" s="111"/>
    </row>
    <row r="164" spans="1:26" ht="18.75" thickBot="1" x14ac:dyDescent="0.3">
      <c r="A164" s="445"/>
      <c r="B164" s="445"/>
      <c r="C164" s="445"/>
      <c r="D164" s="445"/>
      <c r="E164" s="445"/>
      <c r="F164" s="445"/>
      <c r="G164" s="414"/>
      <c r="H164" s="414"/>
      <c r="I164" s="488"/>
      <c r="J164" s="491"/>
      <c r="K164" s="172" t="s">
        <v>155</v>
      </c>
      <c r="L164" s="173">
        <f>L163</f>
        <v>0</v>
      </c>
      <c r="M164" s="174">
        <f t="shared" ref="M164:W164" si="3">M163</f>
        <v>0</v>
      </c>
      <c r="N164" s="173">
        <f t="shared" si="3"/>
        <v>1</v>
      </c>
      <c r="O164" s="174">
        <f t="shared" si="3"/>
        <v>100000</v>
      </c>
      <c r="P164" s="173">
        <f t="shared" si="3"/>
        <v>1</v>
      </c>
      <c r="Q164" s="174">
        <f t="shared" si="3"/>
        <v>150000</v>
      </c>
      <c r="R164" s="173">
        <f t="shared" si="3"/>
        <v>1</v>
      </c>
      <c r="S164" s="174">
        <f t="shared" si="3"/>
        <v>150000</v>
      </c>
      <c r="T164" s="174">
        <f t="shared" si="3"/>
        <v>0</v>
      </c>
      <c r="U164" s="174">
        <f t="shared" si="3"/>
        <v>0</v>
      </c>
      <c r="V164" s="173">
        <f t="shared" si="3"/>
        <v>3</v>
      </c>
      <c r="W164" s="173">
        <f t="shared" si="3"/>
        <v>3</v>
      </c>
      <c r="X164" s="178"/>
      <c r="Y164" s="111"/>
      <c r="Z164" s="111"/>
    </row>
    <row r="165" spans="1:26" ht="16.5" thickBot="1" x14ac:dyDescent="0.3">
      <c r="A165" s="445"/>
      <c r="B165" s="445"/>
      <c r="C165" s="445"/>
      <c r="D165" s="445"/>
      <c r="E165" s="445"/>
      <c r="F165" s="445"/>
      <c r="G165" s="414"/>
      <c r="H165" s="414"/>
      <c r="I165" s="489"/>
      <c r="J165" s="492"/>
      <c r="K165" s="173" t="s">
        <v>16</v>
      </c>
      <c r="L165" s="173"/>
      <c r="M165" s="174"/>
      <c r="N165" s="175"/>
      <c r="O165" s="174"/>
      <c r="P165" s="173"/>
      <c r="Q165" s="174"/>
      <c r="R165" s="173"/>
      <c r="S165" s="174"/>
      <c r="T165" s="173"/>
      <c r="U165" s="176"/>
      <c r="V165" s="133"/>
      <c r="W165" s="133"/>
    </row>
    <row r="166" spans="1:26" ht="18.75" thickBot="1" x14ac:dyDescent="0.3">
      <c r="A166" s="445" t="s">
        <v>165</v>
      </c>
      <c r="B166" s="445"/>
      <c r="C166" s="445"/>
      <c r="D166" s="445"/>
      <c r="E166" s="445"/>
      <c r="F166" s="445"/>
      <c r="G166" s="414" t="s">
        <v>102</v>
      </c>
      <c r="H166" s="414"/>
      <c r="I166" s="487" t="s">
        <v>137</v>
      </c>
      <c r="J166" s="490">
        <v>250000</v>
      </c>
      <c r="K166" s="167" t="s">
        <v>15</v>
      </c>
      <c r="L166" s="167">
        <v>0</v>
      </c>
      <c r="M166" s="168">
        <v>0</v>
      </c>
      <c r="N166" s="169">
        <v>1</v>
      </c>
      <c r="O166" s="170">
        <v>75000</v>
      </c>
      <c r="P166" s="167">
        <v>1</v>
      </c>
      <c r="Q166" s="170">
        <v>85000</v>
      </c>
      <c r="R166" s="167">
        <v>1</v>
      </c>
      <c r="S166" s="170">
        <v>90000</v>
      </c>
      <c r="T166" s="167">
        <v>0</v>
      </c>
      <c r="U166" s="171"/>
      <c r="V166" s="133">
        <f>L166+N166+P166+R166+T166</f>
        <v>3</v>
      </c>
      <c r="W166" s="85">
        <f>V166</f>
        <v>3</v>
      </c>
      <c r="Y166" s="118"/>
      <c r="Z166" s="118"/>
    </row>
    <row r="167" spans="1:26" ht="18.75" thickBot="1" x14ac:dyDescent="0.3">
      <c r="A167" s="445"/>
      <c r="B167" s="445"/>
      <c r="C167" s="445"/>
      <c r="D167" s="445"/>
      <c r="E167" s="445"/>
      <c r="F167" s="445"/>
      <c r="G167" s="414"/>
      <c r="H167" s="414"/>
      <c r="I167" s="488"/>
      <c r="J167" s="491"/>
      <c r="K167" s="172" t="s">
        <v>155</v>
      </c>
      <c r="L167" s="173">
        <f>L166</f>
        <v>0</v>
      </c>
      <c r="M167" s="174">
        <f t="shared" ref="M167:W167" si="4">M166</f>
        <v>0</v>
      </c>
      <c r="N167" s="173">
        <f t="shared" si="4"/>
        <v>1</v>
      </c>
      <c r="O167" s="174">
        <f t="shared" si="4"/>
        <v>75000</v>
      </c>
      <c r="P167" s="173">
        <f t="shared" si="4"/>
        <v>1</v>
      </c>
      <c r="Q167" s="174">
        <f t="shared" si="4"/>
        <v>85000</v>
      </c>
      <c r="R167" s="173">
        <f t="shared" si="4"/>
        <v>1</v>
      </c>
      <c r="S167" s="174">
        <f t="shared" si="4"/>
        <v>90000</v>
      </c>
      <c r="T167" s="173">
        <f t="shared" si="4"/>
        <v>0</v>
      </c>
      <c r="U167" s="173">
        <f t="shared" si="4"/>
        <v>0</v>
      </c>
      <c r="V167" s="173">
        <f t="shared" si="4"/>
        <v>3</v>
      </c>
      <c r="W167" s="173">
        <f t="shared" si="4"/>
        <v>3</v>
      </c>
      <c r="Y167" s="111"/>
      <c r="Z167" s="111"/>
    </row>
    <row r="168" spans="1:26" ht="17.100000000000001" customHeight="1" thickBot="1" x14ac:dyDescent="0.3">
      <c r="A168" s="445"/>
      <c r="B168" s="445"/>
      <c r="C168" s="445"/>
      <c r="D168" s="445"/>
      <c r="E168" s="445"/>
      <c r="F168" s="445"/>
      <c r="G168" s="414"/>
      <c r="H168" s="414"/>
      <c r="I168" s="489"/>
      <c r="J168" s="492"/>
      <c r="K168" s="173" t="s">
        <v>16</v>
      </c>
      <c r="L168" s="173"/>
      <c r="M168" s="174"/>
      <c r="N168" s="175"/>
      <c r="O168" s="174"/>
      <c r="P168" s="173"/>
      <c r="Q168" s="174"/>
      <c r="R168" s="173"/>
      <c r="S168" s="174"/>
      <c r="T168" s="173"/>
      <c r="U168" s="176"/>
      <c r="V168" s="133"/>
      <c r="W168" s="133"/>
      <c r="Y168" s="111"/>
      <c r="Z168" s="111"/>
    </row>
    <row r="169" spans="1:26" ht="23.25" customHeight="1" thickBot="1" x14ac:dyDescent="0.3">
      <c r="A169" s="445" t="s">
        <v>166</v>
      </c>
      <c r="B169" s="445"/>
      <c r="C169" s="445"/>
      <c r="D169" s="445"/>
      <c r="E169" s="445"/>
      <c r="F169" s="445"/>
      <c r="G169" s="414" t="s">
        <v>102</v>
      </c>
      <c r="H169" s="414"/>
      <c r="I169" s="487" t="s">
        <v>137</v>
      </c>
      <c r="J169" s="490">
        <v>750000</v>
      </c>
      <c r="K169" s="167" t="s">
        <v>15</v>
      </c>
      <c r="L169" s="167">
        <v>0</v>
      </c>
      <c r="M169" s="168">
        <v>0</v>
      </c>
      <c r="N169" s="169">
        <v>1</v>
      </c>
      <c r="O169" s="170">
        <v>150000</v>
      </c>
      <c r="P169" s="167">
        <v>1</v>
      </c>
      <c r="Q169" s="170">
        <v>200000</v>
      </c>
      <c r="R169" s="167">
        <v>1</v>
      </c>
      <c r="S169" s="170">
        <v>200000</v>
      </c>
      <c r="T169" s="167">
        <v>1</v>
      </c>
      <c r="U169" s="171">
        <v>200000</v>
      </c>
      <c r="V169" s="133">
        <f>L169+N169+P169+R169+T169</f>
        <v>4</v>
      </c>
      <c r="W169" s="85">
        <f>V169</f>
        <v>4</v>
      </c>
      <c r="Y169" s="112"/>
      <c r="Z169" s="112"/>
    </row>
    <row r="170" spans="1:26" ht="17.100000000000001" customHeight="1" thickBot="1" x14ac:dyDescent="0.3">
      <c r="A170" s="445"/>
      <c r="B170" s="445"/>
      <c r="C170" s="445"/>
      <c r="D170" s="445"/>
      <c r="E170" s="445"/>
      <c r="F170" s="445"/>
      <c r="G170" s="414"/>
      <c r="H170" s="414"/>
      <c r="I170" s="488"/>
      <c r="J170" s="491"/>
      <c r="K170" s="172" t="s">
        <v>155</v>
      </c>
      <c r="L170" s="173">
        <f>L169</f>
        <v>0</v>
      </c>
      <c r="M170" s="174">
        <f t="shared" ref="M170:W170" si="5">M169</f>
        <v>0</v>
      </c>
      <c r="N170" s="173">
        <f t="shared" si="5"/>
        <v>1</v>
      </c>
      <c r="O170" s="174">
        <f t="shared" si="5"/>
        <v>150000</v>
      </c>
      <c r="P170" s="173">
        <f t="shared" si="5"/>
        <v>1</v>
      </c>
      <c r="Q170" s="174">
        <f t="shared" si="5"/>
        <v>200000</v>
      </c>
      <c r="R170" s="173">
        <f t="shared" si="5"/>
        <v>1</v>
      </c>
      <c r="S170" s="174">
        <f t="shared" si="5"/>
        <v>200000</v>
      </c>
      <c r="T170" s="173">
        <f t="shared" si="5"/>
        <v>1</v>
      </c>
      <c r="U170" s="174">
        <f t="shared" si="5"/>
        <v>200000</v>
      </c>
      <c r="V170" s="173">
        <f t="shared" si="5"/>
        <v>4</v>
      </c>
      <c r="W170" s="173">
        <f t="shared" si="5"/>
        <v>4</v>
      </c>
      <c r="Y170" s="111"/>
      <c r="Z170" s="111"/>
    </row>
    <row r="171" spans="1:26" ht="17.100000000000001" customHeight="1" thickBot="1" x14ac:dyDescent="0.3">
      <c r="A171" s="445"/>
      <c r="B171" s="445"/>
      <c r="C171" s="445"/>
      <c r="D171" s="445"/>
      <c r="E171" s="445"/>
      <c r="F171" s="445"/>
      <c r="G171" s="414"/>
      <c r="H171" s="414"/>
      <c r="I171" s="489"/>
      <c r="J171" s="492"/>
      <c r="K171" s="173" t="s">
        <v>16</v>
      </c>
      <c r="L171" s="173"/>
      <c r="M171" s="174"/>
      <c r="N171" s="175"/>
      <c r="O171" s="174"/>
      <c r="P171" s="173"/>
      <c r="Q171" s="174"/>
      <c r="R171" s="173"/>
      <c r="S171" s="174"/>
      <c r="T171" s="173"/>
      <c r="U171" s="176"/>
      <c r="V171" s="133"/>
      <c r="W171" s="133"/>
      <c r="Y171" s="111"/>
      <c r="Z171" s="111"/>
    </row>
    <row r="172" spans="1:26" ht="32.25" customHeight="1" thickBot="1" x14ac:dyDescent="0.3">
      <c r="A172" s="484" t="s">
        <v>134</v>
      </c>
      <c r="B172" s="473"/>
      <c r="C172" s="473"/>
      <c r="D172" s="473"/>
      <c r="E172" s="473"/>
      <c r="F172" s="473"/>
      <c r="H172" s="179"/>
      <c r="I172" s="180"/>
      <c r="J172" s="181">
        <f>SUM(J157:J171)</f>
        <v>3100000</v>
      </c>
      <c r="K172" s="150"/>
      <c r="L172" s="103"/>
      <c r="M172" s="182"/>
      <c r="N172" s="183"/>
      <c r="O172" s="182"/>
      <c r="P172" s="151"/>
      <c r="Q172" s="152"/>
      <c r="R172" s="103"/>
      <c r="S172" s="182"/>
      <c r="T172" s="103"/>
      <c r="U172" s="182"/>
      <c r="V172" s="151"/>
      <c r="W172" s="184"/>
      <c r="Y172" s="112"/>
      <c r="Z172" s="112"/>
    </row>
    <row r="173" spans="1:26" ht="27.75" customHeight="1" thickBot="1" x14ac:dyDescent="0.3">
      <c r="A173" s="479"/>
      <c r="B173" s="480"/>
      <c r="C173" s="480"/>
      <c r="D173" s="480"/>
      <c r="E173" s="480"/>
      <c r="F173" s="480"/>
      <c r="G173" s="480"/>
      <c r="H173" s="480"/>
      <c r="I173" s="480"/>
      <c r="J173" s="481"/>
      <c r="K173" s="185"/>
      <c r="L173" s="477"/>
      <c r="M173" s="478"/>
      <c r="N173" s="477"/>
      <c r="O173" s="478"/>
      <c r="P173" s="485"/>
      <c r="Q173" s="486"/>
      <c r="R173" s="477"/>
      <c r="S173" s="478"/>
      <c r="T173" s="477"/>
      <c r="U173" s="478"/>
      <c r="V173" s="187"/>
      <c r="W173" s="103"/>
      <c r="Y173" s="111"/>
      <c r="Z173" s="111"/>
    </row>
    <row r="174" spans="1:26" ht="18.75" thickBot="1" x14ac:dyDescent="0.3">
      <c r="A174" s="479" t="s">
        <v>139</v>
      </c>
      <c r="B174" s="480"/>
      <c r="C174" s="480"/>
      <c r="D174" s="480"/>
      <c r="E174" s="480"/>
      <c r="F174" s="480"/>
      <c r="G174" s="480"/>
      <c r="H174" s="480"/>
      <c r="I174" s="480"/>
      <c r="J174" s="481"/>
      <c r="K174" s="188"/>
      <c r="L174" s="482">
        <v>2018</v>
      </c>
      <c r="M174" s="483"/>
      <c r="N174" s="482">
        <v>2019</v>
      </c>
      <c r="O174" s="483"/>
      <c r="P174" s="482">
        <v>2020</v>
      </c>
      <c r="Q174" s="483"/>
      <c r="R174" s="482">
        <v>2021</v>
      </c>
      <c r="S174" s="483"/>
      <c r="T174" s="482">
        <v>2022</v>
      </c>
      <c r="U174" s="483"/>
      <c r="V174" s="189"/>
      <c r="W174" s="85"/>
      <c r="Y174" s="111"/>
      <c r="Z174" s="111"/>
    </row>
    <row r="175" spans="1:26" ht="30.75" thickBot="1" x14ac:dyDescent="0.3">
      <c r="A175" s="472" t="s">
        <v>0</v>
      </c>
      <c r="B175" s="473"/>
      <c r="C175" s="473"/>
      <c r="D175" s="473"/>
      <c r="E175" s="473"/>
      <c r="F175" s="474"/>
      <c r="G175" s="472" t="s">
        <v>40</v>
      </c>
      <c r="H175" s="474"/>
      <c r="I175" s="190" t="s">
        <v>131</v>
      </c>
      <c r="J175" s="191" t="s">
        <v>132</v>
      </c>
      <c r="K175" s="192"/>
      <c r="L175" s="193" t="s">
        <v>159</v>
      </c>
      <c r="M175" s="194" t="s">
        <v>160</v>
      </c>
      <c r="N175" s="195" t="s">
        <v>159</v>
      </c>
      <c r="O175" s="194" t="s">
        <v>160</v>
      </c>
      <c r="P175" s="193" t="s">
        <v>159</v>
      </c>
      <c r="Q175" s="194" t="s">
        <v>160</v>
      </c>
      <c r="R175" s="193" t="s">
        <v>159</v>
      </c>
      <c r="S175" s="194" t="s">
        <v>160</v>
      </c>
      <c r="T175" s="193" t="s">
        <v>159</v>
      </c>
      <c r="U175" s="194" t="s">
        <v>160</v>
      </c>
      <c r="V175" s="196" t="s">
        <v>58</v>
      </c>
      <c r="W175" s="161" t="s">
        <v>14</v>
      </c>
      <c r="Y175" s="112"/>
      <c r="Z175" s="112"/>
    </row>
    <row r="176" spans="1:26" ht="17.100000000000001" customHeight="1" thickBot="1" x14ac:dyDescent="0.3">
      <c r="A176" s="442" t="s">
        <v>167</v>
      </c>
      <c r="B176" s="443"/>
      <c r="C176" s="443"/>
      <c r="D176" s="443"/>
      <c r="E176" s="443"/>
      <c r="F176" s="443"/>
      <c r="G176" s="413" t="s">
        <v>147</v>
      </c>
      <c r="H176" s="413"/>
      <c r="I176" s="413" t="s">
        <v>137</v>
      </c>
      <c r="J176" s="469">
        <f>10200000+2300000</f>
        <v>12500000</v>
      </c>
      <c r="K176" s="197" t="s">
        <v>15</v>
      </c>
      <c r="L176" s="198">
        <v>0</v>
      </c>
      <c r="M176" s="199">
        <v>0</v>
      </c>
      <c r="N176" s="200">
        <v>1</v>
      </c>
      <c r="O176" s="201">
        <f>10200000*0.1</f>
        <v>1020000</v>
      </c>
      <c r="P176" s="198">
        <v>1</v>
      </c>
      <c r="Q176" s="201">
        <f>10200000*0.2+2300000*0.15</f>
        <v>2385000</v>
      </c>
      <c r="R176" s="198">
        <v>1</v>
      </c>
      <c r="S176" s="201">
        <f>10200000*0.3+2300000*0.35</f>
        <v>3865000</v>
      </c>
      <c r="T176" s="198">
        <v>1</v>
      </c>
      <c r="U176" s="201">
        <f>10200000*0.4+2300000*0.5</f>
        <v>5230000</v>
      </c>
      <c r="V176" s="202">
        <f>L176+N176+P176+R176+T176</f>
        <v>4</v>
      </c>
      <c r="W176" s="203">
        <f>V176</f>
        <v>4</v>
      </c>
      <c r="Y176" s="111"/>
      <c r="Z176" s="111"/>
    </row>
    <row r="177" spans="1:26" ht="17.100000000000001" customHeight="1" thickBot="1" x14ac:dyDescent="0.3">
      <c r="A177" s="444"/>
      <c r="B177" s="445"/>
      <c r="C177" s="445"/>
      <c r="D177" s="445"/>
      <c r="E177" s="445"/>
      <c r="F177" s="445"/>
      <c r="G177" s="414"/>
      <c r="H177" s="414"/>
      <c r="I177" s="414"/>
      <c r="J177" s="470"/>
      <c r="K177" s="204" t="s">
        <v>155</v>
      </c>
      <c r="L177" s="205">
        <f>L176</f>
        <v>0</v>
      </c>
      <c r="M177" s="206">
        <f t="shared" ref="M177:W177" si="6">M176</f>
        <v>0</v>
      </c>
      <c r="N177" s="207">
        <f t="shared" si="6"/>
        <v>1</v>
      </c>
      <c r="O177" s="206">
        <f t="shared" si="6"/>
        <v>1020000</v>
      </c>
      <c r="P177" s="205">
        <f t="shared" si="6"/>
        <v>1</v>
      </c>
      <c r="Q177" s="206">
        <f t="shared" si="6"/>
        <v>2385000</v>
      </c>
      <c r="R177" s="205">
        <f t="shared" si="6"/>
        <v>1</v>
      </c>
      <c r="S177" s="206">
        <f t="shared" si="6"/>
        <v>3865000</v>
      </c>
      <c r="T177" s="205">
        <f t="shared" si="6"/>
        <v>1</v>
      </c>
      <c r="U177" s="206">
        <f t="shared" si="6"/>
        <v>5230000</v>
      </c>
      <c r="V177" s="205">
        <f t="shared" si="6"/>
        <v>4</v>
      </c>
      <c r="W177" s="205">
        <f t="shared" si="6"/>
        <v>4</v>
      </c>
      <c r="Y177" s="111"/>
      <c r="Z177" s="111"/>
    </row>
    <row r="178" spans="1:26" ht="29.25" customHeight="1" thickBot="1" x14ac:dyDescent="0.3">
      <c r="A178" s="475"/>
      <c r="B178" s="476"/>
      <c r="C178" s="476"/>
      <c r="D178" s="476"/>
      <c r="E178" s="476"/>
      <c r="F178" s="476"/>
      <c r="G178" s="367"/>
      <c r="H178" s="367"/>
      <c r="I178" s="367"/>
      <c r="J178" s="370"/>
      <c r="K178" s="187" t="s">
        <v>16</v>
      </c>
      <c r="L178" s="208"/>
      <c r="M178" s="209"/>
      <c r="N178" s="210"/>
      <c r="O178" s="209"/>
      <c r="P178" s="208"/>
      <c r="Q178" s="209"/>
      <c r="R178" s="208"/>
      <c r="S178" s="209"/>
      <c r="T178" s="208"/>
      <c r="U178" s="209"/>
      <c r="V178" s="186"/>
      <c r="W178" s="211"/>
      <c r="Y178" s="112"/>
      <c r="Z178" s="112"/>
    </row>
    <row r="179" spans="1:26" ht="17.100000000000001" customHeight="1" thickBot="1" x14ac:dyDescent="0.3">
      <c r="A179" s="443" t="s">
        <v>168</v>
      </c>
      <c r="B179" s="443"/>
      <c r="C179" s="443"/>
      <c r="D179" s="443"/>
      <c r="E179" s="443"/>
      <c r="F179" s="443"/>
      <c r="G179" s="413" t="s">
        <v>140</v>
      </c>
      <c r="H179" s="413"/>
      <c r="I179" s="413" t="s">
        <v>137</v>
      </c>
      <c r="J179" s="469">
        <f>1200000+1915252.15+200000</f>
        <v>3315252.15</v>
      </c>
      <c r="K179" s="197" t="s">
        <v>15</v>
      </c>
      <c r="L179" s="198">
        <v>0</v>
      </c>
      <c r="M179" s="199">
        <v>0</v>
      </c>
      <c r="N179" s="200">
        <v>1</v>
      </c>
      <c r="O179" s="199">
        <f>1915252.15*0.3</f>
        <v>574575.6449999999</v>
      </c>
      <c r="P179" s="198">
        <v>1</v>
      </c>
      <c r="Q179" s="199">
        <f>1915252.15*0.7+1200000*0.25+200000*0.4</f>
        <v>1720676.5049999999</v>
      </c>
      <c r="R179" s="198">
        <v>1</v>
      </c>
      <c r="S179" s="199">
        <f>1200000*0.6+200000*0.6</f>
        <v>840000</v>
      </c>
      <c r="T179" s="198">
        <v>1</v>
      </c>
      <c r="U179" s="199">
        <f>1200000*0.15</f>
        <v>180000</v>
      </c>
      <c r="V179" s="202">
        <f>L179+N179+P179+R179+T179</f>
        <v>4</v>
      </c>
      <c r="W179" s="203">
        <f>V179</f>
        <v>4</v>
      </c>
      <c r="Y179" s="111"/>
      <c r="Z179" s="111"/>
    </row>
    <row r="180" spans="1:26" ht="17.100000000000001" customHeight="1" thickBot="1" x14ac:dyDescent="0.3">
      <c r="A180" s="445"/>
      <c r="B180" s="445"/>
      <c r="C180" s="445"/>
      <c r="D180" s="445"/>
      <c r="E180" s="445"/>
      <c r="F180" s="445"/>
      <c r="G180" s="414"/>
      <c r="H180" s="414"/>
      <c r="I180" s="414"/>
      <c r="J180" s="470"/>
      <c r="K180" s="204" t="s">
        <v>155</v>
      </c>
      <c r="L180" s="205">
        <f>L179</f>
        <v>0</v>
      </c>
      <c r="M180" s="206">
        <f t="shared" ref="M180:W180" si="7">M179</f>
        <v>0</v>
      </c>
      <c r="N180" s="207">
        <f t="shared" si="7"/>
        <v>1</v>
      </c>
      <c r="O180" s="206">
        <f t="shared" si="7"/>
        <v>574575.6449999999</v>
      </c>
      <c r="P180" s="205">
        <f t="shared" si="7"/>
        <v>1</v>
      </c>
      <c r="Q180" s="206">
        <f t="shared" si="7"/>
        <v>1720676.5049999999</v>
      </c>
      <c r="R180" s="205">
        <f t="shared" si="7"/>
        <v>1</v>
      </c>
      <c r="S180" s="206">
        <f t="shared" si="7"/>
        <v>840000</v>
      </c>
      <c r="T180" s="205">
        <f t="shared" si="7"/>
        <v>1</v>
      </c>
      <c r="U180" s="206">
        <f t="shared" si="7"/>
        <v>180000</v>
      </c>
      <c r="V180" s="205">
        <f t="shared" si="7"/>
        <v>4</v>
      </c>
      <c r="W180" s="205">
        <f t="shared" si="7"/>
        <v>4</v>
      </c>
      <c r="Y180" s="111"/>
      <c r="Z180" s="111"/>
    </row>
    <row r="181" spans="1:26" ht="14.25" customHeight="1" thickBot="1" x14ac:dyDescent="0.3">
      <c r="A181" s="447"/>
      <c r="B181" s="447"/>
      <c r="C181" s="447"/>
      <c r="D181" s="447"/>
      <c r="E181" s="447"/>
      <c r="F181" s="447"/>
      <c r="G181" s="415"/>
      <c r="H181" s="415"/>
      <c r="I181" s="415"/>
      <c r="J181" s="471"/>
      <c r="K181" s="212" t="s">
        <v>16</v>
      </c>
      <c r="L181" s="213"/>
      <c r="M181" s="214"/>
      <c r="N181" s="215"/>
      <c r="O181" s="214"/>
      <c r="P181" s="213"/>
      <c r="Q181" s="214"/>
      <c r="R181" s="213"/>
      <c r="S181" s="214"/>
      <c r="T181" s="213"/>
      <c r="U181" s="214"/>
      <c r="V181" s="216"/>
      <c r="W181" s="217"/>
      <c r="Y181" s="112"/>
      <c r="Z181" s="112"/>
    </row>
    <row r="182" spans="1:26" ht="17.100000000000001" customHeight="1" thickBot="1" x14ac:dyDescent="0.3">
      <c r="A182" s="442" t="s">
        <v>169</v>
      </c>
      <c r="B182" s="443"/>
      <c r="C182" s="443"/>
      <c r="D182" s="443"/>
      <c r="E182" s="443"/>
      <c r="F182" s="443"/>
      <c r="G182" s="413" t="s">
        <v>147</v>
      </c>
      <c r="H182" s="413"/>
      <c r="I182" s="413" t="s">
        <v>137</v>
      </c>
      <c r="J182" s="469">
        <f>200000+800000+1000000+800000+800000+6500000</f>
        <v>10100000</v>
      </c>
      <c r="K182" s="197" t="s">
        <v>15</v>
      </c>
      <c r="L182" s="198">
        <v>0</v>
      </c>
      <c r="M182" s="199">
        <v>0</v>
      </c>
      <c r="N182" s="200">
        <v>1</v>
      </c>
      <c r="O182" s="199">
        <f>3600000*0.1+6500000*0.1</f>
        <v>1010000</v>
      </c>
      <c r="P182" s="198">
        <v>1</v>
      </c>
      <c r="Q182" s="199">
        <f>3600000*0.2+6500000*0.2</f>
        <v>2020000</v>
      </c>
      <c r="R182" s="198">
        <v>1</v>
      </c>
      <c r="S182" s="199">
        <f>3600000*0.35+6500000*0.35</f>
        <v>3535000</v>
      </c>
      <c r="T182" s="198">
        <v>1</v>
      </c>
      <c r="U182" s="199">
        <f>3600000*0.35+6500000*0.35</f>
        <v>3535000</v>
      </c>
      <c r="V182" s="202">
        <f>L182+N182+P182+R182+T182</f>
        <v>4</v>
      </c>
      <c r="W182" s="203">
        <f>V182</f>
        <v>4</v>
      </c>
      <c r="Y182" s="111"/>
      <c r="Z182" s="111"/>
    </row>
    <row r="183" spans="1:26" ht="17.100000000000001" customHeight="1" thickBot="1" x14ac:dyDescent="0.3">
      <c r="A183" s="444"/>
      <c r="B183" s="445"/>
      <c r="C183" s="445"/>
      <c r="D183" s="445"/>
      <c r="E183" s="445"/>
      <c r="F183" s="445"/>
      <c r="G183" s="414"/>
      <c r="H183" s="414"/>
      <c r="I183" s="414"/>
      <c r="J183" s="470"/>
      <c r="K183" s="204" t="s">
        <v>155</v>
      </c>
      <c r="L183" s="218">
        <f>L182</f>
        <v>0</v>
      </c>
      <c r="M183" s="219">
        <f t="shared" ref="M183:W183" si="8">M182</f>
        <v>0</v>
      </c>
      <c r="N183" s="220">
        <f t="shared" si="8"/>
        <v>1</v>
      </c>
      <c r="O183" s="219">
        <f t="shared" si="8"/>
        <v>1010000</v>
      </c>
      <c r="P183" s="218">
        <f t="shared" si="8"/>
        <v>1</v>
      </c>
      <c r="Q183" s="219">
        <f t="shared" si="8"/>
        <v>2020000</v>
      </c>
      <c r="R183" s="218">
        <f t="shared" si="8"/>
        <v>1</v>
      </c>
      <c r="S183" s="219">
        <f t="shared" si="8"/>
        <v>3535000</v>
      </c>
      <c r="T183" s="218">
        <f t="shared" si="8"/>
        <v>1</v>
      </c>
      <c r="U183" s="219">
        <f t="shared" si="8"/>
        <v>3535000</v>
      </c>
      <c r="V183" s="218">
        <f t="shared" si="8"/>
        <v>4</v>
      </c>
      <c r="W183" s="218">
        <f t="shared" si="8"/>
        <v>4</v>
      </c>
      <c r="Y183" s="111"/>
      <c r="Z183" s="111"/>
    </row>
    <row r="184" spans="1:26" ht="18.75" thickBot="1" x14ac:dyDescent="0.3">
      <c r="A184" s="446"/>
      <c r="B184" s="447"/>
      <c r="C184" s="447"/>
      <c r="D184" s="447"/>
      <c r="E184" s="447"/>
      <c r="F184" s="447"/>
      <c r="G184" s="415"/>
      <c r="H184" s="415"/>
      <c r="I184" s="415"/>
      <c r="J184" s="471"/>
      <c r="K184" s="212" t="s">
        <v>16</v>
      </c>
      <c r="L184" s="213"/>
      <c r="M184" s="214"/>
      <c r="N184" s="215"/>
      <c r="O184" s="214"/>
      <c r="P184" s="213"/>
      <c r="Q184" s="214"/>
      <c r="R184" s="213"/>
      <c r="S184" s="214"/>
      <c r="T184" s="213"/>
      <c r="U184" s="214"/>
      <c r="V184" s="216"/>
      <c r="W184" s="217"/>
      <c r="Y184" s="112"/>
      <c r="Z184" s="112"/>
    </row>
    <row r="185" spans="1:26" ht="17.100000000000001" customHeight="1" thickBot="1" x14ac:dyDescent="0.3">
      <c r="A185" s="442" t="s">
        <v>170</v>
      </c>
      <c r="B185" s="443"/>
      <c r="C185" s="443"/>
      <c r="D185" s="443"/>
      <c r="E185" s="443"/>
      <c r="F185" s="443"/>
      <c r="G185" s="413" t="s">
        <v>171</v>
      </c>
      <c r="H185" s="413"/>
      <c r="I185" s="413" t="s">
        <v>137</v>
      </c>
      <c r="J185" s="469">
        <f>1800000+2000000+2200000</f>
        <v>6000000</v>
      </c>
      <c r="K185" s="197" t="s">
        <v>15</v>
      </c>
      <c r="L185" s="198">
        <v>0</v>
      </c>
      <c r="M185" s="199">
        <v>0</v>
      </c>
      <c r="N185" s="200"/>
      <c r="O185" s="199">
        <v>0</v>
      </c>
      <c r="P185" s="198">
        <v>1</v>
      </c>
      <c r="Q185" s="199">
        <f>6000000*0.15</f>
        <v>900000</v>
      </c>
      <c r="R185" s="198">
        <v>1</v>
      </c>
      <c r="S185" s="199">
        <f>6000000*0.3</f>
        <v>1800000</v>
      </c>
      <c r="T185" s="198">
        <v>1</v>
      </c>
      <c r="U185" s="199">
        <f>6000000*0.55</f>
        <v>3300000.0000000005</v>
      </c>
      <c r="V185" s="202">
        <f>L185+N185+P185+R185+T185</f>
        <v>3</v>
      </c>
      <c r="W185" s="203">
        <f>V185</f>
        <v>3</v>
      </c>
      <c r="Y185" s="111"/>
      <c r="Z185" s="111"/>
    </row>
    <row r="186" spans="1:26" ht="17.100000000000001" customHeight="1" thickBot="1" x14ac:dyDescent="0.3">
      <c r="A186" s="444"/>
      <c r="B186" s="445"/>
      <c r="C186" s="445"/>
      <c r="D186" s="445"/>
      <c r="E186" s="445"/>
      <c r="F186" s="445"/>
      <c r="G186" s="414"/>
      <c r="H186" s="414"/>
      <c r="I186" s="414"/>
      <c r="J186" s="470"/>
      <c r="K186" s="204" t="s">
        <v>155</v>
      </c>
      <c r="L186" s="205">
        <f>L185</f>
        <v>0</v>
      </c>
      <c r="M186" s="206">
        <f t="shared" ref="M186:W186" si="9">M185</f>
        <v>0</v>
      </c>
      <c r="N186" s="207">
        <f t="shared" si="9"/>
        <v>0</v>
      </c>
      <c r="O186" s="206">
        <f t="shared" si="9"/>
        <v>0</v>
      </c>
      <c r="P186" s="205">
        <f t="shared" si="9"/>
        <v>1</v>
      </c>
      <c r="Q186" s="206">
        <f t="shared" si="9"/>
        <v>900000</v>
      </c>
      <c r="R186" s="205">
        <f t="shared" si="9"/>
        <v>1</v>
      </c>
      <c r="S186" s="206">
        <f t="shared" si="9"/>
        <v>1800000</v>
      </c>
      <c r="T186" s="205">
        <f t="shared" si="9"/>
        <v>1</v>
      </c>
      <c r="U186" s="206">
        <f t="shared" si="9"/>
        <v>3300000.0000000005</v>
      </c>
      <c r="V186" s="205">
        <f t="shared" si="9"/>
        <v>3</v>
      </c>
      <c r="W186" s="205">
        <f t="shared" si="9"/>
        <v>3</v>
      </c>
      <c r="Y186" s="111"/>
      <c r="Z186" s="111"/>
    </row>
    <row r="187" spans="1:26" ht="36.75" customHeight="1" thickBot="1" x14ac:dyDescent="0.3">
      <c r="A187" s="446"/>
      <c r="B187" s="447"/>
      <c r="C187" s="447"/>
      <c r="D187" s="447"/>
      <c r="E187" s="447"/>
      <c r="F187" s="447"/>
      <c r="G187" s="415"/>
      <c r="H187" s="415"/>
      <c r="I187" s="415"/>
      <c r="J187" s="471"/>
      <c r="K187" s="212" t="s">
        <v>16</v>
      </c>
      <c r="L187" s="213"/>
      <c r="M187" s="214"/>
      <c r="N187" s="215"/>
      <c r="O187" s="214"/>
      <c r="P187" s="213"/>
      <c r="Q187" s="214"/>
      <c r="R187" s="213"/>
      <c r="S187" s="214"/>
      <c r="T187" s="213"/>
      <c r="U187" s="214"/>
      <c r="V187" s="216"/>
      <c r="W187" s="217"/>
      <c r="Y187" s="112"/>
      <c r="Z187" s="112"/>
    </row>
    <row r="188" spans="1:26" ht="18.75" thickBot="1" x14ac:dyDescent="0.3">
      <c r="A188" s="407" t="s">
        <v>172</v>
      </c>
      <c r="B188" s="408"/>
      <c r="C188" s="408"/>
      <c r="D188" s="408"/>
      <c r="E188" s="408"/>
      <c r="F188" s="408"/>
      <c r="G188" s="413" t="s">
        <v>141</v>
      </c>
      <c r="H188" s="413"/>
      <c r="I188" s="413" t="s">
        <v>137</v>
      </c>
      <c r="J188" s="469">
        <f>330000*4</f>
        <v>1320000</v>
      </c>
      <c r="K188" s="197" t="s">
        <v>15</v>
      </c>
      <c r="L188" s="198">
        <v>0</v>
      </c>
      <c r="M188" s="199">
        <v>0</v>
      </c>
      <c r="N188" s="200">
        <v>1</v>
      </c>
      <c r="O188" s="199">
        <f>330000*0.35</f>
        <v>115499.99999999999</v>
      </c>
      <c r="P188" s="198">
        <v>1</v>
      </c>
      <c r="Q188" s="199">
        <f>330000*0.65+660000*0.35</f>
        <v>445500</v>
      </c>
      <c r="R188" s="198">
        <v>1</v>
      </c>
      <c r="S188" s="199">
        <f>660000*0.65+330000*0.35</f>
        <v>544500</v>
      </c>
      <c r="T188" s="198">
        <v>1</v>
      </c>
      <c r="U188" s="199">
        <f>330000*0.65</f>
        <v>214500</v>
      </c>
      <c r="V188" s="202">
        <f>L188+N188+P188+R188+T188</f>
        <v>4</v>
      </c>
      <c r="W188" s="203">
        <f>V188</f>
        <v>4</v>
      </c>
      <c r="Y188" s="111"/>
      <c r="Z188" s="111"/>
    </row>
    <row r="189" spans="1:26" ht="18.75" thickBot="1" x14ac:dyDescent="0.3">
      <c r="A189" s="409"/>
      <c r="B189" s="410"/>
      <c r="C189" s="410"/>
      <c r="D189" s="410"/>
      <c r="E189" s="410"/>
      <c r="F189" s="410"/>
      <c r="G189" s="414"/>
      <c r="H189" s="414"/>
      <c r="I189" s="414"/>
      <c r="J189" s="470"/>
      <c r="K189" s="204" t="s">
        <v>155</v>
      </c>
      <c r="L189" s="205">
        <f>L188</f>
        <v>0</v>
      </c>
      <c r="M189" s="206">
        <f t="shared" ref="M189:W189" si="10">M188</f>
        <v>0</v>
      </c>
      <c r="N189" s="207">
        <f t="shared" si="10"/>
        <v>1</v>
      </c>
      <c r="O189" s="206">
        <f t="shared" si="10"/>
        <v>115499.99999999999</v>
      </c>
      <c r="P189" s="205">
        <f t="shared" si="10"/>
        <v>1</v>
      </c>
      <c r="Q189" s="206">
        <f t="shared" si="10"/>
        <v>445500</v>
      </c>
      <c r="R189" s="205">
        <f t="shared" si="10"/>
        <v>1</v>
      </c>
      <c r="S189" s="206">
        <f t="shared" si="10"/>
        <v>544500</v>
      </c>
      <c r="T189" s="205">
        <f t="shared" si="10"/>
        <v>1</v>
      </c>
      <c r="U189" s="206">
        <f t="shared" si="10"/>
        <v>214500</v>
      </c>
      <c r="V189" s="205">
        <f t="shared" si="10"/>
        <v>4</v>
      </c>
      <c r="W189" s="205">
        <f t="shared" si="10"/>
        <v>4</v>
      </c>
      <c r="Y189" s="111"/>
      <c r="Z189" s="111"/>
    </row>
    <row r="190" spans="1:26" ht="18.75" thickBot="1" x14ac:dyDescent="0.3">
      <c r="A190" s="411"/>
      <c r="B190" s="412"/>
      <c r="C190" s="412"/>
      <c r="D190" s="412"/>
      <c r="E190" s="412"/>
      <c r="F190" s="412"/>
      <c r="G190" s="415"/>
      <c r="H190" s="415"/>
      <c r="I190" s="415"/>
      <c r="J190" s="471"/>
      <c r="K190" s="212" t="s">
        <v>16</v>
      </c>
      <c r="L190" s="213"/>
      <c r="M190" s="214"/>
      <c r="N190" s="215"/>
      <c r="O190" s="214"/>
      <c r="P190" s="213"/>
      <c r="Q190" s="214"/>
      <c r="R190" s="213"/>
      <c r="S190" s="214"/>
      <c r="T190" s="213"/>
      <c r="U190" s="214"/>
      <c r="V190" s="216"/>
      <c r="W190" s="217"/>
      <c r="Y190" s="111"/>
      <c r="Z190" s="111"/>
    </row>
    <row r="191" spans="1:26" ht="18.75" thickBot="1" x14ac:dyDescent="0.3">
      <c r="A191" s="442" t="s">
        <v>173</v>
      </c>
      <c r="B191" s="443"/>
      <c r="C191" s="443"/>
      <c r="D191" s="443"/>
      <c r="E191" s="221"/>
      <c r="F191" s="221"/>
      <c r="G191" s="448" t="s">
        <v>174</v>
      </c>
      <c r="H191" s="448"/>
      <c r="I191" s="413" t="s">
        <v>137</v>
      </c>
      <c r="J191" s="451">
        <v>220000</v>
      </c>
      <c r="K191" s="197" t="s">
        <v>15</v>
      </c>
      <c r="L191" s="198">
        <v>0</v>
      </c>
      <c r="M191" s="199"/>
      <c r="N191" s="200"/>
      <c r="O191" s="199"/>
      <c r="P191" s="198"/>
      <c r="Q191" s="199"/>
      <c r="R191" s="198">
        <v>1</v>
      </c>
      <c r="S191" s="199">
        <f>220000*0.45</f>
        <v>99000</v>
      </c>
      <c r="T191" s="198">
        <v>1</v>
      </c>
      <c r="U191" s="199">
        <f>220000*0.55</f>
        <v>121000.00000000001</v>
      </c>
      <c r="V191" s="202">
        <f>L191+N191+P191+R191+T191</f>
        <v>2</v>
      </c>
      <c r="W191" s="203">
        <f>V191</f>
        <v>2</v>
      </c>
      <c r="Y191" s="111"/>
      <c r="Z191" s="111"/>
    </row>
    <row r="192" spans="1:26" ht="18.75" thickBot="1" x14ac:dyDescent="0.3">
      <c r="A192" s="444"/>
      <c r="B192" s="445"/>
      <c r="C192" s="445"/>
      <c r="D192" s="445"/>
      <c r="E192" s="222"/>
      <c r="F192" s="222"/>
      <c r="G192" s="449"/>
      <c r="H192" s="449"/>
      <c r="I192" s="414"/>
      <c r="J192" s="452"/>
      <c r="K192" s="204" t="s">
        <v>155</v>
      </c>
      <c r="L192" s="205">
        <f>L191</f>
        <v>0</v>
      </c>
      <c r="M192" s="206">
        <f t="shared" ref="M192:W192" si="11">M191</f>
        <v>0</v>
      </c>
      <c r="N192" s="207">
        <f t="shared" si="11"/>
        <v>0</v>
      </c>
      <c r="O192" s="206">
        <f t="shared" si="11"/>
        <v>0</v>
      </c>
      <c r="P192" s="205">
        <f t="shared" si="11"/>
        <v>0</v>
      </c>
      <c r="Q192" s="206">
        <f t="shared" si="11"/>
        <v>0</v>
      </c>
      <c r="R192" s="205">
        <f t="shared" si="11"/>
        <v>1</v>
      </c>
      <c r="S192" s="206">
        <f t="shared" si="11"/>
        <v>99000</v>
      </c>
      <c r="T192" s="205">
        <f t="shared" si="11"/>
        <v>1</v>
      </c>
      <c r="U192" s="206">
        <f t="shared" si="11"/>
        <v>121000.00000000001</v>
      </c>
      <c r="V192" s="205">
        <f t="shared" si="11"/>
        <v>2</v>
      </c>
      <c r="W192" s="205">
        <f t="shared" si="11"/>
        <v>2</v>
      </c>
      <c r="Y192" s="111"/>
      <c r="Z192" s="111"/>
    </row>
    <row r="193" spans="1:26" ht="18.75" thickBot="1" x14ac:dyDescent="0.3">
      <c r="A193" s="446"/>
      <c r="B193" s="447"/>
      <c r="C193" s="447"/>
      <c r="D193" s="447"/>
      <c r="E193" s="223"/>
      <c r="F193" s="223"/>
      <c r="G193" s="450"/>
      <c r="H193" s="450"/>
      <c r="I193" s="415"/>
      <c r="J193" s="453"/>
      <c r="K193" s="212" t="s">
        <v>16</v>
      </c>
      <c r="L193" s="213"/>
      <c r="M193" s="214"/>
      <c r="N193" s="215"/>
      <c r="O193" s="214"/>
      <c r="P193" s="213"/>
      <c r="Q193" s="214"/>
      <c r="R193" s="213"/>
      <c r="S193" s="214"/>
      <c r="T193" s="213"/>
      <c r="U193" s="214"/>
      <c r="V193" s="216"/>
      <c r="W193" s="217"/>
      <c r="Y193" s="111"/>
      <c r="Z193" s="111"/>
    </row>
    <row r="194" spans="1:26" ht="18.75" thickBot="1" x14ac:dyDescent="0.3">
      <c r="A194" s="442" t="s">
        <v>90</v>
      </c>
      <c r="B194" s="443"/>
      <c r="C194" s="443"/>
      <c r="D194" s="443"/>
      <c r="E194" s="221"/>
      <c r="F194" s="221"/>
      <c r="G194" s="448" t="s">
        <v>142</v>
      </c>
      <c r="H194" s="448"/>
      <c r="I194" s="413" t="s">
        <v>137</v>
      </c>
      <c r="J194" s="451">
        <v>630000</v>
      </c>
      <c r="K194" s="197" t="s">
        <v>15</v>
      </c>
      <c r="L194" s="198">
        <v>0</v>
      </c>
      <c r="M194" s="199"/>
      <c r="N194" s="200"/>
      <c r="O194" s="199"/>
      <c r="P194" s="198">
        <v>1</v>
      </c>
      <c r="Q194" s="199">
        <f>630000*0.2</f>
        <v>126000</v>
      </c>
      <c r="R194" s="198">
        <v>1</v>
      </c>
      <c r="S194" s="199">
        <f>630000*0.5</f>
        <v>315000</v>
      </c>
      <c r="T194" s="198">
        <v>1</v>
      </c>
      <c r="U194" s="199">
        <f>630000*0.3</f>
        <v>189000</v>
      </c>
      <c r="V194" s="202">
        <f>L194+N194+P194+R194+T194</f>
        <v>3</v>
      </c>
      <c r="W194" s="203">
        <f>V194</f>
        <v>3</v>
      </c>
      <c r="Y194" s="111"/>
      <c r="Z194" s="111"/>
    </row>
    <row r="195" spans="1:26" ht="18.75" thickBot="1" x14ac:dyDescent="0.3">
      <c r="A195" s="444"/>
      <c r="B195" s="445"/>
      <c r="C195" s="445"/>
      <c r="D195" s="445"/>
      <c r="E195" s="222"/>
      <c r="F195" s="222"/>
      <c r="G195" s="449"/>
      <c r="H195" s="449"/>
      <c r="I195" s="414"/>
      <c r="J195" s="452"/>
      <c r="K195" s="204" t="s">
        <v>155</v>
      </c>
      <c r="L195" s="205">
        <f>L194</f>
        <v>0</v>
      </c>
      <c r="M195" s="206">
        <f t="shared" ref="M195:W195" si="12">M194</f>
        <v>0</v>
      </c>
      <c r="N195" s="207">
        <f t="shared" si="12"/>
        <v>0</v>
      </c>
      <c r="O195" s="206">
        <f t="shared" si="12"/>
        <v>0</v>
      </c>
      <c r="P195" s="205">
        <f t="shared" si="12"/>
        <v>1</v>
      </c>
      <c r="Q195" s="206">
        <f t="shared" si="12"/>
        <v>126000</v>
      </c>
      <c r="R195" s="205">
        <f t="shared" si="12"/>
        <v>1</v>
      </c>
      <c r="S195" s="206">
        <f t="shared" si="12"/>
        <v>315000</v>
      </c>
      <c r="T195" s="205">
        <f t="shared" si="12"/>
        <v>1</v>
      </c>
      <c r="U195" s="206">
        <f t="shared" si="12"/>
        <v>189000</v>
      </c>
      <c r="V195" s="205">
        <f t="shared" si="12"/>
        <v>3</v>
      </c>
      <c r="W195" s="205">
        <f t="shared" si="12"/>
        <v>3</v>
      </c>
      <c r="Y195" s="111"/>
      <c r="Z195" s="111"/>
    </row>
    <row r="196" spans="1:26" ht="35.25" customHeight="1" thickBot="1" x14ac:dyDescent="0.3">
      <c r="A196" s="446"/>
      <c r="B196" s="447"/>
      <c r="C196" s="447"/>
      <c r="D196" s="447"/>
      <c r="E196" s="223"/>
      <c r="F196" s="223"/>
      <c r="G196" s="450"/>
      <c r="H196" s="450"/>
      <c r="I196" s="415"/>
      <c r="J196" s="453"/>
      <c r="K196" s="212" t="s">
        <v>16</v>
      </c>
      <c r="L196" s="213"/>
      <c r="M196" s="214"/>
      <c r="N196" s="215"/>
      <c r="O196" s="214"/>
      <c r="P196" s="213"/>
      <c r="Q196" s="214"/>
      <c r="R196" s="213"/>
      <c r="S196" s="214"/>
      <c r="T196" s="213"/>
      <c r="U196" s="214"/>
      <c r="V196" s="216"/>
      <c r="W196" s="217"/>
      <c r="Y196" s="111"/>
      <c r="Z196" s="111"/>
    </row>
    <row r="197" spans="1:26" ht="18.75" thickBot="1" x14ac:dyDescent="0.3">
      <c r="A197" s="354" t="s">
        <v>175</v>
      </c>
      <c r="B197" s="355"/>
      <c r="C197" s="355"/>
      <c r="D197" s="395"/>
      <c r="E197" s="221"/>
      <c r="F197" s="221"/>
      <c r="G197" s="454" t="s">
        <v>176</v>
      </c>
      <c r="H197" s="455"/>
      <c r="I197" s="402" t="s">
        <v>137</v>
      </c>
      <c r="J197" s="460">
        <f>761765+1088235</f>
        <v>1850000</v>
      </c>
      <c r="K197" s="197" t="s">
        <v>15</v>
      </c>
      <c r="L197" s="198">
        <v>0</v>
      </c>
      <c r="M197" s="199">
        <v>0</v>
      </c>
      <c r="N197" s="200">
        <v>1</v>
      </c>
      <c r="O197" s="199">
        <f>1088235*0.15</f>
        <v>163235.25</v>
      </c>
      <c r="P197" s="198">
        <v>2</v>
      </c>
      <c r="Q197" s="199">
        <f>1088235*0.2+761765*0.25</f>
        <v>408088.25</v>
      </c>
      <c r="R197" s="198">
        <v>2</v>
      </c>
      <c r="S197" s="199">
        <f>1088235*0.3+761765*0.35</f>
        <v>593088.25</v>
      </c>
      <c r="T197" s="198">
        <v>1</v>
      </c>
      <c r="U197" s="199">
        <f>1088235*0.35+761765*0.4</f>
        <v>685588.25</v>
      </c>
      <c r="V197" s="202">
        <f>L197+N197+P197+R197+T197</f>
        <v>6</v>
      </c>
      <c r="W197" s="203">
        <f>V197</f>
        <v>6</v>
      </c>
      <c r="Y197" s="111"/>
      <c r="Z197" s="111"/>
    </row>
    <row r="198" spans="1:26" ht="18.75" thickBot="1" x14ac:dyDescent="0.3">
      <c r="A198" s="357"/>
      <c r="B198" s="358"/>
      <c r="C198" s="358"/>
      <c r="D198" s="396"/>
      <c r="E198" s="222"/>
      <c r="F198" s="222"/>
      <c r="G198" s="456"/>
      <c r="H198" s="457"/>
      <c r="I198" s="368"/>
      <c r="J198" s="461"/>
      <c r="K198" s="204" t="s">
        <v>155</v>
      </c>
      <c r="L198" s="205">
        <f>L197</f>
        <v>0</v>
      </c>
      <c r="M198" s="206">
        <f t="shared" ref="M198:W198" si="13">M197</f>
        <v>0</v>
      </c>
      <c r="N198" s="207">
        <f t="shared" si="13"/>
        <v>1</v>
      </c>
      <c r="O198" s="206">
        <f t="shared" si="13"/>
        <v>163235.25</v>
      </c>
      <c r="P198" s="205">
        <f t="shared" si="13"/>
        <v>2</v>
      </c>
      <c r="Q198" s="206">
        <f t="shared" si="13"/>
        <v>408088.25</v>
      </c>
      <c r="R198" s="205">
        <f t="shared" si="13"/>
        <v>2</v>
      </c>
      <c r="S198" s="206">
        <f t="shared" si="13"/>
        <v>593088.25</v>
      </c>
      <c r="T198" s="205">
        <f t="shared" si="13"/>
        <v>1</v>
      </c>
      <c r="U198" s="206">
        <f t="shared" si="13"/>
        <v>685588.25</v>
      </c>
      <c r="V198" s="205">
        <f t="shared" si="13"/>
        <v>6</v>
      </c>
      <c r="W198" s="205">
        <f t="shared" si="13"/>
        <v>6</v>
      </c>
      <c r="Y198" s="111"/>
      <c r="Z198" s="111"/>
    </row>
    <row r="199" spans="1:26" ht="19.5" customHeight="1" thickBot="1" x14ac:dyDescent="0.3">
      <c r="A199" s="360"/>
      <c r="B199" s="361"/>
      <c r="C199" s="361"/>
      <c r="D199" s="397"/>
      <c r="E199" s="223"/>
      <c r="F199" s="223"/>
      <c r="G199" s="458"/>
      <c r="H199" s="459"/>
      <c r="I199" s="403"/>
      <c r="J199" s="462"/>
      <c r="K199" s="212" t="s">
        <v>16</v>
      </c>
      <c r="L199" s="213"/>
      <c r="M199" s="214"/>
      <c r="N199" s="215"/>
      <c r="O199" s="214"/>
      <c r="P199" s="213"/>
      <c r="Q199" s="214"/>
      <c r="R199" s="213"/>
      <c r="S199" s="214"/>
      <c r="T199" s="213"/>
      <c r="U199" s="214"/>
      <c r="V199" s="216"/>
      <c r="W199" s="217"/>
      <c r="Y199" s="111"/>
      <c r="Z199" s="111"/>
    </row>
    <row r="200" spans="1:26" ht="18.75" thickBot="1" x14ac:dyDescent="0.3">
      <c r="A200" s="463" t="s">
        <v>177</v>
      </c>
      <c r="B200" s="464"/>
      <c r="C200" s="464"/>
      <c r="D200" s="464"/>
      <c r="E200" s="221"/>
      <c r="F200" s="221"/>
      <c r="G200" s="448" t="s">
        <v>178</v>
      </c>
      <c r="H200" s="448"/>
      <c r="I200" s="413" t="s">
        <v>137</v>
      </c>
      <c r="J200" s="451">
        <f>1100000+1000000+600000+1800000</f>
        <v>4500000</v>
      </c>
      <c r="K200" s="197" t="s">
        <v>15</v>
      </c>
      <c r="L200" s="198">
        <v>0</v>
      </c>
      <c r="M200" s="199"/>
      <c r="N200" s="200">
        <v>1</v>
      </c>
      <c r="O200" s="199">
        <f>1100000*0.4</f>
        <v>440000</v>
      </c>
      <c r="P200" s="198">
        <v>1</v>
      </c>
      <c r="Q200" s="199">
        <f>1100000*0.6+1000000*0.4</f>
        <v>1060000</v>
      </c>
      <c r="R200" s="198">
        <v>1</v>
      </c>
      <c r="S200" s="199">
        <f>1000000*0.6+600000*0.4</f>
        <v>840000</v>
      </c>
      <c r="T200" s="198">
        <v>1</v>
      </c>
      <c r="U200" s="199">
        <f>600000*0.6+1800000*1</f>
        <v>2160000</v>
      </c>
      <c r="V200" s="202">
        <f>L200+N200+P200+R200+T200</f>
        <v>4</v>
      </c>
      <c r="W200" s="203">
        <f>V200</f>
        <v>4</v>
      </c>
      <c r="Y200" s="111"/>
      <c r="Z200" s="111"/>
    </row>
    <row r="201" spans="1:26" ht="48" customHeight="1" thickBot="1" x14ac:dyDescent="0.3">
      <c r="A201" s="465"/>
      <c r="B201" s="466"/>
      <c r="C201" s="466"/>
      <c r="D201" s="466"/>
      <c r="E201" s="222"/>
      <c r="F201" s="222"/>
      <c r="G201" s="449"/>
      <c r="H201" s="449"/>
      <c r="I201" s="414"/>
      <c r="J201" s="452"/>
      <c r="K201" s="204" t="s">
        <v>155</v>
      </c>
      <c r="L201" s="205">
        <f>L200</f>
        <v>0</v>
      </c>
      <c r="M201" s="206">
        <f t="shared" ref="M201:W201" si="14">M200</f>
        <v>0</v>
      </c>
      <c r="N201" s="207">
        <f t="shared" si="14"/>
        <v>1</v>
      </c>
      <c r="O201" s="206">
        <f t="shared" si="14"/>
        <v>440000</v>
      </c>
      <c r="P201" s="205">
        <f t="shared" si="14"/>
        <v>1</v>
      </c>
      <c r="Q201" s="206">
        <f t="shared" si="14"/>
        <v>1060000</v>
      </c>
      <c r="R201" s="205">
        <f t="shared" si="14"/>
        <v>1</v>
      </c>
      <c r="S201" s="206">
        <f t="shared" si="14"/>
        <v>840000</v>
      </c>
      <c r="T201" s="205">
        <f t="shared" si="14"/>
        <v>1</v>
      </c>
      <c r="U201" s="206">
        <f t="shared" si="14"/>
        <v>2160000</v>
      </c>
      <c r="V201" s="205">
        <f t="shared" si="14"/>
        <v>4</v>
      </c>
      <c r="W201" s="205">
        <f t="shared" si="14"/>
        <v>4</v>
      </c>
      <c r="Y201" s="111"/>
      <c r="Z201" s="111"/>
    </row>
    <row r="202" spans="1:26" ht="18.75" thickBot="1" x14ac:dyDescent="0.3">
      <c r="A202" s="467"/>
      <c r="B202" s="468"/>
      <c r="C202" s="468"/>
      <c r="D202" s="468"/>
      <c r="E202" s="223"/>
      <c r="F202" s="223"/>
      <c r="G202" s="450"/>
      <c r="H202" s="450"/>
      <c r="I202" s="415"/>
      <c r="J202" s="453"/>
      <c r="K202" s="212" t="s">
        <v>16</v>
      </c>
      <c r="L202" s="213"/>
      <c r="M202" s="214"/>
      <c r="N202" s="215"/>
      <c r="O202" s="214"/>
      <c r="P202" s="213"/>
      <c r="Q202" s="214"/>
      <c r="R202" s="213"/>
      <c r="S202" s="214"/>
      <c r="T202" s="213"/>
      <c r="U202" s="214"/>
      <c r="V202" s="216"/>
      <c r="W202" s="217"/>
      <c r="Y202" s="111"/>
      <c r="Z202" s="111"/>
    </row>
    <row r="203" spans="1:26" ht="39.75" customHeight="1" thickBot="1" x14ac:dyDescent="0.3">
      <c r="A203" s="442" t="s">
        <v>109</v>
      </c>
      <c r="B203" s="443"/>
      <c r="C203" s="443"/>
      <c r="D203" s="443"/>
      <c r="E203" s="221"/>
      <c r="F203" s="221"/>
      <c r="G203" s="448" t="s">
        <v>176</v>
      </c>
      <c r="H203" s="448"/>
      <c r="I203" s="413" t="s">
        <v>137</v>
      </c>
      <c r="J203" s="451">
        <v>250000</v>
      </c>
      <c r="K203" s="197" t="s">
        <v>15</v>
      </c>
      <c r="L203" s="198">
        <v>0</v>
      </c>
      <c r="M203" s="199">
        <v>0</v>
      </c>
      <c r="N203" s="200">
        <v>1</v>
      </c>
      <c r="O203" s="199">
        <f>250000*0.45</f>
        <v>112500</v>
      </c>
      <c r="P203" s="198">
        <v>1</v>
      </c>
      <c r="Q203" s="199">
        <f>250000*0.55</f>
        <v>137500</v>
      </c>
      <c r="R203" s="198">
        <v>0</v>
      </c>
      <c r="S203" s="199">
        <v>0</v>
      </c>
      <c r="T203" s="198">
        <v>0</v>
      </c>
      <c r="U203" s="199"/>
      <c r="V203" s="202">
        <v>1</v>
      </c>
      <c r="W203" s="203">
        <v>1</v>
      </c>
      <c r="Y203" s="112"/>
      <c r="Z203" s="112"/>
    </row>
    <row r="204" spans="1:26" ht="17.100000000000001" customHeight="1" thickBot="1" x14ac:dyDescent="0.3">
      <c r="A204" s="444"/>
      <c r="B204" s="445"/>
      <c r="C204" s="445"/>
      <c r="D204" s="445"/>
      <c r="E204" s="222"/>
      <c r="F204" s="222"/>
      <c r="G204" s="449"/>
      <c r="H204" s="449"/>
      <c r="I204" s="414"/>
      <c r="J204" s="452"/>
      <c r="K204" s="204" t="s">
        <v>155</v>
      </c>
      <c r="L204" s="205">
        <f>L203</f>
        <v>0</v>
      </c>
      <c r="M204" s="206">
        <f t="shared" ref="M204:W204" si="15">M203</f>
        <v>0</v>
      </c>
      <c r="N204" s="207">
        <f t="shared" si="15"/>
        <v>1</v>
      </c>
      <c r="O204" s="206">
        <f t="shared" si="15"/>
        <v>112500</v>
      </c>
      <c r="P204" s="205">
        <f t="shared" si="15"/>
        <v>1</v>
      </c>
      <c r="Q204" s="206">
        <f t="shared" si="15"/>
        <v>137500</v>
      </c>
      <c r="R204" s="205">
        <f t="shared" si="15"/>
        <v>0</v>
      </c>
      <c r="S204" s="206">
        <f t="shared" si="15"/>
        <v>0</v>
      </c>
      <c r="T204" s="205">
        <f t="shared" si="15"/>
        <v>0</v>
      </c>
      <c r="U204" s="206">
        <f t="shared" si="15"/>
        <v>0</v>
      </c>
      <c r="V204" s="205">
        <f t="shared" si="15"/>
        <v>1</v>
      </c>
      <c r="W204" s="205">
        <f t="shared" si="15"/>
        <v>1</v>
      </c>
      <c r="Y204" s="111"/>
      <c r="Z204" s="111"/>
    </row>
    <row r="205" spans="1:26" ht="17.100000000000001" customHeight="1" thickBot="1" x14ac:dyDescent="0.3">
      <c r="A205" s="446"/>
      <c r="B205" s="447"/>
      <c r="C205" s="447"/>
      <c r="D205" s="447"/>
      <c r="E205" s="223"/>
      <c r="F205" s="223"/>
      <c r="G205" s="450"/>
      <c r="H205" s="450"/>
      <c r="I205" s="415"/>
      <c r="J205" s="453"/>
      <c r="K205" s="212" t="s">
        <v>16</v>
      </c>
      <c r="L205" s="213"/>
      <c r="M205" s="214"/>
      <c r="N205" s="215"/>
      <c r="O205" s="214"/>
      <c r="P205" s="213"/>
      <c r="Q205" s="214"/>
      <c r="R205" s="213"/>
      <c r="S205" s="214"/>
      <c r="T205" s="213"/>
      <c r="U205" s="214"/>
      <c r="V205" s="216"/>
      <c r="W205" s="217"/>
      <c r="Y205" s="111"/>
      <c r="Z205" s="111"/>
    </row>
    <row r="206" spans="1:26" ht="17.100000000000001" customHeight="1" thickBot="1" x14ac:dyDescent="0.3">
      <c r="A206" s="442" t="s">
        <v>148</v>
      </c>
      <c r="B206" s="443"/>
      <c r="C206" s="443"/>
      <c r="D206" s="443"/>
      <c r="E206" s="221"/>
      <c r="F206" s="221"/>
      <c r="G206" s="448" t="s">
        <v>179</v>
      </c>
      <c r="H206" s="448"/>
      <c r="I206" s="413" t="s">
        <v>137</v>
      </c>
      <c r="J206" s="451">
        <f>250000+50000</f>
        <v>300000</v>
      </c>
      <c r="K206" s="197" t="s">
        <v>15</v>
      </c>
      <c r="L206" s="198">
        <v>0</v>
      </c>
      <c r="M206" s="199">
        <v>0</v>
      </c>
      <c r="N206" s="200">
        <v>1</v>
      </c>
      <c r="O206" s="199">
        <f>300000*0.5</f>
        <v>150000</v>
      </c>
      <c r="P206" s="198">
        <v>1</v>
      </c>
      <c r="Q206" s="199">
        <f>300000*0.5</f>
        <v>150000</v>
      </c>
      <c r="R206" s="198">
        <v>0</v>
      </c>
      <c r="S206" s="199"/>
      <c r="T206" s="198">
        <v>0</v>
      </c>
      <c r="U206" s="199"/>
      <c r="V206" s="202">
        <f>L206+N206+P206+R206+T206</f>
        <v>2</v>
      </c>
      <c r="W206" s="203">
        <f>V206</f>
        <v>2</v>
      </c>
      <c r="Y206" s="111"/>
      <c r="Z206" s="111"/>
    </row>
    <row r="207" spans="1:26" ht="17.100000000000001" customHeight="1" thickBot="1" x14ac:dyDescent="0.3">
      <c r="A207" s="444"/>
      <c r="B207" s="445"/>
      <c r="C207" s="445"/>
      <c r="D207" s="445"/>
      <c r="E207" s="222"/>
      <c r="F207" s="222"/>
      <c r="G207" s="449"/>
      <c r="H207" s="449"/>
      <c r="I207" s="414"/>
      <c r="J207" s="452"/>
      <c r="K207" s="204" t="s">
        <v>155</v>
      </c>
      <c r="L207" s="205">
        <f>L206</f>
        <v>0</v>
      </c>
      <c r="M207" s="206">
        <f t="shared" ref="M207:W207" si="16">M206</f>
        <v>0</v>
      </c>
      <c r="N207" s="207">
        <f t="shared" si="16"/>
        <v>1</v>
      </c>
      <c r="O207" s="206">
        <f t="shared" si="16"/>
        <v>150000</v>
      </c>
      <c r="P207" s="205">
        <f t="shared" si="16"/>
        <v>1</v>
      </c>
      <c r="Q207" s="206">
        <f t="shared" si="16"/>
        <v>150000</v>
      </c>
      <c r="R207" s="205">
        <f t="shared" si="16"/>
        <v>0</v>
      </c>
      <c r="S207" s="206">
        <f t="shared" si="16"/>
        <v>0</v>
      </c>
      <c r="T207" s="205">
        <f t="shared" si="16"/>
        <v>0</v>
      </c>
      <c r="U207" s="206">
        <f t="shared" si="16"/>
        <v>0</v>
      </c>
      <c r="V207" s="205">
        <f t="shared" si="16"/>
        <v>2</v>
      </c>
      <c r="W207" s="205">
        <f t="shared" si="16"/>
        <v>2</v>
      </c>
      <c r="Y207" s="111"/>
      <c r="Z207" s="111"/>
    </row>
    <row r="208" spans="1:26" ht="17.100000000000001" customHeight="1" thickBot="1" x14ac:dyDescent="0.3">
      <c r="A208" s="446"/>
      <c r="B208" s="447"/>
      <c r="C208" s="447"/>
      <c r="D208" s="447"/>
      <c r="E208" s="223"/>
      <c r="F208" s="223"/>
      <c r="G208" s="450"/>
      <c r="H208" s="450"/>
      <c r="I208" s="415"/>
      <c r="J208" s="453"/>
      <c r="K208" s="212" t="s">
        <v>16</v>
      </c>
      <c r="L208" s="213"/>
      <c r="M208" s="214"/>
      <c r="N208" s="215"/>
      <c r="O208" s="214"/>
      <c r="P208" s="213"/>
      <c r="Q208" s="214"/>
      <c r="R208" s="213"/>
      <c r="S208" s="214"/>
      <c r="T208" s="213"/>
      <c r="U208" s="214"/>
      <c r="V208" s="216"/>
      <c r="W208" s="217"/>
      <c r="Y208" s="111"/>
      <c r="Z208" s="111"/>
    </row>
    <row r="209" spans="1:26" ht="17.100000000000001" customHeight="1" thickBot="1" x14ac:dyDescent="0.3">
      <c r="A209" s="426" t="s">
        <v>134</v>
      </c>
      <c r="B209" s="427"/>
      <c r="C209" s="427"/>
      <c r="D209" s="427"/>
      <c r="E209" s="427"/>
      <c r="F209" s="427"/>
      <c r="G209" s="147"/>
      <c r="H209" s="119"/>
      <c r="I209" s="148"/>
      <c r="J209" s="228">
        <f>SUM(J176:J208)</f>
        <v>40985252.149999999</v>
      </c>
      <c r="K209" s="150"/>
      <c r="L209" s="229"/>
      <c r="M209" s="230"/>
      <c r="N209" s="231"/>
      <c r="O209" s="230"/>
      <c r="P209" s="232"/>
      <c r="Q209" s="233"/>
      <c r="R209" s="234"/>
      <c r="S209" s="233"/>
      <c r="T209" s="234"/>
      <c r="U209" s="233"/>
      <c r="V209" s="234"/>
      <c r="W209" s="234"/>
      <c r="Y209" s="111"/>
      <c r="Z209" s="111"/>
    </row>
    <row r="210" spans="1:26" ht="29.25" customHeight="1" thickBot="1" x14ac:dyDescent="0.3">
      <c r="B210" s="235"/>
      <c r="C210" s="235"/>
      <c r="D210" s="235"/>
      <c r="E210" s="235"/>
      <c r="F210" s="235"/>
      <c r="G210" s="236"/>
      <c r="H210" s="235"/>
      <c r="I210" s="235"/>
      <c r="J210" s="237"/>
      <c r="L210" s="238"/>
      <c r="M210" s="239"/>
      <c r="N210" s="240"/>
      <c r="O210" s="239"/>
      <c r="Y210" s="155"/>
      <c r="Z210" s="155"/>
    </row>
    <row r="211" spans="1:26" ht="30.75" thickBot="1" x14ac:dyDescent="0.3">
      <c r="A211" s="428" t="s">
        <v>146</v>
      </c>
      <c r="B211" s="429"/>
      <c r="C211" s="429"/>
      <c r="D211" s="429"/>
      <c r="E211" s="429"/>
      <c r="F211" s="429"/>
      <c r="G211" s="429"/>
      <c r="H211" s="429"/>
      <c r="I211" s="429"/>
      <c r="J211" s="429"/>
      <c r="K211" s="241"/>
      <c r="L211" s="242" t="s">
        <v>159</v>
      </c>
      <c r="M211" s="243" t="s">
        <v>160</v>
      </c>
      <c r="N211" s="244" t="s">
        <v>159</v>
      </c>
      <c r="O211" s="243" t="s">
        <v>160</v>
      </c>
      <c r="P211" s="245" t="s">
        <v>159</v>
      </c>
      <c r="Q211" s="246" t="s">
        <v>160</v>
      </c>
      <c r="R211" s="247" t="s">
        <v>159</v>
      </c>
      <c r="S211" s="246" t="s">
        <v>160</v>
      </c>
      <c r="T211" s="247" t="s">
        <v>159</v>
      </c>
      <c r="U211" s="248" t="s">
        <v>160</v>
      </c>
      <c r="V211" s="430" t="s">
        <v>58</v>
      </c>
      <c r="W211" s="432" t="s">
        <v>14</v>
      </c>
      <c r="Y211" s="155"/>
      <c r="Z211" s="155"/>
    </row>
    <row r="212" spans="1:26" ht="21.75" customHeight="1" thickBot="1" x14ac:dyDescent="0.3">
      <c r="A212" s="434" t="s">
        <v>0</v>
      </c>
      <c r="B212" s="435"/>
      <c r="C212" s="435"/>
      <c r="D212" s="435"/>
      <c r="E212" s="435"/>
      <c r="F212" s="436"/>
      <c r="G212" s="437" t="s">
        <v>40</v>
      </c>
      <c r="H212" s="435"/>
      <c r="I212" s="250" t="s">
        <v>131</v>
      </c>
      <c r="J212" s="251" t="s">
        <v>132</v>
      </c>
      <c r="K212" s="252"/>
      <c r="L212" s="438">
        <v>2018</v>
      </c>
      <c r="M212" s="439"/>
      <c r="N212" s="438">
        <v>2019</v>
      </c>
      <c r="O212" s="439"/>
      <c r="P212" s="440">
        <v>2020</v>
      </c>
      <c r="Q212" s="441"/>
      <c r="R212" s="440">
        <v>2021</v>
      </c>
      <c r="S212" s="441"/>
      <c r="T212" s="440">
        <v>2022</v>
      </c>
      <c r="U212" s="441"/>
      <c r="V212" s="431"/>
      <c r="W212" s="433"/>
      <c r="Y212" s="155"/>
      <c r="Z212" s="155"/>
    </row>
    <row r="213" spans="1:26" s="235" customFormat="1" ht="15" customHeight="1" x14ac:dyDescent="0.25">
      <c r="A213" s="354" t="s">
        <v>93</v>
      </c>
      <c r="B213" s="355"/>
      <c r="C213" s="355"/>
      <c r="D213" s="395"/>
      <c r="E213" s="123"/>
      <c r="F213" s="123"/>
      <c r="G213" s="398" t="s">
        <v>143</v>
      </c>
      <c r="H213" s="399"/>
      <c r="I213" s="398" t="s">
        <v>144</v>
      </c>
      <c r="J213" s="419">
        <v>100000</v>
      </c>
      <c r="K213" s="253" t="s">
        <v>15</v>
      </c>
      <c r="L213" s="249">
        <v>0</v>
      </c>
      <c r="M213" s="254">
        <v>0</v>
      </c>
      <c r="N213" s="255">
        <v>1</v>
      </c>
      <c r="O213" s="254">
        <v>15000</v>
      </c>
      <c r="P213" s="249">
        <v>1</v>
      </c>
      <c r="Q213" s="254">
        <v>20000</v>
      </c>
      <c r="R213" s="249">
        <v>1</v>
      </c>
      <c r="S213" s="254">
        <v>25000</v>
      </c>
      <c r="T213" s="249">
        <v>1</v>
      </c>
      <c r="U213" s="254">
        <v>40000</v>
      </c>
      <c r="V213" s="256">
        <f>L213+N213+P213+R213+T213</f>
        <v>4</v>
      </c>
      <c r="W213" s="257">
        <f>V213</f>
        <v>4</v>
      </c>
    </row>
    <row r="214" spans="1:26" s="235" customFormat="1" ht="15" customHeight="1" x14ac:dyDescent="0.25">
      <c r="A214" s="357"/>
      <c r="B214" s="358"/>
      <c r="C214" s="358"/>
      <c r="D214" s="396"/>
      <c r="E214" s="128"/>
      <c r="F214" s="128"/>
      <c r="G214" s="351"/>
      <c r="H214" s="353"/>
      <c r="I214" s="351"/>
      <c r="J214" s="420"/>
      <c r="K214" s="258" t="s">
        <v>155</v>
      </c>
      <c r="L214" s="130">
        <f>L213</f>
        <v>0</v>
      </c>
      <c r="M214" s="259">
        <f t="shared" ref="M214:W214" si="17">M213</f>
        <v>0</v>
      </c>
      <c r="N214" s="260">
        <f t="shared" si="17"/>
        <v>1</v>
      </c>
      <c r="O214" s="259">
        <f t="shared" si="17"/>
        <v>15000</v>
      </c>
      <c r="P214" s="130">
        <f t="shared" si="17"/>
        <v>1</v>
      </c>
      <c r="Q214" s="259">
        <f t="shared" si="17"/>
        <v>20000</v>
      </c>
      <c r="R214" s="130">
        <f t="shared" si="17"/>
        <v>1</v>
      </c>
      <c r="S214" s="259">
        <f t="shared" si="17"/>
        <v>25000</v>
      </c>
      <c r="T214" s="130">
        <f t="shared" si="17"/>
        <v>1</v>
      </c>
      <c r="U214" s="259">
        <f t="shared" si="17"/>
        <v>40000</v>
      </c>
      <c r="V214" s="130">
        <f t="shared" si="17"/>
        <v>4</v>
      </c>
      <c r="W214" s="130">
        <f t="shared" si="17"/>
        <v>4</v>
      </c>
    </row>
    <row r="215" spans="1:26" s="235" customFormat="1" ht="15" customHeight="1" thickBot="1" x14ac:dyDescent="0.3">
      <c r="A215" s="357"/>
      <c r="B215" s="358"/>
      <c r="C215" s="358"/>
      <c r="D215" s="396"/>
      <c r="E215" s="141"/>
      <c r="F215" s="141"/>
      <c r="G215" s="351"/>
      <c r="H215" s="353"/>
      <c r="I215" s="351"/>
      <c r="J215" s="421"/>
      <c r="K215" s="261" t="s">
        <v>16</v>
      </c>
      <c r="L215" s="144"/>
      <c r="M215" s="262"/>
      <c r="N215" s="263"/>
      <c r="O215" s="262"/>
      <c r="P215" s="144"/>
      <c r="Q215" s="262"/>
      <c r="R215" s="144"/>
      <c r="S215" s="262"/>
      <c r="T215" s="144"/>
      <c r="U215" s="262"/>
      <c r="V215" s="146"/>
      <c r="W215" s="145"/>
    </row>
    <row r="216" spans="1:26" s="235" customFormat="1" ht="15" customHeight="1" x14ac:dyDescent="0.25">
      <c r="A216" s="354" t="s">
        <v>100</v>
      </c>
      <c r="B216" s="355"/>
      <c r="C216" s="355"/>
      <c r="D216" s="355"/>
      <c r="E216" s="224"/>
      <c r="F216" s="225"/>
      <c r="G216" s="398" t="s">
        <v>145</v>
      </c>
      <c r="H216" s="399"/>
      <c r="I216" s="402" t="s">
        <v>144</v>
      </c>
      <c r="J216" s="404">
        <f>200000-100000</f>
        <v>100000</v>
      </c>
      <c r="K216" s="253" t="s">
        <v>15</v>
      </c>
      <c r="L216" s="249">
        <v>0</v>
      </c>
      <c r="M216" s="254">
        <v>0</v>
      </c>
      <c r="N216" s="255">
        <v>1</v>
      </c>
      <c r="O216" s="254">
        <v>15000</v>
      </c>
      <c r="P216" s="249">
        <v>1</v>
      </c>
      <c r="Q216" s="254">
        <v>20000</v>
      </c>
      <c r="R216" s="249">
        <v>1</v>
      </c>
      <c r="S216" s="254">
        <v>25000</v>
      </c>
      <c r="T216" s="249">
        <v>1</v>
      </c>
      <c r="U216" s="254">
        <v>40000</v>
      </c>
      <c r="V216" s="138">
        <f>L216+N216+P216+R216+T216</f>
        <v>4</v>
      </c>
      <c r="W216" s="142">
        <f>V216</f>
        <v>4</v>
      </c>
    </row>
    <row r="217" spans="1:26" s="235" customFormat="1" ht="15" customHeight="1" x14ac:dyDescent="0.25">
      <c r="A217" s="357"/>
      <c r="B217" s="358"/>
      <c r="C217" s="358"/>
      <c r="D217" s="358"/>
      <c r="E217" s="108"/>
      <c r="F217" s="177"/>
      <c r="G217" s="351"/>
      <c r="H217" s="353"/>
      <c r="I217" s="368"/>
      <c r="J217" s="405"/>
      <c r="K217" s="258" t="s">
        <v>155</v>
      </c>
      <c r="L217" s="130">
        <f>L216</f>
        <v>0</v>
      </c>
      <c r="M217" s="259">
        <f t="shared" ref="M217:W217" si="18">M216</f>
        <v>0</v>
      </c>
      <c r="N217" s="260">
        <f t="shared" si="18"/>
        <v>1</v>
      </c>
      <c r="O217" s="259">
        <f t="shared" si="18"/>
        <v>15000</v>
      </c>
      <c r="P217" s="130">
        <f t="shared" si="18"/>
        <v>1</v>
      </c>
      <c r="Q217" s="259">
        <f t="shared" si="18"/>
        <v>20000</v>
      </c>
      <c r="R217" s="130">
        <f t="shared" si="18"/>
        <v>1</v>
      </c>
      <c r="S217" s="259">
        <f t="shared" si="18"/>
        <v>25000</v>
      </c>
      <c r="T217" s="130">
        <f t="shared" si="18"/>
        <v>1</v>
      </c>
      <c r="U217" s="259">
        <f t="shared" si="18"/>
        <v>40000</v>
      </c>
      <c r="V217" s="130">
        <f t="shared" si="18"/>
        <v>4</v>
      </c>
      <c r="W217" s="130">
        <f t="shared" si="18"/>
        <v>4</v>
      </c>
    </row>
    <row r="218" spans="1:26" s="235" customFormat="1" ht="15" customHeight="1" thickBot="1" x14ac:dyDescent="0.3">
      <c r="A218" s="360"/>
      <c r="B218" s="361"/>
      <c r="C218" s="361"/>
      <c r="D218" s="361"/>
      <c r="E218" s="226"/>
      <c r="F218" s="227"/>
      <c r="G218" s="400"/>
      <c r="H218" s="401"/>
      <c r="I218" s="403"/>
      <c r="J218" s="406"/>
      <c r="K218" s="261" t="s">
        <v>16</v>
      </c>
      <c r="L218" s="144"/>
      <c r="M218" s="262"/>
      <c r="N218" s="263"/>
      <c r="O218" s="262"/>
      <c r="P218" s="144"/>
      <c r="Q218" s="262"/>
      <c r="R218" s="144"/>
      <c r="S218" s="262"/>
      <c r="T218" s="144"/>
      <c r="U218" s="262"/>
      <c r="V218" s="146"/>
      <c r="W218" s="145"/>
    </row>
    <row r="219" spans="1:26" s="235" customFormat="1" ht="32.25" customHeight="1" x14ac:dyDescent="0.25">
      <c r="A219" s="354" t="s">
        <v>96</v>
      </c>
      <c r="B219" s="355"/>
      <c r="C219" s="355"/>
      <c r="D219" s="355"/>
      <c r="E219" s="355"/>
      <c r="F219" s="395"/>
      <c r="G219" s="398" t="s">
        <v>143</v>
      </c>
      <c r="H219" s="399"/>
      <c r="I219" s="402" t="s">
        <v>144</v>
      </c>
      <c r="J219" s="404">
        <f>200000+100000-50000</f>
        <v>250000</v>
      </c>
      <c r="K219" s="253" t="s">
        <v>15</v>
      </c>
      <c r="L219" s="249">
        <v>0</v>
      </c>
      <c r="M219" s="254">
        <v>0</v>
      </c>
      <c r="N219" s="255">
        <v>1</v>
      </c>
      <c r="O219" s="254">
        <f>250000*0.15</f>
        <v>37500</v>
      </c>
      <c r="P219" s="249">
        <v>1</v>
      </c>
      <c r="Q219" s="254">
        <f>250000*0.2</f>
        <v>50000</v>
      </c>
      <c r="R219" s="249">
        <v>1</v>
      </c>
      <c r="S219" s="254">
        <f>250000*0.3</f>
        <v>75000</v>
      </c>
      <c r="T219" s="249">
        <v>1</v>
      </c>
      <c r="U219" s="254">
        <f>250000*0.35</f>
        <v>87500</v>
      </c>
      <c r="V219" s="138">
        <f>L219+N219+P219+R219+T219</f>
        <v>4</v>
      </c>
      <c r="W219" s="142">
        <f>V219</f>
        <v>4</v>
      </c>
    </row>
    <row r="220" spans="1:26" s="235" customFormat="1" ht="15" customHeight="1" x14ac:dyDescent="0.25">
      <c r="A220" s="357"/>
      <c r="B220" s="358"/>
      <c r="C220" s="358"/>
      <c r="D220" s="358"/>
      <c r="E220" s="358"/>
      <c r="F220" s="396"/>
      <c r="G220" s="351"/>
      <c r="H220" s="353"/>
      <c r="I220" s="368"/>
      <c r="J220" s="405"/>
      <c r="K220" s="258" t="s">
        <v>155</v>
      </c>
      <c r="L220" s="130">
        <f>L219</f>
        <v>0</v>
      </c>
      <c r="M220" s="259">
        <f t="shared" ref="M220:W220" si="19">M219</f>
        <v>0</v>
      </c>
      <c r="N220" s="260">
        <f t="shared" si="19"/>
        <v>1</v>
      </c>
      <c r="O220" s="259">
        <f t="shared" si="19"/>
        <v>37500</v>
      </c>
      <c r="P220" s="130">
        <f t="shared" si="19"/>
        <v>1</v>
      </c>
      <c r="Q220" s="259">
        <f t="shared" si="19"/>
        <v>50000</v>
      </c>
      <c r="R220" s="130">
        <f t="shared" si="19"/>
        <v>1</v>
      </c>
      <c r="S220" s="259">
        <f t="shared" si="19"/>
        <v>75000</v>
      </c>
      <c r="T220" s="130">
        <f t="shared" si="19"/>
        <v>1</v>
      </c>
      <c r="U220" s="259">
        <f t="shared" si="19"/>
        <v>87500</v>
      </c>
      <c r="V220" s="130">
        <f t="shared" si="19"/>
        <v>4</v>
      </c>
      <c r="W220" s="130">
        <f t="shared" si="19"/>
        <v>4</v>
      </c>
    </row>
    <row r="221" spans="1:26" s="235" customFormat="1" ht="15" customHeight="1" x14ac:dyDescent="0.25">
      <c r="A221" s="357"/>
      <c r="B221" s="358"/>
      <c r="C221" s="358"/>
      <c r="D221" s="358"/>
      <c r="E221" s="358"/>
      <c r="F221" s="396"/>
      <c r="G221" s="351"/>
      <c r="H221" s="353"/>
      <c r="I221" s="368"/>
      <c r="J221" s="405"/>
      <c r="K221" s="258" t="s">
        <v>16</v>
      </c>
      <c r="L221" s="130"/>
      <c r="M221" s="264"/>
      <c r="N221" s="260"/>
      <c r="O221" s="264"/>
      <c r="P221" s="130"/>
      <c r="Q221" s="264"/>
      <c r="R221" s="130"/>
      <c r="S221" s="264"/>
      <c r="T221" s="130"/>
      <c r="U221" s="264"/>
      <c r="V221" s="132"/>
      <c r="W221" s="131"/>
    </row>
    <row r="222" spans="1:26" s="235" customFormat="1" ht="15" customHeight="1" thickBot="1" x14ac:dyDescent="0.3">
      <c r="A222" s="360"/>
      <c r="B222" s="361"/>
      <c r="C222" s="361"/>
      <c r="D222" s="361"/>
      <c r="E222" s="361"/>
      <c r="F222" s="397"/>
      <c r="G222" s="400"/>
      <c r="H222" s="401"/>
      <c r="I222" s="403"/>
      <c r="J222" s="406"/>
      <c r="K222" s="265"/>
      <c r="L222" s="144"/>
      <c r="M222" s="262"/>
      <c r="N222" s="263"/>
      <c r="O222" s="262"/>
      <c r="P222" s="144"/>
      <c r="Q222" s="262"/>
      <c r="R222" s="144"/>
      <c r="S222" s="262"/>
      <c r="T222" s="144"/>
      <c r="U222" s="262"/>
      <c r="V222" s="146"/>
      <c r="W222" s="145"/>
    </row>
    <row r="223" spans="1:26" s="235" customFormat="1" ht="15" customHeight="1" x14ac:dyDescent="0.25">
      <c r="A223" s="407" t="s">
        <v>180</v>
      </c>
      <c r="B223" s="408"/>
      <c r="C223" s="408"/>
      <c r="D223" s="408"/>
      <c r="E223" s="123"/>
      <c r="F223" s="123"/>
      <c r="G223" s="413" t="s">
        <v>145</v>
      </c>
      <c r="H223" s="413"/>
      <c r="I223" s="413" t="s">
        <v>144</v>
      </c>
      <c r="J223" s="416">
        <f>4800000*0.8</f>
        <v>3840000</v>
      </c>
      <c r="K223" s="253" t="s">
        <v>15</v>
      </c>
      <c r="L223" s="249">
        <v>0</v>
      </c>
      <c r="M223" s="254">
        <v>0</v>
      </c>
      <c r="N223" s="255">
        <v>1</v>
      </c>
      <c r="O223" s="254">
        <f>250000*0.05</f>
        <v>12500</v>
      </c>
      <c r="P223" s="249">
        <v>1</v>
      </c>
      <c r="Q223" s="254">
        <f>3840000*0.1</f>
        <v>384000</v>
      </c>
      <c r="R223" s="249">
        <v>1</v>
      </c>
      <c r="S223" s="254">
        <f>3840000*0.25</f>
        <v>960000</v>
      </c>
      <c r="T223" s="249">
        <v>1</v>
      </c>
      <c r="U223" s="254">
        <f>3840000*0.6</f>
        <v>2304000</v>
      </c>
      <c r="V223" s="256">
        <f>L223+N223+P223+R223+T223</f>
        <v>4</v>
      </c>
      <c r="W223" s="257">
        <f>V223</f>
        <v>4</v>
      </c>
    </row>
    <row r="224" spans="1:26" s="235" customFormat="1" ht="15" customHeight="1" x14ac:dyDescent="0.25">
      <c r="A224" s="409"/>
      <c r="B224" s="410"/>
      <c r="C224" s="410"/>
      <c r="D224" s="410"/>
      <c r="E224" s="128"/>
      <c r="F224" s="128"/>
      <c r="G224" s="414"/>
      <c r="H224" s="414"/>
      <c r="I224" s="414"/>
      <c r="J224" s="417"/>
      <c r="K224" s="258" t="s">
        <v>155</v>
      </c>
      <c r="L224" s="130">
        <f>L223</f>
        <v>0</v>
      </c>
      <c r="M224" s="259">
        <f t="shared" ref="M224:V224" si="20">M223</f>
        <v>0</v>
      </c>
      <c r="N224" s="260">
        <f t="shared" si="20"/>
        <v>1</v>
      </c>
      <c r="O224" s="259">
        <f t="shared" si="20"/>
        <v>12500</v>
      </c>
      <c r="P224" s="130">
        <f t="shared" si="20"/>
        <v>1</v>
      </c>
      <c r="Q224" s="259">
        <f t="shared" si="20"/>
        <v>384000</v>
      </c>
      <c r="R224" s="130">
        <f t="shared" si="20"/>
        <v>1</v>
      </c>
      <c r="S224" s="259">
        <f t="shared" si="20"/>
        <v>960000</v>
      </c>
      <c r="T224" s="130">
        <f t="shared" si="20"/>
        <v>1</v>
      </c>
      <c r="U224" s="259">
        <f t="shared" si="20"/>
        <v>2304000</v>
      </c>
      <c r="V224" s="130">
        <f t="shared" si="20"/>
        <v>4</v>
      </c>
      <c r="W224" s="260">
        <f>W223</f>
        <v>4</v>
      </c>
    </row>
    <row r="225" spans="1:23" s="235" customFormat="1" ht="15" customHeight="1" thickBot="1" x14ac:dyDescent="0.3">
      <c r="A225" s="411"/>
      <c r="B225" s="412"/>
      <c r="C225" s="412"/>
      <c r="D225" s="412"/>
      <c r="E225" s="143"/>
      <c r="F225" s="143"/>
      <c r="G225" s="415"/>
      <c r="H225" s="415"/>
      <c r="I225" s="415"/>
      <c r="J225" s="418"/>
      <c r="K225" s="261" t="s">
        <v>16</v>
      </c>
      <c r="L225" s="144"/>
      <c r="M225" s="262"/>
      <c r="N225" s="263"/>
      <c r="O225" s="262"/>
      <c r="P225" s="144"/>
      <c r="Q225" s="262"/>
      <c r="R225" s="144"/>
      <c r="S225" s="262"/>
      <c r="T225" s="144"/>
      <c r="U225" s="262"/>
      <c r="V225" s="146"/>
      <c r="W225" s="145"/>
    </row>
    <row r="226" spans="1:23" s="235" customFormat="1" ht="15" customHeight="1" x14ac:dyDescent="0.25">
      <c r="A226" s="409" t="s">
        <v>181</v>
      </c>
      <c r="B226" s="410"/>
      <c r="C226" s="410"/>
      <c r="D226" s="410"/>
      <c r="E226" s="128"/>
      <c r="F226" s="128"/>
      <c r="G226" s="414" t="s">
        <v>182</v>
      </c>
      <c r="H226" s="414"/>
      <c r="I226" s="349" t="s">
        <v>144</v>
      </c>
      <c r="J226" s="423">
        <f>4800000*0.2</f>
        <v>960000</v>
      </c>
      <c r="K226" s="253" t="s">
        <v>15</v>
      </c>
      <c r="L226" s="249">
        <v>0</v>
      </c>
      <c r="M226" s="254">
        <v>0</v>
      </c>
      <c r="N226" s="255">
        <v>0</v>
      </c>
      <c r="O226" s="254">
        <v>0</v>
      </c>
      <c r="P226" s="249">
        <v>1</v>
      </c>
      <c r="Q226" s="254">
        <f>960000*0.15</f>
        <v>144000</v>
      </c>
      <c r="R226" s="249">
        <v>1</v>
      </c>
      <c r="S226" s="254">
        <f>960000*0.25</f>
        <v>240000</v>
      </c>
      <c r="T226" s="249">
        <v>1</v>
      </c>
      <c r="U226" s="254">
        <f>960000*0.6</f>
        <v>576000</v>
      </c>
      <c r="V226" s="256">
        <f>L226+N226+P226+R226+T226</f>
        <v>3</v>
      </c>
      <c r="W226" s="257">
        <f>V226</f>
        <v>3</v>
      </c>
    </row>
    <row r="227" spans="1:23" s="235" customFormat="1" ht="15" customHeight="1" x14ac:dyDescent="0.25">
      <c r="A227" s="409"/>
      <c r="B227" s="410"/>
      <c r="C227" s="410"/>
      <c r="D227" s="410"/>
      <c r="E227" s="128"/>
      <c r="F227" s="128"/>
      <c r="G227" s="414"/>
      <c r="H227" s="414"/>
      <c r="I227" s="349"/>
      <c r="J227" s="424"/>
      <c r="K227" s="258" t="s">
        <v>155</v>
      </c>
      <c r="L227" s="130">
        <f>L226</f>
        <v>0</v>
      </c>
      <c r="M227" s="259">
        <f t="shared" ref="M227:W227" si="21">M226</f>
        <v>0</v>
      </c>
      <c r="N227" s="260">
        <f t="shared" si="21"/>
        <v>0</v>
      </c>
      <c r="O227" s="259">
        <f t="shared" si="21"/>
        <v>0</v>
      </c>
      <c r="P227" s="130">
        <f t="shared" si="21"/>
        <v>1</v>
      </c>
      <c r="Q227" s="259">
        <f t="shared" si="21"/>
        <v>144000</v>
      </c>
      <c r="R227" s="130">
        <f t="shared" si="21"/>
        <v>1</v>
      </c>
      <c r="S227" s="259">
        <f t="shared" si="21"/>
        <v>240000</v>
      </c>
      <c r="T227" s="130">
        <f t="shared" si="21"/>
        <v>1</v>
      </c>
      <c r="U227" s="259">
        <f t="shared" si="21"/>
        <v>576000</v>
      </c>
      <c r="V227" s="130">
        <f t="shared" si="21"/>
        <v>3</v>
      </c>
      <c r="W227" s="130">
        <f t="shared" si="21"/>
        <v>3</v>
      </c>
    </row>
    <row r="228" spans="1:23" s="235" customFormat="1" ht="15" customHeight="1" thickBot="1" x14ac:dyDescent="0.3">
      <c r="A228" s="411"/>
      <c r="B228" s="412"/>
      <c r="C228" s="412"/>
      <c r="D228" s="412"/>
      <c r="E228" s="143"/>
      <c r="F228" s="143"/>
      <c r="G228" s="415"/>
      <c r="H228" s="415"/>
      <c r="I228" s="422"/>
      <c r="J228" s="425"/>
      <c r="K228" s="261" t="s">
        <v>16</v>
      </c>
      <c r="L228" s="144"/>
      <c r="M228" s="262"/>
      <c r="N228" s="263"/>
      <c r="O228" s="262"/>
      <c r="P228" s="144"/>
      <c r="Q228" s="262"/>
      <c r="R228" s="144"/>
      <c r="S228" s="262"/>
      <c r="T228" s="144"/>
      <c r="U228" s="262"/>
      <c r="V228" s="146"/>
      <c r="W228" s="145"/>
    </row>
    <row r="229" spans="1:23" s="235" customFormat="1" ht="15" customHeight="1" thickBot="1" x14ac:dyDescent="0.3">
      <c r="A229" s="390" t="s">
        <v>134</v>
      </c>
      <c r="B229" s="391"/>
      <c r="C229" s="391"/>
      <c r="D229" s="391"/>
      <c r="E229" s="391"/>
      <c r="F229" s="391"/>
      <c r="G229" s="147"/>
      <c r="H229" s="119"/>
      <c r="I229" s="267"/>
      <c r="J229" s="268">
        <f>SUM(J213:J228)</f>
        <v>5250000</v>
      </c>
      <c r="K229" s="150"/>
      <c r="L229" s="269"/>
      <c r="M229" s="270"/>
      <c r="N229" s="271"/>
      <c r="O229" s="270"/>
      <c r="P229" s="151"/>
      <c r="Q229" s="152"/>
      <c r="R229" s="151"/>
      <c r="S229" s="152"/>
      <c r="T229" s="151"/>
      <c r="U229" s="152"/>
      <c r="V229" s="151"/>
      <c r="W229" s="154"/>
    </row>
    <row r="230" spans="1:23" s="235" customFormat="1" ht="30" customHeight="1" thickBot="1" x14ac:dyDescent="0.3">
      <c r="A230" s="92"/>
      <c r="J230" s="237"/>
      <c r="K230" s="89"/>
      <c r="L230" s="238"/>
      <c r="M230" s="239"/>
      <c r="N230" s="240"/>
      <c r="O230" s="239"/>
      <c r="P230" s="272"/>
      <c r="Q230" s="273"/>
      <c r="R230" s="272"/>
      <c r="S230" s="273"/>
      <c r="T230" s="272"/>
      <c r="U230" s="273"/>
      <c r="V230" s="89"/>
      <c r="W230" s="89"/>
    </row>
    <row r="231" spans="1:23" s="235" customFormat="1" ht="15" customHeight="1" thickBot="1" x14ac:dyDescent="0.3">
      <c r="A231" s="392" t="s">
        <v>183</v>
      </c>
      <c r="B231" s="393"/>
      <c r="C231" s="393"/>
      <c r="D231" s="393"/>
      <c r="E231" s="393"/>
      <c r="F231" s="393"/>
      <c r="G231" s="393"/>
      <c r="H231" s="393"/>
      <c r="I231" s="393"/>
      <c r="J231" s="394"/>
      <c r="K231" s="382"/>
      <c r="L231" s="172" t="s">
        <v>159</v>
      </c>
      <c r="M231" s="274" t="s">
        <v>160</v>
      </c>
      <c r="N231" s="275" t="s">
        <v>159</v>
      </c>
      <c r="O231" s="274" t="s">
        <v>160</v>
      </c>
      <c r="P231" s="172" t="s">
        <v>159</v>
      </c>
      <c r="Q231" s="274" t="s">
        <v>160</v>
      </c>
      <c r="R231" s="172" t="s">
        <v>159</v>
      </c>
      <c r="S231" s="274" t="s">
        <v>160</v>
      </c>
      <c r="T231" s="172" t="s">
        <v>159</v>
      </c>
      <c r="U231" s="274" t="s">
        <v>160</v>
      </c>
      <c r="V231" s="383" t="s">
        <v>58</v>
      </c>
      <c r="W231" s="384" t="s">
        <v>14</v>
      </c>
    </row>
    <row r="232" spans="1:23" s="235" customFormat="1" ht="37.5" customHeight="1" thickBot="1" x14ac:dyDescent="0.3">
      <c r="A232" s="385" t="s">
        <v>0</v>
      </c>
      <c r="B232" s="385"/>
      <c r="C232" s="385"/>
      <c r="D232" s="385"/>
      <c r="E232" s="385"/>
      <c r="F232" s="385"/>
      <c r="G232" s="385" t="s">
        <v>40</v>
      </c>
      <c r="H232" s="385"/>
      <c r="I232" s="276" t="s">
        <v>131</v>
      </c>
      <c r="J232" s="84" t="s">
        <v>132</v>
      </c>
      <c r="K232" s="346"/>
      <c r="L232" s="386">
        <v>2018</v>
      </c>
      <c r="M232" s="387"/>
      <c r="N232" s="386">
        <v>2019</v>
      </c>
      <c r="O232" s="387"/>
      <c r="P232" s="388">
        <v>2020</v>
      </c>
      <c r="Q232" s="389"/>
      <c r="R232" s="386">
        <v>2021</v>
      </c>
      <c r="S232" s="387"/>
      <c r="T232" s="386">
        <v>2022</v>
      </c>
      <c r="U232" s="387"/>
      <c r="V232" s="383"/>
      <c r="W232" s="384"/>
    </row>
    <row r="233" spans="1:23" s="235" customFormat="1" ht="19.5" customHeight="1" x14ac:dyDescent="0.25">
      <c r="A233" s="354" t="s">
        <v>184</v>
      </c>
      <c r="B233" s="355"/>
      <c r="C233" s="355"/>
      <c r="D233" s="355"/>
      <c r="E233" s="355"/>
      <c r="F233" s="356"/>
      <c r="G233" s="373" t="s">
        <v>102</v>
      </c>
      <c r="H233" s="374"/>
      <c r="I233" s="379"/>
      <c r="J233" s="380">
        <v>105000</v>
      </c>
      <c r="K233" s="277" t="s">
        <v>15</v>
      </c>
      <c r="L233" s="172">
        <v>0</v>
      </c>
      <c r="M233" s="274">
        <v>0</v>
      </c>
      <c r="N233" s="275">
        <v>1</v>
      </c>
      <c r="O233" s="274">
        <v>15000</v>
      </c>
      <c r="P233" s="172">
        <v>1</v>
      </c>
      <c r="Q233" s="274">
        <v>25000</v>
      </c>
      <c r="R233" s="172">
        <v>1</v>
      </c>
      <c r="S233" s="274">
        <v>25000</v>
      </c>
      <c r="T233" s="172">
        <v>1</v>
      </c>
      <c r="U233" s="274">
        <v>40000</v>
      </c>
      <c r="V233" s="189">
        <v>4</v>
      </c>
      <c r="W233" s="85">
        <v>4</v>
      </c>
    </row>
    <row r="234" spans="1:23" s="235" customFormat="1" ht="18.75" customHeight="1" x14ac:dyDescent="0.25">
      <c r="A234" s="357"/>
      <c r="B234" s="358"/>
      <c r="C234" s="358"/>
      <c r="D234" s="358"/>
      <c r="E234" s="358"/>
      <c r="F234" s="359"/>
      <c r="G234" s="375"/>
      <c r="H234" s="376"/>
      <c r="I234" s="350"/>
      <c r="J234" s="381"/>
      <c r="K234" s="266" t="s">
        <v>155</v>
      </c>
      <c r="L234" s="130">
        <f>L233</f>
        <v>0</v>
      </c>
      <c r="M234" s="259">
        <f t="shared" ref="M234:W234" si="22">M233</f>
        <v>0</v>
      </c>
      <c r="N234" s="260">
        <f t="shared" si="22"/>
        <v>1</v>
      </c>
      <c r="O234" s="259">
        <f t="shared" si="22"/>
        <v>15000</v>
      </c>
      <c r="P234" s="130">
        <f t="shared" si="22"/>
        <v>1</v>
      </c>
      <c r="Q234" s="259">
        <f t="shared" si="22"/>
        <v>25000</v>
      </c>
      <c r="R234" s="130">
        <f t="shared" si="22"/>
        <v>1</v>
      </c>
      <c r="S234" s="259">
        <f t="shared" si="22"/>
        <v>25000</v>
      </c>
      <c r="T234" s="130">
        <f t="shared" si="22"/>
        <v>1</v>
      </c>
      <c r="U234" s="259">
        <f t="shared" si="22"/>
        <v>40000</v>
      </c>
      <c r="V234" s="130">
        <f t="shared" si="22"/>
        <v>4</v>
      </c>
      <c r="W234" s="130">
        <f t="shared" si="22"/>
        <v>4</v>
      </c>
    </row>
    <row r="235" spans="1:23" s="235" customFormat="1" ht="18.75" customHeight="1" thickBot="1" x14ac:dyDescent="0.3">
      <c r="A235" s="360"/>
      <c r="B235" s="361"/>
      <c r="C235" s="361"/>
      <c r="D235" s="361"/>
      <c r="E235" s="361"/>
      <c r="F235" s="362"/>
      <c r="G235" s="377"/>
      <c r="H235" s="378"/>
      <c r="I235" s="350"/>
      <c r="J235" s="381"/>
      <c r="K235" s="266" t="s">
        <v>16</v>
      </c>
      <c r="L235" s="130"/>
      <c r="M235" s="264"/>
      <c r="N235" s="260"/>
      <c r="O235" s="264"/>
      <c r="P235" s="130"/>
      <c r="Q235" s="264"/>
      <c r="R235" s="130"/>
      <c r="S235" s="264"/>
      <c r="T235" s="130"/>
      <c r="U235" s="264"/>
      <c r="V235" s="278"/>
      <c r="W235" s="279"/>
    </row>
    <row r="236" spans="1:23" s="235" customFormat="1" ht="20.25" customHeight="1" x14ac:dyDescent="0.25">
      <c r="A236" s="354" t="s">
        <v>185</v>
      </c>
      <c r="B236" s="355"/>
      <c r="C236" s="355"/>
      <c r="D236" s="356"/>
      <c r="E236" s="108"/>
      <c r="F236" s="177"/>
      <c r="G236" s="351" t="s">
        <v>2</v>
      </c>
      <c r="H236" s="353"/>
      <c r="I236" s="367"/>
      <c r="J236" s="370">
        <f>2223404.4-165252.15</f>
        <v>2058152.25</v>
      </c>
      <c r="K236" s="277" t="s">
        <v>15</v>
      </c>
      <c r="L236" s="172">
        <v>0</v>
      </c>
      <c r="M236" s="274">
        <v>0</v>
      </c>
      <c r="N236" s="275"/>
      <c r="O236" s="274">
        <f>J236/4</f>
        <v>514538.0625</v>
      </c>
      <c r="P236" s="172"/>
      <c r="Q236" s="274">
        <f>J236/4</f>
        <v>514538.0625</v>
      </c>
      <c r="R236" s="172"/>
      <c r="S236" s="274">
        <f>Q236</f>
        <v>514538.0625</v>
      </c>
      <c r="T236" s="172"/>
      <c r="U236" s="274">
        <f>S236</f>
        <v>514538.0625</v>
      </c>
      <c r="V236" s="189"/>
      <c r="W236" s="85"/>
    </row>
    <row r="237" spans="1:23" s="235" customFormat="1" ht="19.5" customHeight="1" x14ac:dyDescent="0.25">
      <c r="A237" s="357"/>
      <c r="B237" s="358"/>
      <c r="C237" s="358"/>
      <c r="D237" s="359"/>
      <c r="E237" s="108"/>
      <c r="F237" s="177"/>
      <c r="G237" s="351"/>
      <c r="H237" s="353"/>
      <c r="I237" s="368"/>
      <c r="J237" s="371"/>
      <c r="K237" s="266" t="s">
        <v>155</v>
      </c>
      <c r="L237" s="130">
        <f>L236</f>
        <v>0</v>
      </c>
      <c r="M237" s="259">
        <f t="shared" ref="M237:W237" si="23">M236</f>
        <v>0</v>
      </c>
      <c r="N237" s="260">
        <f t="shared" si="23"/>
        <v>0</v>
      </c>
      <c r="O237" s="259">
        <f t="shared" si="23"/>
        <v>514538.0625</v>
      </c>
      <c r="P237" s="130">
        <f t="shared" si="23"/>
        <v>0</v>
      </c>
      <c r="Q237" s="259">
        <f t="shared" si="23"/>
        <v>514538.0625</v>
      </c>
      <c r="R237" s="130">
        <f t="shared" si="23"/>
        <v>0</v>
      </c>
      <c r="S237" s="259">
        <f t="shared" si="23"/>
        <v>514538.0625</v>
      </c>
      <c r="T237" s="130">
        <f t="shared" si="23"/>
        <v>0</v>
      </c>
      <c r="U237" s="259">
        <f t="shared" si="23"/>
        <v>514538.0625</v>
      </c>
      <c r="V237" s="130">
        <f t="shared" si="23"/>
        <v>0</v>
      </c>
      <c r="W237" s="130">
        <f t="shared" si="23"/>
        <v>0</v>
      </c>
    </row>
    <row r="238" spans="1:23" s="235" customFormat="1" ht="19.5" customHeight="1" thickBot="1" x14ac:dyDescent="0.3">
      <c r="A238" s="360"/>
      <c r="B238" s="361"/>
      <c r="C238" s="361"/>
      <c r="D238" s="362"/>
      <c r="E238" s="108"/>
      <c r="F238" s="177"/>
      <c r="G238" s="365"/>
      <c r="H238" s="366"/>
      <c r="I238" s="369"/>
      <c r="J238" s="372"/>
      <c r="K238" s="266" t="s">
        <v>16</v>
      </c>
      <c r="L238" s="130"/>
      <c r="M238" s="264"/>
      <c r="N238" s="260"/>
      <c r="O238" s="264"/>
      <c r="P238" s="130"/>
      <c r="Q238" s="264"/>
      <c r="R238" s="130"/>
      <c r="S238" s="264"/>
      <c r="T238" s="130"/>
      <c r="U238" s="264"/>
      <c r="V238" s="278"/>
      <c r="W238" s="279"/>
    </row>
    <row r="239" spans="1:23" s="235" customFormat="1" ht="15" customHeight="1" x14ac:dyDescent="0.25">
      <c r="A239" s="354" t="s">
        <v>186</v>
      </c>
      <c r="B239" s="355"/>
      <c r="C239" s="355"/>
      <c r="D239" s="356"/>
      <c r="E239" s="108"/>
      <c r="F239" s="177"/>
      <c r="G239" s="363" t="s">
        <v>102</v>
      </c>
      <c r="H239" s="364"/>
      <c r="I239" s="367"/>
      <c r="J239" s="370">
        <v>530000</v>
      </c>
      <c r="K239" s="277" t="s">
        <v>15</v>
      </c>
      <c r="L239" s="172">
        <v>0</v>
      </c>
      <c r="M239" s="274"/>
      <c r="N239" s="275">
        <v>1</v>
      </c>
      <c r="O239" s="274">
        <f>330000</f>
        <v>330000</v>
      </c>
      <c r="P239" s="172">
        <v>1</v>
      </c>
      <c r="Q239" s="274">
        <f>45000+30000</f>
        <v>75000</v>
      </c>
      <c r="R239" s="172">
        <v>1</v>
      </c>
      <c r="S239" s="274">
        <f>45000+30000</f>
        <v>75000</v>
      </c>
      <c r="T239" s="172">
        <v>1</v>
      </c>
      <c r="U239" s="274">
        <f>20000+30000</f>
        <v>50000</v>
      </c>
      <c r="V239" s="189">
        <v>4</v>
      </c>
      <c r="W239" s="85">
        <v>4</v>
      </c>
    </row>
    <row r="240" spans="1:23" s="235" customFormat="1" ht="15" customHeight="1" x14ac:dyDescent="0.25">
      <c r="A240" s="357"/>
      <c r="B240" s="358"/>
      <c r="C240" s="358"/>
      <c r="D240" s="359"/>
      <c r="E240" s="108"/>
      <c r="F240" s="177"/>
      <c r="G240" s="351"/>
      <c r="H240" s="353"/>
      <c r="I240" s="368"/>
      <c r="J240" s="371"/>
      <c r="K240" s="266" t="s">
        <v>155</v>
      </c>
      <c r="L240" s="130">
        <f>L239</f>
        <v>0</v>
      </c>
      <c r="M240" s="259">
        <f t="shared" ref="M240:W240" si="24">M239</f>
        <v>0</v>
      </c>
      <c r="N240" s="260">
        <f t="shared" si="24"/>
        <v>1</v>
      </c>
      <c r="O240" s="259">
        <f t="shared" si="24"/>
        <v>330000</v>
      </c>
      <c r="P240" s="130">
        <f t="shared" si="24"/>
        <v>1</v>
      </c>
      <c r="Q240" s="259">
        <f t="shared" si="24"/>
        <v>75000</v>
      </c>
      <c r="R240" s="130">
        <f t="shared" si="24"/>
        <v>1</v>
      </c>
      <c r="S240" s="259">
        <f t="shared" si="24"/>
        <v>75000</v>
      </c>
      <c r="T240" s="130">
        <f t="shared" si="24"/>
        <v>1</v>
      </c>
      <c r="U240" s="259">
        <f t="shared" si="24"/>
        <v>50000</v>
      </c>
      <c r="V240" s="130">
        <f t="shared" si="24"/>
        <v>4</v>
      </c>
      <c r="W240" s="130">
        <f t="shared" si="24"/>
        <v>4</v>
      </c>
    </row>
    <row r="241" spans="1:26" s="235" customFormat="1" ht="15" customHeight="1" thickBot="1" x14ac:dyDescent="0.3">
      <c r="A241" s="360"/>
      <c r="B241" s="361"/>
      <c r="C241" s="361"/>
      <c r="D241" s="362"/>
      <c r="E241" s="108"/>
      <c r="F241" s="177"/>
      <c r="G241" s="365"/>
      <c r="H241" s="366"/>
      <c r="I241" s="369"/>
      <c r="J241" s="372"/>
      <c r="K241" s="266" t="s">
        <v>16</v>
      </c>
      <c r="L241" s="130"/>
      <c r="M241" s="264"/>
      <c r="N241" s="260"/>
      <c r="O241" s="264"/>
      <c r="P241" s="130"/>
      <c r="Q241" s="264"/>
      <c r="R241" s="130"/>
      <c r="S241" s="264"/>
      <c r="T241" s="130"/>
      <c r="U241" s="264"/>
      <c r="V241" s="278"/>
      <c r="W241" s="279"/>
    </row>
    <row r="242" spans="1:26" s="235" customFormat="1" ht="15" customHeight="1" x14ac:dyDescent="0.25">
      <c r="A242" s="354" t="s">
        <v>149</v>
      </c>
      <c r="B242" s="355"/>
      <c r="C242" s="355"/>
      <c r="D242" s="356"/>
      <c r="E242" s="108"/>
      <c r="F242" s="177"/>
      <c r="G242" s="363" t="s">
        <v>102</v>
      </c>
      <c r="H242" s="364"/>
      <c r="I242" s="367"/>
      <c r="J242" s="370">
        <v>950000</v>
      </c>
      <c r="K242" s="277" t="s">
        <v>15</v>
      </c>
      <c r="L242" s="172">
        <v>0</v>
      </c>
      <c r="M242" s="274">
        <v>0</v>
      </c>
      <c r="N242" s="275">
        <v>1</v>
      </c>
      <c r="O242" s="274">
        <f>75000+75000</f>
        <v>150000</v>
      </c>
      <c r="P242" s="172">
        <v>1</v>
      </c>
      <c r="Q242" s="274">
        <v>260000</v>
      </c>
      <c r="R242" s="172">
        <v>1</v>
      </c>
      <c r="S242" s="274">
        <v>260000</v>
      </c>
      <c r="T242" s="172">
        <v>1</v>
      </c>
      <c r="U242" s="274">
        <v>280000</v>
      </c>
      <c r="V242" s="189">
        <v>4</v>
      </c>
      <c r="W242" s="85">
        <v>4</v>
      </c>
    </row>
    <row r="243" spans="1:26" s="235" customFormat="1" ht="15" customHeight="1" x14ac:dyDescent="0.25">
      <c r="A243" s="357"/>
      <c r="B243" s="358"/>
      <c r="C243" s="358"/>
      <c r="D243" s="359"/>
      <c r="E243" s="108"/>
      <c r="F243" s="177"/>
      <c r="G243" s="351"/>
      <c r="H243" s="353"/>
      <c r="I243" s="368"/>
      <c r="J243" s="371"/>
      <c r="K243" s="266" t="s">
        <v>155</v>
      </c>
      <c r="L243" s="130">
        <f>L242</f>
        <v>0</v>
      </c>
      <c r="M243" s="259">
        <f t="shared" ref="M243:W243" si="25">M242</f>
        <v>0</v>
      </c>
      <c r="N243" s="260">
        <f t="shared" si="25"/>
        <v>1</v>
      </c>
      <c r="O243" s="259">
        <f t="shared" si="25"/>
        <v>150000</v>
      </c>
      <c r="P243" s="130">
        <f t="shared" si="25"/>
        <v>1</v>
      </c>
      <c r="Q243" s="259">
        <f t="shared" si="25"/>
        <v>260000</v>
      </c>
      <c r="R243" s="130">
        <f t="shared" si="25"/>
        <v>1</v>
      </c>
      <c r="S243" s="259">
        <f t="shared" si="25"/>
        <v>260000</v>
      </c>
      <c r="T243" s="130">
        <f t="shared" si="25"/>
        <v>1</v>
      </c>
      <c r="U243" s="259">
        <f t="shared" si="25"/>
        <v>280000</v>
      </c>
      <c r="V243" s="130">
        <f t="shared" si="25"/>
        <v>4</v>
      </c>
      <c r="W243" s="130">
        <f t="shared" si="25"/>
        <v>4</v>
      </c>
    </row>
    <row r="244" spans="1:26" s="235" customFormat="1" ht="36.950000000000003" customHeight="1" thickBot="1" x14ac:dyDescent="0.3">
      <c r="A244" s="360"/>
      <c r="B244" s="361"/>
      <c r="C244" s="361"/>
      <c r="D244" s="362"/>
      <c r="E244" s="108"/>
      <c r="F244" s="177"/>
      <c r="G244" s="365"/>
      <c r="H244" s="366"/>
      <c r="I244" s="369"/>
      <c r="J244" s="372"/>
      <c r="K244" s="266" t="s">
        <v>16</v>
      </c>
      <c r="L244" s="144"/>
      <c r="M244" s="262"/>
      <c r="N244" s="263"/>
      <c r="O244" s="262"/>
      <c r="P244" s="144"/>
      <c r="Q244" s="262"/>
      <c r="R244" s="144"/>
      <c r="S244" s="262"/>
      <c r="T244" s="144"/>
      <c r="U244" s="262"/>
      <c r="V244" s="278"/>
      <c r="W244" s="279"/>
    </row>
    <row r="245" spans="1:26" s="235" customFormat="1" ht="15" customHeight="1" x14ac:dyDescent="0.25">
      <c r="A245" s="346" t="s">
        <v>134</v>
      </c>
      <c r="B245" s="347"/>
      <c r="C245" s="347"/>
      <c r="D245" s="348"/>
      <c r="E245" s="128"/>
      <c r="F245" s="128"/>
      <c r="G245" s="349"/>
      <c r="H245" s="350"/>
      <c r="I245" s="165"/>
      <c r="J245" s="115">
        <f>SUM(J233:J243)</f>
        <v>3643152.25</v>
      </c>
      <c r="K245" s="280"/>
      <c r="M245" s="237"/>
      <c r="N245" s="281"/>
      <c r="O245" s="237"/>
      <c r="Q245" s="237"/>
      <c r="S245" s="237"/>
      <c r="U245" s="237"/>
      <c r="V245" s="282"/>
      <c r="W245" s="282"/>
    </row>
    <row r="246" spans="1:26" s="235" customFormat="1" ht="15" customHeight="1" x14ac:dyDescent="0.25">
      <c r="A246" s="351"/>
      <c r="B246" s="352"/>
      <c r="C246" s="352"/>
      <c r="D246" s="352"/>
      <c r="E246" s="352"/>
      <c r="F246" s="352"/>
      <c r="G246" s="352"/>
      <c r="H246" s="352"/>
      <c r="I246" s="352"/>
      <c r="J246" s="352"/>
      <c r="K246" s="352"/>
      <c r="L246" s="352"/>
      <c r="M246" s="352"/>
      <c r="N246" s="352"/>
      <c r="O246" s="352"/>
      <c r="P246" s="352"/>
      <c r="Q246" s="352"/>
      <c r="R246" s="352"/>
      <c r="S246" s="352"/>
      <c r="T246" s="352"/>
      <c r="U246" s="352"/>
      <c r="V246" s="352"/>
      <c r="W246" s="353"/>
      <c r="X246" s="87"/>
      <c r="Y246" s="87"/>
      <c r="Z246" s="87"/>
    </row>
    <row r="247" spans="1:26" s="235" customFormat="1" ht="15" customHeight="1" x14ac:dyDescent="0.25">
      <c r="A247" s="92"/>
      <c r="J247" s="237"/>
      <c r="K247" s="89"/>
      <c r="L247" s="89"/>
      <c r="M247" s="90"/>
      <c r="N247" s="91"/>
      <c r="O247" s="90"/>
      <c r="P247" s="89"/>
      <c r="Q247" s="90"/>
      <c r="R247" s="89"/>
      <c r="S247" s="90"/>
      <c r="T247" s="89"/>
      <c r="U247" s="90"/>
      <c r="V247" s="89"/>
      <c r="W247" s="89"/>
      <c r="X247" s="87"/>
      <c r="Y247" s="87"/>
      <c r="Z247" s="87"/>
    </row>
    <row r="248" spans="1:26" s="235" customFormat="1" ht="15" customHeight="1" x14ac:dyDescent="0.25">
      <c r="A248" s="92"/>
      <c r="J248" s="237"/>
      <c r="K248" s="89"/>
      <c r="L248" s="89"/>
      <c r="M248" s="90"/>
      <c r="N248" s="91"/>
      <c r="O248" s="90"/>
      <c r="P248" s="89"/>
      <c r="Q248" s="90"/>
      <c r="R248" s="89"/>
      <c r="S248" s="90"/>
      <c r="T248" s="89"/>
      <c r="U248" s="90"/>
      <c r="V248" s="89"/>
      <c r="W248" s="89"/>
      <c r="X248" s="87"/>
      <c r="Y248" s="87"/>
      <c r="Z248" s="87"/>
    </row>
    <row r="249" spans="1:26" s="235" customFormat="1" ht="60" customHeight="1" x14ac:dyDescent="0.25">
      <c r="A249" s="92"/>
      <c r="J249" s="237">
        <f>J245+J229+J209+J172+J152</f>
        <v>65000000</v>
      </c>
      <c r="K249" s="89"/>
      <c r="L249" s="89"/>
      <c r="M249" s="90"/>
      <c r="N249" s="91"/>
      <c r="O249" s="90"/>
      <c r="P249" s="89"/>
      <c r="Q249" s="90"/>
      <c r="R249" s="89"/>
      <c r="S249" s="90"/>
      <c r="T249" s="89"/>
      <c r="U249" s="90"/>
      <c r="V249" s="89"/>
      <c r="W249" s="89"/>
      <c r="X249" s="87"/>
      <c r="Y249" s="87"/>
      <c r="Z249" s="87"/>
    </row>
    <row r="250" spans="1:26" s="235" customFormat="1" ht="15" customHeight="1" x14ac:dyDescent="0.25">
      <c r="A250" s="92"/>
      <c r="J250" s="237"/>
      <c r="K250" s="89"/>
      <c r="L250" s="89"/>
      <c r="M250" s="90"/>
      <c r="N250" s="91"/>
      <c r="O250" s="90"/>
      <c r="P250" s="89"/>
      <c r="Q250" s="90"/>
      <c r="R250" s="89"/>
      <c r="S250" s="90"/>
      <c r="T250" s="89"/>
      <c r="U250" s="90"/>
      <c r="V250" s="89"/>
      <c r="W250" s="89"/>
      <c r="X250" s="87"/>
      <c r="Y250" s="87"/>
      <c r="Z250" s="87"/>
    </row>
    <row r="251" spans="1:26" s="235" customFormat="1" ht="15" customHeight="1" x14ac:dyDescent="0.25">
      <c r="A251" s="92"/>
      <c r="J251" s="237"/>
      <c r="K251" s="89"/>
      <c r="L251" s="89"/>
      <c r="M251" s="90"/>
      <c r="N251" s="91"/>
      <c r="O251" s="90"/>
      <c r="P251" s="89"/>
      <c r="Q251" s="90"/>
      <c r="R251" s="89"/>
      <c r="S251" s="90"/>
      <c r="T251" s="89"/>
      <c r="U251" s="90"/>
      <c r="V251" s="89"/>
      <c r="W251" s="89"/>
      <c r="X251" s="87"/>
      <c r="Y251" s="87"/>
      <c r="Z251" s="87"/>
    </row>
    <row r="252" spans="1:26" s="235" customFormat="1" ht="15" customHeight="1" x14ac:dyDescent="0.25">
      <c r="A252" s="92"/>
      <c r="J252" s="237"/>
      <c r="K252" s="89"/>
      <c r="L252" s="89"/>
      <c r="M252" s="90"/>
      <c r="N252" s="91"/>
      <c r="O252" s="90"/>
      <c r="P252" s="89"/>
      <c r="Q252" s="90"/>
      <c r="R252" s="89"/>
      <c r="S252" s="90"/>
      <c r="T252" s="89"/>
      <c r="U252" s="90"/>
      <c r="V252" s="89"/>
      <c r="W252" s="89"/>
      <c r="X252" s="87"/>
      <c r="Y252" s="87"/>
      <c r="Z252" s="87"/>
    </row>
    <row r="253" spans="1:26" s="235" customFormat="1" ht="15" customHeight="1" x14ac:dyDescent="0.25">
      <c r="A253" s="92"/>
      <c r="J253" s="237"/>
      <c r="K253" s="89"/>
      <c r="L253" s="89"/>
      <c r="M253" s="90"/>
      <c r="N253" s="91"/>
      <c r="O253" s="90"/>
      <c r="P253" s="89"/>
      <c r="Q253" s="90"/>
      <c r="R253" s="89"/>
      <c r="S253" s="90"/>
      <c r="T253" s="89"/>
      <c r="U253" s="90"/>
      <c r="V253" s="89"/>
      <c r="W253" s="89"/>
      <c r="X253" s="87"/>
      <c r="Y253" s="87"/>
      <c r="Z253" s="87"/>
    </row>
    <row r="254" spans="1:26" s="235" customFormat="1" ht="35.1" customHeight="1" x14ac:dyDescent="0.25">
      <c r="A254" s="92"/>
      <c r="J254" s="237"/>
      <c r="K254" s="89"/>
      <c r="L254" s="89"/>
      <c r="M254" s="90"/>
      <c r="N254" s="91"/>
      <c r="O254" s="90"/>
      <c r="P254" s="89"/>
      <c r="Q254" s="90"/>
      <c r="R254" s="89"/>
      <c r="S254" s="90"/>
      <c r="T254" s="89"/>
      <c r="U254" s="90"/>
      <c r="V254" s="89"/>
      <c r="W254" s="89"/>
      <c r="X254" s="87"/>
      <c r="Y254" s="87"/>
      <c r="Z254" s="87"/>
    </row>
    <row r="255" spans="1:26" s="235" customFormat="1" ht="15" customHeight="1" x14ac:dyDescent="0.25">
      <c r="A255" s="92"/>
      <c r="J255" s="237"/>
      <c r="K255" s="89"/>
      <c r="L255" s="89"/>
      <c r="M255" s="90"/>
      <c r="N255" s="91"/>
      <c r="O255" s="90"/>
      <c r="P255" s="89"/>
      <c r="Q255" s="90"/>
      <c r="R255" s="89"/>
      <c r="S255" s="90"/>
      <c r="T255" s="89"/>
      <c r="U255" s="90"/>
      <c r="V255" s="89"/>
      <c r="W255" s="89"/>
      <c r="X255" s="87"/>
      <c r="Y255" s="87"/>
      <c r="Z255" s="87"/>
    </row>
    <row r="256" spans="1:26" x14ac:dyDescent="0.25">
      <c r="B256" s="235"/>
      <c r="C256" s="235"/>
      <c r="D256" s="235"/>
      <c r="E256" s="235"/>
      <c r="F256" s="235"/>
      <c r="G256" s="235"/>
      <c r="H256" s="235"/>
      <c r="I256" s="235"/>
      <c r="J256" s="237"/>
    </row>
    <row r="257" spans="1:23" x14ac:dyDescent="0.25">
      <c r="B257" s="235"/>
      <c r="C257" s="235"/>
      <c r="D257" s="235"/>
      <c r="E257" s="235"/>
      <c r="F257" s="235"/>
      <c r="G257" s="235"/>
      <c r="H257" s="235"/>
      <c r="I257" s="235"/>
      <c r="J257" s="237"/>
    </row>
    <row r="258" spans="1:23" x14ac:dyDescent="0.25">
      <c r="B258" s="235"/>
      <c r="C258" s="235"/>
      <c r="D258" s="235"/>
      <c r="E258" s="235"/>
      <c r="F258" s="235"/>
      <c r="G258" s="235"/>
      <c r="H258" s="235"/>
      <c r="I258" s="235"/>
      <c r="J258" s="237"/>
    </row>
    <row r="259" spans="1:23" x14ac:dyDescent="0.25">
      <c r="B259" s="235"/>
      <c r="C259" s="235"/>
      <c r="D259" s="235"/>
      <c r="E259" s="235"/>
      <c r="F259" s="235"/>
      <c r="G259" s="235"/>
      <c r="H259" s="235"/>
      <c r="I259" s="235"/>
      <c r="J259" s="237"/>
    </row>
    <row r="260" spans="1:23" x14ac:dyDescent="0.25">
      <c r="B260" s="235"/>
      <c r="C260" s="235"/>
      <c r="D260" s="235"/>
      <c r="E260" s="235"/>
      <c r="F260" s="235"/>
      <c r="G260" s="235"/>
      <c r="H260" s="235"/>
      <c r="I260" s="235"/>
      <c r="J260" s="237"/>
    </row>
    <row r="261" spans="1:23" x14ac:dyDescent="0.25">
      <c r="B261" s="235"/>
      <c r="C261" s="235"/>
      <c r="D261" s="235"/>
      <c r="E261" s="235"/>
      <c r="F261" s="235"/>
      <c r="G261" s="235"/>
      <c r="H261" s="235"/>
      <c r="I261" s="235"/>
      <c r="J261" s="237"/>
    </row>
    <row r="262" spans="1:23" x14ac:dyDescent="0.25">
      <c r="B262" s="235"/>
      <c r="C262" s="235"/>
      <c r="D262" s="235"/>
      <c r="E262" s="235"/>
      <c r="F262" s="235"/>
      <c r="G262" s="235"/>
      <c r="H262" s="235"/>
      <c r="I262" s="235"/>
      <c r="J262" s="237"/>
      <c r="K262" s="283"/>
      <c r="L262" s="283"/>
      <c r="M262" s="284"/>
      <c r="N262" s="285"/>
      <c r="O262" s="284"/>
      <c r="P262" s="283"/>
      <c r="Q262" s="284"/>
      <c r="R262" s="283"/>
      <c r="S262" s="284"/>
      <c r="T262" s="283"/>
      <c r="U262" s="284"/>
      <c r="V262" s="283"/>
      <c r="W262" s="283"/>
    </row>
    <row r="263" spans="1:23" x14ac:dyDescent="0.25">
      <c r="A263" s="286"/>
      <c r="B263" s="287"/>
      <c r="C263" s="287"/>
      <c r="D263" s="287"/>
      <c r="E263" s="287"/>
      <c r="F263" s="287"/>
      <c r="G263" s="287"/>
      <c r="H263" s="287"/>
      <c r="I263" s="287"/>
      <c r="J263" s="288"/>
      <c r="K263" s="283"/>
      <c r="L263" s="283"/>
      <c r="M263" s="284"/>
      <c r="N263" s="285"/>
      <c r="O263" s="284"/>
      <c r="P263" s="283"/>
      <c r="Q263" s="284"/>
      <c r="R263" s="283"/>
      <c r="S263" s="284"/>
      <c r="T263" s="283"/>
      <c r="U263" s="284"/>
      <c r="V263" s="283"/>
      <c r="W263" s="283"/>
    </row>
    <row r="264" spans="1:23" x14ac:dyDescent="0.25">
      <c r="A264" s="286"/>
      <c r="B264" s="287"/>
      <c r="C264" s="287"/>
      <c r="D264" s="287"/>
      <c r="E264" s="287"/>
      <c r="F264" s="287"/>
      <c r="G264" s="287"/>
      <c r="H264" s="287"/>
      <c r="I264" s="287"/>
      <c r="J264" s="288"/>
      <c r="K264" s="283"/>
      <c r="L264" s="283"/>
      <c r="M264" s="284"/>
      <c r="N264" s="285"/>
      <c r="O264" s="284"/>
      <c r="P264" s="283"/>
      <c r="Q264" s="284"/>
      <c r="R264" s="283"/>
      <c r="S264" s="284"/>
      <c r="T264" s="283"/>
      <c r="U264" s="284"/>
      <c r="V264" s="283"/>
      <c r="W264" s="283"/>
    </row>
    <row r="265" spans="1:23" x14ac:dyDescent="0.25">
      <c r="A265" s="286"/>
      <c r="B265" s="287"/>
      <c r="C265" s="287"/>
      <c r="D265" s="287"/>
      <c r="E265" s="287"/>
      <c r="F265" s="287"/>
      <c r="G265" s="287"/>
      <c r="H265" s="287"/>
      <c r="I265" s="287"/>
      <c r="J265" s="288"/>
      <c r="K265" s="283"/>
      <c r="L265" s="283"/>
      <c r="M265" s="284"/>
      <c r="N265" s="285"/>
      <c r="O265" s="284"/>
      <c r="P265" s="283"/>
      <c r="Q265" s="284"/>
      <c r="R265" s="283"/>
      <c r="S265" s="284"/>
      <c r="T265" s="283"/>
      <c r="U265" s="284"/>
      <c r="V265" s="283"/>
      <c r="W265" s="283"/>
    </row>
    <row r="266" spans="1:23" x14ac:dyDescent="0.25">
      <c r="A266" s="286"/>
      <c r="B266" s="287"/>
      <c r="C266" s="287"/>
      <c r="D266" s="287"/>
      <c r="E266" s="287"/>
      <c r="F266" s="287"/>
      <c r="G266" s="287"/>
      <c r="H266" s="287"/>
      <c r="I266" s="287"/>
      <c r="J266" s="288"/>
      <c r="K266" s="283"/>
      <c r="L266" s="283"/>
      <c r="M266" s="284"/>
      <c r="N266" s="285"/>
      <c r="O266" s="284"/>
      <c r="P266" s="283"/>
      <c r="Q266" s="284"/>
      <c r="R266" s="283"/>
      <c r="S266" s="284"/>
      <c r="T266" s="283"/>
      <c r="U266" s="284"/>
      <c r="V266" s="283"/>
      <c r="W266" s="283"/>
    </row>
    <row r="267" spans="1:23" x14ac:dyDescent="0.25">
      <c r="A267" s="286"/>
      <c r="B267" s="287"/>
      <c r="C267" s="287"/>
      <c r="D267" s="287"/>
      <c r="E267" s="287"/>
      <c r="F267" s="287"/>
      <c r="G267" s="287"/>
      <c r="H267" s="287"/>
      <c r="I267" s="287"/>
      <c r="J267" s="288"/>
      <c r="K267" s="283"/>
      <c r="L267" s="283"/>
      <c r="M267" s="284"/>
      <c r="N267" s="285"/>
      <c r="O267" s="284"/>
      <c r="P267" s="283"/>
      <c r="Q267" s="284"/>
      <c r="R267" s="283"/>
      <c r="S267" s="284"/>
      <c r="T267" s="283"/>
      <c r="U267" s="284"/>
      <c r="V267" s="283"/>
      <c r="W267" s="283"/>
    </row>
    <row r="268" spans="1:23" x14ac:dyDescent="0.25">
      <c r="A268" s="286"/>
      <c r="B268" s="287"/>
      <c r="C268" s="287"/>
      <c r="D268" s="287"/>
      <c r="E268" s="287"/>
      <c r="F268" s="287"/>
      <c r="G268" s="287"/>
      <c r="H268" s="287"/>
      <c r="I268" s="287"/>
      <c r="J268" s="288"/>
      <c r="K268" s="289"/>
      <c r="L268" s="289"/>
      <c r="M268" s="290"/>
      <c r="N268" s="291"/>
      <c r="O268" s="290"/>
      <c r="P268" s="289"/>
      <c r="Q268" s="290"/>
      <c r="R268" s="289"/>
      <c r="S268" s="290"/>
      <c r="T268" s="289"/>
      <c r="U268" s="290"/>
      <c r="V268" s="289"/>
      <c r="W268" s="289"/>
    </row>
    <row r="269" spans="1:23" x14ac:dyDescent="0.25">
      <c r="A269" s="292"/>
      <c r="B269" s="293"/>
      <c r="C269" s="293"/>
      <c r="D269" s="293"/>
      <c r="E269" s="293"/>
      <c r="F269" s="293"/>
      <c r="G269" s="293"/>
      <c r="H269" s="293"/>
      <c r="I269" s="293"/>
      <c r="J269" s="294"/>
      <c r="K269" s="289"/>
      <c r="L269" s="289"/>
      <c r="M269" s="290"/>
      <c r="N269" s="291"/>
      <c r="O269" s="290"/>
      <c r="P269" s="289"/>
      <c r="Q269" s="290"/>
      <c r="R269" s="289"/>
      <c r="S269" s="290"/>
      <c r="T269" s="289"/>
      <c r="U269" s="290"/>
      <c r="V269" s="289"/>
      <c r="W269" s="289"/>
    </row>
    <row r="270" spans="1:23" x14ac:dyDescent="0.25">
      <c r="A270" s="292"/>
      <c r="B270" s="293"/>
      <c r="C270" s="293"/>
      <c r="D270" s="293"/>
      <c r="E270" s="293"/>
      <c r="F270" s="293"/>
      <c r="G270" s="293"/>
      <c r="H270" s="293"/>
      <c r="I270" s="293"/>
      <c r="J270" s="294"/>
      <c r="K270" s="289"/>
      <c r="L270" s="289"/>
      <c r="M270" s="290"/>
      <c r="N270" s="291"/>
      <c r="O270" s="290"/>
      <c r="P270" s="289"/>
      <c r="Q270" s="290"/>
      <c r="R270" s="289"/>
      <c r="S270" s="290"/>
      <c r="T270" s="289"/>
      <c r="U270" s="290"/>
      <c r="V270" s="289"/>
      <c r="W270" s="289"/>
    </row>
    <row r="271" spans="1:23" x14ac:dyDescent="0.25">
      <c r="A271" s="292"/>
      <c r="B271" s="293"/>
      <c r="C271" s="293"/>
      <c r="D271" s="293"/>
      <c r="E271" s="293"/>
      <c r="F271" s="293"/>
      <c r="G271" s="293"/>
      <c r="H271" s="293"/>
      <c r="I271" s="293"/>
      <c r="J271" s="294"/>
      <c r="K271" s="289"/>
      <c r="L271" s="289"/>
      <c r="M271" s="290"/>
      <c r="N271" s="291"/>
      <c r="O271" s="290"/>
      <c r="P271" s="289"/>
      <c r="Q271" s="290"/>
      <c r="R271" s="289"/>
      <c r="S271" s="290"/>
      <c r="T271" s="289"/>
      <c r="U271" s="290"/>
      <c r="V271" s="289"/>
      <c r="W271" s="289"/>
    </row>
    <row r="272" spans="1:23" x14ac:dyDescent="0.25">
      <c r="A272" s="292"/>
      <c r="B272" s="293"/>
      <c r="C272" s="293"/>
      <c r="D272" s="293"/>
      <c r="E272" s="293"/>
      <c r="F272" s="293"/>
      <c r="G272" s="293"/>
      <c r="H272" s="293"/>
      <c r="I272" s="293"/>
      <c r="J272" s="294"/>
      <c r="K272" s="289"/>
      <c r="L272" s="289"/>
      <c r="M272" s="290"/>
      <c r="N272" s="291"/>
      <c r="O272" s="290"/>
      <c r="P272" s="289"/>
      <c r="Q272" s="290"/>
      <c r="R272" s="289"/>
      <c r="S272" s="290"/>
      <c r="T272" s="289"/>
      <c r="U272" s="290"/>
      <c r="V272" s="289"/>
      <c r="W272" s="289"/>
    </row>
    <row r="273" spans="1:23" x14ac:dyDescent="0.25">
      <c r="A273" s="292"/>
      <c r="B273" s="293"/>
      <c r="C273" s="293"/>
      <c r="D273" s="293"/>
      <c r="E273" s="293"/>
      <c r="F273" s="293"/>
      <c r="G273" s="293"/>
      <c r="H273" s="293"/>
      <c r="I273" s="293"/>
      <c r="J273" s="294"/>
      <c r="K273" s="289"/>
      <c r="L273" s="289"/>
      <c r="M273" s="290"/>
      <c r="N273" s="291"/>
      <c r="O273" s="290"/>
      <c r="P273" s="289"/>
      <c r="Q273" s="290"/>
      <c r="R273" s="289"/>
      <c r="S273" s="290"/>
      <c r="T273" s="289"/>
      <c r="U273" s="290"/>
      <c r="V273" s="289"/>
      <c r="W273" s="289"/>
    </row>
    <row r="274" spans="1:23" x14ac:dyDescent="0.25">
      <c r="A274" s="292"/>
      <c r="B274" s="293"/>
      <c r="C274" s="293"/>
      <c r="D274" s="293"/>
      <c r="E274" s="293"/>
      <c r="F274" s="293"/>
      <c r="G274" s="293"/>
      <c r="H274" s="293"/>
      <c r="I274" s="293"/>
      <c r="J274" s="294"/>
      <c r="K274" s="289"/>
      <c r="L274" s="289"/>
      <c r="M274" s="290"/>
      <c r="N274" s="291"/>
      <c r="O274" s="290"/>
      <c r="P274" s="289"/>
      <c r="Q274" s="290"/>
      <c r="R274" s="289"/>
      <c r="S274" s="290"/>
      <c r="T274" s="289"/>
      <c r="U274" s="290"/>
      <c r="V274" s="289"/>
      <c r="W274" s="289"/>
    </row>
    <row r="275" spans="1:23" x14ac:dyDescent="0.25">
      <c r="A275" s="292"/>
      <c r="B275" s="293"/>
      <c r="C275" s="293"/>
      <c r="D275" s="293"/>
      <c r="E275" s="293"/>
      <c r="F275" s="293"/>
      <c r="G275" s="293"/>
      <c r="H275" s="293"/>
      <c r="I275" s="293"/>
      <c r="J275" s="294"/>
      <c r="K275" s="289"/>
      <c r="L275" s="289"/>
      <c r="M275" s="290"/>
      <c r="N275" s="291"/>
      <c r="O275" s="290"/>
      <c r="P275" s="289"/>
      <c r="Q275" s="290"/>
      <c r="R275" s="289"/>
      <c r="S275" s="290"/>
      <c r="T275" s="289"/>
      <c r="U275" s="290"/>
      <c r="V275" s="289"/>
      <c r="W275" s="289"/>
    </row>
    <row r="276" spans="1:23" x14ac:dyDescent="0.25">
      <c r="A276" s="292"/>
      <c r="B276" s="293"/>
      <c r="C276" s="293"/>
      <c r="D276" s="293"/>
      <c r="E276" s="293"/>
      <c r="F276" s="293"/>
      <c r="G276" s="293"/>
      <c r="H276" s="293"/>
      <c r="I276" s="293"/>
      <c r="J276" s="294"/>
      <c r="K276" s="289"/>
      <c r="L276" s="289"/>
      <c r="M276" s="290"/>
      <c r="N276" s="291"/>
      <c r="O276" s="290"/>
      <c r="P276" s="289"/>
      <c r="Q276" s="290"/>
      <c r="R276" s="289"/>
      <c r="S276" s="290"/>
      <c r="T276" s="289"/>
      <c r="U276" s="290"/>
      <c r="V276" s="289"/>
      <c r="W276" s="289"/>
    </row>
    <row r="277" spans="1:23" x14ac:dyDescent="0.25">
      <c r="A277" s="292"/>
      <c r="B277" s="293"/>
      <c r="C277" s="293"/>
      <c r="D277" s="293"/>
      <c r="E277" s="293"/>
      <c r="F277" s="293"/>
      <c r="G277" s="293"/>
      <c r="H277" s="293"/>
      <c r="I277" s="293"/>
      <c r="J277" s="294"/>
      <c r="K277" s="289"/>
      <c r="L277" s="289"/>
      <c r="M277" s="290"/>
      <c r="N277" s="291"/>
      <c r="O277" s="290"/>
      <c r="P277" s="289"/>
      <c r="Q277" s="290"/>
      <c r="R277" s="289"/>
      <c r="S277" s="290"/>
      <c r="T277" s="289"/>
      <c r="U277" s="290"/>
      <c r="V277" s="289"/>
      <c r="W277" s="289"/>
    </row>
    <row r="278" spans="1:23" x14ac:dyDescent="0.25">
      <c r="A278" s="292"/>
      <c r="B278" s="293"/>
      <c r="C278" s="293"/>
      <c r="D278" s="293"/>
      <c r="E278" s="293"/>
      <c r="F278" s="293"/>
      <c r="G278" s="293"/>
      <c r="H278" s="293"/>
      <c r="I278" s="293"/>
      <c r="J278" s="294"/>
      <c r="K278" s="289"/>
      <c r="L278" s="289"/>
      <c r="M278" s="290"/>
      <c r="N278" s="291"/>
      <c r="O278" s="290"/>
      <c r="P278" s="289"/>
      <c r="Q278" s="290"/>
      <c r="R278" s="289"/>
      <c r="S278" s="290"/>
      <c r="T278" s="289"/>
      <c r="U278" s="290"/>
      <c r="V278" s="289"/>
      <c r="W278" s="289"/>
    </row>
    <row r="279" spans="1:23" x14ac:dyDescent="0.25">
      <c r="A279" s="292"/>
      <c r="B279" s="293"/>
      <c r="C279" s="293"/>
      <c r="D279" s="293"/>
      <c r="E279" s="293"/>
      <c r="F279" s="293"/>
      <c r="G279" s="293"/>
      <c r="H279" s="293"/>
      <c r="I279" s="293"/>
      <c r="J279" s="294"/>
      <c r="K279" s="289"/>
      <c r="L279" s="289"/>
      <c r="M279" s="290"/>
      <c r="N279" s="291"/>
      <c r="O279" s="290"/>
      <c r="P279" s="289"/>
      <c r="Q279" s="290"/>
      <c r="R279" s="289"/>
      <c r="S279" s="290"/>
      <c r="T279" s="289"/>
      <c r="U279" s="290"/>
      <c r="V279" s="289"/>
      <c r="W279" s="289"/>
    </row>
    <row r="280" spans="1:23" x14ac:dyDescent="0.25">
      <c r="A280" s="292"/>
      <c r="B280" s="293"/>
      <c r="C280" s="293"/>
      <c r="D280" s="293"/>
      <c r="E280" s="293"/>
      <c r="F280" s="293"/>
      <c r="G280" s="293"/>
      <c r="H280" s="293"/>
      <c r="I280" s="293"/>
      <c r="J280" s="294"/>
      <c r="K280" s="289"/>
      <c r="L280" s="289"/>
      <c r="M280" s="290"/>
      <c r="N280" s="291"/>
      <c r="O280" s="290"/>
      <c r="P280" s="289"/>
      <c r="Q280" s="290"/>
      <c r="R280" s="289"/>
      <c r="S280" s="290"/>
      <c r="T280" s="289"/>
      <c r="U280" s="290"/>
      <c r="V280" s="289"/>
      <c r="W280" s="289"/>
    </row>
    <row r="281" spans="1:23" x14ac:dyDescent="0.25">
      <c r="A281" s="292"/>
      <c r="B281" s="293"/>
      <c r="C281" s="293"/>
      <c r="D281" s="293"/>
      <c r="E281" s="293"/>
      <c r="F281" s="293"/>
      <c r="G281" s="293"/>
      <c r="H281" s="293"/>
      <c r="I281" s="293"/>
      <c r="J281" s="294"/>
    </row>
  </sheetData>
  <customSheetViews>
    <customSheetView guid="{64CDB73C-0515-4B84-BBDA-15E88C795A11}" scale="90" hiddenRows="1" hiddenColumns="1" state="hidden" topLeftCell="A6">
      <selection activeCell="J247" sqref="J247"/>
      <pageMargins left="0.7" right="0.7" top="0.75" bottom="0.75" header="0.3" footer="0.3"/>
    </customSheetView>
    <customSheetView guid="{C31D0E94-A34D-4CDF-BD63-4E4334BF746E}" scale="90" hiddenRows="1" hiddenColumns="1" state="hidden" topLeftCell="A6">
      <selection activeCell="J247" sqref="J247"/>
      <pageMargins left="0.7" right="0.7" top="0.75" bottom="0.75" header="0.3" footer="0.3"/>
    </customSheetView>
    <customSheetView guid="{C9B4FAC3-3451-4E1B-97A4-CB12A081915B}" hiddenRows="1" hiddenColumns="1" state="hidden">
      <pageMargins left="0.7" right="0.7" top="0.75" bottom="0.75" header="0.3" footer="0.3"/>
    </customSheetView>
    <customSheetView guid="{940A1785-5DEB-4BF0-A0A1-E7CB3C7D9639}" scale="90" hiddenRows="1" hiddenColumns="1" state="hidden" topLeftCell="A6">
      <selection activeCell="J247" sqref="J247"/>
      <pageMargins left="0.7" right="0.7" top="0.75" bottom="0.75" header="0.3" footer="0.3"/>
    </customSheetView>
  </customSheetViews>
  <mergeCells count="410">
    <mergeCell ref="A4:W4"/>
    <mergeCell ref="A5:W5"/>
    <mergeCell ref="A6:W6"/>
    <mergeCell ref="A7:B7"/>
    <mergeCell ref="C7:W7"/>
    <mergeCell ref="A8:W8"/>
    <mergeCell ref="P10:P11"/>
    <mergeCell ref="A12:W12"/>
    <mergeCell ref="A13:B13"/>
    <mergeCell ref="C13:W13"/>
    <mergeCell ref="A14:W14"/>
    <mergeCell ref="A15:J15"/>
    <mergeCell ref="L15:M15"/>
    <mergeCell ref="N15:O15"/>
    <mergeCell ref="A9:J9"/>
    <mergeCell ref="L9:M9"/>
    <mergeCell ref="N9:O9"/>
    <mergeCell ref="A10:J11"/>
    <mergeCell ref="L10:M11"/>
    <mergeCell ref="N10:O11"/>
    <mergeCell ref="A20:W20"/>
    <mergeCell ref="A21:J21"/>
    <mergeCell ref="L21:M21"/>
    <mergeCell ref="N21:O21"/>
    <mergeCell ref="A22:J23"/>
    <mergeCell ref="L22:M23"/>
    <mergeCell ref="N22:O23"/>
    <mergeCell ref="P22:P23"/>
    <mergeCell ref="A16:J17"/>
    <mergeCell ref="L16:M17"/>
    <mergeCell ref="N16:O17"/>
    <mergeCell ref="P16:P17"/>
    <mergeCell ref="A18:W18"/>
    <mergeCell ref="A19:B19"/>
    <mergeCell ref="C19:W19"/>
    <mergeCell ref="A29:D29"/>
    <mergeCell ref="E29:I29"/>
    <mergeCell ref="J29:O29"/>
    <mergeCell ref="P29:W29"/>
    <mergeCell ref="A30:D30"/>
    <mergeCell ref="E30:I30"/>
    <mergeCell ref="J30:O30"/>
    <mergeCell ref="P30:W30"/>
    <mergeCell ref="A24:W24"/>
    <mergeCell ref="A25:W25"/>
    <mergeCell ref="A26:W26"/>
    <mergeCell ref="A27:B27"/>
    <mergeCell ref="C27:W27"/>
    <mergeCell ref="A28:W28"/>
    <mergeCell ref="A35:D35"/>
    <mergeCell ref="E35:I35"/>
    <mergeCell ref="J35:O35"/>
    <mergeCell ref="P35:W35"/>
    <mergeCell ref="A36:W36"/>
    <mergeCell ref="A37:B37"/>
    <mergeCell ref="C37:W37"/>
    <mergeCell ref="A31:W31"/>
    <mergeCell ref="A32:B32"/>
    <mergeCell ref="C32:W32"/>
    <mergeCell ref="A33:W33"/>
    <mergeCell ref="A34:D34"/>
    <mergeCell ref="E34:I34"/>
    <mergeCell ref="J34:O34"/>
    <mergeCell ref="P34:W34"/>
    <mergeCell ref="A38:W38"/>
    <mergeCell ref="A39:D39"/>
    <mergeCell ref="E39:I39"/>
    <mergeCell ref="J39:O39"/>
    <mergeCell ref="P39:W39"/>
    <mergeCell ref="A40:D40"/>
    <mergeCell ref="E40:I40"/>
    <mergeCell ref="J40:O40"/>
    <mergeCell ref="P40:W40"/>
    <mergeCell ref="A46:J46"/>
    <mergeCell ref="L46:M46"/>
    <mergeCell ref="N46:O46"/>
    <mergeCell ref="A47:J49"/>
    <mergeCell ref="L47:M49"/>
    <mergeCell ref="N47:O49"/>
    <mergeCell ref="A41:W41"/>
    <mergeCell ref="A42:W42"/>
    <mergeCell ref="A43:W43"/>
    <mergeCell ref="A44:B44"/>
    <mergeCell ref="C44:W44"/>
    <mergeCell ref="A45:W45"/>
    <mergeCell ref="A54:B54"/>
    <mergeCell ref="C54:W54"/>
    <mergeCell ref="A55:W55"/>
    <mergeCell ref="A56:J56"/>
    <mergeCell ref="L56:M56"/>
    <mergeCell ref="N56:O56"/>
    <mergeCell ref="P47:P49"/>
    <mergeCell ref="A50:J52"/>
    <mergeCell ref="L50:M52"/>
    <mergeCell ref="N50:O52"/>
    <mergeCell ref="P50:P52"/>
    <mergeCell ref="A53:W53"/>
    <mergeCell ref="A63:J65"/>
    <mergeCell ref="L63:M65"/>
    <mergeCell ref="N63:O65"/>
    <mergeCell ref="P63:P65"/>
    <mergeCell ref="A66:J68"/>
    <mergeCell ref="L66:M68"/>
    <mergeCell ref="N66:O68"/>
    <mergeCell ref="P66:P68"/>
    <mergeCell ref="A57:J59"/>
    <mergeCell ref="L57:M59"/>
    <mergeCell ref="N57:O59"/>
    <mergeCell ref="P57:P59"/>
    <mergeCell ref="A60:J62"/>
    <mergeCell ref="L60:M62"/>
    <mergeCell ref="N60:O62"/>
    <mergeCell ref="P60:P62"/>
    <mergeCell ref="A73:J75"/>
    <mergeCell ref="L73:M75"/>
    <mergeCell ref="N73:O75"/>
    <mergeCell ref="P73:P75"/>
    <mergeCell ref="A76:J78"/>
    <mergeCell ref="L76:M78"/>
    <mergeCell ref="N76:O78"/>
    <mergeCell ref="P76:P78"/>
    <mergeCell ref="A69:W69"/>
    <mergeCell ref="A70:B70"/>
    <mergeCell ref="C70:W70"/>
    <mergeCell ref="A71:W71"/>
    <mergeCell ref="A72:J72"/>
    <mergeCell ref="L72:M72"/>
    <mergeCell ref="N72:O72"/>
    <mergeCell ref="A85:J87"/>
    <mergeCell ref="L85:M87"/>
    <mergeCell ref="N85:O87"/>
    <mergeCell ref="P85:P87"/>
    <mergeCell ref="A88:J90"/>
    <mergeCell ref="L88:M90"/>
    <mergeCell ref="N88:O90"/>
    <mergeCell ref="P88:P90"/>
    <mergeCell ref="A79:J81"/>
    <mergeCell ref="L79:M81"/>
    <mergeCell ref="N79:O81"/>
    <mergeCell ref="P79:P81"/>
    <mergeCell ref="A82:J84"/>
    <mergeCell ref="L82:M84"/>
    <mergeCell ref="N82:O84"/>
    <mergeCell ref="P82:P84"/>
    <mergeCell ref="A96:W96"/>
    <mergeCell ref="A97:J97"/>
    <mergeCell ref="L97:M97"/>
    <mergeCell ref="N97:O97"/>
    <mergeCell ref="A98:J100"/>
    <mergeCell ref="L98:M100"/>
    <mergeCell ref="N98:O100"/>
    <mergeCell ref="P98:P100"/>
    <mergeCell ref="A91:J93"/>
    <mergeCell ref="L91:M93"/>
    <mergeCell ref="N91:O93"/>
    <mergeCell ref="P91:P93"/>
    <mergeCell ref="A94:W94"/>
    <mergeCell ref="A95:B95"/>
    <mergeCell ref="C95:W95"/>
    <mergeCell ref="A106:D106"/>
    <mergeCell ref="E106:I106"/>
    <mergeCell ref="J106:O106"/>
    <mergeCell ref="P106:W106"/>
    <mergeCell ref="A107:D107"/>
    <mergeCell ref="E107:I107"/>
    <mergeCell ref="J107:O107"/>
    <mergeCell ref="P107:W107"/>
    <mergeCell ref="A101:W101"/>
    <mergeCell ref="A102:W102"/>
    <mergeCell ref="A103:W103"/>
    <mergeCell ref="A104:B104"/>
    <mergeCell ref="C104:W104"/>
    <mergeCell ref="A105:W105"/>
    <mergeCell ref="A112:D112"/>
    <mergeCell ref="E112:I112"/>
    <mergeCell ref="J112:O112"/>
    <mergeCell ref="P112:W112"/>
    <mergeCell ref="A113:D113"/>
    <mergeCell ref="E113:I113"/>
    <mergeCell ref="J113:O113"/>
    <mergeCell ref="P113:W113"/>
    <mergeCell ref="A108:W108"/>
    <mergeCell ref="A109:B109"/>
    <mergeCell ref="C109:W109"/>
    <mergeCell ref="A110:W110"/>
    <mergeCell ref="A111:D111"/>
    <mergeCell ref="E111:I111"/>
    <mergeCell ref="J111:O111"/>
    <mergeCell ref="P111:W111"/>
    <mergeCell ref="A118:D118"/>
    <mergeCell ref="E118:I118"/>
    <mergeCell ref="J118:O118"/>
    <mergeCell ref="P118:W118"/>
    <mergeCell ref="A119:D119"/>
    <mergeCell ref="E119:I119"/>
    <mergeCell ref="J119:O119"/>
    <mergeCell ref="P119:W119"/>
    <mergeCell ref="A114:W114"/>
    <mergeCell ref="A115:B115"/>
    <mergeCell ref="C115:W115"/>
    <mergeCell ref="A116:W116"/>
    <mergeCell ref="A117:D117"/>
    <mergeCell ref="E117:I117"/>
    <mergeCell ref="J117:O117"/>
    <mergeCell ref="P117:W117"/>
    <mergeCell ref="A124:D124"/>
    <mergeCell ref="E124:I124"/>
    <mergeCell ref="J124:O124"/>
    <mergeCell ref="P124:W124"/>
    <mergeCell ref="A125:W125"/>
    <mergeCell ref="A126:W126"/>
    <mergeCell ref="A120:W120"/>
    <mergeCell ref="A121:B121"/>
    <mergeCell ref="C121:W121"/>
    <mergeCell ref="A122:W122"/>
    <mergeCell ref="A123:D123"/>
    <mergeCell ref="E123:I123"/>
    <mergeCell ref="J123:O123"/>
    <mergeCell ref="P123:W123"/>
    <mergeCell ref="A127:W127"/>
    <mergeCell ref="A128:W128"/>
    <mergeCell ref="A129:F130"/>
    <mergeCell ref="G129:H130"/>
    <mergeCell ref="I129:I130"/>
    <mergeCell ref="J129:J130"/>
    <mergeCell ref="L129:M129"/>
    <mergeCell ref="N129:O129"/>
    <mergeCell ref="P129:Q129"/>
    <mergeCell ref="R129:S129"/>
    <mergeCell ref="T129:U129"/>
    <mergeCell ref="A131:F133"/>
    <mergeCell ref="G131:H133"/>
    <mergeCell ref="I131:I133"/>
    <mergeCell ref="J131:J133"/>
    <mergeCell ref="A134:D136"/>
    <mergeCell ref="G134:H136"/>
    <mergeCell ref="I134:I136"/>
    <mergeCell ref="J134:J136"/>
    <mergeCell ref="A143:F145"/>
    <mergeCell ref="G143:H145"/>
    <mergeCell ref="I143:I145"/>
    <mergeCell ref="J143:J145"/>
    <mergeCell ref="A146:F148"/>
    <mergeCell ref="G146:H148"/>
    <mergeCell ref="I146:I148"/>
    <mergeCell ref="J146:J148"/>
    <mergeCell ref="A137:D139"/>
    <mergeCell ref="G137:H139"/>
    <mergeCell ref="I137:I139"/>
    <mergeCell ref="J137:J139"/>
    <mergeCell ref="A140:F142"/>
    <mergeCell ref="G140:H142"/>
    <mergeCell ref="I140:I142"/>
    <mergeCell ref="J140:J142"/>
    <mergeCell ref="J155:J156"/>
    <mergeCell ref="N155:O155"/>
    <mergeCell ref="A149:F151"/>
    <mergeCell ref="G149:H151"/>
    <mergeCell ref="I149:I151"/>
    <mergeCell ref="J149:J151"/>
    <mergeCell ref="A152:F152"/>
    <mergeCell ref="A154:W154"/>
    <mergeCell ref="P155:Q155"/>
    <mergeCell ref="R155:S155"/>
    <mergeCell ref="T155:U155"/>
    <mergeCell ref="A166:F168"/>
    <mergeCell ref="G166:H168"/>
    <mergeCell ref="I166:I168"/>
    <mergeCell ref="J166:J168"/>
    <mergeCell ref="A169:F171"/>
    <mergeCell ref="G169:H171"/>
    <mergeCell ref="I169:I171"/>
    <mergeCell ref="J169:J171"/>
    <mergeCell ref="L155:M155"/>
    <mergeCell ref="A160:F162"/>
    <mergeCell ref="G160:H162"/>
    <mergeCell ref="I160:I162"/>
    <mergeCell ref="J160:J162"/>
    <mergeCell ref="A163:F165"/>
    <mergeCell ref="G163:H165"/>
    <mergeCell ref="I163:I165"/>
    <mergeCell ref="J163:J165"/>
    <mergeCell ref="A157:F159"/>
    <mergeCell ref="G157:H159"/>
    <mergeCell ref="I157:I159"/>
    <mergeCell ref="J157:J159"/>
    <mergeCell ref="A155:F156"/>
    <mergeCell ref="G155:H156"/>
    <mergeCell ref="I155:I156"/>
    <mergeCell ref="T173:U173"/>
    <mergeCell ref="A174:J174"/>
    <mergeCell ref="L174:M174"/>
    <mergeCell ref="N174:O174"/>
    <mergeCell ref="P174:Q174"/>
    <mergeCell ref="R174:S174"/>
    <mergeCell ref="T174:U174"/>
    <mergeCell ref="A172:F172"/>
    <mergeCell ref="A173:J173"/>
    <mergeCell ref="L173:M173"/>
    <mergeCell ref="N173:O173"/>
    <mergeCell ref="P173:Q173"/>
    <mergeCell ref="R173:S173"/>
    <mergeCell ref="A179:F181"/>
    <mergeCell ref="G179:H181"/>
    <mergeCell ref="I179:I181"/>
    <mergeCell ref="J179:J181"/>
    <mergeCell ref="A182:F184"/>
    <mergeCell ref="G182:H184"/>
    <mergeCell ref="I182:I184"/>
    <mergeCell ref="J182:J184"/>
    <mergeCell ref="A175:F175"/>
    <mergeCell ref="G175:H175"/>
    <mergeCell ref="A176:F178"/>
    <mergeCell ref="G176:H178"/>
    <mergeCell ref="I176:I178"/>
    <mergeCell ref="J176:J178"/>
    <mergeCell ref="A191:D193"/>
    <mergeCell ref="G191:H193"/>
    <mergeCell ref="I191:I193"/>
    <mergeCell ref="J191:J193"/>
    <mergeCell ref="A194:D196"/>
    <mergeCell ref="G194:H196"/>
    <mergeCell ref="I194:I196"/>
    <mergeCell ref="J194:J196"/>
    <mergeCell ref="A185:F187"/>
    <mergeCell ref="G185:H187"/>
    <mergeCell ref="I185:I187"/>
    <mergeCell ref="J185:J187"/>
    <mergeCell ref="A188:F190"/>
    <mergeCell ref="G188:H190"/>
    <mergeCell ref="I188:I190"/>
    <mergeCell ref="J188:J190"/>
    <mergeCell ref="A203:D205"/>
    <mergeCell ref="G203:H205"/>
    <mergeCell ref="I203:I205"/>
    <mergeCell ref="J203:J205"/>
    <mergeCell ref="A206:D208"/>
    <mergeCell ref="G206:H208"/>
    <mergeCell ref="I206:I208"/>
    <mergeCell ref="J206:J208"/>
    <mergeCell ref="A197:D199"/>
    <mergeCell ref="G197:H199"/>
    <mergeCell ref="I197:I199"/>
    <mergeCell ref="J197:J199"/>
    <mergeCell ref="A200:D202"/>
    <mergeCell ref="G200:H202"/>
    <mergeCell ref="I200:I202"/>
    <mergeCell ref="J200:J202"/>
    <mergeCell ref="A209:F209"/>
    <mergeCell ref="A211:J211"/>
    <mergeCell ref="V211:V212"/>
    <mergeCell ref="W211:W212"/>
    <mergeCell ref="A212:F212"/>
    <mergeCell ref="G212:H212"/>
    <mergeCell ref="L212:M212"/>
    <mergeCell ref="N212:O212"/>
    <mergeCell ref="P212:Q212"/>
    <mergeCell ref="R212:S212"/>
    <mergeCell ref="T212:U212"/>
    <mergeCell ref="A213:D215"/>
    <mergeCell ref="G213:H215"/>
    <mergeCell ref="I213:I215"/>
    <mergeCell ref="J213:J215"/>
    <mergeCell ref="A216:D218"/>
    <mergeCell ref="G216:H218"/>
    <mergeCell ref="I216:I218"/>
    <mergeCell ref="J216:J218"/>
    <mergeCell ref="A226:D228"/>
    <mergeCell ref="G226:H228"/>
    <mergeCell ref="I226:I228"/>
    <mergeCell ref="J226:J228"/>
    <mergeCell ref="A229:F229"/>
    <mergeCell ref="A231:J231"/>
    <mergeCell ref="A219:F222"/>
    <mergeCell ref="G219:H222"/>
    <mergeCell ref="I219:I222"/>
    <mergeCell ref="J219:J222"/>
    <mergeCell ref="A223:D225"/>
    <mergeCell ref="G223:H225"/>
    <mergeCell ref="I223:I225"/>
    <mergeCell ref="J223:J225"/>
    <mergeCell ref="V231:V232"/>
    <mergeCell ref="W231:W232"/>
    <mergeCell ref="A232:F232"/>
    <mergeCell ref="G232:H232"/>
    <mergeCell ref="L232:M232"/>
    <mergeCell ref="N232:O232"/>
    <mergeCell ref="P232:Q232"/>
    <mergeCell ref="R232:S232"/>
    <mergeCell ref="T232:U232"/>
    <mergeCell ref="A233:F235"/>
    <mergeCell ref="G233:H235"/>
    <mergeCell ref="I233:I235"/>
    <mergeCell ref="J233:J235"/>
    <mergeCell ref="A236:D238"/>
    <mergeCell ref="G236:H238"/>
    <mergeCell ref="I236:I238"/>
    <mergeCell ref="J236:J238"/>
    <mergeCell ref="K231:K232"/>
    <mergeCell ref="A245:D245"/>
    <mergeCell ref="G245:H245"/>
    <mergeCell ref="A246:W246"/>
    <mergeCell ref="A239:D241"/>
    <mergeCell ref="G239:H241"/>
    <mergeCell ref="I239:I241"/>
    <mergeCell ref="J239:J241"/>
    <mergeCell ref="A242:D244"/>
    <mergeCell ref="G242:H244"/>
    <mergeCell ref="I242:I244"/>
    <mergeCell ref="J242:J244"/>
  </mergeCells>
  <pageMargins left="0.7" right="0.7" top="0.75" bottom="0.75" header="0.3" footer="0.3"/>
  <ignoredErrors>
    <ignoredError sqref="O149 Q149:R149 S149:T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114"/>
  <sheetViews>
    <sheetView tabSelected="1" topLeftCell="A77" zoomScale="90" zoomScaleNormal="90" workbookViewId="0">
      <pane ySplit="7125" topLeftCell="A110"/>
      <selection activeCell="A86" sqref="A86"/>
      <selection pane="bottomLeft" activeCell="A110" sqref="A110:L110"/>
    </sheetView>
  </sheetViews>
  <sheetFormatPr defaultColWidth="9.140625" defaultRowHeight="23.25" customHeight="1" x14ac:dyDescent="0.25"/>
  <cols>
    <col min="1" max="1" width="23.28515625" style="2" customWidth="1"/>
    <col min="2" max="2" width="24.28515625" style="80" customWidth="1"/>
    <col min="3" max="3" width="32.42578125" style="318" customWidth="1"/>
    <col min="4" max="4" width="24.5703125" style="80" customWidth="1"/>
    <col min="5" max="5" width="17.28515625" style="80" customWidth="1"/>
    <col min="6" max="6" width="21.140625" style="66" customWidth="1"/>
    <col min="7" max="7" width="10.28515625" style="81" customWidth="1"/>
    <col min="8" max="8" width="12" style="81" customWidth="1"/>
    <col min="9" max="9" width="14" style="319" customWidth="1"/>
    <col min="10" max="10" width="13" style="2" customWidth="1"/>
    <col min="11" max="11" width="26.85546875" style="2" customWidth="1"/>
    <col min="12" max="12" width="12.140625" style="80" customWidth="1"/>
    <col min="13" max="13" width="12" style="2" bestFit="1" customWidth="1"/>
    <col min="14" max="14" width="16.28515625" style="2" customWidth="1"/>
    <col min="15" max="15" width="11.7109375" style="2" customWidth="1"/>
    <col min="16" max="16" width="11.140625" style="2" customWidth="1"/>
    <col min="17" max="17" width="19.140625" style="2" customWidth="1"/>
    <col min="18" max="18" width="13.85546875" style="2" customWidth="1"/>
    <col min="19" max="19" width="15.85546875" style="2" customWidth="1"/>
    <col min="20" max="20" width="12.85546875" style="2" customWidth="1"/>
    <col min="21" max="21" width="10.85546875" style="2" customWidth="1"/>
    <col min="22" max="22" width="16.85546875" style="2" customWidth="1"/>
    <col min="23" max="23" width="14.7109375" style="2" customWidth="1"/>
    <col min="24" max="25" width="12.140625" style="2" customWidth="1"/>
    <col min="26" max="26" width="13" style="2" customWidth="1"/>
    <col min="27" max="27" width="10.42578125" style="2" customWidth="1"/>
    <col min="28" max="28" width="10.7109375" style="2" customWidth="1"/>
    <col min="29" max="30" width="11.140625" style="2" customWidth="1"/>
    <col min="31" max="31" width="10.28515625" style="2" customWidth="1"/>
    <col min="32" max="32" width="36.140625" style="2" customWidth="1"/>
    <col min="33" max="34" width="13.28515625" style="2" customWidth="1"/>
    <col min="35" max="35" width="10.28515625" style="2" customWidth="1"/>
    <col min="36" max="36" width="9.85546875" style="2" customWidth="1"/>
    <col min="37" max="37" width="8.28515625" style="2" customWidth="1"/>
    <col min="38" max="38" width="7.85546875" style="2" customWidth="1"/>
    <col min="39" max="39" width="9" style="2" customWidth="1"/>
    <col min="40" max="40" width="9.140625" style="2" customWidth="1"/>
    <col min="41" max="41" width="8.5703125" style="2" customWidth="1"/>
    <col min="42" max="42" width="9" style="2" customWidth="1"/>
    <col min="43" max="43" width="9.140625" style="2" customWidth="1"/>
    <col min="44" max="44" width="9.85546875" style="2" customWidth="1"/>
    <col min="45" max="45" width="9" style="2" customWidth="1"/>
    <col min="46" max="47" width="10.140625" style="2" customWidth="1"/>
    <col min="48" max="48" width="11.28515625" style="2" customWidth="1"/>
    <col min="49" max="50" width="9.140625" style="2"/>
    <col min="51" max="54" width="10.140625" style="2" customWidth="1"/>
    <col min="55" max="56" width="10.7109375" style="2" customWidth="1"/>
    <col min="57" max="60" width="11" style="2" customWidth="1"/>
    <col min="61" max="61" width="19.5703125" style="2" customWidth="1"/>
    <col min="62" max="62" width="18.85546875" style="2" customWidth="1"/>
    <col min="63" max="66" width="11" style="2" customWidth="1"/>
    <col min="67" max="67" width="15.42578125" style="2" customWidth="1"/>
    <col min="68" max="16384" width="9.140625" style="2"/>
  </cols>
  <sheetData>
    <row r="1" spans="1:255" s="27" customFormat="1" ht="23.25" customHeight="1" x14ac:dyDescent="0.25">
      <c r="A1" s="24"/>
      <c r="B1" s="25"/>
      <c r="C1" s="297" t="s">
        <v>67</v>
      </c>
      <c r="D1" s="666" t="s">
        <v>150</v>
      </c>
      <c r="E1" s="666"/>
      <c r="F1" s="666"/>
      <c r="G1" s="26"/>
      <c r="H1" s="26"/>
      <c r="I1" s="298"/>
      <c r="J1" s="24"/>
      <c r="K1" s="24"/>
      <c r="L1" s="25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</row>
    <row r="2" spans="1:255" s="27" customFormat="1" ht="16.5" customHeight="1" x14ac:dyDescent="0.25">
      <c r="A2" s="24"/>
      <c r="B2" s="25"/>
      <c r="C2" s="297" t="s">
        <v>68</v>
      </c>
      <c r="D2" s="667" t="s">
        <v>193</v>
      </c>
      <c r="E2" s="668"/>
      <c r="F2" s="668"/>
      <c r="G2" s="26"/>
      <c r="H2" s="26"/>
      <c r="I2" s="298"/>
      <c r="J2" s="24"/>
      <c r="K2" s="24"/>
      <c r="L2" s="25"/>
      <c r="M2" s="29"/>
      <c r="N2" s="29"/>
      <c r="O2" s="29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255" s="27" customFormat="1" ht="30.75" customHeight="1" x14ac:dyDescent="0.25">
      <c r="A3" s="24"/>
      <c r="B3" s="25"/>
      <c r="C3" s="299" t="s">
        <v>3</v>
      </c>
      <c r="D3" s="669" t="s">
        <v>194</v>
      </c>
      <c r="E3" s="669"/>
      <c r="F3" s="669"/>
      <c r="G3" s="26"/>
      <c r="H3" s="26"/>
      <c r="I3" s="300"/>
      <c r="J3" s="24"/>
      <c r="K3" s="24"/>
      <c r="L3" s="25"/>
      <c r="M3" s="29"/>
      <c r="N3" s="29"/>
      <c r="O3" s="29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255" s="27" customFormat="1" ht="15.75" customHeight="1" x14ac:dyDescent="0.25">
      <c r="A4" s="24"/>
      <c r="B4" s="25"/>
      <c r="C4" s="297" t="s">
        <v>69</v>
      </c>
      <c r="D4" s="668" t="s">
        <v>302</v>
      </c>
      <c r="E4" s="668"/>
      <c r="F4" s="668"/>
      <c r="G4" s="26"/>
      <c r="H4" s="26"/>
      <c r="I4" s="298"/>
      <c r="J4" s="24"/>
      <c r="K4" s="24"/>
      <c r="L4" s="25"/>
      <c r="M4" s="32"/>
      <c r="N4" s="32"/>
      <c r="O4" s="32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255" s="27" customFormat="1" ht="15" customHeight="1" x14ac:dyDescent="0.25">
      <c r="A5" s="24"/>
      <c r="B5" s="25"/>
      <c r="C5" s="299" t="s">
        <v>70</v>
      </c>
      <c r="D5" s="668" t="s">
        <v>303</v>
      </c>
      <c r="E5" s="668"/>
      <c r="F5" s="668"/>
      <c r="G5" s="26"/>
      <c r="H5" s="26"/>
      <c r="I5" s="298"/>
      <c r="J5" s="24"/>
      <c r="K5" s="24"/>
      <c r="L5" s="25"/>
      <c r="M5" s="33"/>
      <c r="N5" s="33"/>
      <c r="O5" s="33"/>
      <c r="P5" s="33"/>
      <c r="Q5" s="33"/>
      <c r="R5" s="33"/>
      <c r="S5" s="33"/>
      <c r="T5" s="33"/>
      <c r="U5" s="33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5"/>
      <c r="AG5" s="36"/>
      <c r="AH5" s="36"/>
      <c r="AI5" s="36"/>
      <c r="AJ5" s="36"/>
      <c r="AK5" s="36"/>
      <c r="AL5" s="31"/>
      <c r="AM5" s="31"/>
      <c r="AN5" s="31"/>
      <c r="AO5" s="31"/>
      <c r="AP5" s="31"/>
      <c r="AQ5" s="31"/>
      <c r="AR5" s="31"/>
      <c r="AS5" s="1"/>
      <c r="AT5" s="1"/>
      <c r="AU5" s="1"/>
      <c r="AV5" s="1"/>
      <c r="AW5" s="1"/>
      <c r="AX5" s="1"/>
      <c r="AY5" s="1"/>
      <c r="AZ5" s="662"/>
      <c r="BA5" s="662"/>
      <c r="BB5" s="662"/>
      <c r="BC5" s="662"/>
      <c r="BD5" s="662"/>
      <c r="BE5" s="662"/>
      <c r="BF5" s="662"/>
      <c r="BG5" s="662"/>
      <c r="BH5" s="31"/>
      <c r="BI5" s="31"/>
      <c r="BJ5" s="1"/>
      <c r="BK5" s="1"/>
      <c r="BL5" s="1"/>
      <c r="BM5" s="1"/>
      <c r="BN5" s="1"/>
      <c r="BO5" s="1"/>
    </row>
    <row r="6" spans="1:255" s="27" customFormat="1" ht="15" x14ac:dyDescent="0.25">
      <c r="A6" s="24"/>
      <c r="B6" s="25"/>
      <c r="C6" s="301"/>
      <c r="D6" s="25"/>
      <c r="E6" s="25"/>
      <c r="F6" s="37"/>
      <c r="G6" s="26"/>
      <c r="H6" s="26"/>
      <c r="I6" s="298"/>
      <c r="J6" s="24"/>
      <c r="K6" s="24"/>
      <c r="L6" s="25"/>
      <c r="M6" s="33"/>
      <c r="N6" s="33"/>
      <c r="O6" s="33"/>
      <c r="P6" s="33"/>
      <c r="Q6" s="33"/>
      <c r="R6" s="33"/>
      <c r="S6" s="33"/>
      <c r="T6" s="33"/>
      <c r="U6" s="38"/>
      <c r="V6" s="34"/>
      <c r="W6" s="34"/>
      <c r="X6" s="34"/>
      <c r="Y6" s="34"/>
      <c r="Z6" s="34"/>
      <c r="AA6" s="34"/>
      <c r="AB6" s="34"/>
      <c r="AC6" s="34"/>
      <c r="AD6" s="34"/>
      <c r="AE6" s="34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662"/>
      <c r="BA6" s="662"/>
      <c r="BB6" s="662"/>
      <c r="BC6" s="662"/>
      <c r="BD6" s="662"/>
      <c r="BE6" s="662"/>
      <c r="BF6" s="662"/>
      <c r="BG6" s="662"/>
      <c r="BH6" s="1"/>
      <c r="BI6" s="1"/>
      <c r="BJ6" s="1"/>
      <c r="BK6" s="1"/>
      <c r="BL6" s="1"/>
      <c r="BM6" s="1"/>
      <c r="BN6" s="1"/>
      <c r="BO6" s="1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  <c r="IU6" s="28"/>
    </row>
    <row r="7" spans="1:255" s="27" customFormat="1" ht="15.75" customHeight="1" x14ac:dyDescent="0.25">
      <c r="A7" s="640" t="s">
        <v>60</v>
      </c>
      <c r="B7" s="640"/>
      <c r="C7" s="640"/>
      <c r="D7" s="640"/>
      <c r="E7" s="640"/>
      <c r="F7" s="640"/>
      <c r="G7" s="640"/>
      <c r="H7" s="640"/>
      <c r="I7" s="640"/>
      <c r="J7" s="640"/>
      <c r="K7" s="663"/>
      <c r="L7" s="12"/>
      <c r="M7" s="32"/>
      <c r="N7" s="32"/>
      <c r="O7" s="32"/>
      <c r="P7" s="33"/>
      <c r="Q7" s="33"/>
      <c r="R7" s="33"/>
      <c r="S7" s="33"/>
      <c r="T7" s="33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</row>
    <row r="8" spans="1:255" s="27" customFormat="1" ht="12.75" x14ac:dyDescent="0.25">
      <c r="A8" s="646" t="s">
        <v>61</v>
      </c>
      <c r="B8" s="632" t="s">
        <v>66</v>
      </c>
      <c r="C8" s="634" t="s">
        <v>5</v>
      </c>
      <c r="D8" s="636" t="s">
        <v>71</v>
      </c>
      <c r="E8" s="632" t="s">
        <v>72</v>
      </c>
      <c r="F8" s="644" t="s">
        <v>73</v>
      </c>
      <c r="G8" s="657"/>
      <c r="H8" s="658"/>
      <c r="I8" s="630" t="s">
        <v>77</v>
      </c>
      <c r="J8" s="631"/>
      <c r="K8" s="644" t="s">
        <v>86</v>
      </c>
      <c r="L8" s="633" t="s">
        <v>87</v>
      </c>
      <c r="M8" s="39"/>
      <c r="N8" s="39"/>
      <c r="O8" s="39"/>
      <c r="P8" s="33"/>
      <c r="Q8" s="33"/>
      <c r="R8" s="33"/>
      <c r="S8" s="33"/>
      <c r="T8" s="33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</row>
    <row r="9" spans="1:255" ht="134.25" customHeight="1" x14ac:dyDescent="0.25">
      <c r="A9" s="647"/>
      <c r="B9" s="633"/>
      <c r="C9" s="635"/>
      <c r="D9" s="636"/>
      <c r="E9" s="633"/>
      <c r="F9" s="14" t="s">
        <v>74</v>
      </c>
      <c r="G9" s="15" t="s">
        <v>75</v>
      </c>
      <c r="H9" s="15" t="s">
        <v>76</v>
      </c>
      <c r="I9" s="13" t="s">
        <v>78</v>
      </c>
      <c r="J9" s="13" t="s">
        <v>83</v>
      </c>
      <c r="K9" s="630"/>
      <c r="L9" s="633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664"/>
      <c r="AU9" s="664"/>
      <c r="AV9" s="664"/>
      <c r="AW9" s="664"/>
      <c r="AX9" s="664"/>
      <c r="AY9" s="664"/>
      <c r="AZ9" s="664"/>
      <c r="BA9" s="664"/>
      <c r="BB9" s="664"/>
      <c r="BC9" s="664"/>
      <c r="BD9" s="664"/>
      <c r="BE9" s="664"/>
      <c r="BF9" s="664"/>
      <c r="BG9" s="664"/>
      <c r="BH9" s="664"/>
      <c r="BI9" s="664"/>
      <c r="BJ9" s="664"/>
      <c r="BK9" s="664"/>
      <c r="BL9" s="664"/>
      <c r="BM9" s="664"/>
      <c r="BN9" s="664"/>
      <c r="BO9" s="664"/>
    </row>
    <row r="10" spans="1:255" s="332" customFormat="1" ht="103.35" customHeight="1" x14ac:dyDescent="0.25">
      <c r="A10" s="5" t="s">
        <v>307</v>
      </c>
      <c r="B10" s="5" t="s">
        <v>273</v>
      </c>
      <c r="C10" s="3" t="s">
        <v>246</v>
      </c>
      <c r="D10" s="3" t="s">
        <v>189</v>
      </c>
      <c r="E10" s="3" t="s">
        <v>91</v>
      </c>
      <c r="F10" s="302">
        <v>1450000</v>
      </c>
      <c r="G10" s="42">
        <v>1</v>
      </c>
      <c r="H10" s="42">
        <v>0</v>
      </c>
      <c r="I10" s="303">
        <v>43983</v>
      </c>
      <c r="J10" s="43">
        <f>I10+200</f>
        <v>44183</v>
      </c>
      <c r="K10" s="5"/>
      <c r="L10" s="5" t="s">
        <v>92</v>
      </c>
      <c r="M10" s="46"/>
      <c r="N10" s="46"/>
      <c r="O10" s="46"/>
      <c r="P10" s="46"/>
      <c r="Q10" s="44"/>
      <c r="R10" s="45"/>
      <c r="S10" s="45"/>
      <c r="T10" s="45"/>
      <c r="U10" s="45"/>
      <c r="V10" s="45"/>
      <c r="W10" s="45"/>
      <c r="X10" s="45"/>
      <c r="Y10" s="45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5"/>
      <c r="BJ10" s="45"/>
      <c r="BK10" s="46"/>
      <c r="BL10" s="46"/>
      <c r="BM10" s="46"/>
      <c r="BN10" s="46"/>
      <c r="BO10" s="48"/>
    </row>
    <row r="11" spans="1:255" s="47" customFormat="1" ht="103.35" hidden="1" customHeight="1" x14ac:dyDescent="0.25">
      <c r="A11" s="5"/>
      <c r="B11" s="5" t="s">
        <v>247</v>
      </c>
      <c r="C11" s="340" t="s">
        <v>305</v>
      </c>
      <c r="D11" s="340" t="s">
        <v>189</v>
      </c>
      <c r="E11" s="340" t="s">
        <v>91</v>
      </c>
      <c r="F11" s="302">
        <f>160*24000</f>
        <v>3840000</v>
      </c>
      <c r="G11" s="42">
        <v>1</v>
      </c>
      <c r="H11" s="42">
        <v>0</v>
      </c>
      <c r="I11" s="303">
        <v>44531</v>
      </c>
      <c r="J11" s="43">
        <f>I11+210</f>
        <v>44741</v>
      </c>
      <c r="K11" s="5"/>
      <c r="L11" s="5" t="s">
        <v>92</v>
      </c>
      <c r="M11" s="46"/>
      <c r="N11" s="326"/>
      <c r="O11" s="326"/>
      <c r="P11" s="46"/>
      <c r="Q11" s="44"/>
      <c r="R11" s="45"/>
      <c r="S11" s="45"/>
      <c r="T11" s="45"/>
      <c r="U11" s="45"/>
      <c r="V11" s="45"/>
      <c r="W11" s="45"/>
      <c r="X11" s="45"/>
      <c r="Y11" s="45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5"/>
      <c r="BJ11" s="45"/>
      <c r="BK11" s="46"/>
      <c r="BL11" s="46"/>
      <c r="BM11" s="46"/>
      <c r="BN11" s="46"/>
      <c r="BO11" s="48"/>
    </row>
    <row r="12" spans="1:255" s="47" customFormat="1" ht="103.35" customHeight="1" x14ac:dyDescent="0.25">
      <c r="A12" s="339" t="s">
        <v>358</v>
      </c>
      <c r="B12" s="5" t="s">
        <v>248</v>
      </c>
      <c r="C12" s="340" t="s">
        <v>306</v>
      </c>
      <c r="D12" s="340" t="s">
        <v>190</v>
      </c>
      <c r="E12" s="3" t="s">
        <v>91</v>
      </c>
      <c r="F12" s="302">
        <v>95000</v>
      </c>
      <c r="G12" s="42">
        <v>1</v>
      </c>
      <c r="H12" s="42">
        <v>0</v>
      </c>
      <c r="I12" s="303">
        <v>44044</v>
      </c>
      <c r="J12" s="43">
        <f>I12+120</f>
        <v>44164</v>
      </c>
      <c r="K12" s="5"/>
      <c r="L12" s="5" t="s">
        <v>92</v>
      </c>
      <c r="M12" s="46"/>
      <c r="N12" s="46"/>
      <c r="O12" s="46"/>
      <c r="P12" s="46"/>
      <c r="Q12" s="44"/>
      <c r="R12" s="45"/>
      <c r="S12" s="45"/>
      <c r="T12" s="45"/>
      <c r="U12" s="45"/>
      <c r="V12" s="45"/>
      <c r="W12" s="45"/>
      <c r="X12" s="45"/>
      <c r="Y12" s="45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5"/>
      <c r="BJ12" s="45"/>
      <c r="BK12" s="46"/>
      <c r="BL12" s="46"/>
      <c r="BM12" s="46"/>
      <c r="BN12" s="46"/>
      <c r="BO12" s="48"/>
    </row>
    <row r="13" spans="1:255" s="47" customFormat="1" ht="103.35" customHeight="1" x14ac:dyDescent="0.25">
      <c r="A13" s="5" t="s">
        <v>308</v>
      </c>
      <c r="B13" s="5" t="s">
        <v>267</v>
      </c>
      <c r="C13" s="3" t="s">
        <v>304</v>
      </c>
      <c r="D13" s="340" t="s">
        <v>195</v>
      </c>
      <c r="E13" s="3" t="s">
        <v>91</v>
      </c>
      <c r="F13" s="302">
        <v>10000</v>
      </c>
      <c r="G13" s="42">
        <v>1</v>
      </c>
      <c r="H13" s="42">
        <v>0</v>
      </c>
      <c r="I13" s="303">
        <v>43983</v>
      </c>
      <c r="J13" s="43">
        <f>I13+60</f>
        <v>44043</v>
      </c>
      <c r="K13" s="5"/>
      <c r="L13" s="5" t="s">
        <v>92</v>
      </c>
      <c r="M13" s="46"/>
      <c r="N13" s="321">
        <f>N11/30000</f>
        <v>0</v>
      </c>
      <c r="O13" s="46"/>
      <c r="P13" s="46"/>
      <c r="Q13" s="44"/>
      <c r="R13" s="45"/>
      <c r="S13" s="45"/>
      <c r="T13" s="45"/>
      <c r="U13" s="45"/>
      <c r="V13" s="45"/>
      <c r="W13" s="45"/>
      <c r="X13" s="45"/>
      <c r="Y13" s="45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5"/>
      <c r="BJ13" s="45"/>
      <c r="BK13" s="46"/>
      <c r="BL13" s="46"/>
      <c r="BM13" s="46"/>
      <c r="BN13" s="46"/>
      <c r="BO13" s="48"/>
    </row>
    <row r="14" spans="1:255" s="47" customFormat="1" ht="103.35" customHeight="1" x14ac:dyDescent="0.25">
      <c r="A14" s="339" t="s">
        <v>356</v>
      </c>
      <c r="B14" s="5" t="s">
        <v>329</v>
      </c>
      <c r="C14" s="3" t="s">
        <v>328</v>
      </c>
      <c r="D14" s="340" t="s">
        <v>190</v>
      </c>
      <c r="E14" s="3" t="s">
        <v>91</v>
      </c>
      <c r="F14" s="302">
        <v>50000</v>
      </c>
      <c r="G14" s="42">
        <v>1</v>
      </c>
      <c r="H14" s="42">
        <v>0</v>
      </c>
      <c r="I14" s="303">
        <v>43983</v>
      </c>
      <c r="J14" s="43">
        <f>I14+60</f>
        <v>44043</v>
      </c>
      <c r="K14" s="5"/>
      <c r="L14" s="5" t="s">
        <v>92</v>
      </c>
      <c r="M14" s="46"/>
      <c r="N14" s="321">
        <f>N12/30000</f>
        <v>0</v>
      </c>
      <c r="O14" s="46"/>
      <c r="P14" s="46"/>
      <c r="Q14" s="44"/>
      <c r="R14" s="45"/>
      <c r="S14" s="45"/>
      <c r="T14" s="45"/>
      <c r="U14" s="45"/>
      <c r="V14" s="45"/>
      <c r="W14" s="45"/>
      <c r="X14" s="45"/>
      <c r="Y14" s="45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5"/>
      <c r="BJ14" s="45"/>
      <c r="BK14" s="46"/>
      <c r="BL14" s="46"/>
      <c r="BM14" s="46"/>
      <c r="BN14" s="46"/>
      <c r="BO14" s="48"/>
    </row>
    <row r="15" spans="1:255" s="47" customFormat="1" ht="103.35" customHeight="1" x14ac:dyDescent="0.25">
      <c r="A15" s="339" t="s">
        <v>366</v>
      </c>
      <c r="B15" s="339" t="s">
        <v>276</v>
      </c>
      <c r="C15" s="340" t="s">
        <v>362</v>
      </c>
      <c r="D15" s="340" t="s">
        <v>195</v>
      </c>
      <c r="E15" s="340" t="s">
        <v>91</v>
      </c>
      <c r="F15" s="302">
        <v>90000</v>
      </c>
      <c r="G15" s="42">
        <v>1</v>
      </c>
      <c r="H15" s="42">
        <v>0</v>
      </c>
      <c r="I15" s="343">
        <v>43891</v>
      </c>
      <c r="J15" s="43">
        <f>I15+30</f>
        <v>43921</v>
      </c>
      <c r="K15" s="339"/>
      <c r="L15" s="339"/>
      <c r="M15" s="46"/>
      <c r="N15" s="321"/>
      <c r="O15" s="46"/>
      <c r="P15" s="46"/>
      <c r="Q15" s="44"/>
      <c r="R15" s="45"/>
      <c r="S15" s="45"/>
      <c r="T15" s="45"/>
      <c r="U15" s="45"/>
      <c r="V15" s="45"/>
      <c r="W15" s="45"/>
      <c r="X15" s="45"/>
      <c r="Y15" s="45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5"/>
      <c r="BJ15" s="45"/>
      <c r="BK15" s="46"/>
      <c r="BL15" s="46"/>
      <c r="BM15" s="46"/>
      <c r="BN15" s="46"/>
      <c r="BO15" s="48"/>
    </row>
    <row r="16" spans="1:255" s="47" customFormat="1" ht="103.35" customHeight="1" x14ac:dyDescent="0.25">
      <c r="A16" s="339" t="s">
        <v>363</v>
      </c>
      <c r="B16" s="339" t="s">
        <v>276</v>
      </c>
      <c r="C16" s="340" t="s">
        <v>364</v>
      </c>
      <c r="D16" s="340" t="s">
        <v>195</v>
      </c>
      <c r="E16" s="340" t="s">
        <v>91</v>
      </c>
      <c r="F16" s="302">
        <v>70000</v>
      </c>
      <c r="G16" s="42">
        <v>1</v>
      </c>
      <c r="H16" s="42">
        <v>0</v>
      </c>
      <c r="I16" s="343">
        <v>43983</v>
      </c>
      <c r="J16" s="43">
        <f>I16+30</f>
        <v>44013</v>
      </c>
      <c r="K16" s="339"/>
      <c r="L16" s="339"/>
      <c r="M16" s="46"/>
      <c r="N16" s="321"/>
      <c r="O16" s="46"/>
      <c r="P16" s="46"/>
      <c r="Q16" s="44"/>
      <c r="R16" s="45"/>
      <c r="S16" s="45"/>
      <c r="T16" s="45"/>
      <c r="U16" s="45"/>
      <c r="V16" s="45"/>
      <c r="W16" s="45"/>
      <c r="X16" s="45"/>
      <c r="Y16" s="45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5"/>
      <c r="BJ16" s="45"/>
      <c r="BK16" s="46"/>
      <c r="BL16" s="46"/>
      <c r="BM16" s="46"/>
      <c r="BN16" s="46"/>
      <c r="BO16" s="48"/>
    </row>
    <row r="17" spans="1:67" s="47" customFormat="1" ht="103.35" customHeight="1" x14ac:dyDescent="0.25">
      <c r="A17" s="339" t="s">
        <v>367</v>
      </c>
      <c r="B17" s="5" t="s">
        <v>275</v>
      </c>
      <c r="C17" s="340" t="s">
        <v>365</v>
      </c>
      <c r="D17" s="340" t="s">
        <v>190</v>
      </c>
      <c r="E17" s="3" t="s">
        <v>91</v>
      </c>
      <c r="F17" s="302">
        <v>180000</v>
      </c>
      <c r="G17" s="42">
        <v>1</v>
      </c>
      <c r="H17" s="42">
        <v>0</v>
      </c>
      <c r="I17" s="303">
        <v>44105</v>
      </c>
      <c r="J17" s="43">
        <f>I17+30</f>
        <v>44135</v>
      </c>
      <c r="K17" s="5"/>
      <c r="L17" s="5" t="s">
        <v>92</v>
      </c>
      <c r="M17" s="46"/>
      <c r="N17" s="321"/>
      <c r="O17" s="46"/>
      <c r="P17" s="46"/>
      <c r="Q17" s="44"/>
      <c r="R17" s="45"/>
      <c r="S17" s="45"/>
      <c r="T17" s="45"/>
      <c r="U17" s="45"/>
      <c r="V17" s="45"/>
      <c r="W17" s="45"/>
      <c r="X17" s="45"/>
      <c r="Y17" s="45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5"/>
      <c r="BJ17" s="45"/>
      <c r="BK17" s="46"/>
      <c r="BL17" s="46"/>
      <c r="BM17" s="46"/>
      <c r="BN17" s="46"/>
      <c r="BO17" s="48"/>
    </row>
    <row r="18" spans="1:67" s="47" customFormat="1" ht="103.35" customHeight="1" x14ac:dyDescent="0.25">
      <c r="A18" s="339" t="s">
        <v>351</v>
      </c>
      <c r="B18" s="5" t="s">
        <v>276</v>
      </c>
      <c r="C18" s="340" t="s">
        <v>379</v>
      </c>
      <c r="D18" s="340" t="s">
        <v>374</v>
      </c>
      <c r="E18" s="3" t="s">
        <v>91</v>
      </c>
      <c r="F18" s="302">
        <v>75000</v>
      </c>
      <c r="G18" s="42">
        <v>1</v>
      </c>
      <c r="H18" s="42">
        <v>0</v>
      </c>
      <c r="I18" s="303">
        <v>43889</v>
      </c>
      <c r="J18" s="43">
        <f>I18+30</f>
        <v>43919</v>
      </c>
      <c r="K18" s="340" t="s">
        <v>380</v>
      </c>
      <c r="L18" s="340" t="s">
        <v>92</v>
      </c>
      <c r="M18" s="46"/>
      <c r="N18" s="321"/>
      <c r="O18" s="46"/>
      <c r="P18" s="46"/>
      <c r="Q18" s="44"/>
      <c r="R18" s="45"/>
      <c r="S18" s="45"/>
      <c r="T18" s="45"/>
      <c r="U18" s="45"/>
      <c r="V18" s="45"/>
      <c r="W18" s="45"/>
      <c r="X18" s="45"/>
      <c r="Y18" s="45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5"/>
      <c r="BJ18" s="45"/>
      <c r="BK18" s="46"/>
      <c r="BL18" s="46"/>
      <c r="BM18" s="46"/>
      <c r="BN18" s="46"/>
      <c r="BO18" s="48"/>
    </row>
    <row r="19" spans="1:67" s="47" customFormat="1" ht="103.35" customHeight="1" x14ac:dyDescent="0.25">
      <c r="A19" s="339" t="s">
        <v>352</v>
      </c>
      <c r="B19" s="5" t="s">
        <v>275</v>
      </c>
      <c r="C19" s="340" t="s">
        <v>274</v>
      </c>
      <c r="D19" s="340" t="s">
        <v>190</v>
      </c>
      <c r="E19" s="340" t="s">
        <v>91</v>
      </c>
      <c r="F19" s="302">
        <f>49*2013</f>
        <v>98637</v>
      </c>
      <c r="G19" s="42">
        <v>1</v>
      </c>
      <c r="H19" s="42">
        <v>0</v>
      </c>
      <c r="I19" s="303">
        <v>43890</v>
      </c>
      <c r="J19" s="43">
        <f>I19+60</f>
        <v>43950</v>
      </c>
      <c r="K19" s="5"/>
      <c r="L19" s="5" t="s">
        <v>92</v>
      </c>
      <c r="M19" s="46"/>
      <c r="N19" s="321"/>
      <c r="O19" s="46"/>
      <c r="P19" s="46"/>
      <c r="Q19" s="44"/>
      <c r="R19" s="45"/>
      <c r="S19" s="45"/>
      <c r="T19" s="45"/>
      <c r="U19" s="45"/>
      <c r="V19" s="45"/>
      <c r="W19" s="45"/>
      <c r="X19" s="45"/>
      <c r="Y19" s="45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5"/>
      <c r="BJ19" s="45"/>
      <c r="BK19" s="46"/>
      <c r="BL19" s="46"/>
      <c r="BM19" s="46"/>
      <c r="BN19" s="46"/>
      <c r="BO19" s="48"/>
    </row>
    <row r="20" spans="1:67" s="47" customFormat="1" ht="103.35" customHeight="1" x14ac:dyDescent="0.25">
      <c r="A20" s="339" t="s">
        <v>353</v>
      </c>
      <c r="B20" s="5" t="s">
        <v>289</v>
      </c>
      <c r="C20" s="3" t="s">
        <v>234</v>
      </c>
      <c r="D20" s="3" t="s">
        <v>195</v>
      </c>
      <c r="E20" s="3" t="s">
        <v>91</v>
      </c>
      <c r="F20" s="302">
        <v>14000</v>
      </c>
      <c r="G20" s="42">
        <v>1</v>
      </c>
      <c r="H20" s="42">
        <v>0</v>
      </c>
      <c r="I20" s="303">
        <v>43862</v>
      </c>
      <c r="J20" s="43">
        <f>I20+40</f>
        <v>43902</v>
      </c>
      <c r="K20" s="5"/>
      <c r="L20" s="5" t="s">
        <v>92</v>
      </c>
      <c r="M20" s="46"/>
      <c r="N20" s="46"/>
      <c r="O20" s="46"/>
      <c r="P20" s="46"/>
      <c r="Q20" s="44"/>
      <c r="R20" s="45"/>
      <c r="S20" s="45"/>
      <c r="T20" s="45"/>
      <c r="U20" s="45"/>
      <c r="V20" s="45"/>
      <c r="W20" s="45"/>
      <c r="X20" s="45"/>
      <c r="Y20" s="45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5"/>
      <c r="BJ20" s="45"/>
      <c r="BK20" s="46"/>
      <c r="BL20" s="46"/>
      <c r="BM20" s="46"/>
      <c r="BN20" s="46"/>
      <c r="BO20" s="48"/>
    </row>
    <row r="21" spans="1:67" s="47" customFormat="1" ht="103.35" customHeight="1" x14ac:dyDescent="0.25">
      <c r="A21" s="5" t="s">
        <v>309</v>
      </c>
      <c r="B21" s="5" t="s">
        <v>249</v>
      </c>
      <c r="C21" s="3" t="s">
        <v>196</v>
      </c>
      <c r="D21" s="3" t="s">
        <v>189</v>
      </c>
      <c r="E21" s="3" t="s">
        <v>91</v>
      </c>
      <c r="F21" s="302">
        <v>800000</v>
      </c>
      <c r="G21" s="42">
        <v>1</v>
      </c>
      <c r="H21" s="42">
        <v>0</v>
      </c>
      <c r="I21" s="303">
        <v>43922</v>
      </c>
      <c r="J21" s="43">
        <f>I21+180</f>
        <v>44102</v>
      </c>
      <c r="K21" s="5"/>
      <c r="L21" s="5" t="s">
        <v>92</v>
      </c>
      <c r="M21" s="46"/>
      <c r="N21" s="46"/>
      <c r="O21" s="46"/>
      <c r="P21" s="46"/>
      <c r="Q21" s="44"/>
      <c r="R21" s="45"/>
      <c r="S21" s="45"/>
      <c r="T21" s="45"/>
      <c r="U21" s="45"/>
      <c r="V21" s="45"/>
      <c r="W21" s="45"/>
      <c r="X21" s="45"/>
      <c r="Y21" s="45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5"/>
      <c r="BJ21" s="45"/>
      <c r="BK21" s="46"/>
      <c r="BL21" s="46"/>
      <c r="BM21" s="46"/>
      <c r="BN21" s="46"/>
      <c r="BO21" s="48"/>
    </row>
    <row r="22" spans="1:67" s="47" customFormat="1" ht="103.35" customHeight="1" x14ac:dyDescent="0.25">
      <c r="A22" s="339" t="s">
        <v>310</v>
      </c>
      <c r="B22" s="5" t="s">
        <v>250</v>
      </c>
      <c r="C22" s="5" t="s">
        <v>197</v>
      </c>
      <c r="D22" s="3" t="s">
        <v>189</v>
      </c>
      <c r="E22" s="3" t="s">
        <v>91</v>
      </c>
      <c r="F22" s="302">
        <v>375000</v>
      </c>
      <c r="G22" s="42">
        <v>1</v>
      </c>
      <c r="H22" s="42">
        <v>0</v>
      </c>
      <c r="I22" s="303">
        <v>43983</v>
      </c>
      <c r="J22" s="43">
        <f>I22+180</f>
        <v>44163</v>
      </c>
      <c r="K22" s="5"/>
      <c r="L22" s="5" t="s">
        <v>92</v>
      </c>
      <c r="M22" s="46"/>
      <c r="N22" s="46"/>
      <c r="O22" s="46"/>
      <c r="P22" s="46"/>
      <c r="Q22" s="44"/>
      <c r="R22" s="45"/>
      <c r="S22" s="45"/>
      <c r="T22" s="45"/>
      <c r="U22" s="45"/>
      <c r="V22" s="45"/>
      <c r="W22" s="45"/>
      <c r="X22" s="45"/>
      <c r="Y22" s="45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5"/>
      <c r="BJ22" s="45"/>
      <c r="BK22" s="46"/>
      <c r="BL22" s="46"/>
      <c r="BM22" s="46"/>
      <c r="BN22" s="46"/>
      <c r="BO22" s="48"/>
    </row>
    <row r="23" spans="1:67" s="47" customFormat="1" ht="103.35" customHeight="1" x14ac:dyDescent="0.25">
      <c r="A23" s="339" t="s">
        <v>355</v>
      </c>
      <c r="B23" s="5" t="s">
        <v>251</v>
      </c>
      <c r="C23" s="3" t="s">
        <v>236</v>
      </c>
      <c r="D23" s="3" t="s">
        <v>189</v>
      </c>
      <c r="E23" s="3" t="s">
        <v>91</v>
      </c>
      <c r="F23" s="302">
        <v>800000</v>
      </c>
      <c r="G23" s="42">
        <v>1</v>
      </c>
      <c r="H23" s="42">
        <v>0</v>
      </c>
      <c r="I23" s="303">
        <v>43931</v>
      </c>
      <c r="J23" s="43">
        <f>I23+180</f>
        <v>44111</v>
      </c>
      <c r="K23" s="5"/>
      <c r="L23" s="5" t="s">
        <v>92</v>
      </c>
      <c r="M23" s="46"/>
      <c r="N23" s="46"/>
      <c r="O23" s="46"/>
      <c r="P23" s="46"/>
      <c r="Q23" s="44"/>
      <c r="R23" s="45"/>
      <c r="S23" s="45"/>
      <c r="T23" s="45"/>
      <c r="U23" s="45"/>
      <c r="V23" s="45"/>
      <c r="W23" s="45"/>
      <c r="X23" s="45"/>
      <c r="Y23" s="45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5"/>
      <c r="BJ23" s="45"/>
      <c r="BK23" s="46"/>
      <c r="BL23" s="46"/>
      <c r="BM23" s="46"/>
      <c r="BN23" s="46"/>
      <c r="BO23" s="48"/>
    </row>
    <row r="24" spans="1:67" s="47" customFormat="1" ht="103.35" customHeight="1" x14ac:dyDescent="0.25">
      <c r="A24" s="339" t="s">
        <v>357</v>
      </c>
      <c r="B24" s="5" t="s">
        <v>290</v>
      </c>
      <c r="C24" s="3" t="s">
        <v>245</v>
      </c>
      <c r="D24" s="3" t="s">
        <v>189</v>
      </c>
      <c r="E24" s="3" t="s">
        <v>91</v>
      </c>
      <c r="F24" s="302">
        <v>2000000</v>
      </c>
      <c r="G24" s="42">
        <v>1</v>
      </c>
      <c r="H24" s="42">
        <v>0</v>
      </c>
      <c r="I24" s="303">
        <v>43983</v>
      </c>
      <c r="J24" s="43">
        <f>I24+210</f>
        <v>44193</v>
      </c>
      <c r="K24" s="5"/>
      <c r="L24" s="5" t="s">
        <v>92</v>
      </c>
      <c r="M24" s="46"/>
      <c r="N24" s="46"/>
      <c r="O24" s="46"/>
      <c r="P24" s="46"/>
      <c r="Q24" s="44"/>
      <c r="R24" s="45"/>
      <c r="S24" s="45"/>
      <c r="T24" s="45"/>
      <c r="U24" s="45"/>
      <c r="V24" s="45"/>
      <c r="W24" s="45"/>
      <c r="X24" s="45"/>
      <c r="Y24" s="45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5"/>
      <c r="BJ24" s="45"/>
      <c r="BK24" s="46"/>
      <c r="BL24" s="46"/>
      <c r="BM24" s="46"/>
      <c r="BN24" s="46"/>
      <c r="BO24" s="48"/>
    </row>
    <row r="25" spans="1:67" s="332" customFormat="1" ht="103.35" customHeight="1" x14ac:dyDescent="0.25">
      <c r="A25" s="339" t="s">
        <v>354</v>
      </c>
      <c r="B25" s="5" t="s">
        <v>292</v>
      </c>
      <c r="C25" s="3" t="s">
        <v>327</v>
      </c>
      <c r="D25" s="3" t="s">
        <v>195</v>
      </c>
      <c r="E25" s="3" t="s">
        <v>91</v>
      </c>
      <c r="F25" s="302">
        <v>11000</v>
      </c>
      <c r="G25" s="42">
        <v>1</v>
      </c>
      <c r="H25" s="42">
        <v>0</v>
      </c>
      <c r="I25" s="303">
        <v>43862</v>
      </c>
      <c r="J25" s="43">
        <f>I25+30</f>
        <v>43892</v>
      </c>
      <c r="K25" s="5"/>
      <c r="L25" s="5" t="s">
        <v>92</v>
      </c>
      <c r="M25" s="326"/>
      <c r="N25" s="46"/>
      <c r="O25" s="46"/>
      <c r="P25" s="46"/>
      <c r="Q25" s="44"/>
      <c r="R25" s="45"/>
      <c r="S25" s="45"/>
      <c r="T25" s="45"/>
      <c r="U25" s="45"/>
      <c r="V25" s="45"/>
      <c r="W25" s="45"/>
      <c r="X25" s="45"/>
      <c r="Y25" s="45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5"/>
      <c r="BJ25" s="45"/>
      <c r="BK25" s="46"/>
      <c r="BL25" s="46"/>
      <c r="BM25" s="46"/>
      <c r="BN25" s="46"/>
      <c r="BO25" s="48"/>
    </row>
    <row r="26" spans="1:67" ht="15.75" x14ac:dyDescent="0.25">
      <c r="A26" s="296" t="s">
        <v>1</v>
      </c>
      <c r="B26" s="296"/>
      <c r="C26" s="304"/>
      <c r="D26" s="304"/>
      <c r="E26" s="304"/>
      <c r="F26" s="60">
        <f>SUM(F10:F25)</f>
        <v>9958637</v>
      </c>
      <c r="G26" s="50"/>
      <c r="H26" s="50">
        <v>0</v>
      </c>
      <c r="I26" s="304"/>
      <c r="J26" s="296"/>
      <c r="K26" s="296"/>
      <c r="L26" s="296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 ht="16.5" thickBot="1" x14ac:dyDescent="0.3">
      <c r="A27" s="24"/>
      <c r="B27" s="25"/>
      <c r="C27" s="301"/>
      <c r="D27" s="25"/>
      <c r="E27" s="25"/>
      <c r="F27" s="37"/>
      <c r="G27" s="26"/>
      <c r="H27" s="26"/>
      <c r="I27" s="298"/>
      <c r="J27" s="24"/>
      <c r="K27" s="24"/>
      <c r="L27" s="5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 ht="15.75" x14ac:dyDescent="0.25">
      <c r="A28" s="659" t="s">
        <v>62</v>
      </c>
      <c r="B28" s="660"/>
      <c r="C28" s="660"/>
      <c r="D28" s="660"/>
      <c r="E28" s="660"/>
      <c r="F28" s="660"/>
      <c r="G28" s="660"/>
      <c r="H28" s="660"/>
      <c r="I28" s="660"/>
      <c r="J28" s="660"/>
      <c r="K28" s="665"/>
      <c r="L28" s="1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 ht="15.75" x14ac:dyDescent="0.25">
      <c r="A29" s="646" t="s">
        <v>61</v>
      </c>
      <c r="B29" s="632" t="s">
        <v>66</v>
      </c>
      <c r="C29" s="632" t="s">
        <v>5</v>
      </c>
      <c r="D29" s="636" t="s">
        <v>71</v>
      </c>
      <c r="E29" s="632" t="s">
        <v>72</v>
      </c>
      <c r="F29" s="630" t="s">
        <v>73</v>
      </c>
      <c r="G29" s="637"/>
      <c r="H29" s="638"/>
      <c r="I29" s="630" t="s">
        <v>77</v>
      </c>
      <c r="J29" s="631"/>
      <c r="K29" s="644" t="s">
        <v>86</v>
      </c>
      <c r="L29" s="633" t="s">
        <v>87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 s="54" customFormat="1" ht="142.35" customHeight="1" x14ac:dyDescent="0.25">
      <c r="A30" s="647"/>
      <c r="B30" s="633"/>
      <c r="C30" s="633"/>
      <c r="D30" s="636"/>
      <c r="E30" s="633"/>
      <c r="F30" s="14" t="s">
        <v>74</v>
      </c>
      <c r="G30" s="15" t="s">
        <v>75</v>
      </c>
      <c r="H30" s="15" t="s">
        <v>76</v>
      </c>
      <c r="I30" s="16" t="s">
        <v>79</v>
      </c>
      <c r="J30" s="16" t="s">
        <v>83</v>
      </c>
      <c r="K30" s="630"/>
      <c r="L30" s="633"/>
      <c r="M30" s="17"/>
      <c r="N30" s="17"/>
      <c r="O30" s="17"/>
      <c r="P30" s="17"/>
      <c r="Q30" s="17"/>
      <c r="R30" s="17"/>
      <c r="S30" s="52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2"/>
      <c r="AU30" s="53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</row>
    <row r="31" spans="1:67" ht="108" customHeight="1" x14ac:dyDescent="0.25">
      <c r="A31" s="5" t="s">
        <v>311</v>
      </c>
      <c r="B31" s="5" t="s">
        <v>252</v>
      </c>
      <c r="C31" s="3" t="s">
        <v>237</v>
      </c>
      <c r="D31" s="3" t="s">
        <v>190</v>
      </c>
      <c r="E31" s="3" t="s">
        <v>88</v>
      </c>
      <c r="F31" s="334">
        <v>200000</v>
      </c>
      <c r="G31" s="10">
        <v>1</v>
      </c>
      <c r="H31" s="10">
        <v>0</v>
      </c>
      <c r="I31" s="303">
        <v>43952</v>
      </c>
      <c r="J31" s="7">
        <f>I31+90</f>
        <v>44042</v>
      </c>
      <c r="K31" s="8"/>
      <c r="L31" s="9" t="s">
        <v>89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 ht="108" customHeight="1" x14ac:dyDescent="0.25">
      <c r="A32" s="339" t="s">
        <v>361</v>
      </c>
      <c r="B32" s="5" t="s">
        <v>252</v>
      </c>
      <c r="C32" s="305" t="s">
        <v>238</v>
      </c>
      <c r="D32" s="340" t="s">
        <v>189</v>
      </c>
      <c r="E32" s="3" t="s">
        <v>88</v>
      </c>
      <c r="F32" s="18">
        <v>1650000</v>
      </c>
      <c r="G32" s="10">
        <v>1</v>
      </c>
      <c r="H32" s="10">
        <v>0</v>
      </c>
      <c r="I32" s="303">
        <v>43952</v>
      </c>
      <c r="J32" s="7">
        <f>I32+90</f>
        <v>44042</v>
      </c>
      <c r="K32" s="19"/>
      <c r="L32" s="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8" ht="38.25" hidden="1" x14ac:dyDescent="0.25">
      <c r="A33" s="5"/>
      <c r="B33" s="5" t="s">
        <v>291</v>
      </c>
      <c r="C33" s="305" t="s">
        <v>239</v>
      </c>
      <c r="D33" s="3" t="s">
        <v>189</v>
      </c>
      <c r="E33" s="3" t="s">
        <v>88</v>
      </c>
      <c r="F33" s="18">
        <v>2200000</v>
      </c>
      <c r="G33" s="10">
        <v>1</v>
      </c>
      <c r="H33" s="10">
        <v>0</v>
      </c>
      <c r="I33" s="303">
        <v>44348</v>
      </c>
      <c r="J33" s="7">
        <f t="shared" ref="J33:J38" si="0">I33+180</f>
        <v>44528</v>
      </c>
      <c r="K33" s="19"/>
      <c r="L33" s="9" t="s">
        <v>89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8" ht="61.5" hidden="1" customHeight="1" x14ac:dyDescent="0.25">
      <c r="A34" s="5"/>
      <c r="B34" s="5" t="s">
        <v>292</v>
      </c>
      <c r="C34" s="306" t="s">
        <v>240</v>
      </c>
      <c r="D34" s="3" t="s">
        <v>189</v>
      </c>
      <c r="E34" s="3" t="s">
        <v>88</v>
      </c>
      <c r="F34" s="18">
        <v>1180000</v>
      </c>
      <c r="G34" s="10">
        <v>1</v>
      </c>
      <c r="H34" s="10">
        <v>0</v>
      </c>
      <c r="I34" s="303">
        <v>44727</v>
      </c>
      <c r="J34" s="7">
        <f t="shared" si="0"/>
        <v>44907</v>
      </c>
      <c r="K34" s="331"/>
      <c r="L34" s="9" t="s">
        <v>89</v>
      </c>
      <c r="M34" s="1" t="s">
        <v>94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8" ht="25.5" x14ac:dyDescent="0.25">
      <c r="A35" s="5" t="s">
        <v>312</v>
      </c>
      <c r="B35" s="5" t="s">
        <v>253</v>
      </c>
      <c r="C35" s="306" t="s">
        <v>242</v>
      </c>
      <c r="D35" s="3" t="s">
        <v>190</v>
      </c>
      <c r="E35" s="3" t="s">
        <v>88</v>
      </c>
      <c r="F35" s="18">
        <v>500000</v>
      </c>
      <c r="G35" s="10">
        <v>1</v>
      </c>
      <c r="H35" s="10">
        <v>0</v>
      </c>
      <c r="I35" s="303">
        <v>43966</v>
      </c>
      <c r="J35" s="7">
        <f t="shared" si="0"/>
        <v>44146</v>
      </c>
      <c r="K35" s="331"/>
      <c r="L35" s="9" t="s">
        <v>89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8" ht="24" hidden="1" customHeight="1" x14ac:dyDescent="0.25">
      <c r="A36" s="5"/>
      <c r="B36" s="5" t="s">
        <v>254</v>
      </c>
      <c r="C36" s="305" t="s">
        <v>241</v>
      </c>
      <c r="D36" s="3" t="s">
        <v>189</v>
      </c>
      <c r="E36" s="3" t="s">
        <v>88</v>
      </c>
      <c r="F36" s="18">
        <v>1830000</v>
      </c>
      <c r="G36" s="10">
        <v>1</v>
      </c>
      <c r="H36" s="10">
        <v>0</v>
      </c>
      <c r="I36" s="303">
        <v>44270</v>
      </c>
      <c r="J36" s="7">
        <f t="shared" si="0"/>
        <v>44450</v>
      </c>
      <c r="K36" s="19"/>
      <c r="L36" s="9" t="s">
        <v>89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8" ht="63.75" x14ac:dyDescent="0.25">
      <c r="A37" s="5" t="s">
        <v>313</v>
      </c>
      <c r="B37" s="5" t="s">
        <v>255</v>
      </c>
      <c r="C37" s="306" t="s">
        <v>331</v>
      </c>
      <c r="D37" s="3" t="s">
        <v>189</v>
      </c>
      <c r="E37" s="3" t="s">
        <v>88</v>
      </c>
      <c r="F37" s="331">
        <f>6260000+12400000+11400000-1400000</f>
        <v>28660000</v>
      </c>
      <c r="G37" s="10">
        <v>1</v>
      </c>
      <c r="H37" s="10">
        <v>0</v>
      </c>
      <c r="I37" s="303">
        <v>44119</v>
      </c>
      <c r="J37" s="7">
        <f t="shared" si="0"/>
        <v>44299</v>
      </c>
      <c r="K37" s="21"/>
      <c r="L37" s="9" t="s">
        <v>89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8" ht="59.45" customHeight="1" x14ac:dyDescent="0.25">
      <c r="A38" s="5" t="s">
        <v>314</v>
      </c>
      <c r="B38" s="5" t="s">
        <v>256</v>
      </c>
      <c r="C38" s="6" t="s">
        <v>235</v>
      </c>
      <c r="D38" s="3" t="s">
        <v>189</v>
      </c>
      <c r="E38" s="3" t="s">
        <v>88</v>
      </c>
      <c r="F38" s="4">
        <v>1866000</v>
      </c>
      <c r="G38" s="10">
        <v>1</v>
      </c>
      <c r="H38" s="10">
        <v>0</v>
      </c>
      <c r="I38" s="303">
        <v>44089</v>
      </c>
      <c r="J38" s="7">
        <f t="shared" si="0"/>
        <v>44269</v>
      </c>
      <c r="K38" s="8"/>
      <c r="L38" s="9" t="s">
        <v>89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</row>
    <row r="39" spans="1:68" ht="36" customHeight="1" x14ac:dyDescent="0.25">
      <c r="A39" s="5" t="s">
        <v>315</v>
      </c>
      <c r="B39" s="5" t="s">
        <v>257</v>
      </c>
      <c r="C39" s="307" t="s">
        <v>330</v>
      </c>
      <c r="D39" s="3" t="s">
        <v>190</v>
      </c>
      <c r="E39" s="3" t="s">
        <v>88</v>
      </c>
      <c r="F39" s="4">
        <v>450000</v>
      </c>
      <c r="G39" s="10">
        <v>1</v>
      </c>
      <c r="H39" s="10">
        <v>0</v>
      </c>
      <c r="I39" s="303">
        <v>43905</v>
      </c>
      <c r="J39" s="7">
        <f>I39+90</f>
        <v>43995</v>
      </c>
      <c r="K39" s="327"/>
      <c r="L39" s="9" t="s">
        <v>89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8" ht="51" hidden="1" customHeight="1" x14ac:dyDescent="0.25">
      <c r="A40" s="5"/>
      <c r="B40" s="5" t="s">
        <v>268</v>
      </c>
      <c r="C40" s="307" t="s">
        <v>198</v>
      </c>
      <c r="D40" s="3" t="s">
        <v>190</v>
      </c>
      <c r="E40" s="3" t="s">
        <v>88</v>
      </c>
      <c r="F40" s="4">
        <v>500000</v>
      </c>
      <c r="G40" s="10">
        <v>1</v>
      </c>
      <c r="H40" s="10">
        <v>0</v>
      </c>
      <c r="I40" s="303">
        <v>44287</v>
      </c>
      <c r="J40" s="7">
        <f>I40+120</f>
        <v>44407</v>
      </c>
      <c r="K40" s="8"/>
      <c r="L40" s="9" t="s">
        <v>89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</row>
    <row r="41" spans="1:68" ht="73.5" hidden="1" customHeight="1" x14ac:dyDescent="0.25">
      <c r="A41" s="5"/>
      <c r="B41" s="5" t="s">
        <v>269</v>
      </c>
      <c r="C41" s="307" t="s">
        <v>199</v>
      </c>
      <c r="D41" s="3" t="s">
        <v>190</v>
      </c>
      <c r="E41" s="3" t="s">
        <v>88</v>
      </c>
      <c r="F41" s="4">
        <v>500000</v>
      </c>
      <c r="G41" s="10">
        <v>1</v>
      </c>
      <c r="H41" s="10">
        <v>0</v>
      </c>
      <c r="I41" s="303">
        <v>44287</v>
      </c>
      <c r="J41" s="7">
        <f>I41+120</f>
        <v>44407</v>
      </c>
      <c r="K41" s="8"/>
      <c r="L41" s="9" t="s">
        <v>89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</row>
    <row r="42" spans="1:68" ht="64.5" hidden="1" customHeight="1" x14ac:dyDescent="0.25">
      <c r="A42" s="5"/>
      <c r="B42" s="5" t="s">
        <v>270</v>
      </c>
      <c r="C42" s="307" t="s">
        <v>200</v>
      </c>
      <c r="D42" s="3" t="s">
        <v>190</v>
      </c>
      <c r="E42" s="3" t="s">
        <v>88</v>
      </c>
      <c r="F42" s="4">
        <v>500000</v>
      </c>
      <c r="G42" s="10">
        <v>1</v>
      </c>
      <c r="H42" s="10">
        <v>0</v>
      </c>
      <c r="I42" s="303">
        <v>44287</v>
      </c>
      <c r="J42" s="7">
        <f>I42+120</f>
        <v>44407</v>
      </c>
      <c r="K42" s="8"/>
      <c r="L42" s="9" t="s">
        <v>89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</row>
    <row r="43" spans="1:68" ht="66.599999999999994" hidden="1" customHeight="1" x14ac:dyDescent="0.25">
      <c r="A43" s="5"/>
      <c r="B43" s="5" t="s">
        <v>258</v>
      </c>
      <c r="C43" s="3" t="s">
        <v>201</v>
      </c>
      <c r="D43" s="3" t="s">
        <v>189</v>
      </c>
      <c r="E43" s="3" t="s">
        <v>88</v>
      </c>
      <c r="F43" s="4">
        <v>2000000</v>
      </c>
      <c r="G43" s="10">
        <v>1</v>
      </c>
      <c r="H43" s="10">
        <v>0</v>
      </c>
      <c r="I43" s="303">
        <v>44287</v>
      </c>
      <c r="J43" s="7">
        <f t="shared" ref="J43:J49" si="1">I43+180</f>
        <v>44467</v>
      </c>
      <c r="K43" s="8"/>
      <c r="L43" s="9" t="s">
        <v>89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</row>
    <row r="44" spans="1:68" ht="51.75" hidden="1" customHeight="1" x14ac:dyDescent="0.25">
      <c r="A44" s="5"/>
      <c r="B44" s="5" t="s">
        <v>259</v>
      </c>
      <c r="C44" s="307" t="s">
        <v>202</v>
      </c>
      <c r="D44" s="3" t="s">
        <v>189</v>
      </c>
      <c r="E44" s="3" t="s">
        <v>88</v>
      </c>
      <c r="F44" s="4">
        <v>3000000</v>
      </c>
      <c r="G44" s="10">
        <v>1</v>
      </c>
      <c r="H44" s="10">
        <v>0</v>
      </c>
      <c r="I44" s="303">
        <v>44287</v>
      </c>
      <c r="J44" s="7">
        <f t="shared" si="1"/>
        <v>44467</v>
      </c>
      <c r="K44" s="20"/>
      <c r="L44" s="9" t="s">
        <v>89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</row>
    <row r="45" spans="1:68" ht="29.25" hidden="1" customHeight="1" x14ac:dyDescent="0.25">
      <c r="A45" s="5"/>
      <c r="B45" s="5" t="s">
        <v>260</v>
      </c>
      <c r="C45" s="3" t="s">
        <v>203</v>
      </c>
      <c r="D45" s="3" t="s">
        <v>189</v>
      </c>
      <c r="E45" s="3" t="s">
        <v>88</v>
      </c>
      <c r="F45" s="4">
        <v>3000000</v>
      </c>
      <c r="G45" s="10">
        <v>1</v>
      </c>
      <c r="H45" s="10">
        <v>0</v>
      </c>
      <c r="I45" s="303">
        <v>44287</v>
      </c>
      <c r="J45" s="7">
        <f t="shared" si="1"/>
        <v>44467</v>
      </c>
      <c r="K45" s="20"/>
      <c r="L45" s="9" t="s">
        <v>89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</row>
    <row r="46" spans="1:68" ht="38.25" hidden="1" x14ac:dyDescent="0.25">
      <c r="A46" s="5"/>
      <c r="B46" s="5" t="s">
        <v>261</v>
      </c>
      <c r="C46" s="3" t="s">
        <v>204</v>
      </c>
      <c r="D46" s="3" t="s">
        <v>189</v>
      </c>
      <c r="E46" s="3" t="s">
        <v>88</v>
      </c>
      <c r="F46" s="4">
        <v>3000000</v>
      </c>
      <c r="G46" s="10">
        <v>1</v>
      </c>
      <c r="H46" s="10">
        <v>0</v>
      </c>
      <c r="I46" s="303">
        <v>44287</v>
      </c>
      <c r="J46" s="7">
        <f t="shared" si="1"/>
        <v>44467</v>
      </c>
      <c r="K46" s="21"/>
      <c r="L46" s="9" t="s">
        <v>89</v>
      </c>
    </row>
    <row r="47" spans="1:68" ht="38.25" hidden="1" x14ac:dyDescent="0.25">
      <c r="A47" s="5"/>
      <c r="B47" s="5" t="s">
        <v>262</v>
      </c>
      <c r="C47" s="3" t="s">
        <v>205</v>
      </c>
      <c r="D47" s="3" t="s">
        <v>189</v>
      </c>
      <c r="E47" s="3" t="s">
        <v>88</v>
      </c>
      <c r="F47" s="4">
        <v>3000000</v>
      </c>
      <c r="G47" s="10">
        <v>1</v>
      </c>
      <c r="H47" s="10">
        <v>0</v>
      </c>
      <c r="I47" s="303">
        <v>44287</v>
      </c>
      <c r="J47" s="7">
        <f t="shared" si="1"/>
        <v>44467</v>
      </c>
      <c r="K47" s="5"/>
      <c r="L47" s="5" t="s">
        <v>89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</row>
    <row r="48" spans="1:68" ht="25.5" hidden="1" x14ac:dyDescent="0.25">
      <c r="A48" s="5"/>
      <c r="B48" s="5" t="s">
        <v>263</v>
      </c>
      <c r="C48" s="3" t="s">
        <v>206</v>
      </c>
      <c r="D48" s="340" t="s">
        <v>189</v>
      </c>
      <c r="E48" s="3" t="s">
        <v>88</v>
      </c>
      <c r="F48" s="4">
        <v>500000</v>
      </c>
      <c r="G48" s="10">
        <v>1</v>
      </c>
      <c r="H48" s="10">
        <v>0</v>
      </c>
      <c r="I48" s="303">
        <v>44348</v>
      </c>
      <c r="J48" s="7">
        <f t="shared" si="1"/>
        <v>44528</v>
      </c>
      <c r="K48" s="19"/>
      <c r="L48" s="9" t="s">
        <v>89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</row>
    <row r="49" spans="1:67" ht="51" hidden="1" x14ac:dyDescent="0.25">
      <c r="A49" s="5"/>
      <c r="B49" s="5" t="s">
        <v>264</v>
      </c>
      <c r="C49" s="3" t="s">
        <v>207</v>
      </c>
      <c r="D49" s="3" t="s">
        <v>189</v>
      </c>
      <c r="E49" s="3" t="s">
        <v>88</v>
      </c>
      <c r="F49" s="4">
        <v>500000</v>
      </c>
      <c r="G49" s="10">
        <v>1</v>
      </c>
      <c r="H49" s="10">
        <v>0</v>
      </c>
      <c r="I49" s="303">
        <v>44378</v>
      </c>
      <c r="J49" s="7">
        <f t="shared" si="1"/>
        <v>44558</v>
      </c>
      <c r="K49" s="19"/>
      <c r="L49" s="9" t="s">
        <v>89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1:67" ht="46.5" customHeight="1" x14ac:dyDescent="0.25">
      <c r="A50" s="339" t="s">
        <v>316</v>
      </c>
      <c r="B50" s="5" t="s">
        <v>265</v>
      </c>
      <c r="C50" s="3" t="s">
        <v>208</v>
      </c>
      <c r="D50" s="3" t="s">
        <v>190</v>
      </c>
      <c r="E50" s="3" t="s">
        <v>88</v>
      </c>
      <c r="F50" s="4">
        <v>400000</v>
      </c>
      <c r="G50" s="10">
        <v>1</v>
      </c>
      <c r="H50" s="10">
        <v>0</v>
      </c>
      <c r="I50" s="303">
        <v>43952</v>
      </c>
      <c r="J50" s="7">
        <f>I50+120</f>
        <v>44072</v>
      </c>
      <c r="K50" s="8"/>
      <c r="L50" s="9" t="s">
        <v>89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</row>
    <row r="51" spans="1:67" ht="46.5" hidden="1" customHeight="1" x14ac:dyDescent="0.25">
      <c r="A51" s="5"/>
      <c r="B51" s="5" t="s">
        <v>265</v>
      </c>
      <c r="C51" s="3" t="s">
        <v>209</v>
      </c>
      <c r="D51" s="3" t="s">
        <v>190</v>
      </c>
      <c r="E51" s="3" t="s">
        <v>88</v>
      </c>
      <c r="F51" s="4">
        <v>400000</v>
      </c>
      <c r="G51" s="10">
        <v>1</v>
      </c>
      <c r="H51" s="10">
        <v>0</v>
      </c>
      <c r="I51" s="303">
        <v>44228</v>
      </c>
      <c r="J51" s="7">
        <f>I51+120</f>
        <v>44348</v>
      </c>
      <c r="K51" s="8"/>
      <c r="L51" s="9" t="s">
        <v>89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</row>
    <row r="52" spans="1:67" ht="72" customHeight="1" x14ac:dyDescent="0.25">
      <c r="A52" s="339" t="s">
        <v>317</v>
      </c>
      <c r="B52" s="5" t="s">
        <v>266</v>
      </c>
      <c r="C52" s="3" t="s">
        <v>210</v>
      </c>
      <c r="D52" s="3" t="s">
        <v>189</v>
      </c>
      <c r="E52" s="3" t="s">
        <v>88</v>
      </c>
      <c r="F52" s="341">
        <v>2425000</v>
      </c>
      <c r="G52" s="10">
        <v>1</v>
      </c>
      <c r="H52" s="10">
        <v>0</v>
      </c>
      <c r="I52" s="303">
        <v>44044</v>
      </c>
      <c r="J52" s="7">
        <f>I52+180</f>
        <v>44224</v>
      </c>
      <c r="K52" s="8"/>
      <c r="L52" s="9" t="s">
        <v>89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ht="64.5" hidden="1" customHeight="1" x14ac:dyDescent="0.25">
      <c r="A53" s="5"/>
      <c r="B53" s="5" t="s">
        <v>266</v>
      </c>
      <c r="C53" s="3" t="s">
        <v>213</v>
      </c>
      <c r="D53" s="3" t="s">
        <v>189</v>
      </c>
      <c r="E53" s="3" t="s">
        <v>88</v>
      </c>
      <c r="F53" s="341">
        <v>2425000</v>
      </c>
      <c r="G53" s="10">
        <v>1</v>
      </c>
      <c r="H53" s="10">
        <v>0</v>
      </c>
      <c r="I53" s="303">
        <v>44366</v>
      </c>
      <c r="J53" s="7">
        <f>I53+180</f>
        <v>44546</v>
      </c>
      <c r="K53" s="8"/>
      <c r="L53" s="9" t="s">
        <v>89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ht="75.75" hidden="1" customHeight="1" x14ac:dyDescent="0.25">
      <c r="A54" s="5"/>
      <c r="B54" s="5" t="s">
        <v>266</v>
      </c>
      <c r="C54" s="3" t="s">
        <v>212</v>
      </c>
      <c r="D54" s="3" t="s">
        <v>189</v>
      </c>
      <c r="E54" s="3" t="s">
        <v>88</v>
      </c>
      <c r="F54" s="341">
        <v>2425000</v>
      </c>
      <c r="G54" s="10">
        <v>1</v>
      </c>
      <c r="H54" s="10">
        <v>0</v>
      </c>
      <c r="I54" s="303">
        <v>44366</v>
      </c>
      <c r="J54" s="7">
        <f>I54+180</f>
        <v>44546</v>
      </c>
      <c r="K54" s="8"/>
      <c r="L54" s="9" t="s">
        <v>89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ht="63.75" hidden="1" x14ac:dyDescent="0.25">
      <c r="A55" s="5"/>
      <c r="B55" s="5" t="s">
        <v>266</v>
      </c>
      <c r="C55" s="3" t="s">
        <v>211</v>
      </c>
      <c r="D55" s="3" t="s">
        <v>189</v>
      </c>
      <c r="E55" s="3" t="s">
        <v>88</v>
      </c>
      <c r="F55" s="341">
        <v>2425000</v>
      </c>
      <c r="G55" s="10">
        <v>1</v>
      </c>
      <c r="H55" s="10">
        <v>0</v>
      </c>
      <c r="I55" s="303">
        <v>44427</v>
      </c>
      <c r="J55" s="7">
        <f>I55+180</f>
        <v>44607</v>
      </c>
      <c r="K55" s="5"/>
      <c r="L55" s="5" t="s">
        <v>89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ht="38.25" x14ac:dyDescent="0.25">
      <c r="A56" s="5" t="s">
        <v>318</v>
      </c>
      <c r="B56" s="5" t="s">
        <v>288</v>
      </c>
      <c r="C56" s="3" t="s">
        <v>244</v>
      </c>
      <c r="D56" s="3" t="s">
        <v>190</v>
      </c>
      <c r="E56" s="3" t="s">
        <v>88</v>
      </c>
      <c r="F56" s="4">
        <v>900000</v>
      </c>
      <c r="G56" s="10">
        <v>1</v>
      </c>
      <c r="H56" s="10">
        <v>0</v>
      </c>
      <c r="I56" s="303">
        <v>43880</v>
      </c>
      <c r="J56" s="7">
        <f>I56+120</f>
        <v>44000</v>
      </c>
      <c r="K56" s="329"/>
      <c r="L56" s="5" t="s">
        <v>89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 ht="46.5" customHeight="1" x14ac:dyDescent="0.25">
      <c r="A57" s="339" t="s">
        <v>359</v>
      </c>
      <c r="B57" s="5" t="s">
        <v>271</v>
      </c>
      <c r="C57" s="3" t="s">
        <v>232</v>
      </c>
      <c r="D57" s="3" t="s">
        <v>195</v>
      </c>
      <c r="E57" s="3" t="s">
        <v>88</v>
      </c>
      <c r="F57" s="4">
        <v>25000</v>
      </c>
      <c r="G57" s="10">
        <v>1</v>
      </c>
      <c r="H57" s="10">
        <v>0</v>
      </c>
      <c r="I57" s="303">
        <v>43880</v>
      </c>
      <c r="J57" s="7">
        <f>I57+30</f>
        <v>43910</v>
      </c>
      <c r="K57" s="8"/>
      <c r="L57" s="9" t="s">
        <v>89</v>
      </c>
      <c r="M57" s="328"/>
      <c r="N57" s="328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 ht="46.5" customHeight="1" x14ac:dyDescent="0.25">
      <c r="A58" s="339" t="s">
        <v>360</v>
      </c>
      <c r="B58" s="5" t="s">
        <v>272</v>
      </c>
      <c r="C58" s="3" t="s">
        <v>233</v>
      </c>
      <c r="D58" s="340" t="s">
        <v>195</v>
      </c>
      <c r="E58" s="3" t="s">
        <v>88</v>
      </c>
      <c r="F58" s="4">
        <v>15000</v>
      </c>
      <c r="G58" s="10">
        <v>1</v>
      </c>
      <c r="H58" s="10">
        <v>0</v>
      </c>
      <c r="I58" s="303">
        <v>43880</v>
      </c>
      <c r="J58" s="7">
        <f>I58+30</f>
        <v>43910</v>
      </c>
      <c r="K58" s="8"/>
      <c r="L58" s="9" t="s">
        <v>89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 ht="32.25" customHeight="1" x14ac:dyDescent="0.2">
      <c r="A59" s="654" t="s">
        <v>1</v>
      </c>
      <c r="B59" s="655"/>
      <c r="C59" s="655"/>
      <c r="D59" s="655"/>
      <c r="E59" s="656"/>
      <c r="F59" s="22">
        <f>SUM(F31:F58)</f>
        <v>66476000</v>
      </c>
      <c r="G59" s="654"/>
      <c r="H59" s="655"/>
      <c r="I59" s="655"/>
      <c r="J59" s="655"/>
      <c r="K59" s="655"/>
      <c r="L59" s="656"/>
      <c r="M59" s="23"/>
      <c r="N59" s="23"/>
      <c r="O59" s="23"/>
      <c r="P59" s="23"/>
      <c r="Q59" s="23"/>
      <c r="R59" s="23"/>
      <c r="S59" s="55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5"/>
      <c r="AU59" s="56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ht="16.5" thickBot="1" x14ac:dyDescent="0.3">
      <c r="A60" s="24"/>
      <c r="B60" s="25"/>
      <c r="C60" s="301"/>
      <c r="D60" s="25"/>
      <c r="E60" s="25"/>
      <c r="F60" s="37"/>
      <c r="G60" s="26"/>
      <c r="H60" s="26"/>
      <c r="I60" s="298"/>
      <c r="J60" s="24"/>
      <c r="K60" s="24"/>
      <c r="L60" s="2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 ht="15.75" x14ac:dyDescent="0.25">
      <c r="A61" s="659" t="s">
        <v>63</v>
      </c>
      <c r="B61" s="660"/>
      <c r="C61" s="660"/>
      <c r="D61" s="660"/>
      <c r="E61" s="660"/>
      <c r="F61" s="660"/>
      <c r="G61" s="660"/>
      <c r="H61" s="660"/>
      <c r="I61" s="660"/>
      <c r="J61" s="660"/>
      <c r="K61" s="661"/>
      <c r="L61" s="1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 ht="15.75" x14ac:dyDescent="0.25">
      <c r="A62" s="646" t="s">
        <v>61</v>
      </c>
      <c r="B62" s="632" t="s">
        <v>66</v>
      </c>
      <c r="C62" s="634" t="s">
        <v>5</v>
      </c>
      <c r="D62" s="636" t="s">
        <v>71</v>
      </c>
      <c r="E62" s="632" t="s">
        <v>72</v>
      </c>
      <c r="F62" s="630" t="s">
        <v>73</v>
      </c>
      <c r="G62" s="637"/>
      <c r="H62" s="638"/>
      <c r="I62" s="630" t="s">
        <v>77</v>
      </c>
      <c r="J62" s="631"/>
      <c r="K62" s="644" t="s">
        <v>86</v>
      </c>
      <c r="L62" s="633" t="s">
        <v>87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 ht="126.75" customHeight="1" x14ac:dyDescent="0.25">
      <c r="A63" s="647"/>
      <c r="B63" s="633"/>
      <c r="C63" s="635"/>
      <c r="D63" s="636"/>
      <c r="E63" s="633"/>
      <c r="F63" s="14" t="s">
        <v>74</v>
      </c>
      <c r="G63" s="15" t="s">
        <v>75</v>
      </c>
      <c r="H63" s="15" t="s">
        <v>76</v>
      </c>
      <c r="I63" s="13" t="s">
        <v>80</v>
      </c>
      <c r="J63" s="13" t="s">
        <v>84</v>
      </c>
      <c r="K63" s="630"/>
      <c r="L63" s="633"/>
      <c r="M63" s="23"/>
      <c r="N63" s="23"/>
      <c r="O63" s="23"/>
      <c r="P63" s="23"/>
      <c r="Q63" s="23"/>
      <c r="R63" s="23"/>
      <c r="S63" s="55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5"/>
      <c r="AU63" s="56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ht="126.75" customHeight="1" x14ac:dyDescent="0.25">
      <c r="A64" s="335" t="s">
        <v>378</v>
      </c>
      <c r="B64" s="5" t="s">
        <v>277</v>
      </c>
      <c r="C64" s="3" t="s">
        <v>214</v>
      </c>
      <c r="D64" s="3" t="s">
        <v>189</v>
      </c>
      <c r="E64" s="3" t="s">
        <v>88</v>
      </c>
      <c r="F64" s="341">
        <v>12300000</v>
      </c>
      <c r="G64" s="10">
        <v>1</v>
      </c>
      <c r="H64" s="10">
        <v>0</v>
      </c>
      <c r="I64" s="303">
        <v>44031</v>
      </c>
      <c r="J64" s="7">
        <f>I64+180</f>
        <v>44211</v>
      </c>
      <c r="K64" s="8"/>
      <c r="L64" s="9" t="s">
        <v>89</v>
      </c>
      <c r="M64" s="23"/>
      <c r="N64" s="345"/>
      <c r="O64" s="23"/>
      <c r="P64" s="23"/>
      <c r="Q64" s="23"/>
      <c r="R64" s="23"/>
      <c r="S64" s="55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5"/>
      <c r="AU64" s="56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s="333" customFormat="1" ht="45" customHeight="1" x14ac:dyDescent="0.25">
      <c r="A65" s="330" t="s">
        <v>368</v>
      </c>
      <c r="B65" s="5" t="s">
        <v>348</v>
      </c>
      <c r="C65" s="3" t="s">
        <v>349</v>
      </c>
      <c r="D65" s="3" t="s">
        <v>189</v>
      </c>
      <c r="E65" s="3" t="s">
        <v>88</v>
      </c>
      <c r="F65" s="341">
        <f>4000000+12000000</f>
        <v>16000000</v>
      </c>
      <c r="G65" s="10">
        <v>1</v>
      </c>
      <c r="H65" s="10">
        <v>0</v>
      </c>
      <c r="I65" s="303">
        <v>44031</v>
      </c>
      <c r="J65" s="7">
        <f>I65+180</f>
        <v>44211</v>
      </c>
      <c r="K65" s="5"/>
      <c r="L65" s="5" t="s">
        <v>89</v>
      </c>
      <c r="M65" s="23"/>
      <c r="N65" s="23"/>
      <c r="O65" s="23"/>
      <c r="P65" s="23"/>
      <c r="Q65" s="23"/>
      <c r="R65" s="23"/>
      <c r="S65" s="55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5"/>
      <c r="AU65" s="56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s="333" customFormat="1" ht="45" customHeight="1" x14ac:dyDescent="0.25">
      <c r="A66" s="335" t="s">
        <v>371</v>
      </c>
      <c r="B66" s="339" t="s">
        <v>278</v>
      </c>
      <c r="C66" s="340" t="s">
        <v>369</v>
      </c>
      <c r="D66" s="340" t="s">
        <v>190</v>
      </c>
      <c r="E66" s="340" t="s">
        <v>88</v>
      </c>
      <c r="F66" s="341">
        <v>60000</v>
      </c>
      <c r="G66" s="342">
        <v>1</v>
      </c>
      <c r="H66" s="342">
        <v>0</v>
      </c>
      <c r="I66" s="343">
        <v>43862</v>
      </c>
      <c r="J66" s="43">
        <f>I66+60</f>
        <v>43922</v>
      </c>
      <c r="K66" s="329"/>
      <c r="L66" s="339" t="s">
        <v>89</v>
      </c>
      <c r="M66" s="23"/>
      <c r="N66" s="23"/>
      <c r="O66" s="23"/>
      <c r="P66" s="23"/>
      <c r="Q66" s="23"/>
      <c r="R66" s="23"/>
      <c r="S66" s="55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5"/>
      <c r="AU66" s="56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ht="126.75" customHeight="1" x14ac:dyDescent="0.25">
      <c r="A67" s="335" t="s">
        <v>372</v>
      </c>
      <c r="B67" s="339" t="s">
        <v>283</v>
      </c>
      <c r="C67" s="340" t="s">
        <v>370</v>
      </c>
      <c r="D67" s="340" t="s">
        <v>190</v>
      </c>
      <c r="E67" s="340" t="s">
        <v>88</v>
      </c>
      <c r="F67" s="341">
        <v>30000</v>
      </c>
      <c r="G67" s="342">
        <v>1</v>
      </c>
      <c r="H67" s="342">
        <v>0</v>
      </c>
      <c r="I67" s="343">
        <v>43862</v>
      </c>
      <c r="J67" s="43">
        <f>I67+60</f>
        <v>43922</v>
      </c>
      <c r="K67" s="8"/>
      <c r="L67" s="9" t="s">
        <v>89</v>
      </c>
      <c r="M67" s="23"/>
      <c r="N67" s="23"/>
      <c r="O67" s="23"/>
      <c r="P67" s="23"/>
      <c r="Q67" s="23"/>
      <c r="R67" s="23"/>
      <c r="S67" s="55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5"/>
      <c r="AU67" s="56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ht="23.25" customHeight="1" x14ac:dyDescent="0.25">
      <c r="A68" s="651" t="s">
        <v>1</v>
      </c>
      <c r="B68" s="652"/>
      <c r="C68" s="652"/>
      <c r="D68" s="652"/>
      <c r="E68" s="653"/>
      <c r="F68" s="320">
        <f>F64+F65</f>
        <v>28300000</v>
      </c>
      <c r="G68" s="651"/>
      <c r="H68" s="652"/>
      <c r="I68" s="652"/>
      <c r="J68" s="652"/>
      <c r="K68" s="652"/>
      <c r="L68" s="653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 ht="23.25" customHeight="1" thickBot="1" x14ac:dyDescent="0.3">
      <c r="A69" s="24"/>
      <c r="B69" s="25"/>
      <c r="C69" s="301"/>
      <c r="D69" s="25"/>
      <c r="E69" s="25"/>
      <c r="F69" s="37"/>
      <c r="G69" s="26"/>
      <c r="H69" s="26"/>
      <c r="I69" s="298"/>
      <c r="J69" s="24"/>
      <c r="K69" s="24"/>
      <c r="L69" s="2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 ht="29.25" customHeight="1" x14ac:dyDescent="0.25">
      <c r="A70" s="648" t="s">
        <v>64</v>
      </c>
      <c r="B70" s="649"/>
      <c r="C70" s="649"/>
      <c r="D70" s="649"/>
      <c r="E70" s="649"/>
      <c r="F70" s="649"/>
      <c r="G70" s="649"/>
      <c r="H70" s="649"/>
      <c r="I70" s="649"/>
      <c r="J70" s="650"/>
      <c r="K70" s="650"/>
      <c r="L70" s="650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 ht="24.75" customHeight="1" x14ac:dyDescent="0.25">
      <c r="A71" s="646" t="s">
        <v>61</v>
      </c>
      <c r="B71" s="632" t="s">
        <v>66</v>
      </c>
      <c r="C71" s="634" t="s">
        <v>5</v>
      </c>
      <c r="D71" s="636" t="s">
        <v>71</v>
      </c>
      <c r="E71" s="632" t="s">
        <v>72</v>
      </c>
      <c r="F71" s="630" t="s">
        <v>73</v>
      </c>
      <c r="G71" s="637"/>
      <c r="H71" s="638"/>
      <c r="I71" s="630" t="s">
        <v>77</v>
      </c>
      <c r="J71" s="631"/>
      <c r="K71" s="644" t="s">
        <v>86</v>
      </c>
      <c r="L71" s="633" t="s">
        <v>87</v>
      </c>
      <c r="M71" s="57"/>
      <c r="N71" s="57"/>
      <c r="O71" s="57"/>
      <c r="P71" s="57"/>
      <c r="Q71" s="57"/>
      <c r="R71" s="57"/>
      <c r="S71" s="49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49"/>
      <c r="AU71" s="58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</row>
    <row r="72" spans="1:67" ht="127.5" customHeight="1" x14ac:dyDescent="0.25">
      <c r="A72" s="647"/>
      <c r="B72" s="633"/>
      <c r="C72" s="635"/>
      <c r="D72" s="636"/>
      <c r="E72" s="633"/>
      <c r="F72" s="14" t="s">
        <v>74</v>
      </c>
      <c r="G72" s="15" t="s">
        <v>75</v>
      </c>
      <c r="H72" s="15" t="s">
        <v>76</v>
      </c>
      <c r="I72" s="13" t="s">
        <v>81</v>
      </c>
      <c r="J72" s="13" t="s">
        <v>83</v>
      </c>
      <c r="K72" s="630"/>
      <c r="L72" s="633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 ht="98.25" customHeight="1" x14ac:dyDescent="0.25">
      <c r="A73" s="339" t="s">
        <v>338</v>
      </c>
      <c r="B73" s="5" t="s">
        <v>293</v>
      </c>
      <c r="C73" s="3" t="s">
        <v>243</v>
      </c>
      <c r="D73" s="3" t="s">
        <v>191</v>
      </c>
      <c r="E73" s="3" t="s">
        <v>88</v>
      </c>
      <c r="F73" s="341">
        <v>100000</v>
      </c>
      <c r="G73" s="10">
        <v>1</v>
      </c>
      <c r="H73" s="10">
        <v>0</v>
      </c>
      <c r="I73" s="303">
        <v>43924</v>
      </c>
      <c r="J73" s="7">
        <v>44012</v>
      </c>
      <c r="K73" s="5"/>
      <c r="L73" s="5" t="s">
        <v>89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 ht="81.75" customHeight="1" x14ac:dyDescent="0.25">
      <c r="A74" s="339" t="s">
        <v>319</v>
      </c>
      <c r="B74" s="5" t="s">
        <v>278</v>
      </c>
      <c r="C74" s="3" t="s">
        <v>215</v>
      </c>
      <c r="D74" s="3" t="s">
        <v>191</v>
      </c>
      <c r="E74" s="3" t="s">
        <v>88</v>
      </c>
      <c r="F74" s="341">
        <v>595000</v>
      </c>
      <c r="G74" s="10">
        <v>1</v>
      </c>
      <c r="H74" s="10">
        <v>0</v>
      </c>
      <c r="I74" s="303">
        <v>43985</v>
      </c>
      <c r="J74" s="7">
        <f>I74+90</f>
        <v>44075</v>
      </c>
      <c r="K74" s="5"/>
      <c r="L74" s="5" t="s">
        <v>89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74.25" customHeight="1" x14ac:dyDescent="0.25">
      <c r="A75" s="339" t="s">
        <v>320</v>
      </c>
      <c r="B75" s="5" t="s">
        <v>279</v>
      </c>
      <c r="C75" s="3" t="s">
        <v>216</v>
      </c>
      <c r="D75" s="3" t="s">
        <v>191</v>
      </c>
      <c r="E75" s="3" t="s">
        <v>88</v>
      </c>
      <c r="F75" s="341">
        <v>595000</v>
      </c>
      <c r="G75" s="10">
        <v>1</v>
      </c>
      <c r="H75" s="10">
        <v>0</v>
      </c>
      <c r="I75" s="303">
        <v>43985</v>
      </c>
      <c r="J75" s="7">
        <f>I75+90</f>
        <v>44075</v>
      </c>
      <c r="K75" s="5"/>
      <c r="L75" s="5" t="s">
        <v>89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74.25" customHeight="1" x14ac:dyDescent="0.25">
      <c r="A76" s="339" t="s">
        <v>343</v>
      </c>
      <c r="B76" s="5" t="s">
        <v>280</v>
      </c>
      <c r="C76" s="3" t="s">
        <v>217</v>
      </c>
      <c r="D76" s="3" t="s">
        <v>191</v>
      </c>
      <c r="E76" s="3" t="s">
        <v>88</v>
      </c>
      <c r="F76" s="341">
        <v>450000</v>
      </c>
      <c r="G76" s="10">
        <v>1</v>
      </c>
      <c r="H76" s="10">
        <v>0</v>
      </c>
      <c r="I76" s="303">
        <v>44166</v>
      </c>
      <c r="J76" s="7">
        <f>I76+180</f>
        <v>44346</v>
      </c>
      <c r="K76" s="5"/>
      <c r="L76" s="5" t="s">
        <v>89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76.5" customHeight="1" x14ac:dyDescent="0.25">
      <c r="A77" s="339" t="s">
        <v>339</v>
      </c>
      <c r="B77" s="5" t="s">
        <v>294</v>
      </c>
      <c r="C77" s="3" t="s">
        <v>218</v>
      </c>
      <c r="D77" s="3" t="s">
        <v>191</v>
      </c>
      <c r="E77" s="3" t="s">
        <v>88</v>
      </c>
      <c r="F77" s="4">
        <v>300000</v>
      </c>
      <c r="G77" s="10">
        <v>1</v>
      </c>
      <c r="H77" s="10">
        <v>0</v>
      </c>
      <c r="I77" s="11">
        <v>43984</v>
      </c>
      <c r="J77" s="11">
        <f>I77+90</f>
        <v>44074</v>
      </c>
      <c r="K77" s="3"/>
      <c r="L77" s="3" t="s">
        <v>89</v>
      </c>
      <c r="M77" s="1"/>
      <c r="N77" s="1"/>
      <c r="O77" s="1"/>
      <c r="P77" s="1"/>
      <c r="Q77" s="1"/>
      <c r="R77" s="1"/>
      <c r="S77" s="59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59"/>
      <c r="AH77" s="59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76.5" customHeight="1" x14ac:dyDescent="0.25">
      <c r="A78" s="339" t="s">
        <v>373</v>
      </c>
      <c r="B78" s="5" t="s">
        <v>282</v>
      </c>
      <c r="C78" s="3" t="s">
        <v>219</v>
      </c>
      <c r="D78" s="340" t="s">
        <v>191</v>
      </c>
      <c r="E78" s="3" t="s">
        <v>88</v>
      </c>
      <c r="F78" s="4">
        <v>495000</v>
      </c>
      <c r="G78" s="10">
        <v>1</v>
      </c>
      <c r="H78" s="10">
        <v>0</v>
      </c>
      <c r="I78" s="11">
        <v>44076</v>
      </c>
      <c r="J78" s="11">
        <f>I78+180</f>
        <v>44256</v>
      </c>
      <c r="K78" s="340"/>
      <c r="L78" s="3" t="s">
        <v>89</v>
      </c>
      <c r="M78" s="1"/>
      <c r="N78" s="1"/>
      <c r="O78" s="1"/>
      <c r="P78" s="1"/>
      <c r="Q78" s="1"/>
      <c r="R78" s="1"/>
      <c r="S78" s="59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59"/>
      <c r="AH78" s="59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76.5" customHeight="1" x14ac:dyDescent="0.25">
      <c r="A79" s="339" t="s">
        <v>377</v>
      </c>
      <c r="B79" s="5" t="s">
        <v>281</v>
      </c>
      <c r="C79" s="3" t="s">
        <v>337</v>
      </c>
      <c r="D79" s="340" t="s">
        <v>191</v>
      </c>
      <c r="E79" s="3" t="s">
        <v>88</v>
      </c>
      <c r="F79" s="4">
        <v>450000</v>
      </c>
      <c r="G79" s="10">
        <v>1</v>
      </c>
      <c r="H79" s="10">
        <v>0</v>
      </c>
      <c r="I79" s="11">
        <v>43984</v>
      </c>
      <c r="J79" s="11">
        <v>44045</v>
      </c>
      <c r="K79" s="340"/>
      <c r="L79" s="3" t="s">
        <v>89</v>
      </c>
      <c r="M79" s="1"/>
      <c r="N79" s="1"/>
      <c r="O79" s="1"/>
      <c r="P79" s="1"/>
      <c r="Q79" s="1"/>
      <c r="R79" s="1"/>
      <c r="S79" s="59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59"/>
      <c r="AH79" s="59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76.5" customHeight="1" x14ac:dyDescent="0.25">
      <c r="A80" s="339" t="s">
        <v>322</v>
      </c>
      <c r="B80" s="5" t="s">
        <v>283</v>
      </c>
      <c r="C80" s="3" t="s">
        <v>220</v>
      </c>
      <c r="D80" s="3" t="s">
        <v>191</v>
      </c>
      <c r="E80" s="3" t="s">
        <v>88</v>
      </c>
      <c r="F80" s="4">
        <v>2000000</v>
      </c>
      <c r="G80" s="10">
        <v>1</v>
      </c>
      <c r="H80" s="10">
        <v>0</v>
      </c>
      <c r="I80" s="11">
        <v>44076</v>
      </c>
      <c r="J80" s="11">
        <f>I80+90</f>
        <v>44166</v>
      </c>
      <c r="K80" s="3"/>
      <c r="L80" s="3" t="s">
        <v>89</v>
      </c>
      <c r="M80" s="1"/>
      <c r="N80" s="1"/>
      <c r="O80" s="1"/>
      <c r="P80" s="1"/>
      <c r="Q80" s="1"/>
      <c r="R80" s="1"/>
      <c r="S80" s="59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59"/>
      <c r="AH80" s="59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87" customHeight="1" x14ac:dyDescent="0.25">
      <c r="A81" s="339" t="s">
        <v>321</v>
      </c>
      <c r="B81" s="5" t="s">
        <v>284</v>
      </c>
      <c r="C81" s="3" t="s">
        <v>221</v>
      </c>
      <c r="D81" s="3" t="s">
        <v>191</v>
      </c>
      <c r="E81" s="3" t="s">
        <v>88</v>
      </c>
      <c r="F81" s="4">
        <v>950000</v>
      </c>
      <c r="G81" s="10">
        <v>1</v>
      </c>
      <c r="H81" s="10">
        <v>0</v>
      </c>
      <c r="I81" s="11">
        <v>44136</v>
      </c>
      <c r="J81" s="11">
        <f>I81+180</f>
        <v>44316</v>
      </c>
      <c r="K81" s="3"/>
      <c r="L81" s="3" t="s">
        <v>89</v>
      </c>
      <c r="M81" s="1"/>
      <c r="N81" s="1"/>
      <c r="O81" s="1"/>
      <c r="P81" s="1"/>
      <c r="Q81" s="1"/>
      <c r="R81" s="1"/>
      <c r="S81" s="59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59"/>
      <c r="AH81" s="59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87" customHeight="1" x14ac:dyDescent="0.25">
      <c r="A82" s="339" t="s">
        <v>342</v>
      </c>
      <c r="B82" s="5" t="s">
        <v>285</v>
      </c>
      <c r="C82" s="340" t="s">
        <v>375</v>
      </c>
      <c r="D82" s="3" t="s">
        <v>191</v>
      </c>
      <c r="E82" s="3" t="s">
        <v>88</v>
      </c>
      <c r="F82" s="4">
        <v>300000</v>
      </c>
      <c r="G82" s="10">
        <v>1</v>
      </c>
      <c r="H82" s="10">
        <v>0</v>
      </c>
      <c r="I82" s="11">
        <v>44136</v>
      </c>
      <c r="J82" s="11">
        <f>I82+180</f>
        <v>44316</v>
      </c>
      <c r="K82" s="3"/>
      <c r="L82" s="3" t="s">
        <v>89</v>
      </c>
      <c r="M82" s="1"/>
      <c r="N82" s="1"/>
      <c r="O82" s="1"/>
      <c r="P82" s="1"/>
      <c r="Q82" s="1"/>
      <c r="R82" s="1"/>
      <c r="S82" s="59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59"/>
      <c r="AH82" s="59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87" customHeight="1" x14ac:dyDescent="0.25">
      <c r="A83" s="339" t="s">
        <v>341</v>
      </c>
      <c r="B83" s="5" t="s">
        <v>296</v>
      </c>
      <c r="C83" s="3" t="s">
        <v>222</v>
      </c>
      <c r="D83" s="3" t="s">
        <v>191</v>
      </c>
      <c r="E83" s="3" t="s">
        <v>88</v>
      </c>
      <c r="F83" s="4">
        <v>150000</v>
      </c>
      <c r="G83" s="10">
        <v>1</v>
      </c>
      <c r="H83" s="10">
        <v>0</v>
      </c>
      <c r="I83" s="11">
        <v>44075</v>
      </c>
      <c r="J83" s="11">
        <v>44531</v>
      </c>
      <c r="K83" s="3"/>
      <c r="L83" s="3" t="s">
        <v>89</v>
      </c>
      <c r="M83" s="1"/>
      <c r="N83" s="1"/>
      <c r="O83" s="1"/>
      <c r="P83" s="1"/>
      <c r="Q83" s="1"/>
      <c r="R83" s="1"/>
      <c r="S83" s="59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59"/>
      <c r="AH83" s="59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87" hidden="1" customHeight="1" x14ac:dyDescent="0.25">
      <c r="A84" s="21"/>
      <c r="B84" s="5" t="s">
        <v>296</v>
      </c>
      <c r="C84" s="3" t="s">
        <v>295</v>
      </c>
      <c r="D84" s="3" t="s">
        <v>191</v>
      </c>
      <c r="E84" s="3" t="s">
        <v>88</v>
      </c>
      <c r="F84" s="4">
        <v>200000</v>
      </c>
      <c r="G84" s="10">
        <v>1</v>
      </c>
      <c r="H84" s="10">
        <v>0</v>
      </c>
      <c r="I84" s="11">
        <v>44986</v>
      </c>
      <c r="J84" s="11">
        <f>I84+180</f>
        <v>45166</v>
      </c>
      <c r="K84" s="3"/>
      <c r="L84" s="3" t="s">
        <v>89</v>
      </c>
      <c r="M84" s="1"/>
      <c r="N84" s="1"/>
      <c r="O84" s="1"/>
      <c r="P84" s="1"/>
      <c r="Q84" s="1"/>
      <c r="R84" s="1"/>
      <c r="S84" s="59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59"/>
      <c r="AH84" s="59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87" customHeight="1" x14ac:dyDescent="0.25">
      <c r="A85" s="339" t="s">
        <v>376</v>
      </c>
      <c r="B85" s="339" t="s">
        <v>326</v>
      </c>
      <c r="C85" s="340" t="s">
        <v>325</v>
      </c>
      <c r="D85" s="340" t="s">
        <v>191</v>
      </c>
      <c r="E85" s="340" t="s">
        <v>88</v>
      </c>
      <c r="F85" s="341">
        <v>70000</v>
      </c>
      <c r="G85" s="342">
        <v>1</v>
      </c>
      <c r="H85" s="342">
        <v>0</v>
      </c>
      <c r="I85" s="343">
        <v>43880</v>
      </c>
      <c r="J85" s="344">
        <f>I85+30</f>
        <v>43910</v>
      </c>
      <c r="K85" s="340" t="s">
        <v>350</v>
      </c>
      <c r="L85" s="339" t="s">
        <v>89</v>
      </c>
      <c r="M85" s="1"/>
      <c r="N85" s="1"/>
      <c r="O85" s="1"/>
      <c r="P85" s="1"/>
      <c r="Q85" s="1"/>
      <c r="R85" s="1"/>
      <c r="S85" s="59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59"/>
      <c r="AH85" s="59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87" customHeight="1" x14ac:dyDescent="0.25">
      <c r="A86" s="339" t="s">
        <v>340</v>
      </c>
      <c r="B86" s="5" t="s">
        <v>286</v>
      </c>
      <c r="C86" s="340" t="s">
        <v>223</v>
      </c>
      <c r="D86" s="3" t="s">
        <v>191</v>
      </c>
      <c r="E86" s="3" t="s">
        <v>88</v>
      </c>
      <c r="F86" s="4">
        <v>500000</v>
      </c>
      <c r="G86" s="10">
        <v>1</v>
      </c>
      <c r="H86" s="10">
        <v>0</v>
      </c>
      <c r="I86" s="11">
        <v>44001</v>
      </c>
      <c r="J86" s="11">
        <f>I86+80</f>
        <v>44081</v>
      </c>
      <c r="K86" s="3"/>
      <c r="L86" s="3" t="s">
        <v>89</v>
      </c>
      <c r="M86" s="1"/>
      <c r="N86" s="1"/>
      <c r="O86" s="1"/>
      <c r="P86" s="1"/>
      <c r="Q86" s="1"/>
      <c r="R86" s="1"/>
      <c r="S86" s="59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59"/>
      <c r="AH86" s="59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23.25" customHeight="1" x14ac:dyDescent="0.25">
      <c r="A87" s="322" t="s">
        <v>1</v>
      </c>
      <c r="B87" s="322"/>
      <c r="C87" s="323"/>
      <c r="D87" s="323"/>
      <c r="E87" s="323"/>
      <c r="F87" s="324">
        <f>SUM(F73:F86)</f>
        <v>7155000</v>
      </c>
      <c r="G87" s="325"/>
      <c r="H87" s="325"/>
      <c r="I87" s="323"/>
      <c r="J87" s="322"/>
      <c r="K87" s="322"/>
      <c r="L87" s="322"/>
      <c r="M87" s="61"/>
      <c r="N87" s="61"/>
      <c r="O87" s="61"/>
      <c r="P87" s="61"/>
      <c r="Q87" s="61"/>
      <c r="R87" s="61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39"/>
      <c r="AU87" s="639"/>
      <c r="AV87" s="639"/>
      <c r="AW87" s="639"/>
      <c r="AX87" s="639"/>
      <c r="AY87" s="639"/>
      <c r="AZ87" s="639"/>
      <c r="BA87" s="639"/>
      <c r="BB87" s="639"/>
      <c r="BC87" s="639"/>
      <c r="BD87" s="639"/>
      <c r="BE87" s="639"/>
      <c r="BF87" s="639"/>
      <c r="BG87" s="639"/>
      <c r="BH87" s="639"/>
      <c r="BI87" s="639"/>
      <c r="BJ87" s="639"/>
      <c r="BK87" s="639"/>
      <c r="BL87" s="639"/>
      <c r="BM87" s="639"/>
      <c r="BN87" s="639"/>
      <c r="BO87" s="639"/>
    </row>
    <row r="88" spans="1:67" ht="27" customHeight="1" x14ac:dyDescent="0.3">
      <c r="A88" s="308"/>
      <c r="B88" s="309"/>
      <c r="C88" s="310"/>
      <c r="D88" s="25"/>
      <c r="E88" s="25"/>
      <c r="F88" s="37"/>
      <c r="G88" s="26"/>
      <c r="H88" s="26"/>
      <c r="I88" s="298"/>
      <c r="J88" s="24"/>
      <c r="K88" s="24"/>
      <c r="L88" s="25"/>
      <c r="M88" s="63"/>
      <c r="N88" s="63"/>
      <c r="O88" s="63"/>
      <c r="P88" s="63"/>
      <c r="Q88" s="63"/>
      <c r="R88" s="63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39"/>
      <c r="AU88" s="639"/>
      <c r="AV88" s="639"/>
      <c r="AW88" s="639"/>
      <c r="AX88" s="639"/>
      <c r="AY88" s="639"/>
      <c r="AZ88" s="639"/>
      <c r="BA88" s="639"/>
      <c r="BB88" s="639"/>
      <c r="BC88" s="639"/>
      <c r="BD88" s="639"/>
      <c r="BE88" s="639"/>
      <c r="BF88" s="639"/>
      <c r="BG88" s="639"/>
      <c r="BH88" s="639"/>
      <c r="BI88" s="639"/>
      <c r="BJ88" s="639"/>
      <c r="BK88" s="639"/>
      <c r="BL88" s="639"/>
      <c r="BM88" s="639"/>
      <c r="BN88" s="639"/>
      <c r="BO88" s="639"/>
    </row>
    <row r="89" spans="1:67" ht="19.5" customHeight="1" x14ac:dyDescent="0.25">
      <c r="A89" s="640" t="s">
        <v>65</v>
      </c>
      <c r="B89" s="640"/>
      <c r="C89" s="640"/>
      <c r="D89" s="640"/>
      <c r="E89" s="640"/>
      <c r="F89" s="640"/>
      <c r="G89" s="640"/>
      <c r="H89" s="640"/>
      <c r="I89" s="640"/>
      <c r="J89" s="640"/>
      <c r="K89" s="640"/>
      <c r="L89" s="640"/>
      <c r="M89" s="64"/>
      <c r="N89" s="64"/>
      <c r="O89" s="64"/>
      <c r="P89" s="64"/>
      <c r="Q89" s="64"/>
      <c r="R89" s="64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39"/>
      <c r="AU89" s="639"/>
      <c r="AV89" s="639"/>
      <c r="AW89" s="639"/>
      <c r="AX89" s="639"/>
      <c r="AY89" s="639"/>
      <c r="AZ89" s="639"/>
      <c r="BA89" s="639"/>
      <c r="BB89" s="639"/>
      <c r="BC89" s="639"/>
      <c r="BD89" s="639"/>
      <c r="BE89" s="639"/>
      <c r="BF89" s="639"/>
      <c r="BG89" s="639"/>
      <c r="BH89" s="639"/>
      <c r="BI89" s="639"/>
      <c r="BJ89" s="639"/>
      <c r="BK89" s="639"/>
      <c r="BL89" s="639"/>
      <c r="BM89" s="639"/>
      <c r="BN89" s="639"/>
      <c r="BO89" s="639"/>
    </row>
    <row r="90" spans="1:67" ht="23.25" customHeight="1" x14ac:dyDescent="0.25">
      <c r="A90" s="646" t="s">
        <v>61</v>
      </c>
      <c r="B90" s="632" t="s">
        <v>66</v>
      </c>
      <c r="C90" s="634" t="s">
        <v>5</v>
      </c>
      <c r="D90" s="636" t="s">
        <v>71</v>
      </c>
      <c r="E90" s="632" t="s">
        <v>72</v>
      </c>
      <c r="F90" s="643" t="s">
        <v>73</v>
      </c>
      <c r="G90" s="637"/>
      <c r="H90" s="638"/>
      <c r="I90" s="633" t="s">
        <v>77</v>
      </c>
      <c r="J90" s="633"/>
      <c r="K90" s="644" t="s">
        <v>86</v>
      </c>
      <c r="L90" s="633" t="s">
        <v>87</v>
      </c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  <c r="BH90" s="65"/>
      <c r="BI90" s="65"/>
      <c r="BJ90" s="65"/>
      <c r="BK90" s="65"/>
      <c r="BL90" s="65"/>
      <c r="BM90" s="65"/>
      <c r="BN90" s="65"/>
      <c r="BO90" s="65"/>
    </row>
    <row r="91" spans="1:67" ht="44.45" customHeight="1" x14ac:dyDescent="0.25">
      <c r="A91" s="647"/>
      <c r="B91" s="641"/>
      <c r="C91" s="642"/>
      <c r="D91" s="636"/>
      <c r="E91" s="641"/>
      <c r="F91" s="14" t="s">
        <v>74</v>
      </c>
      <c r="G91" s="337" t="s">
        <v>75</v>
      </c>
      <c r="H91" s="337" t="s">
        <v>76</v>
      </c>
      <c r="I91" s="336" t="s">
        <v>82</v>
      </c>
      <c r="J91" s="338" t="s">
        <v>85</v>
      </c>
      <c r="K91" s="645"/>
      <c r="L91" s="641"/>
    </row>
    <row r="92" spans="1:67" ht="51" x14ac:dyDescent="0.25">
      <c r="A92" s="339" t="s">
        <v>344</v>
      </c>
      <c r="B92" s="339" t="s">
        <v>278</v>
      </c>
      <c r="C92" s="340" t="s">
        <v>333</v>
      </c>
      <c r="D92" s="340" t="s">
        <v>336</v>
      </c>
      <c r="E92" s="340" t="s">
        <v>88</v>
      </c>
      <c r="F92" s="341">
        <v>200000</v>
      </c>
      <c r="G92" s="342">
        <v>1</v>
      </c>
      <c r="H92" s="342">
        <v>0</v>
      </c>
      <c r="I92" s="343">
        <v>44001</v>
      </c>
      <c r="J92" s="343">
        <f>I92+90</f>
        <v>44091</v>
      </c>
      <c r="K92" s="344"/>
      <c r="L92" s="339" t="s">
        <v>89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51" x14ac:dyDescent="0.25">
      <c r="A93" s="339" t="s">
        <v>332</v>
      </c>
      <c r="B93" s="339" t="s">
        <v>279</v>
      </c>
      <c r="C93" s="340" t="s">
        <v>335</v>
      </c>
      <c r="D93" s="340" t="s">
        <v>336</v>
      </c>
      <c r="E93" s="340" t="s">
        <v>88</v>
      </c>
      <c r="F93" s="341">
        <v>200000</v>
      </c>
      <c r="G93" s="342">
        <v>1</v>
      </c>
      <c r="H93" s="342">
        <v>0</v>
      </c>
      <c r="I93" s="343">
        <v>44001</v>
      </c>
      <c r="J93" s="343">
        <f>I93+120</f>
        <v>44121</v>
      </c>
      <c r="K93" s="344"/>
      <c r="L93" s="339" t="s">
        <v>89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65.25" customHeight="1" x14ac:dyDescent="0.25">
      <c r="A94" s="339" t="s">
        <v>334</v>
      </c>
      <c r="B94" s="5" t="s">
        <v>297</v>
      </c>
      <c r="C94" s="340" t="s">
        <v>224</v>
      </c>
      <c r="D94" s="340" t="s">
        <v>336</v>
      </c>
      <c r="E94" s="3" t="s">
        <v>88</v>
      </c>
      <c r="F94" s="4">
        <v>70000</v>
      </c>
      <c r="G94" s="10">
        <v>1</v>
      </c>
      <c r="H94" s="10">
        <v>0</v>
      </c>
      <c r="I94" s="303">
        <v>44001</v>
      </c>
      <c r="J94" s="7">
        <f>I94+90</f>
        <v>44091</v>
      </c>
      <c r="K94" s="5"/>
      <c r="L94" s="5" t="s">
        <v>89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65.25" customHeight="1" x14ac:dyDescent="0.25">
      <c r="A95" s="339" t="s">
        <v>345</v>
      </c>
      <c r="B95" s="5" t="s">
        <v>298</v>
      </c>
      <c r="C95" s="340" t="s">
        <v>225</v>
      </c>
      <c r="D95" s="340" t="s">
        <v>336</v>
      </c>
      <c r="E95" s="3" t="s">
        <v>88</v>
      </c>
      <c r="F95" s="4">
        <v>80000</v>
      </c>
      <c r="G95" s="10">
        <v>1</v>
      </c>
      <c r="H95" s="10">
        <v>0</v>
      </c>
      <c r="I95" s="303">
        <v>43909</v>
      </c>
      <c r="J95" s="7">
        <f>I95+30</f>
        <v>43939</v>
      </c>
      <c r="K95" s="5"/>
      <c r="L95" s="5" t="s">
        <v>89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65.25" customHeight="1" x14ac:dyDescent="0.25">
      <c r="A96" s="339" t="s">
        <v>346</v>
      </c>
      <c r="B96" s="5" t="s">
        <v>301</v>
      </c>
      <c r="C96" s="340" t="s">
        <v>226</v>
      </c>
      <c r="D96" s="340" t="s">
        <v>336</v>
      </c>
      <c r="E96" s="3" t="s">
        <v>88</v>
      </c>
      <c r="F96" s="4">
        <v>594000</v>
      </c>
      <c r="G96" s="10">
        <v>1</v>
      </c>
      <c r="H96" s="10">
        <v>0</v>
      </c>
      <c r="I96" s="303">
        <v>44001</v>
      </c>
      <c r="J96" s="7">
        <f>I96+45</f>
        <v>44046</v>
      </c>
      <c r="K96" s="339"/>
      <c r="L96" s="5" t="s">
        <v>89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65.25" customHeight="1" x14ac:dyDescent="0.25">
      <c r="A97" s="339" t="s">
        <v>323</v>
      </c>
      <c r="B97" s="5" t="s">
        <v>329</v>
      </c>
      <c r="C97" s="340" t="s">
        <v>227</v>
      </c>
      <c r="D97" s="340" t="s">
        <v>336</v>
      </c>
      <c r="E97" s="3" t="s">
        <v>88</v>
      </c>
      <c r="F97" s="341">
        <v>200000</v>
      </c>
      <c r="G97" s="10">
        <v>1</v>
      </c>
      <c r="H97" s="10">
        <v>0</v>
      </c>
      <c r="I97" s="303">
        <v>44001</v>
      </c>
      <c r="J97" s="7">
        <f>I97+45</f>
        <v>44046</v>
      </c>
      <c r="K97" s="339"/>
      <c r="L97" s="5" t="s">
        <v>89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65.25" hidden="1" customHeight="1" x14ac:dyDescent="0.25">
      <c r="A98" s="5"/>
      <c r="B98" s="5" t="s">
        <v>287</v>
      </c>
      <c r="C98" s="340" t="s">
        <v>228</v>
      </c>
      <c r="D98" s="340" t="s">
        <v>336</v>
      </c>
      <c r="E98" s="3" t="s">
        <v>88</v>
      </c>
      <c r="F98" s="4">
        <v>60000</v>
      </c>
      <c r="G98" s="10">
        <v>1</v>
      </c>
      <c r="H98" s="10">
        <v>0</v>
      </c>
      <c r="I98" s="303">
        <v>44580</v>
      </c>
      <c r="J98" s="7">
        <f>I98+45</f>
        <v>44625</v>
      </c>
      <c r="K98" s="339" t="s">
        <v>192</v>
      </c>
      <c r="L98" s="5" t="s">
        <v>89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65.25" hidden="1" customHeight="1" x14ac:dyDescent="0.25">
      <c r="A99" s="5"/>
      <c r="B99" s="5" t="s">
        <v>287</v>
      </c>
      <c r="C99" s="340" t="s">
        <v>229</v>
      </c>
      <c r="D99" s="340" t="s">
        <v>336</v>
      </c>
      <c r="E99" s="3" t="s">
        <v>88</v>
      </c>
      <c r="F99" s="4">
        <v>90000</v>
      </c>
      <c r="G99" s="10">
        <v>1</v>
      </c>
      <c r="H99" s="10">
        <v>0</v>
      </c>
      <c r="I99" s="303">
        <v>45766</v>
      </c>
      <c r="J99" s="7">
        <f>I99+45</f>
        <v>45811</v>
      </c>
      <c r="K99" s="339" t="s">
        <v>192</v>
      </c>
      <c r="L99" s="5" t="s">
        <v>89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65.25" customHeight="1" x14ac:dyDescent="0.25">
      <c r="A100" s="339" t="s">
        <v>347</v>
      </c>
      <c r="B100" s="5" t="s">
        <v>299</v>
      </c>
      <c r="C100" s="340" t="s">
        <v>230</v>
      </c>
      <c r="D100" s="340" t="s">
        <v>336</v>
      </c>
      <c r="E100" s="3" t="s">
        <v>88</v>
      </c>
      <c r="F100" s="4">
        <v>127000</v>
      </c>
      <c r="G100" s="10">
        <v>1</v>
      </c>
      <c r="H100" s="10">
        <v>0</v>
      </c>
      <c r="I100" s="303">
        <v>44062</v>
      </c>
      <c r="J100" s="7">
        <f>I100+45</f>
        <v>44107</v>
      </c>
      <c r="K100" s="339"/>
      <c r="L100" s="5" t="s">
        <v>89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65.25" customHeight="1" x14ac:dyDescent="0.25">
      <c r="A101" s="339" t="s">
        <v>324</v>
      </c>
      <c r="B101" s="5" t="s">
        <v>300</v>
      </c>
      <c r="C101" s="3" t="s">
        <v>231</v>
      </c>
      <c r="D101" s="340" t="s">
        <v>336</v>
      </c>
      <c r="E101" s="3" t="s">
        <v>88</v>
      </c>
      <c r="F101" s="4">
        <v>127000</v>
      </c>
      <c r="G101" s="10">
        <v>1</v>
      </c>
      <c r="H101" s="10">
        <v>0</v>
      </c>
      <c r="I101" s="303">
        <v>43983</v>
      </c>
      <c r="J101" s="7">
        <f>I101+60</f>
        <v>44043</v>
      </c>
      <c r="K101" s="5"/>
      <c r="L101" s="5" t="s">
        <v>89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23.25" customHeight="1" x14ac:dyDescent="0.25">
      <c r="A102" s="296" t="s">
        <v>1</v>
      </c>
      <c r="B102" s="296"/>
      <c r="C102" s="304"/>
      <c r="D102" s="304"/>
      <c r="E102" s="304"/>
      <c r="F102" s="311">
        <f>SUM(F94:F101)</f>
        <v>1348000</v>
      </c>
      <c r="G102" s="50"/>
      <c r="H102" s="50"/>
      <c r="I102" s="304"/>
      <c r="J102" s="296"/>
      <c r="K102" s="296"/>
      <c r="L102" s="296"/>
    </row>
    <row r="103" spans="1:67" ht="23.25" customHeight="1" x14ac:dyDescent="0.3">
      <c r="A103" s="308"/>
      <c r="B103" s="309"/>
      <c r="C103" s="310"/>
      <c r="D103" s="309"/>
      <c r="E103" s="309"/>
      <c r="F103" s="312"/>
      <c r="G103" s="313"/>
      <c r="H103" s="26"/>
      <c r="I103" s="298"/>
      <c r="J103" s="24"/>
      <c r="K103" s="24"/>
      <c r="L103" s="25"/>
    </row>
    <row r="104" spans="1:67" ht="23.25" customHeight="1" x14ac:dyDescent="0.25">
      <c r="A104" s="24"/>
      <c r="B104" s="25"/>
      <c r="C104" s="301"/>
      <c r="D104" s="25"/>
      <c r="E104" s="25"/>
      <c r="G104" s="314"/>
      <c r="H104" s="26"/>
      <c r="I104" s="298"/>
      <c r="J104" s="24"/>
      <c r="K104" s="24"/>
      <c r="L104" s="25"/>
    </row>
    <row r="105" spans="1:67" ht="23.25" customHeight="1" x14ac:dyDescent="0.25">
      <c r="A105" s="67" t="s">
        <v>1</v>
      </c>
      <c r="B105" s="68"/>
      <c r="C105" s="315"/>
      <c r="D105" s="315"/>
      <c r="E105" s="315"/>
      <c r="F105" s="69">
        <f>F102+F87+F59+F26+F68</f>
        <v>113237637</v>
      </c>
      <c r="G105" s="70"/>
      <c r="H105" s="70"/>
      <c r="I105" s="315"/>
      <c r="J105" s="68"/>
      <c r="K105" s="68"/>
      <c r="L105" s="71"/>
    </row>
    <row r="106" spans="1:67" ht="21" customHeight="1" x14ac:dyDescent="0.25">
      <c r="A106" s="72"/>
      <c r="B106" s="72"/>
      <c r="C106" s="316"/>
      <c r="D106" s="72"/>
      <c r="E106" s="72"/>
      <c r="F106" s="73"/>
      <c r="G106" s="295"/>
      <c r="H106" s="295"/>
      <c r="I106" s="72"/>
      <c r="J106" s="24"/>
      <c r="K106" s="24"/>
      <c r="L106" s="25"/>
    </row>
    <row r="107" spans="1:67" ht="23.25" customHeight="1" x14ac:dyDescent="0.25">
      <c r="A107" s="624" t="s">
        <v>151</v>
      </c>
      <c r="B107" s="624"/>
      <c r="C107" s="624"/>
      <c r="D107" s="624"/>
      <c r="E107" s="624"/>
      <c r="F107" s="624"/>
      <c r="G107" s="624"/>
      <c r="H107" s="624"/>
      <c r="I107" s="624"/>
      <c r="J107" s="624"/>
      <c r="K107" s="624"/>
      <c r="L107" s="624"/>
    </row>
    <row r="108" spans="1:67" ht="10.5" customHeight="1" x14ac:dyDescent="0.25">
      <c r="A108" s="627"/>
      <c r="B108" s="628"/>
      <c r="C108" s="628"/>
      <c r="D108" s="628"/>
      <c r="E108" s="628"/>
      <c r="F108" s="628"/>
      <c r="G108" s="628"/>
      <c r="H108" s="628"/>
      <c r="I108" s="628"/>
      <c r="J108" s="628"/>
      <c r="K108" s="628"/>
      <c r="L108" s="629"/>
    </row>
    <row r="109" spans="1:67" ht="42" customHeight="1" x14ac:dyDescent="0.25">
      <c r="A109" s="625" t="s">
        <v>152</v>
      </c>
      <c r="B109" s="625"/>
      <c r="C109" s="625"/>
      <c r="D109" s="625"/>
      <c r="E109" s="625"/>
      <c r="F109" s="625"/>
      <c r="G109" s="625"/>
      <c r="H109" s="625"/>
      <c r="I109" s="625"/>
      <c r="J109" s="625"/>
      <c r="K109" s="625"/>
      <c r="L109" s="625"/>
    </row>
    <row r="110" spans="1:67" ht="7.5" customHeight="1" x14ac:dyDescent="0.25">
      <c r="A110" s="626"/>
      <c r="B110" s="626"/>
      <c r="C110" s="626"/>
      <c r="D110" s="626"/>
      <c r="E110" s="626"/>
      <c r="F110" s="626"/>
      <c r="G110" s="626"/>
      <c r="H110" s="626"/>
      <c r="I110" s="626"/>
      <c r="J110" s="626"/>
      <c r="K110" s="626"/>
      <c r="L110" s="626"/>
    </row>
    <row r="111" spans="1:67" ht="23.25" customHeight="1" x14ac:dyDescent="0.25">
      <c r="A111" s="624" t="s">
        <v>153</v>
      </c>
      <c r="B111" s="624"/>
      <c r="C111" s="624"/>
      <c r="D111" s="624"/>
      <c r="E111" s="624"/>
      <c r="F111" s="624"/>
      <c r="G111" s="624"/>
      <c r="H111" s="624"/>
      <c r="I111" s="624"/>
      <c r="J111" s="624"/>
      <c r="K111" s="624"/>
      <c r="L111" s="624"/>
    </row>
    <row r="112" spans="1:67" ht="9.75" customHeight="1" x14ac:dyDescent="0.2">
      <c r="A112" s="74"/>
      <c r="B112" s="75"/>
      <c r="C112" s="317"/>
      <c r="D112" s="75"/>
      <c r="E112" s="75"/>
      <c r="F112" s="76"/>
      <c r="G112" s="77"/>
      <c r="H112" s="77"/>
      <c r="I112" s="75"/>
      <c r="J112" s="78"/>
      <c r="K112" s="78"/>
      <c r="L112" s="79"/>
    </row>
    <row r="113" spans="1:12" ht="23.25" customHeight="1" x14ac:dyDescent="0.25">
      <c r="A113" s="624" t="s">
        <v>154</v>
      </c>
      <c r="B113" s="624"/>
      <c r="C113" s="624"/>
      <c r="D113" s="624"/>
      <c r="E113" s="624"/>
      <c r="F113" s="624"/>
      <c r="G113" s="624"/>
      <c r="H113" s="624"/>
      <c r="I113" s="624"/>
      <c r="J113" s="624"/>
      <c r="K113" s="624"/>
      <c r="L113" s="624"/>
    </row>
    <row r="114" spans="1:12" ht="23.25" customHeight="1" x14ac:dyDescent="0.25">
      <c r="A114" s="24"/>
      <c r="B114" s="25"/>
      <c r="C114" s="301"/>
      <c r="D114" s="25"/>
      <c r="E114" s="25"/>
      <c r="F114" s="37"/>
      <c r="G114" s="26"/>
      <c r="H114" s="26"/>
      <c r="I114" s="298"/>
      <c r="J114" s="24"/>
      <c r="K114" s="24"/>
      <c r="L114" s="25"/>
    </row>
  </sheetData>
  <customSheetViews>
    <customSheetView guid="{64CDB73C-0515-4B84-BBDA-15E88C795A11}" scale="90" topLeftCell="A101">
      <selection activeCell="G60" sqref="G60:L60"/>
      <pageMargins left="0.7" right="0.7" top="0.75" bottom="0.75" header="0.3" footer="0.3"/>
      <pageSetup orientation="portrait" r:id="rId1"/>
    </customSheetView>
    <customSheetView guid="{C31D0E94-A34D-4CDF-BD63-4E4334BF746E}" scale="90" topLeftCell="B78">
      <selection activeCell="K81" sqref="K81"/>
      <pageMargins left="0.7" right="0.7" top="0.75" bottom="0.75" header="0.3" footer="0.3"/>
      <pageSetup orientation="portrait" r:id="rId2"/>
    </customSheetView>
    <customSheetView guid="{C9B4FAC3-3451-4E1B-97A4-CB12A081915B}" scale="60" hiddenColumns="1" topLeftCell="B83">
      <selection activeCell="E84" sqref="E84"/>
      <pageMargins left="0.7" right="0.7" top="0.75" bottom="0.75" header="0.3" footer="0.3"/>
      <pageSetup orientation="portrait" r:id="rId3"/>
    </customSheetView>
    <customSheetView guid="{940A1785-5DEB-4BF0-A0A1-E7CB3C7D9639}" scale="90">
      <selection activeCell="A10" sqref="A10"/>
      <pageMargins left="0.7" right="0.7" top="0.75" bottom="0.75" header="0.3" footer="0.3"/>
      <pageSetup orientation="portrait" r:id="rId4"/>
    </customSheetView>
  </customSheetViews>
  <mergeCells count="69">
    <mergeCell ref="D1:F1"/>
    <mergeCell ref="D2:F2"/>
    <mergeCell ref="D3:F3"/>
    <mergeCell ref="D4:F4"/>
    <mergeCell ref="D5:F5"/>
    <mergeCell ref="A61:K61"/>
    <mergeCell ref="AZ5:BG6"/>
    <mergeCell ref="C29:C30"/>
    <mergeCell ref="D29:D30"/>
    <mergeCell ref="E29:E30"/>
    <mergeCell ref="F29:H29"/>
    <mergeCell ref="I29:J29"/>
    <mergeCell ref="I8:J8"/>
    <mergeCell ref="K29:K30"/>
    <mergeCell ref="L29:L30"/>
    <mergeCell ref="K8:K9"/>
    <mergeCell ref="A7:K7"/>
    <mergeCell ref="AT9:BO9"/>
    <mergeCell ref="A28:K28"/>
    <mergeCell ref="D8:D9"/>
    <mergeCell ref="E8:E9"/>
    <mergeCell ref="C8:C9"/>
    <mergeCell ref="A59:E59"/>
    <mergeCell ref="G59:L59"/>
    <mergeCell ref="B29:B30"/>
    <mergeCell ref="A29:A30"/>
    <mergeCell ref="F8:H8"/>
    <mergeCell ref="L8:L9"/>
    <mergeCell ref="A8:A9"/>
    <mergeCell ref="B8:B9"/>
    <mergeCell ref="K62:K63"/>
    <mergeCell ref="L62:L63"/>
    <mergeCell ref="A70:I70"/>
    <mergeCell ref="J70:L70"/>
    <mergeCell ref="K71:K72"/>
    <mergeCell ref="L71:L72"/>
    <mergeCell ref="A71:A72"/>
    <mergeCell ref="A68:E68"/>
    <mergeCell ref="A62:A63"/>
    <mergeCell ref="B62:B63"/>
    <mergeCell ref="G68:L68"/>
    <mergeCell ref="I62:J62"/>
    <mergeCell ref="C62:C63"/>
    <mergeCell ref="D62:D63"/>
    <mergeCell ref="E62:E63"/>
    <mergeCell ref="F62:H62"/>
    <mergeCell ref="AT87:BO89"/>
    <mergeCell ref="A89:L89"/>
    <mergeCell ref="B90:B91"/>
    <mergeCell ref="C90:C91"/>
    <mergeCell ref="D90:D91"/>
    <mergeCell ref="E90:E91"/>
    <mergeCell ref="F90:H90"/>
    <mergeCell ref="I90:J90"/>
    <mergeCell ref="K90:K91"/>
    <mergeCell ref="L90:L91"/>
    <mergeCell ref="A90:A91"/>
    <mergeCell ref="I71:J71"/>
    <mergeCell ref="B71:B72"/>
    <mergeCell ref="C71:C72"/>
    <mergeCell ref="D71:D72"/>
    <mergeCell ref="E71:E72"/>
    <mergeCell ref="F71:H71"/>
    <mergeCell ref="A107:L107"/>
    <mergeCell ref="A109:L109"/>
    <mergeCell ref="A110:L110"/>
    <mergeCell ref="A111:L111"/>
    <mergeCell ref="A113:L113"/>
    <mergeCell ref="A108:L108"/>
  </mergeCells>
  <phoneticPr fontId="43" type="noConversion"/>
  <pageMargins left="0.7" right="0.7" top="0.75" bottom="0.75" header="0.3" footer="0.3"/>
  <pageSetup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A83DF370FB6D7A4C8F86E5B758A2BED8" ma:contentTypeVersion="7614" ma:contentTypeDescription="The base project type from which other project content types inherit their information." ma:contentTypeScope="" ma:versionID="c74374b131873218917b59673d14d70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271797b8e6457b968221f1369192c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A-L113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C2781A0834E5F488DCEC9D27A9FA199" ma:contentTypeVersion="7614" ma:contentTypeDescription="A content type to manage public (operations) IDB documents" ma:contentTypeScope="" ma:versionID="8fb1bf3ae2d0e7cc30ce35db8409228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05a033181309aee33954b74e7251be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3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4697/GR-HA;</Approval_x0020_Number>
    <Phase xmlns="cdc7663a-08f0-4737-9e8c-148ce897a09c">ACTIVE</Phase>
    <Document_x0020_Author xmlns="cdc7663a-08f0-4737-9e8c-148ce897a09c">Dugas, Fabrice Ghisler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AS-AGU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40</Value>
      <Value>101</Value>
      <Value>8</Value>
      <Value>42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HA-L1135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EZSHARE-1947244301-106</_dlc_DocId>
    <_dlc_DocIdUrl xmlns="cdc7663a-08f0-4737-9e8c-148ce897a09c">
      <Url>https://idbg.sharepoint.com/teams/EZ-HA-LON/HA-L1135/_layouts/15/DocIdRedir.aspx?ID=EZSHARE-1947244301-106</Url>
      <Description>EZSHARE-1947244301-106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8F29F66-8B31-4F71-A4A7-892E0C664D88}"/>
</file>

<file path=customXml/itemProps2.xml><?xml version="1.0" encoding="utf-8"?>
<ds:datastoreItem xmlns:ds="http://schemas.openxmlformats.org/officeDocument/2006/customXml" ds:itemID="{CED40AEE-6618-4787-B460-FA1ED74022C8}"/>
</file>

<file path=customXml/itemProps3.xml><?xml version="1.0" encoding="utf-8"?>
<ds:datastoreItem xmlns:ds="http://schemas.openxmlformats.org/officeDocument/2006/customXml" ds:itemID="{62F4D0C5-2936-40AC-B929-FC29F36A4225}"/>
</file>

<file path=customXml/itemProps4.xml><?xml version="1.0" encoding="utf-8"?>
<ds:datastoreItem xmlns:ds="http://schemas.openxmlformats.org/officeDocument/2006/customXml" ds:itemID="{3E0946AD-DEA8-48E4-B38D-FB7573EE9875}"/>
</file>

<file path=customXml/itemProps5.xml><?xml version="1.0" encoding="utf-8"?>
<ds:datastoreItem xmlns:ds="http://schemas.openxmlformats.org/officeDocument/2006/customXml" ds:itemID="{AF461BB8-D47D-4633-8DA2-1D7DEC1A735C}"/>
</file>

<file path=customXml/itemProps6.xml><?xml version="1.0" encoding="utf-8"?>
<ds:datastoreItem xmlns:ds="http://schemas.openxmlformats.org/officeDocument/2006/customXml" ds:itemID="{D75FFA7A-7332-40B7-85BA-843CCC2DE5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0. PMR-PEP</vt:lpstr>
      <vt:lpstr>3. Plan Passation Marché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Orisme Roc Passard, Marie Marcelle</dc:creator>
  <cp:keywords/>
  <cp:lastModifiedBy>Dugas,Fabrice Ghisler</cp:lastModifiedBy>
  <cp:lastPrinted>2018-02-09T16:34:09Z</cp:lastPrinted>
  <dcterms:created xsi:type="dcterms:W3CDTF">2010-11-12T16:21:59Z</dcterms:created>
  <dcterms:modified xsi:type="dcterms:W3CDTF">2020-02-11T20:38:51Z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101;#AS-AGU|28df1b5d-8f50-49f8-b50a-8bcbae67d2a4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42;#HA|77a11ace-c854-4e9c-9e19-c924bca0dd43</vt:lpwstr>
  </property>
  <property fmtid="{D5CDD505-2E9C-101B-9397-08002B2CF9AE}" pid="9" name="Sector IDB">
    <vt:lpwstr>83;#AS|ba6b63cd-e402-47cb-9357-08149f7ce046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b9912782-7f80-45bc-8500-deb0bc2b123d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0x0101001A458A224826124E8B45B1D613300CFC002C2781A0834E5F488DCEC9D27A9FA199</vt:lpwstr>
  </property>
</Properties>
</file>