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Luis\Dropbox\BR-1545 Analisis economico y PME\POST QRR\"/>
    </mc:Choice>
  </mc:AlternateContent>
  <xr:revisionPtr revIDLastSave="0" documentId="13_ncr:1_{39D17F8D-A61E-44EA-9F1D-69E64D7DF448}" xr6:coauthVersionLast="44" xr6:coauthVersionMax="44" xr10:uidLastSave="{00000000-0000-0000-0000-000000000000}"/>
  <bookViews>
    <workbookView xWindow="-120" yWindow="-120" windowWidth="20730" windowHeight="11160" xr2:uid="{D210D739-B47D-4245-BE32-1722FEEEB04A}"/>
  </bookViews>
  <sheets>
    <sheet name="Portada " sheetId="1" r:id="rId1"/>
    <sheet name="Resumen" sheetId="2" r:id="rId2"/>
    <sheet name="Costos" sheetId="3" r:id="rId3"/>
    <sheet name="Beneficios Base" sheetId="4" r:id="rId4"/>
    <sheet name="Beneficios conservador" sheetId="5" r:id="rId5"/>
    <sheet name="Cálculos" sheetId="6" r:id="rId6"/>
  </sheets>
  <externalReferences>
    <externalReference r:id="rId7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1" i="5" l="1"/>
  <c r="C17" i="5"/>
  <c r="C9" i="5"/>
  <c r="C8" i="5"/>
  <c r="C21" i="4"/>
  <c r="C17" i="4" l="1"/>
  <c r="C9" i="4"/>
  <c r="C8" i="4"/>
  <c r="C42" i="6" l="1"/>
  <c r="D42" i="6"/>
  <c r="E42" i="6"/>
  <c r="F42" i="6"/>
  <c r="B42" i="6"/>
  <c r="B41" i="6"/>
  <c r="C40" i="6"/>
  <c r="D40" i="6"/>
  <c r="E40" i="6"/>
  <c r="F40" i="6"/>
  <c r="B40" i="6"/>
  <c r="B39" i="6"/>
  <c r="B38" i="6"/>
  <c r="B16" i="6"/>
  <c r="B15" i="6"/>
  <c r="B14" i="6"/>
  <c r="B13" i="6"/>
  <c r="C17" i="6"/>
  <c r="D17" i="6"/>
  <c r="E17" i="6"/>
  <c r="F17" i="6"/>
  <c r="B17" i="6"/>
  <c r="D15" i="6"/>
  <c r="E15" i="6"/>
  <c r="F15" i="6"/>
  <c r="C15" i="6"/>
  <c r="C104" i="5"/>
  <c r="D104" i="5"/>
  <c r="E104" i="5"/>
  <c r="F104" i="5"/>
  <c r="B104" i="5"/>
  <c r="C32" i="5"/>
  <c r="D32" i="5"/>
  <c r="E32" i="5"/>
  <c r="F32" i="5"/>
  <c r="B32" i="5"/>
  <c r="C31" i="5"/>
  <c r="D31" i="5"/>
  <c r="E31" i="5"/>
  <c r="F31" i="5"/>
  <c r="B31" i="5"/>
  <c r="C104" i="4"/>
  <c r="D104" i="4"/>
  <c r="E104" i="4"/>
  <c r="F104" i="4"/>
  <c r="B104" i="4"/>
  <c r="C32" i="4"/>
  <c r="D32" i="4"/>
  <c r="E32" i="4"/>
  <c r="F32" i="4"/>
  <c r="B32" i="4"/>
  <c r="C31" i="4"/>
  <c r="D31" i="4"/>
  <c r="E31" i="4"/>
  <c r="F31" i="4"/>
  <c r="B31" i="4"/>
  <c r="F51" i="6" l="1"/>
  <c r="E51" i="6"/>
  <c r="D51" i="6"/>
  <c r="C51" i="6"/>
  <c r="B51" i="6"/>
  <c r="A42" i="6"/>
  <c r="A41" i="6"/>
  <c r="A40" i="6"/>
  <c r="A39" i="6"/>
  <c r="A38" i="6"/>
  <c r="A37" i="6"/>
  <c r="B26" i="6"/>
  <c r="A17" i="6"/>
  <c r="A16" i="6"/>
  <c r="A15" i="6"/>
  <c r="A14" i="6"/>
  <c r="A13" i="6"/>
  <c r="A12" i="6"/>
  <c r="A199" i="5"/>
  <c r="A198" i="5"/>
  <c r="B197" i="5"/>
  <c r="A197" i="5"/>
  <c r="A196" i="5"/>
  <c r="B195" i="5"/>
  <c r="A195" i="5"/>
  <c r="A194" i="5"/>
  <c r="B193" i="5"/>
  <c r="B182" i="5"/>
  <c r="B183" i="5" s="1"/>
  <c r="B199" i="5" s="1"/>
  <c r="C180" i="5"/>
  <c r="C179" i="5"/>
  <c r="B150" i="5"/>
  <c r="C150" i="5" s="1"/>
  <c r="E131" i="5"/>
  <c r="C102" i="5"/>
  <c r="D102" i="5" s="1"/>
  <c r="E102" i="5" s="1"/>
  <c r="F102" i="5" s="1"/>
  <c r="G102" i="5" s="1"/>
  <c r="H102" i="5" s="1"/>
  <c r="B102" i="5"/>
  <c r="S100" i="5"/>
  <c r="T100" i="5" s="1"/>
  <c r="U100" i="5" s="1"/>
  <c r="V100" i="5" s="1"/>
  <c r="W100" i="5" s="1"/>
  <c r="X100" i="5" s="1"/>
  <c r="I100" i="5"/>
  <c r="J100" i="5" s="1"/>
  <c r="K100" i="5" s="1"/>
  <c r="L100" i="5" s="1"/>
  <c r="M100" i="5" s="1"/>
  <c r="N100" i="5" s="1"/>
  <c r="O100" i="5" s="1"/>
  <c r="P100" i="5" s="1"/>
  <c r="Q100" i="5" s="1"/>
  <c r="C100" i="5"/>
  <c r="D100" i="5" s="1"/>
  <c r="E100" i="5" s="1"/>
  <c r="F100" i="5" s="1"/>
  <c r="G100" i="5" s="1"/>
  <c r="H100" i="5" s="1"/>
  <c r="I31" i="5"/>
  <c r="J31" i="5" s="1"/>
  <c r="K31" i="5" s="1"/>
  <c r="L31" i="5" s="1"/>
  <c r="M31" i="5" s="1"/>
  <c r="N31" i="5" s="1"/>
  <c r="O31" i="5" s="1"/>
  <c r="P31" i="5" s="1"/>
  <c r="Q31" i="5" s="1"/>
  <c r="R31" i="5" s="1"/>
  <c r="S31" i="5" s="1"/>
  <c r="T31" i="5" s="1"/>
  <c r="U31" i="5" s="1"/>
  <c r="V31" i="5" s="1"/>
  <c r="W31" i="5" s="1"/>
  <c r="X31" i="5" s="1"/>
  <c r="F33" i="5"/>
  <c r="C131" i="5"/>
  <c r="B29" i="5"/>
  <c r="C29" i="5" s="1"/>
  <c r="D29" i="5" s="1"/>
  <c r="E29" i="5" s="1"/>
  <c r="F29" i="5" s="1"/>
  <c r="G29" i="5" s="1"/>
  <c r="H29" i="5" s="1"/>
  <c r="I29" i="5" s="1"/>
  <c r="J29" i="5" s="1"/>
  <c r="K29" i="5" s="1"/>
  <c r="L29" i="5" s="1"/>
  <c r="M29" i="5" s="1"/>
  <c r="N29" i="5" s="1"/>
  <c r="O29" i="5" s="1"/>
  <c r="P29" i="5" s="1"/>
  <c r="Q29" i="5" s="1"/>
  <c r="R29" i="5" s="1"/>
  <c r="S29" i="5" s="1"/>
  <c r="T29" i="5" s="1"/>
  <c r="U29" i="5" s="1"/>
  <c r="V29" i="5" s="1"/>
  <c r="W29" i="5" s="1"/>
  <c r="X29" i="5" s="1"/>
  <c r="E28" i="5"/>
  <c r="F28" i="5" s="1"/>
  <c r="G28" i="5" s="1"/>
  <c r="H28" i="5" s="1"/>
  <c r="D28" i="5"/>
  <c r="C28" i="5"/>
  <c r="S25" i="5"/>
  <c r="T25" i="5" s="1"/>
  <c r="U25" i="5" s="1"/>
  <c r="V25" i="5" s="1"/>
  <c r="W25" i="5" s="1"/>
  <c r="X25" i="5" s="1"/>
  <c r="C25" i="5"/>
  <c r="C193" i="5" s="1"/>
  <c r="A9" i="5"/>
  <c r="A199" i="4"/>
  <c r="A198" i="4"/>
  <c r="B197" i="4"/>
  <c r="A197" i="4"/>
  <c r="A196" i="4"/>
  <c r="B195" i="4"/>
  <c r="A195" i="4"/>
  <c r="A194" i="4"/>
  <c r="B193" i="4"/>
  <c r="B182" i="4"/>
  <c r="B183" i="4" s="1"/>
  <c r="B199" i="4" s="1"/>
  <c r="C180" i="4"/>
  <c r="C179" i="4"/>
  <c r="B150" i="4"/>
  <c r="C150" i="4" s="1"/>
  <c r="E131" i="4"/>
  <c r="C102" i="4"/>
  <c r="D102" i="4" s="1"/>
  <c r="E102" i="4" s="1"/>
  <c r="F102" i="4" s="1"/>
  <c r="G102" i="4" s="1"/>
  <c r="H102" i="4" s="1"/>
  <c r="B102" i="4"/>
  <c r="S100" i="4"/>
  <c r="T100" i="4" s="1"/>
  <c r="U100" i="4" s="1"/>
  <c r="V100" i="4" s="1"/>
  <c r="W100" i="4" s="1"/>
  <c r="X100" i="4" s="1"/>
  <c r="D100" i="4"/>
  <c r="E100" i="4" s="1"/>
  <c r="F100" i="4" s="1"/>
  <c r="G100" i="4" s="1"/>
  <c r="H100" i="4" s="1"/>
  <c r="I100" i="4" s="1"/>
  <c r="J100" i="4" s="1"/>
  <c r="K100" i="4" s="1"/>
  <c r="L100" i="4" s="1"/>
  <c r="M100" i="4" s="1"/>
  <c r="N100" i="4" s="1"/>
  <c r="O100" i="4" s="1"/>
  <c r="P100" i="4" s="1"/>
  <c r="Q100" i="4" s="1"/>
  <c r="C100" i="4"/>
  <c r="G74" i="4"/>
  <c r="G75" i="4" s="1"/>
  <c r="I31" i="4"/>
  <c r="J31" i="4" s="1"/>
  <c r="K31" i="4" s="1"/>
  <c r="L31" i="4" s="1"/>
  <c r="M31" i="4" s="1"/>
  <c r="N31" i="4" s="1"/>
  <c r="O31" i="4" s="1"/>
  <c r="P31" i="4" s="1"/>
  <c r="Q31" i="4" s="1"/>
  <c r="R31" i="4" s="1"/>
  <c r="S31" i="4" s="1"/>
  <c r="T31" i="4" s="1"/>
  <c r="U31" i="4" s="1"/>
  <c r="V31" i="4" s="1"/>
  <c r="W31" i="4" s="1"/>
  <c r="X31" i="4" s="1"/>
  <c r="F33" i="4"/>
  <c r="C131" i="4"/>
  <c r="F39" i="4"/>
  <c r="F40" i="4" s="1"/>
  <c r="B29" i="4"/>
  <c r="C29" i="4" s="1"/>
  <c r="D29" i="4" s="1"/>
  <c r="E29" i="4" s="1"/>
  <c r="F29" i="4" s="1"/>
  <c r="G29" i="4" s="1"/>
  <c r="H29" i="4" s="1"/>
  <c r="I29" i="4" s="1"/>
  <c r="J29" i="4" s="1"/>
  <c r="K29" i="4" s="1"/>
  <c r="L29" i="4" s="1"/>
  <c r="M29" i="4" s="1"/>
  <c r="N29" i="4" s="1"/>
  <c r="O29" i="4" s="1"/>
  <c r="P29" i="4" s="1"/>
  <c r="Q29" i="4" s="1"/>
  <c r="R29" i="4" s="1"/>
  <c r="S29" i="4" s="1"/>
  <c r="T29" i="4" s="1"/>
  <c r="U29" i="4" s="1"/>
  <c r="V29" i="4" s="1"/>
  <c r="W29" i="4" s="1"/>
  <c r="X29" i="4" s="1"/>
  <c r="H28" i="4"/>
  <c r="I28" i="4" s="1"/>
  <c r="J28" i="4" s="1"/>
  <c r="K28" i="4" s="1"/>
  <c r="L28" i="4" s="1"/>
  <c r="M28" i="4" s="1"/>
  <c r="N28" i="4" s="1"/>
  <c r="O28" i="4" s="1"/>
  <c r="P28" i="4" s="1"/>
  <c r="Q28" i="4" s="1"/>
  <c r="R28" i="4" s="1"/>
  <c r="S28" i="4" s="1"/>
  <c r="T28" i="4" s="1"/>
  <c r="U28" i="4" s="1"/>
  <c r="V28" i="4" s="1"/>
  <c r="W28" i="4" s="1"/>
  <c r="X28" i="4" s="1"/>
  <c r="C28" i="4"/>
  <c r="D28" i="4" s="1"/>
  <c r="E28" i="4" s="1"/>
  <c r="F28" i="4" s="1"/>
  <c r="G28" i="4" s="1"/>
  <c r="S25" i="4"/>
  <c r="T25" i="4" s="1"/>
  <c r="U25" i="4" s="1"/>
  <c r="V25" i="4" s="1"/>
  <c r="W25" i="4" s="1"/>
  <c r="X25" i="4" s="1"/>
  <c r="C25" i="4"/>
  <c r="C193" i="4" s="1"/>
  <c r="A9" i="4"/>
  <c r="G16" i="3"/>
  <c r="F16" i="3"/>
  <c r="E24" i="6" s="1"/>
  <c r="E26" i="6" s="1"/>
  <c r="E16" i="3"/>
  <c r="D24" i="6" s="1"/>
  <c r="D26" i="6" s="1"/>
  <c r="D16" i="3"/>
  <c r="C24" i="6" s="1"/>
  <c r="C26" i="6" s="1"/>
  <c r="C16" i="3"/>
  <c r="B24" i="6" s="1"/>
  <c r="B9" i="2"/>
  <c r="B8" i="2"/>
  <c r="B7" i="2"/>
  <c r="B6" i="2"/>
  <c r="H16" i="3" l="1"/>
  <c r="F24" i="6"/>
  <c r="F26" i="6" s="1"/>
  <c r="D33" i="4"/>
  <c r="D33" i="5"/>
  <c r="H43" i="5" s="1"/>
  <c r="H44" i="5" s="1"/>
  <c r="C33" i="4"/>
  <c r="G41" i="4" s="1"/>
  <c r="G42" i="4" s="1"/>
  <c r="B27" i="6"/>
  <c r="B52" i="6"/>
  <c r="I28" i="5"/>
  <c r="I76" i="5" s="1"/>
  <c r="I77" i="5" s="1"/>
  <c r="H72" i="5"/>
  <c r="H73" i="5" s="1"/>
  <c r="H108" i="5"/>
  <c r="H109" i="5" s="1"/>
  <c r="I102" i="5"/>
  <c r="I133" i="5"/>
  <c r="I134" i="5" s="1"/>
  <c r="H133" i="5"/>
  <c r="H134" i="5" s="1"/>
  <c r="G133" i="5"/>
  <c r="G134" i="5" s="1"/>
  <c r="F72" i="5"/>
  <c r="F73" i="5" s="1"/>
  <c r="I121" i="5"/>
  <c r="I122" i="5" s="1"/>
  <c r="I110" i="5"/>
  <c r="I111" i="5" s="1"/>
  <c r="H58" i="5"/>
  <c r="H59" i="5" s="1"/>
  <c r="G58" i="5"/>
  <c r="G59" i="5" s="1"/>
  <c r="G43" i="5"/>
  <c r="G44" i="5" s="1"/>
  <c r="G74" i="5"/>
  <c r="G75" i="5" s="1"/>
  <c r="H39" i="5"/>
  <c r="H40" i="5" s="1"/>
  <c r="B33" i="5"/>
  <c r="G39" i="5"/>
  <c r="G40" i="5" s="1"/>
  <c r="H76" i="5"/>
  <c r="H77" i="5" s="1"/>
  <c r="E33" i="5"/>
  <c r="I88" i="5"/>
  <c r="I89" i="5" s="1"/>
  <c r="H88" i="5"/>
  <c r="H89" i="5" s="1"/>
  <c r="D150" i="5"/>
  <c r="C153" i="5"/>
  <c r="C154" i="5" s="1"/>
  <c r="C151" i="5"/>
  <c r="C152" i="5" s="1"/>
  <c r="I62" i="5"/>
  <c r="I63" i="5" s="1"/>
  <c r="F39" i="5"/>
  <c r="F40" i="5" s="1"/>
  <c r="I137" i="5"/>
  <c r="I138" i="5" s="1"/>
  <c r="D25" i="5"/>
  <c r="G72" i="5"/>
  <c r="G73" i="5" s="1"/>
  <c r="H74" i="5"/>
  <c r="H75" i="5" s="1"/>
  <c r="I108" i="5"/>
  <c r="I109" i="5" s="1"/>
  <c r="H117" i="5"/>
  <c r="H118" i="5" s="1"/>
  <c r="D131" i="5"/>
  <c r="F131" i="5"/>
  <c r="F84" i="5"/>
  <c r="F85" i="5" s="1"/>
  <c r="G86" i="5"/>
  <c r="G87" i="5" s="1"/>
  <c r="I90" i="5"/>
  <c r="I91" i="5" s="1"/>
  <c r="G106" i="5"/>
  <c r="G107" i="5" s="1"/>
  <c r="H119" i="5"/>
  <c r="H120" i="5" s="1"/>
  <c r="C182" i="5"/>
  <c r="C33" i="5"/>
  <c r="G84" i="5"/>
  <c r="G85" i="5" s="1"/>
  <c r="H86" i="5"/>
  <c r="H87" i="5" s="1"/>
  <c r="H106" i="5"/>
  <c r="H107" i="5" s="1"/>
  <c r="I119" i="5"/>
  <c r="I120" i="5" s="1"/>
  <c r="H84" i="5"/>
  <c r="H85" i="5" s="1"/>
  <c r="I86" i="5"/>
  <c r="I87" i="5" s="1"/>
  <c r="I106" i="5"/>
  <c r="I107" i="5" s="1"/>
  <c r="I84" i="5"/>
  <c r="I85" i="5" s="1"/>
  <c r="G117" i="5"/>
  <c r="G118" i="5" s="1"/>
  <c r="I102" i="4"/>
  <c r="I110" i="4" s="1"/>
  <c r="I111" i="4" s="1"/>
  <c r="H106" i="4"/>
  <c r="H107" i="4" s="1"/>
  <c r="H76" i="4"/>
  <c r="H77" i="4" s="1"/>
  <c r="K88" i="4"/>
  <c r="K89" i="4" s="1"/>
  <c r="J88" i="4"/>
  <c r="J89" i="4" s="1"/>
  <c r="I88" i="4"/>
  <c r="I89" i="4" s="1"/>
  <c r="H88" i="4"/>
  <c r="H89" i="4" s="1"/>
  <c r="K76" i="4"/>
  <c r="K77" i="4" s="1"/>
  <c r="I76" i="4"/>
  <c r="I77" i="4" s="1"/>
  <c r="I74" i="4"/>
  <c r="I75" i="4" s="1"/>
  <c r="K62" i="4"/>
  <c r="K63" i="4" s="1"/>
  <c r="J62" i="4"/>
  <c r="J63" i="4" s="1"/>
  <c r="I62" i="4"/>
  <c r="I63" i="4" s="1"/>
  <c r="L47" i="4"/>
  <c r="L48" i="4" s="1"/>
  <c r="K47" i="4"/>
  <c r="K48" i="4" s="1"/>
  <c r="L62" i="4"/>
  <c r="L63" i="4" s="1"/>
  <c r="I47" i="4"/>
  <c r="I48" i="4" s="1"/>
  <c r="H56" i="4"/>
  <c r="H57" i="4" s="1"/>
  <c r="K78" i="4"/>
  <c r="K79" i="4" s="1"/>
  <c r="C153" i="4"/>
  <c r="C154" i="4" s="1"/>
  <c r="C155" i="4" s="1"/>
  <c r="C198" i="4" s="1"/>
  <c r="C16" i="6" s="1"/>
  <c r="C151" i="4"/>
  <c r="C152" i="4" s="1"/>
  <c r="I58" i="4"/>
  <c r="I59" i="4" s="1"/>
  <c r="H58" i="4"/>
  <c r="H59" i="4" s="1"/>
  <c r="G58" i="4"/>
  <c r="G59" i="4" s="1"/>
  <c r="J43" i="4"/>
  <c r="J44" i="4" s="1"/>
  <c r="I43" i="4"/>
  <c r="I44" i="4" s="1"/>
  <c r="J58" i="4"/>
  <c r="J59" i="4" s="1"/>
  <c r="G43" i="4"/>
  <c r="G44" i="4" s="1"/>
  <c r="I78" i="4"/>
  <c r="I79" i="4" s="1"/>
  <c r="J76" i="4"/>
  <c r="J77" i="4" s="1"/>
  <c r="D150" i="4"/>
  <c r="J47" i="4"/>
  <c r="J48" i="4" s="1"/>
  <c r="H39" i="4"/>
  <c r="H40" i="4" s="1"/>
  <c r="B33" i="4"/>
  <c r="G39" i="4"/>
  <c r="G40" i="4" s="1"/>
  <c r="H43" i="4"/>
  <c r="H44" i="4" s="1"/>
  <c r="I133" i="4"/>
  <c r="I134" i="4" s="1"/>
  <c r="H133" i="4"/>
  <c r="H134" i="4" s="1"/>
  <c r="G133" i="4"/>
  <c r="G134" i="4" s="1"/>
  <c r="F72" i="4"/>
  <c r="F73" i="4" s="1"/>
  <c r="H72" i="4"/>
  <c r="H73" i="4" s="1"/>
  <c r="E33" i="4"/>
  <c r="I121" i="4"/>
  <c r="I122" i="4" s="1"/>
  <c r="D25" i="4"/>
  <c r="F41" i="4"/>
  <c r="F42" i="4" s="1"/>
  <c r="I56" i="4"/>
  <c r="I57" i="4" s="1"/>
  <c r="G72" i="4"/>
  <c r="G73" i="4" s="1"/>
  <c r="H74" i="4"/>
  <c r="H75" i="4" s="1"/>
  <c r="J78" i="4"/>
  <c r="J79" i="4" s="1"/>
  <c r="I108" i="4"/>
  <c r="I109" i="4" s="1"/>
  <c r="H117" i="4"/>
  <c r="H118" i="4" s="1"/>
  <c r="D131" i="4"/>
  <c r="H41" i="4"/>
  <c r="H42" i="4" s="1"/>
  <c r="I72" i="4"/>
  <c r="I73" i="4" s="1"/>
  <c r="J74" i="4"/>
  <c r="J75" i="4" s="1"/>
  <c r="L78" i="4"/>
  <c r="L79" i="4" s="1"/>
  <c r="F131" i="4"/>
  <c r="I41" i="4"/>
  <c r="I42" i="4" s="1"/>
  <c r="F84" i="4"/>
  <c r="F85" i="4" s="1"/>
  <c r="G86" i="4"/>
  <c r="G87" i="4" s="1"/>
  <c r="I90" i="4"/>
  <c r="I91" i="4" s="1"/>
  <c r="G106" i="4"/>
  <c r="G107" i="4" s="1"/>
  <c r="H119" i="4"/>
  <c r="H120" i="4" s="1"/>
  <c r="C182" i="4"/>
  <c r="G84" i="4"/>
  <c r="G85" i="4" s="1"/>
  <c r="H86" i="4"/>
  <c r="H87" i="4" s="1"/>
  <c r="J90" i="4"/>
  <c r="J91" i="4" s="1"/>
  <c r="I119" i="4"/>
  <c r="I120" i="4" s="1"/>
  <c r="F56" i="4"/>
  <c r="F57" i="4" s="1"/>
  <c r="H84" i="4"/>
  <c r="H85" i="4" s="1"/>
  <c r="I86" i="4"/>
  <c r="I87" i="4" s="1"/>
  <c r="K90" i="4"/>
  <c r="K91" i="4" s="1"/>
  <c r="I106" i="4"/>
  <c r="I107" i="4" s="1"/>
  <c r="G56" i="4"/>
  <c r="G57" i="4" s="1"/>
  <c r="I84" i="4"/>
  <c r="I85" i="4" s="1"/>
  <c r="J86" i="4"/>
  <c r="J87" i="4" s="1"/>
  <c r="L90" i="4"/>
  <c r="L91" i="4" s="1"/>
  <c r="H108" i="4"/>
  <c r="H109" i="4" s="1"/>
  <c r="G117" i="4"/>
  <c r="G118" i="4" s="1"/>
  <c r="F66" i="4" l="1"/>
  <c r="D81" i="4"/>
  <c r="D66" i="4"/>
  <c r="D51" i="4"/>
  <c r="D93" i="4"/>
  <c r="E51" i="4"/>
  <c r="C66" i="4"/>
  <c r="D93" i="5"/>
  <c r="H135" i="5"/>
  <c r="H136" i="5" s="1"/>
  <c r="I135" i="5"/>
  <c r="I136" i="5" s="1"/>
  <c r="I78" i="5"/>
  <c r="I79" i="5" s="1"/>
  <c r="C93" i="5"/>
  <c r="I47" i="5"/>
  <c r="I48" i="5" s="1"/>
  <c r="C155" i="5"/>
  <c r="C198" i="5" s="1"/>
  <c r="C41" i="6" s="1"/>
  <c r="I60" i="5"/>
  <c r="I61" i="5" s="1"/>
  <c r="H60" i="5"/>
  <c r="H61" i="5" s="1"/>
  <c r="H45" i="5"/>
  <c r="H46" i="5" s="1"/>
  <c r="I45" i="5"/>
  <c r="I46" i="5" s="1"/>
  <c r="J102" i="5"/>
  <c r="I117" i="5"/>
  <c r="I118" i="5" s="1"/>
  <c r="J139" i="5"/>
  <c r="J140" i="5" s="1"/>
  <c r="D153" i="5"/>
  <c r="D154" i="5" s="1"/>
  <c r="D151" i="5"/>
  <c r="D152" i="5" s="1"/>
  <c r="E150" i="5"/>
  <c r="I58" i="5"/>
  <c r="I59" i="5" s="1"/>
  <c r="H56" i="5"/>
  <c r="H57" i="5" s="1"/>
  <c r="G56" i="5"/>
  <c r="G57" i="5" s="1"/>
  <c r="F56" i="5"/>
  <c r="F57" i="5" s="1"/>
  <c r="I41" i="5"/>
  <c r="I42" i="5" s="1"/>
  <c r="H41" i="5"/>
  <c r="H42" i="5" s="1"/>
  <c r="I56" i="5"/>
  <c r="I57" i="5" s="1"/>
  <c r="F41" i="5"/>
  <c r="F42" i="5" s="1"/>
  <c r="G41" i="5"/>
  <c r="G42" i="5" s="1"/>
  <c r="D182" i="5"/>
  <c r="C183" i="5"/>
  <c r="C199" i="5" s="1"/>
  <c r="D193" i="5"/>
  <c r="E25" i="5"/>
  <c r="G54" i="5"/>
  <c r="G55" i="5" s="1"/>
  <c r="F54" i="5"/>
  <c r="F55" i="5" s="1"/>
  <c r="E54" i="5"/>
  <c r="E55" i="5" s="1"/>
  <c r="H54" i="5"/>
  <c r="H55" i="5" s="1"/>
  <c r="E39" i="5"/>
  <c r="E40" i="5" s="1"/>
  <c r="C51" i="5" s="1"/>
  <c r="J28" i="5"/>
  <c r="I72" i="5"/>
  <c r="I73" i="5" s="1"/>
  <c r="C81" i="5" s="1"/>
  <c r="I74" i="5"/>
  <c r="I75" i="5" s="1"/>
  <c r="I43" i="5"/>
  <c r="I44" i="5" s="1"/>
  <c r="H135" i="4"/>
  <c r="H136" i="4" s="1"/>
  <c r="I135" i="4"/>
  <c r="I136" i="4" s="1"/>
  <c r="F93" i="4"/>
  <c r="F81" i="4"/>
  <c r="C93" i="4"/>
  <c r="G54" i="4"/>
  <c r="G55" i="4" s="1"/>
  <c r="F54" i="4"/>
  <c r="F55" i="4" s="1"/>
  <c r="E54" i="4"/>
  <c r="E55" i="4" s="1"/>
  <c r="H54" i="4"/>
  <c r="H55" i="4" s="1"/>
  <c r="E39" i="4"/>
  <c r="E40" i="4" s="1"/>
  <c r="C51" i="4" s="1"/>
  <c r="E81" i="4"/>
  <c r="J60" i="4"/>
  <c r="J61" i="4" s="1"/>
  <c r="I60" i="4"/>
  <c r="I61" i="4" s="1"/>
  <c r="H60" i="4"/>
  <c r="H61" i="4" s="1"/>
  <c r="K45" i="4"/>
  <c r="K46" i="4" s="1"/>
  <c r="J45" i="4"/>
  <c r="J46" i="4" s="1"/>
  <c r="K60" i="4"/>
  <c r="K61" i="4" s="1"/>
  <c r="H45" i="4"/>
  <c r="H46" i="4" s="1"/>
  <c r="I45" i="4"/>
  <c r="I46" i="4" s="1"/>
  <c r="J139" i="4"/>
  <c r="J140" i="4" s="1"/>
  <c r="G51" i="4"/>
  <c r="J102" i="4"/>
  <c r="I117" i="4"/>
  <c r="I118" i="4" s="1"/>
  <c r="D182" i="4"/>
  <c r="C183" i="4"/>
  <c r="C199" i="4" s="1"/>
  <c r="D193" i="4"/>
  <c r="E25" i="4"/>
  <c r="I137" i="4"/>
  <c r="I138" i="4" s="1"/>
  <c r="C81" i="4"/>
  <c r="D153" i="4"/>
  <c r="D154" i="4" s="1"/>
  <c r="D151" i="4"/>
  <c r="D152" i="4" s="1"/>
  <c r="E150" i="4"/>
  <c r="E93" i="4"/>
  <c r="C94" i="5" l="1"/>
  <c r="C195" i="5" s="1"/>
  <c r="C38" i="6" s="1"/>
  <c r="F67" i="4"/>
  <c r="F194" i="4" s="1"/>
  <c r="F12" i="6" s="1"/>
  <c r="C67" i="4"/>
  <c r="C194" i="4" s="1"/>
  <c r="C12" i="6" s="1"/>
  <c r="D67" i="4"/>
  <c r="D194" i="4" s="1"/>
  <c r="D12" i="6" s="1"/>
  <c r="D94" i="4"/>
  <c r="D195" i="4" s="1"/>
  <c r="D13" i="6" s="1"/>
  <c r="C94" i="4"/>
  <c r="C195" i="4" s="1"/>
  <c r="C13" i="6" s="1"/>
  <c r="E66" i="4"/>
  <c r="F94" i="4"/>
  <c r="F195" i="4" s="1"/>
  <c r="F13" i="6" s="1"/>
  <c r="F51" i="4"/>
  <c r="D51" i="5"/>
  <c r="E153" i="5"/>
  <c r="E154" i="5" s="1"/>
  <c r="E155" i="5" s="1"/>
  <c r="E198" i="5" s="1"/>
  <c r="E41" i="6" s="1"/>
  <c r="E151" i="5"/>
  <c r="E152" i="5" s="1"/>
  <c r="F150" i="5"/>
  <c r="K28" i="5"/>
  <c r="J74" i="5"/>
  <c r="J75" i="5" s="1"/>
  <c r="D81" i="5" s="1"/>
  <c r="D94" i="5" s="1"/>
  <c r="D195" i="5" s="1"/>
  <c r="D38" i="6" s="1"/>
  <c r="J58" i="5"/>
  <c r="J59" i="5" s="1"/>
  <c r="D66" i="5" s="1"/>
  <c r="J62" i="5"/>
  <c r="J63" i="5" s="1"/>
  <c r="J76" i="5"/>
  <c r="J77" i="5" s="1"/>
  <c r="J78" i="5"/>
  <c r="J79" i="5" s="1"/>
  <c r="J86" i="5"/>
  <c r="J87" i="5" s="1"/>
  <c r="J90" i="5"/>
  <c r="J91" i="5" s="1"/>
  <c r="J47" i="5"/>
  <c r="J48" i="5" s="1"/>
  <c r="J43" i="5"/>
  <c r="J44" i="5" s="1"/>
  <c r="E51" i="5" s="1"/>
  <c r="J88" i="5"/>
  <c r="J89" i="5" s="1"/>
  <c r="E93" i="5" s="1"/>
  <c r="D155" i="5"/>
  <c r="D198" i="5" s="1"/>
  <c r="D41" i="6" s="1"/>
  <c r="J45" i="5"/>
  <c r="J46" i="5" s="1"/>
  <c r="B66" i="5"/>
  <c r="B67" i="5" s="1"/>
  <c r="B194" i="5" s="1"/>
  <c r="E193" i="5"/>
  <c r="F25" i="5"/>
  <c r="J106" i="5"/>
  <c r="J107" i="5" s="1"/>
  <c r="J108" i="5"/>
  <c r="J109" i="5" s="1"/>
  <c r="K102" i="5"/>
  <c r="J133" i="5"/>
  <c r="J134" i="5" s="1"/>
  <c r="J123" i="5"/>
  <c r="J124" i="5" s="1"/>
  <c r="J121" i="5"/>
  <c r="J122" i="5" s="1"/>
  <c r="J110" i="5"/>
  <c r="J111" i="5" s="1"/>
  <c r="J117" i="5"/>
  <c r="J118" i="5" s="1"/>
  <c r="J137" i="5"/>
  <c r="J138" i="5" s="1"/>
  <c r="J119" i="5"/>
  <c r="J120" i="5" s="1"/>
  <c r="J112" i="5"/>
  <c r="J113" i="5" s="1"/>
  <c r="J135" i="5"/>
  <c r="J136" i="5" s="1"/>
  <c r="E182" i="5"/>
  <c r="D183" i="5"/>
  <c r="D199" i="5" s="1"/>
  <c r="C66" i="5"/>
  <c r="J60" i="5"/>
  <c r="J61" i="5" s="1"/>
  <c r="D155" i="4"/>
  <c r="D198" i="4" s="1"/>
  <c r="D16" i="6" s="1"/>
  <c r="J106" i="4"/>
  <c r="J107" i="4" s="1"/>
  <c r="J108" i="4"/>
  <c r="J109" i="4" s="1"/>
  <c r="K102" i="4"/>
  <c r="J110" i="4"/>
  <c r="J111" i="4" s="1"/>
  <c r="J117" i="4"/>
  <c r="J118" i="4" s="1"/>
  <c r="J112" i="4"/>
  <c r="J113" i="4" s="1"/>
  <c r="J133" i="4"/>
  <c r="J134" i="4" s="1"/>
  <c r="J119" i="4"/>
  <c r="J120" i="4" s="1"/>
  <c r="J137" i="4"/>
  <c r="J138" i="4" s="1"/>
  <c r="J121" i="4"/>
  <c r="J122" i="4" s="1"/>
  <c r="J123" i="4"/>
  <c r="J124" i="4" s="1"/>
  <c r="B66" i="4"/>
  <c r="B67" i="4" s="1"/>
  <c r="B194" i="4" s="1"/>
  <c r="E193" i="4"/>
  <c r="F25" i="4"/>
  <c r="J135" i="4"/>
  <c r="J136" i="4" s="1"/>
  <c r="E153" i="4"/>
  <c r="E154" i="4" s="1"/>
  <c r="E151" i="4"/>
  <c r="E152" i="4" s="1"/>
  <c r="F150" i="4"/>
  <c r="E182" i="4"/>
  <c r="D183" i="4"/>
  <c r="D199" i="4" s="1"/>
  <c r="E94" i="4"/>
  <c r="E195" i="4" s="1"/>
  <c r="E13" i="6" s="1"/>
  <c r="B200" i="5" l="1"/>
  <c r="B37" i="6"/>
  <c r="B43" i="6" s="1"/>
  <c r="B200" i="4"/>
  <c r="B12" i="6"/>
  <c r="B18" i="6" s="1"/>
  <c r="E67" i="4"/>
  <c r="E194" i="4" s="1"/>
  <c r="E12" i="6" s="1"/>
  <c r="C67" i="5"/>
  <c r="C194" i="5" s="1"/>
  <c r="C37" i="6" s="1"/>
  <c r="L28" i="5"/>
  <c r="K78" i="5"/>
  <c r="K79" i="5" s="1"/>
  <c r="K62" i="5"/>
  <c r="K63" i="5" s="1"/>
  <c r="K76" i="5"/>
  <c r="K77" i="5" s="1"/>
  <c r="K90" i="5"/>
  <c r="K91" i="5" s="1"/>
  <c r="F93" i="5" s="1"/>
  <c r="K47" i="5"/>
  <c r="K48" i="5" s="1"/>
  <c r="K88" i="5"/>
  <c r="K89" i="5" s="1"/>
  <c r="K45" i="5"/>
  <c r="K46" i="5" s="1"/>
  <c r="F51" i="5" s="1"/>
  <c r="K60" i="5"/>
  <c r="K61" i="5" s="1"/>
  <c r="E66" i="5" s="1"/>
  <c r="F153" i="5"/>
  <c r="F154" i="5" s="1"/>
  <c r="F155" i="5" s="1"/>
  <c r="F198" i="5" s="1"/>
  <c r="F41" i="6" s="1"/>
  <c r="F151" i="5"/>
  <c r="F152" i="5" s="1"/>
  <c r="E81" i="5"/>
  <c r="E94" i="5" s="1"/>
  <c r="E195" i="5" s="1"/>
  <c r="E38" i="6" s="1"/>
  <c r="K108" i="5"/>
  <c r="K109" i="5" s="1"/>
  <c r="L102" i="5"/>
  <c r="K119" i="5"/>
  <c r="K120" i="5" s="1"/>
  <c r="K137" i="5"/>
  <c r="K138" i="5" s="1"/>
  <c r="K117" i="5"/>
  <c r="K118" i="5" s="1"/>
  <c r="K106" i="5"/>
  <c r="K107" i="5" s="1"/>
  <c r="K121" i="5"/>
  <c r="K122" i="5" s="1"/>
  <c r="K123" i="5"/>
  <c r="K124" i="5" s="1"/>
  <c r="K133" i="5"/>
  <c r="K134" i="5" s="1"/>
  <c r="K110" i="5"/>
  <c r="K111" i="5" s="1"/>
  <c r="K112" i="5"/>
  <c r="K113" i="5" s="1"/>
  <c r="K139" i="5"/>
  <c r="K140" i="5" s="1"/>
  <c r="K135" i="5"/>
  <c r="K136" i="5" s="1"/>
  <c r="G25" i="5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F193" i="5"/>
  <c r="F182" i="5"/>
  <c r="F183" i="5" s="1"/>
  <c r="F199" i="5" s="1"/>
  <c r="E183" i="5"/>
  <c r="E199" i="5" s="1"/>
  <c r="D67" i="5"/>
  <c r="D194" i="5" s="1"/>
  <c r="D37" i="6" s="1"/>
  <c r="L102" i="4"/>
  <c r="K121" i="4"/>
  <c r="K122" i="4" s="1"/>
  <c r="K133" i="4"/>
  <c r="K134" i="4" s="1"/>
  <c r="K119" i="4"/>
  <c r="K120" i="4" s="1"/>
  <c r="K112" i="4"/>
  <c r="K113" i="4" s="1"/>
  <c r="K106" i="4"/>
  <c r="K107" i="4" s="1"/>
  <c r="K108" i="4"/>
  <c r="K109" i="4" s="1"/>
  <c r="K117" i="4"/>
  <c r="K118" i="4" s="1"/>
  <c r="K137" i="4"/>
  <c r="K138" i="4" s="1"/>
  <c r="K110" i="4"/>
  <c r="K111" i="4" s="1"/>
  <c r="K123" i="4"/>
  <c r="K124" i="4" s="1"/>
  <c r="K135" i="4"/>
  <c r="K136" i="4" s="1"/>
  <c r="K139" i="4"/>
  <c r="K140" i="4" s="1"/>
  <c r="F182" i="4"/>
  <c r="F183" i="4" s="1"/>
  <c r="F199" i="4" s="1"/>
  <c r="E183" i="4"/>
  <c r="E199" i="4" s="1"/>
  <c r="G25" i="4"/>
  <c r="H25" i="4" s="1"/>
  <c r="I25" i="4" s="1"/>
  <c r="J25" i="4" s="1"/>
  <c r="K25" i="4" s="1"/>
  <c r="L25" i="4" s="1"/>
  <c r="M25" i="4" s="1"/>
  <c r="N25" i="4" s="1"/>
  <c r="O25" i="4" s="1"/>
  <c r="P25" i="4" s="1"/>
  <c r="Q25" i="4" s="1"/>
  <c r="F193" i="4"/>
  <c r="F153" i="4"/>
  <c r="F154" i="4" s="1"/>
  <c r="F155" i="4" s="1"/>
  <c r="F198" i="4" s="1"/>
  <c r="F16" i="6" s="1"/>
  <c r="F151" i="4"/>
  <c r="F152" i="4" s="1"/>
  <c r="E155" i="4"/>
  <c r="E198" i="4" s="1"/>
  <c r="E16" i="6" s="1"/>
  <c r="E67" i="5" l="1"/>
  <c r="E194" i="5" s="1"/>
  <c r="E37" i="6" s="1"/>
  <c r="B50" i="6"/>
  <c r="B44" i="6"/>
  <c r="B53" i="6" s="1"/>
  <c r="B25" i="6"/>
  <c r="B19" i="6"/>
  <c r="M102" i="5"/>
  <c r="L112" i="5"/>
  <c r="L113" i="5" s="1"/>
  <c r="L123" i="5"/>
  <c r="L124" i="5" s="1"/>
  <c r="L137" i="5"/>
  <c r="L138" i="5" s="1"/>
  <c r="L119" i="5"/>
  <c r="L120" i="5" s="1"/>
  <c r="L108" i="5"/>
  <c r="L109" i="5" s="1"/>
  <c r="L117" i="5"/>
  <c r="L118" i="5" s="1"/>
  <c r="L110" i="5"/>
  <c r="L111" i="5" s="1"/>
  <c r="L121" i="5"/>
  <c r="L122" i="5" s="1"/>
  <c r="L106" i="5"/>
  <c r="L107" i="5" s="1"/>
  <c r="L133" i="5"/>
  <c r="L134" i="5" s="1"/>
  <c r="L139" i="5"/>
  <c r="L140" i="5" s="1"/>
  <c r="L135" i="5"/>
  <c r="L136" i="5" s="1"/>
  <c r="M28" i="5"/>
  <c r="N28" i="5" s="1"/>
  <c r="O28" i="5" s="1"/>
  <c r="P28" i="5" s="1"/>
  <c r="Q28" i="5" s="1"/>
  <c r="R28" i="5" s="1"/>
  <c r="S28" i="5" s="1"/>
  <c r="T28" i="5" s="1"/>
  <c r="U28" i="5" s="1"/>
  <c r="V28" i="5" s="1"/>
  <c r="W28" i="5" s="1"/>
  <c r="X28" i="5" s="1"/>
  <c r="L78" i="5"/>
  <c r="L79" i="5" s="1"/>
  <c r="F81" i="5" s="1"/>
  <c r="F94" i="5" s="1"/>
  <c r="F195" i="5" s="1"/>
  <c r="F38" i="6" s="1"/>
  <c r="L47" i="5"/>
  <c r="L48" i="5" s="1"/>
  <c r="G51" i="5" s="1"/>
  <c r="L62" i="5"/>
  <c r="L63" i="5" s="1"/>
  <c r="F66" i="5" s="1"/>
  <c r="L90" i="5"/>
  <c r="L91" i="5" s="1"/>
  <c r="M102" i="4"/>
  <c r="L112" i="4"/>
  <c r="L113" i="4" s="1"/>
  <c r="L133" i="4"/>
  <c r="L134" i="4" s="1"/>
  <c r="L108" i="4"/>
  <c r="L109" i="4" s="1"/>
  <c r="L110" i="4"/>
  <c r="L111" i="4" s="1"/>
  <c r="L123" i="4"/>
  <c r="L124" i="4" s="1"/>
  <c r="L137" i="4"/>
  <c r="L138" i="4" s="1"/>
  <c r="L121" i="4"/>
  <c r="L122" i="4" s="1"/>
  <c r="L119" i="4"/>
  <c r="L120" i="4" s="1"/>
  <c r="L117" i="4"/>
  <c r="L118" i="4" s="1"/>
  <c r="L106" i="4"/>
  <c r="L107" i="4" s="1"/>
  <c r="L139" i="4"/>
  <c r="L140" i="4" s="1"/>
  <c r="L135" i="4"/>
  <c r="L136" i="4" s="1"/>
  <c r="B28" i="6" l="1"/>
  <c r="F67" i="5"/>
  <c r="F194" i="5" s="1"/>
  <c r="F37" i="6" s="1"/>
  <c r="N102" i="5"/>
  <c r="M106" i="5"/>
  <c r="M107" i="5" s="1"/>
  <c r="M137" i="5"/>
  <c r="M138" i="5" s="1"/>
  <c r="M108" i="5"/>
  <c r="M109" i="5" s="1"/>
  <c r="M110" i="5"/>
  <c r="M111" i="5" s="1"/>
  <c r="M121" i="5"/>
  <c r="M122" i="5" s="1"/>
  <c r="M133" i="5"/>
  <c r="M134" i="5" s="1"/>
  <c r="M119" i="5"/>
  <c r="M120" i="5" s="1"/>
  <c r="M112" i="5"/>
  <c r="M113" i="5" s="1"/>
  <c r="M123" i="5"/>
  <c r="M124" i="5" s="1"/>
  <c r="M117" i="5"/>
  <c r="M118" i="5" s="1"/>
  <c r="M139" i="5"/>
  <c r="M140" i="5" s="1"/>
  <c r="M135" i="5"/>
  <c r="M136" i="5" s="1"/>
  <c r="M108" i="4"/>
  <c r="M109" i="4" s="1"/>
  <c r="N102" i="4"/>
  <c r="M133" i="4"/>
  <c r="M134" i="4" s="1"/>
  <c r="M106" i="4"/>
  <c r="M107" i="4" s="1"/>
  <c r="M110" i="4"/>
  <c r="M111" i="4" s="1"/>
  <c r="M121" i="4"/>
  <c r="M122" i="4" s="1"/>
  <c r="M117" i="4"/>
  <c r="M118" i="4" s="1"/>
  <c r="M123" i="4"/>
  <c r="M124" i="4" s="1"/>
  <c r="M119" i="4"/>
  <c r="M120" i="4" s="1"/>
  <c r="M137" i="4"/>
  <c r="M138" i="4" s="1"/>
  <c r="M112" i="4"/>
  <c r="M113" i="4" s="1"/>
  <c r="M139" i="4"/>
  <c r="M140" i="4" s="1"/>
  <c r="M135" i="4"/>
  <c r="M136" i="4" s="1"/>
  <c r="N108" i="5" l="1"/>
  <c r="N109" i="5" s="1"/>
  <c r="O102" i="5"/>
  <c r="N106" i="5"/>
  <c r="N107" i="5" s="1"/>
  <c r="N119" i="5"/>
  <c r="N120" i="5" s="1"/>
  <c r="N121" i="5"/>
  <c r="N122" i="5" s="1"/>
  <c r="N110" i="5"/>
  <c r="N111" i="5" s="1"/>
  <c r="N117" i="5"/>
  <c r="N118" i="5" s="1"/>
  <c r="N123" i="5"/>
  <c r="N124" i="5" s="1"/>
  <c r="N112" i="5"/>
  <c r="N113" i="5" s="1"/>
  <c r="N137" i="5"/>
  <c r="N138" i="5" s="1"/>
  <c r="N133" i="5"/>
  <c r="N134" i="5" s="1"/>
  <c r="N139" i="5"/>
  <c r="N140" i="5" s="1"/>
  <c r="N135" i="5"/>
  <c r="N136" i="5" s="1"/>
  <c r="O102" i="4"/>
  <c r="N119" i="4"/>
  <c r="N120" i="4" s="1"/>
  <c r="N110" i="4"/>
  <c r="N111" i="4" s="1"/>
  <c r="N121" i="4"/>
  <c r="N122" i="4" s="1"/>
  <c r="N123" i="4"/>
  <c r="N124" i="4" s="1"/>
  <c r="N137" i="4"/>
  <c r="N138" i="4" s="1"/>
  <c r="N112" i="4"/>
  <c r="N113" i="4" s="1"/>
  <c r="N106" i="4"/>
  <c r="N107" i="4" s="1"/>
  <c r="N133" i="4"/>
  <c r="N134" i="4" s="1"/>
  <c r="N108" i="4"/>
  <c r="N109" i="4" s="1"/>
  <c r="N117" i="4"/>
  <c r="N118" i="4" s="1"/>
  <c r="N139" i="4"/>
  <c r="N140" i="4" s="1"/>
  <c r="N135" i="4"/>
  <c r="N136" i="4" s="1"/>
  <c r="O108" i="5" l="1"/>
  <c r="O109" i="5" s="1"/>
  <c r="P102" i="5"/>
  <c r="O110" i="5"/>
  <c r="O111" i="5" s="1"/>
  <c r="O137" i="5"/>
  <c r="O138" i="5" s="1"/>
  <c r="O106" i="5"/>
  <c r="O107" i="5" s="1"/>
  <c r="O112" i="5"/>
  <c r="O113" i="5" s="1"/>
  <c r="O119" i="5"/>
  <c r="O120" i="5" s="1"/>
  <c r="O117" i="5"/>
  <c r="O118" i="5" s="1"/>
  <c r="O133" i="5"/>
  <c r="O134" i="5" s="1"/>
  <c r="O121" i="5"/>
  <c r="O122" i="5" s="1"/>
  <c r="O123" i="5"/>
  <c r="O124" i="5" s="1"/>
  <c r="O139" i="5"/>
  <c r="O140" i="5" s="1"/>
  <c r="O135" i="5"/>
  <c r="O136" i="5" s="1"/>
  <c r="O108" i="4"/>
  <c r="O109" i="4" s="1"/>
  <c r="P102" i="4"/>
  <c r="O112" i="4"/>
  <c r="O113" i="4" s="1"/>
  <c r="O110" i="4"/>
  <c r="O111" i="4" s="1"/>
  <c r="O137" i="4"/>
  <c r="O138" i="4" s="1"/>
  <c r="O119" i="4"/>
  <c r="O120" i="4" s="1"/>
  <c r="O106" i="4"/>
  <c r="O107" i="4" s="1"/>
  <c r="O117" i="4"/>
  <c r="O118" i="4" s="1"/>
  <c r="O121" i="4"/>
  <c r="O122" i="4" s="1"/>
  <c r="O133" i="4"/>
  <c r="O134" i="4" s="1"/>
  <c r="O123" i="4"/>
  <c r="O124" i="4" s="1"/>
  <c r="O135" i="4"/>
  <c r="O136" i="4" s="1"/>
  <c r="O139" i="4"/>
  <c r="O140" i="4" s="1"/>
  <c r="P108" i="5" l="1"/>
  <c r="P109" i="5" s="1"/>
  <c r="Q102" i="5"/>
  <c r="P123" i="5"/>
  <c r="P124" i="5" s="1"/>
  <c r="P119" i="5"/>
  <c r="P120" i="5" s="1"/>
  <c r="P137" i="5"/>
  <c r="P138" i="5" s="1"/>
  <c r="P106" i="5"/>
  <c r="P107" i="5" s="1"/>
  <c r="C115" i="5" s="1"/>
  <c r="P133" i="5"/>
  <c r="P134" i="5" s="1"/>
  <c r="C144" i="5" s="1"/>
  <c r="C197" i="5" s="1"/>
  <c r="P121" i="5"/>
  <c r="P122" i="5" s="1"/>
  <c r="P117" i="5"/>
  <c r="P118" i="5" s="1"/>
  <c r="C126" i="5" s="1"/>
  <c r="P112" i="5"/>
  <c r="P113" i="5" s="1"/>
  <c r="P110" i="5"/>
  <c r="P111" i="5" s="1"/>
  <c r="P135" i="5"/>
  <c r="P136" i="5" s="1"/>
  <c r="P139" i="5"/>
  <c r="P140" i="5" s="1"/>
  <c r="Q102" i="4"/>
  <c r="P106" i="4"/>
  <c r="P107" i="4" s="1"/>
  <c r="C115" i="4" s="1"/>
  <c r="P123" i="4"/>
  <c r="P124" i="4" s="1"/>
  <c r="P137" i="4"/>
  <c r="P138" i="4" s="1"/>
  <c r="P121" i="4"/>
  <c r="P122" i="4" s="1"/>
  <c r="P133" i="4"/>
  <c r="P134" i="4" s="1"/>
  <c r="C144" i="4" s="1"/>
  <c r="C197" i="4" s="1"/>
  <c r="P110" i="4"/>
  <c r="P111" i="4" s="1"/>
  <c r="P117" i="4"/>
  <c r="P118" i="4" s="1"/>
  <c r="C126" i="4" s="1"/>
  <c r="P108" i="4"/>
  <c r="P109" i="4" s="1"/>
  <c r="P119" i="4"/>
  <c r="P120" i="4" s="1"/>
  <c r="P112" i="4"/>
  <c r="P113" i="4" s="1"/>
  <c r="P135" i="4"/>
  <c r="P136" i="4" s="1"/>
  <c r="P139" i="4"/>
  <c r="P140" i="4" s="1"/>
  <c r="C127" i="5" l="1"/>
  <c r="C196" i="5" s="1"/>
  <c r="R102" i="5"/>
  <c r="Q108" i="5"/>
  <c r="Q109" i="5" s="1"/>
  <c r="D115" i="5" s="1"/>
  <c r="Q121" i="5"/>
  <c r="Q122" i="5" s="1"/>
  <c r="Q112" i="5"/>
  <c r="Q113" i="5" s="1"/>
  <c r="Q110" i="5"/>
  <c r="Q111" i="5" s="1"/>
  <c r="Q123" i="5"/>
  <c r="Q124" i="5" s="1"/>
  <c r="Q119" i="5"/>
  <c r="Q120" i="5" s="1"/>
  <c r="D126" i="5" s="1"/>
  <c r="D127" i="5" s="1"/>
  <c r="D196" i="5" s="1"/>
  <c r="D39" i="6" s="1"/>
  <c r="D43" i="6" s="1"/>
  <c r="Q137" i="5"/>
  <c r="Q138" i="5" s="1"/>
  <c r="Q135" i="5"/>
  <c r="Q136" i="5" s="1"/>
  <c r="D144" i="5" s="1"/>
  <c r="D197" i="5" s="1"/>
  <c r="Q139" i="5"/>
  <c r="Q140" i="5" s="1"/>
  <c r="C127" i="4"/>
  <c r="C196" i="4" s="1"/>
  <c r="Q112" i="4"/>
  <c r="Q113" i="4" s="1"/>
  <c r="R102" i="4"/>
  <c r="Q137" i="4"/>
  <c r="Q138" i="4" s="1"/>
  <c r="Q108" i="4"/>
  <c r="Q109" i="4" s="1"/>
  <c r="D115" i="4" s="1"/>
  <c r="Q110" i="4"/>
  <c r="Q111" i="4" s="1"/>
  <c r="Q123" i="4"/>
  <c r="Q124" i="4" s="1"/>
  <c r="Q121" i="4"/>
  <c r="Q122" i="4" s="1"/>
  <c r="Q119" i="4"/>
  <c r="Q120" i="4" s="1"/>
  <c r="D126" i="4" s="1"/>
  <c r="Q135" i="4"/>
  <c r="Q136" i="4" s="1"/>
  <c r="D144" i="4" s="1"/>
  <c r="D197" i="4" s="1"/>
  <c r="Q139" i="4"/>
  <c r="Q140" i="4" s="1"/>
  <c r="C200" i="5" l="1"/>
  <c r="C39" i="6"/>
  <c r="C43" i="6" s="1"/>
  <c r="D50" i="6"/>
  <c r="D44" i="6"/>
  <c r="D53" i="6" s="1"/>
  <c r="C200" i="4"/>
  <c r="C14" i="6"/>
  <c r="C18" i="6" s="1"/>
  <c r="D127" i="4"/>
  <c r="D196" i="4" s="1"/>
  <c r="S102" i="5"/>
  <c r="R112" i="5"/>
  <c r="R113" i="5" s="1"/>
  <c r="R121" i="5"/>
  <c r="R122" i="5" s="1"/>
  <c r="E126" i="5" s="1"/>
  <c r="R123" i="5"/>
  <c r="R124" i="5" s="1"/>
  <c r="R110" i="5"/>
  <c r="R111" i="5" s="1"/>
  <c r="E115" i="5" s="1"/>
  <c r="R137" i="5"/>
  <c r="R138" i="5" s="1"/>
  <c r="E144" i="5" s="1"/>
  <c r="E197" i="5" s="1"/>
  <c r="R139" i="5"/>
  <c r="R140" i="5" s="1"/>
  <c r="D200" i="5"/>
  <c r="S102" i="4"/>
  <c r="R137" i="4"/>
  <c r="R138" i="4" s="1"/>
  <c r="E144" i="4" s="1"/>
  <c r="E197" i="4" s="1"/>
  <c r="R110" i="4"/>
  <c r="R111" i="4" s="1"/>
  <c r="E115" i="4" s="1"/>
  <c r="R112" i="4"/>
  <c r="R113" i="4" s="1"/>
  <c r="R123" i="4"/>
  <c r="R124" i="4" s="1"/>
  <c r="R121" i="4"/>
  <c r="R122" i="4" s="1"/>
  <c r="E126" i="4" s="1"/>
  <c r="R139" i="4"/>
  <c r="R140" i="4" s="1"/>
  <c r="C50" i="6" l="1"/>
  <c r="C44" i="6"/>
  <c r="D200" i="4"/>
  <c r="D14" i="6"/>
  <c r="D18" i="6" s="1"/>
  <c r="C25" i="6"/>
  <c r="C19" i="6"/>
  <c r="T102" i="5"/>
  <c r="U102" i="5" s="1"/>
  <c r="V102" i="5" s="1"/>
  <c r="W102" i="5" s="1"/>
  <c r="X102" i="5" s="1"/>
  <c r="Y102" i="5" s="1"/>
  <c r="Z102" i="5" s="1"/>
  <c r="AA102" i="5" s="1"/>
  <c r="AB102" i="5" s="1"/>
  <c r="AC102" i="5" s="1"/>
  <c r="AD102" i="5" s="1"/>
  <c r="AE102" i="5" s="1"/>
  <c r="AF102" i="5" s="1"/>
  <c r="AG102" i="5" s="1"/>
  <c r="AH102" i="5" s="1"/>
  <c r="AI102" i="5" s="1"/>
  <c r="AJ102" i="5" s="1"/>
  <c r="AK102" i="5" s="1"/>
  <c r="AL102" i="5" s="1"/>
  <c r="AM102" i="5" s="1"/>
  <c r="AN102" i="5" s="1"/>
  <c r="AO102" i="5" s="1"/>
  <c r="AP102" i="5" s="1"/>
  <c r="AQ102" i="5" s="1"/>
  <c r="AR102" i="5" s="1"/>
  <c r="AS102" i="5" s="1"/>
  <c r="AT102" i="5" s="1"/>
  <c r="AU102" i="5" s="1"/>
  <c r="S123" i="5"/>
  <c r="S124" i="5" s="1"/>
  <c r="F126" i="5" s="1"/>
  <c r="S112" i="5"/>
  <c r="S113" i="5" s="1"/>
  <c r="F115" i="5" s="1"/>
  <c r="S139" i="5"/>
  <c r="S140" i="5" s="1"/>
  <c r="F144" i="5" s="1"/>
  <c r="F197" i="5" s="1"/>
  <c r="E127" i="5"/>
  <c r="E196" i="5" s="1"/>
  <c r="E127" i="4"/>
  <c r="E196" i="4" s="1"/>
  <c r="T102" i="4"/>
  <c r="U102" i="4" s="1"/>
  <c r="V102" i="4" s="1"/>
  <c r="W102" i="4" s="1"/>
  <c r="X102" i="4" s="1"/>
  <c r="Y102" i="4" s="1"/>
  <c r="Z102" i="4" s="1"/>
  <c r="AA102" i="4" s="1"/>
  <c r="AB102" i="4" s="1"/>
  <c r="AC102" i="4" s="1"/>
  <c r="AD102" i="4" s="1"/>
  <c r="AE102" i="4" s="1"/>
  <c r="AF102" i="4" s="1"/>
  <c r="AG102" i="4" s="1"/>
  <c r="AH102" i="4" s="1"/>
  <c r="AI102" i="4" s="1"/>
  <c r="AJ102" i="4" s="1"/>
  <c r="AK102" i="4" s="1"/>
  <c r="AL102" i="4" s="1"/>
  <c r="AM102" i="4" s="1"/>
  <c r="AN102" i="4" s="1"/>
  <c r="AO102" i="4" s="1"/>
  <c r="AP102" i="4" s="1"/>
  <c r="AQ102" i="4" s="1"/>
  <c r="AR102" i="4" s="1"/>
  <c r="AS102" i="4" s="1"/>
  <c r="AT102" i="4" s="1"/>
  <c r="AU102" i="4" s="1"/>
  <c r="S123" i="4"/>
  <c r="S124" i="4" s="1"/>
  <c r="F126" i="4" s="1"/>
  <c r="S112" i="4"/>
  <c r="S113" i="4" s="1"/>
  <c r="F115" i="4" s="1"/>
  <c r="S139" i="4"/>
  <c r="S140" i="4" s="1"/>
  <c r="F144" i="4" s="1"/>
  <c r="F197" i="4" s="1"/>
  <c r="E200" i="5" l="1"/>
  <c r="E39" i="6"/>
  <c r="E43" i="6" s="1"/>
  <c r="C53" i="6"/>
  <c r="E200" i="4"/>
  <c r="E14" i="6"/>
  <c r="E18" i="6" s="1"/>
  <c r="C28" i="6"/>
  <c r="D25" i="6"/>
  <c r="D19" i="6"/>
  <c r="D28" i="6" s="1"/>
  <c r="F127" i="4"/>
  <c r="F196" i="4" s="1"/>
  <c r="F127" i="5"/>
  <c r="F196" i="5" s="1"/>
  <c r="F200" i="5" l="1"/>
  <c r="F39" i="6"/>
  <c r="F43" i="6" s="1"/>
  <c r="E50" i="6"/>
  <c r="E44" i="6"/>
  <c r="E25" i="6"/>
  <c r="E19" i="6"/>
  <c r="E28" i="6" s="1"/>
  <c r="F200" i="4"/>
  <c r="F14" i="6"/>
  <c r="F18" i="6" s="1"/>
  <c r="E53" i="6" l="1"/>
  <c r="B45" i="6"/>
  <c r="B56" i="6" s="1"/>
  <c r="C22" i="2" s="1"/>
  <c r="F44" i="6"/>
  <c r="F53" i="6" s="1"/>
  <c r="F50" i="6"/>
  <c r="B57" i="6" s="1"/>
  <c r="C23" i="2" s="1"/>
  <c r="F25" i="6"/>
  <c r="B29" i="6" s="1"/>
  <c r="B21" i="2" s="1"/>
  <c r="F19" i="6"/>
  <c r="F28" i="6" s="1"/>
  <c r="B30" i="6" s="1"/>
  <c r="B20" i="6"/>
  <c r="B31" i="6" s="1"/>
  <c r="B22" i="2" s="1"/>
  <c r="B32" i="6"/>
  <c r="B23" i="2" s="1"/>
  <c r="B21" i="6" l="1"/>
  <c r="B54" i="6"/>
  <c r="C21" i="2" s="1"/>
  <c r="B55" i="6"/>
  <c r="B46" i="6"/>
</calcChain>
</file>

<file path=xl/sharedStrings.xml><?xml version="1.0" encoding="utf-8"?>
<sst xmlns="http://schemas.openxmlformats.org/spreadsheetml/2006/main" count="355" uniqueCount="155">
  <si>
    <t>Análisis de Costo-Beneficio Ex-Ante</t>
  </si>
  <si>
    <t>BR-L14545 Primera operación individual: Programa de Modernización de la Política de Reinserción Social de Espirito Santo
(MODERNIZA-ES)</t>
  </si>
  <si>
    <t>Matriz de Resultados</t>
  </si>
  <si>
    <t>Base</t>
  </si>
  <si>
    <t>Conservador</t>
  </si>
  <si>
    <t>Indicador Matriz</t>
  </si>
  <si>
    <t>unidad de medida</t>
  </si>
  <si>
    <t>linea de base</t>
  </si>
  <si>
    <t>Fin del proyecto</t>
  </si>
  <si>
    <t>Correspondencia Matriz de resultados</t>
  </si>
  <si>
    <t>Reincidencia delictual en Espíritu Santo</t>
  </si>
  <si>
    <t>%</t>
  </si>
  <si>
    <t>Efecto promedio del programa sobre la reincidencia de delitos (PP) en población intervenida en programas de terapia conductivo conductual vis a vis un grupo de control en t+24 meses</t>
  </si>
  <si>
    <t>Porcentaje de reincidencia delictiva de la población intervenida en programas de terapia conductivo conductual vis a vis un grupo de control en t+24 meses</t>
  </si>
  <si>
    <t>Efecto promedio del programa sobre el % de egressos que fazem uso do Escritório Social e conseguem trabalho remunerado</t>
  </si>
  <si>
    <t>Beneficiarios del escritorio social  y que acceden a un trabajo remunerado</t>
  </si>
  <si>
    <t>Porcentaje de ahorro en logistica por videoconferencias</t>
  </si>
  <si>
    <t>Costo promedio anual logístico de las audiencias</t>
  </si>
  <si>
    <t>US$</t>
  </si>
  <si>
    <t>Inremento en el % de PPL con sentencias menores a cuatro años con penas alternativas</t>
  </si>
  <si>
    <t>Porcentaje de infractores que acceden a penas alternativas por delitos menores a 4 años anualmente</t>
  </si>
  <si>
    <t>Productos/ año</t>
  </si>
  <si>
    <t>Personas intervenidas con RNR</t>
  </si>
  <si>
    <t>Personas intervenidas con tratamiento cognitivo conductual</t>
  </si>
  <si>
    <t>Valor presente Neto</t>
  </si>
  <si>
    <t>Razón costo beneficio</t>
  </si>
  <si>
    <t>Tasa Interna de Retorno</t>
  </si>
  <si>
    <t>Datos de Costos</t>
  </si>
  <si>
    <t>BR-L1545</t>
  </si>
  <si>
    <t>Datos financieros desembolsos</t>
  </si>
  <si>
    <t>Año de inicio del proyecto</t>
  </si>
  <si>
    <t>Componente I: Fortalecimiento de los programas de reinserción social</t>
  </si>
  <si>
    <t>Componente II Modernización de la gestión y tecnología</t>
  </si>
  <si>
    <t>Componente III Mejoramiento de la infraestructura penitenciaria para la reinserción</t>
  </si>
  <si>
    <t>Costo Total</t>
  </si>
  <si>
    <t>Inversión Total</t>
  </si>
  <si>
    <t>Distribucion desembolsos</t>
  </si>
  <si>
    <t>Beneficios Estimados</t>
  </si>
  <si>
    <t>BR L1545</t>
  </si>
  <si>
    <t>Sin Proyecto</t>
  </si>
  <si>
    <t>Con Proyecto</t>
  </si>
  <si>
    <t>Fuente</t>
  </si>
  <si>
    <t>Poblacion Carcelaria</t>
  </si>
  <si>
    <t>SEJUS(2020)</t>
  </si>
  <si>
    <t xml:space="preserve">Edad Promedio PPL </t>
  </si>
  <si>
    <t xml:space="preserve">Reincidencia </t>
  </si>
  <si>
    <t>SEJUS(2020)  y Matriz de Resultados</t>
  </si>
  <si>
    <t>Valor contravencion delito menor</t>
  </si>
  <si>
    <t>Autores</t>
  </si>
  <si>
    <t>PPL con sentencias menores a cuatro años</t>
  </si>
  <si>
    <t>Egresos anuales delitos menores a cuatro años</t>
  </si>
  <si>
    <t>Crecimiento poblacion cancelaria</t>
  </si>
  <si>
    <t>Inflación anual</t>
  </si>
  <si>
    <t>Instituto Brasileño de Geografía y Estadística (IBGE).</t>
  </si>
  <si>
    <t>Gasto anual manuntencion PPL</t>
  </si>
  <si>
    <t>% PPLs con nivel Ensino Fundamental terminado</t>
  </si>
  <si>
    <t>% PPLs egresados con empleo</t>
  </si>
  <si>
    <t xml:space="preserve">Salario minimo anual Brasil </t>
  </si>
  <si>
    <t>Ministério do Trabalho (2020)</t>
  </si>
  <si>
    <t>Tasa de Cambio (Real/Dólar</t>
  </si>
  <si>
    <t>Bloomberg (01/06/2020)</t>
  </si>
  <si>
    <t>Tasa de Descuento</t>
  </si>
  <si>
    <t>Reglamentación BID</t>
  </si>
  <si>
    <t>% PPL con sentencias menores a cuatro años con penas alternativas</t>
  </si>
  <si>
    <t>% de Ahorro del gasto anual de Manutencion por PPL</t>
  </si>
  <si>
    <t>Costo Manutencion PPL anual</t>
  </si>
  <si>
    <t>Valor contravención delito menor</t>
  </si>
  <si>
    <t>Porcentaje implementacion modelo RNR</t>
  </si>
  <si>
    <t>Personas Intervenidas con diagnostico RNR</t>
  </si>
  <si>
    <t>Personas Intervenidas con tratamiento cognitivo conductual</t>
  </si>
  <si>
    <t>Personas Intervenidas con RNR pero sin tratamiento cognitivo conductual</t>
  </si>
  <si>
    <t>Costos evitados para el sistema penitenciario de futuros reingresos para personas que cuentan con un diagnostico RNR</t>
  </si>
  <si>
    <t>Costos Para el sistema penitenciario reincidencia Cohorte 2021 Sin proyecto</t>
  </si>
  <si>
    <t>Costos Actualizados cohorte 2022</t>
  </si>
  <si>
    <t>Costos Para el sistema penitenciario reincidencia Cohorte 2022 Sin proyecto</t>
  </si>
  <si>
    <t>Costos Actualizados cohorte 2023</t>
  </si>
  <si>
    <t>Costos Para el sistema penitenciario reincidencia Cohorte 2023 Sin proyecto</t>
  </si>
  <si>
    <t>Costos Actualizados cohorte 2024</t>
  </si>
  <si>
    <t>Costos Para el sistema penitenciario reincidencia Cohorte 2024 Sin proyecto</t>
  </si>
  <si>
    <t>Costos Actualizados cohorte 2025</t>
  </si>
  <si>
    <t>Costos Para el sistema penitenciario reincidencia Cohorte 2025 Sin proyecto</t>
  </si>
  <si>
    <t>Costos agregados para el sistema penitenciario reincidencia cohortes 2021-2025  sin proyecto</t>
  </si>
  <si>
    <t>Costos Para el sistema penitenciario reincidencia Cohorte 2021 con proyecto</t>
  </si>
  <si>
    <t>Costos Para el sistema penitenciario reincidencia Cohorte 2022 con proyecto</t>
  </si>
  <si>
    <t>Costos Para el sistema penitenciario reincidencia Cohorte 2023 con proyecto</t>
  </si>
  <si>
    <t>Costos Para el sistema penitenciario reincidencia Cohorte 2024 con proyecto</t>
  </si>
  <si>
    <t>Costos Para el sistema penitenciario reincidencia Cohorte 2025 con proyecto</t>
  </si>
  <si>
    <t>Costos agregados para el sistema penitenciario reincidencia cohortes 2021-2025 con proyecto</t>
  </si>
  <si>
    <t>Beneficio por menores costos para el sistema penitenciario para personas que cuentan con diagnostico RNR</t>
  </si>
  <si>
    <t>Costos evitados para el sistema penitenciario de futuros reingresos para PPLs tratados</t>
  </si>
  <si>
    <t>Costos agregados para el sistema penitenciario reincidencia cohortes 2022-2025 sin proyecto</t>
  </si>
  <si>
    <t>Costos agregados para el sistema penitenciario reincidencia cohortes 2022-2025 con proyecto</t>
  </si>
  <si>
    <t>Beneficio por menores costos para el sistema penitenciario para PPLs tratados</t>
  </si>
  <si>
    <t>Beneficios por aumento de empleabilidad de post-penados tratados</t>
  </si>
  <si>
    <t>Salario minimo anual</t>
  </si>
  <si>
    <t>Personas tratadas con terapia cognitivo conductual</t>
  </si>
  <si>
    <t>Ingresos por empleabilidad Sin proyecto cohorte 2022</t>
  </si>
  <si>
    <t>Ingresos actualizados cohorte 2022</t>
  </si>
  <si>
    <t>Ingresos por empleabilidad Sin proyecto cohorte 2023</t>
  </si>
  <si>
    <t>Ingresos actualizados cohorte 2023</t>
  </si>
  <si>
    <t>Ingresos por empleabilidad Sin proyecto cohorte 2024</t>
  </si>
  <si>
    <t>Ingresos actualizados cohorte 2024</t>
  </si>
  <si>
    <t>Ingresos por empleabilidad Sin proyecto cohorte 2025</t>
  </si>
  <si>
    <t>Ingresos actualizados cohorte 2025</t>
  </si>
  <si>
    <t>ingresos agregados empleabilidad cohortes 2021-2025 sin proyecto</t>
  </si>
  <si>
    <t>Ingresos por empleabilidad con proyecto cohorte 2022</t>
  </si>
  <si>
    <t>Costos Para el sistema penitenciario reincidencia Cohorte 2024Sin proyecto</t>
  </si>
  <si>
    <t>Beneficios por aumento de empleabilidad de post-penados con diagnostico RNR</t>
  </si>
  <si>
    <t>Personas No tratadas por modelo cognitivo conductual</t>
  </si>
  <si>
    <t>Ingresos por empleabilidad Sin proyecto cohorte 2021</t>
  </si>
  <si>
    <t>Ingresos actualizados cohorte 2021</t>
  </si>
  <si>
    <t>Beneficios por aumento de empleabilidad post penados con diagnostico RNR</t>
  </si>
  <si>
    <t>Beneficios por aumento de penas alternativas para sentencias menores a 4 años</t>
  </si>
  <si>
    <t>Personas con Sentencias alternativas sin proyecto</t>
  </si>
  <si>
    <t>Ahorro por Sentencias alternativas Sin proyecto</t>
  </si>
  <si>
    <t>Personas con Sentencias alternativas Con proyecto</t>
  </si>
  <si>
    <t>Ahorro por Sentencias alternativas Con proyecto</t>
  </si>
  <si>
    <t>Ahorro estimado por Videoconferencias</t>
  </si>
  <si>
    <t>Reales</t>
  </si>
  <si>
    <t>USD</t>
  </si>
  <si>
    <t>Custo total anual</t>
  </si>
  <si>
    <t>Custo por diligência/viagem</t>
  </si>
  <si>
    <t>Costo Estimado transportes con proyecto</t>
  </si>
  <si>
    <t>Ahorros estimados por Videoconferencias</t>
  </si>
  <si>
    <t>Valor monetario de los beneficios</t>
  </si>
  <si>
    <t>Concepto</t>
  </si>
  <si>
    <t>Total de beneficios</t>
  </si>
  <si>
    <t>Analisis economico BR-L1545</t>
  </si>
  <si>
    <t>Tasa de descuento</t>
  </si>
  <si>
    <t>Inversión BID y contrapartida</t>
  </si>
  <si>
    <t>Escenario base</t>
  </si>
  <si>
    <t>BENEFICIOS</t>
  </si>
  <si>
    <t>Total (USD)</t>
  </si>
  <si>
    <t>NPV  benefits</t>
  </si>
  <si>
    <t>Subtotal NPV benefiits</t>
  </si>
  <si>
    <t>COSTOS</t>
  </si>
  <si>
    <t>investment cost (BID loan)</t>
  </si>
  <si>
    <t>cash flow</t>
  </si>
  <si>
    <t>NPV costs</t>
  </si>
  <si>
    <t>Subtotal NPV costs</t>
  </si>
  <si>
    <t>NPV benefits-NPV costs</t>
  </si>
  <si>
    <t>NPV</t>
  </si>
  <si>
    <t>NVP</t>
  </si>
  <si>
    <t>BCR</t>
  </si>
  <si>
    <t>IRR</t>
  </si>
  <si>
    <t>Escenario conservador</t>
  </si>
  <si>
    <t>Variables</t>
  </si>
  <si>
    <t>Efectos del programa  para el cálculo de beneficios</t>
  </si>
  <si>
    <t>Efecto promedio del programa sobre la reincidencia de delitos (PP) En Espiritu Santo</t>
  </si>
  <si>
    <t>1. Resumen</t>
  </si>
  <si>
    <t>1. Costos</t>
  </si>
  <si>
    <t>2. Beneficio Base</t>
  </si>
  <si>
    <t>3. Cálculos</t>
  </si>
  <si>
    <t>Este archivo contiene un análisis costo-beneficio  exante del Programa de Modernización de la Política de Reinserción Social de Espirito Santo
(MODERNIZA-ES)</t>
  </si>
  <si>
    <t>Administración del programa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</si>
</sst>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&quot;$&quot;#,##0.00_);[Red]\(&quot;$&quot;#,##0.00\)"/>
    <numFmt numFmtId="167" formatCode="0.0%"/>
    <numFmt numFmtId="168" formatCode="&quot;$&quot;#,##0"/>
    <numFmt numFmtId="169" formatCode="_(&quot;$&quot;* #,##0_);_(&quot;$&quot;* \(#,##0\);_(&quot;$&quot;* &quot;-&quot;??_);_(@_)"/>
    <numFmt numFmtId="170" formatCode="0.000"/>
    <numFmt numFmtId="171" formatCode="_(&quot;$&quot;* #,##0.0_);_(&quot;$&quot;* \(#,##0.0\);_(&quot;$&quot;* &quot;-&quot;??_);_(@_)"/>
    <numFmt numFmtId="172" formatCode="_-[$R$-416]\ * #,##0.00_-;\-[$R$-416]\ * #,##0.00_-;_-[$R$-416]\ * &quot;-&quot;??_-;_-@_-"/>
    <numFmt numFmtId="173" formatCode="&quot;$&quot;#,##0.0"/>
    <numFmt numFmtId="174" formatCode="_(* #,##0_);_(* \(#,##0\);_(* &quot;-&quot;??_);_(@_)"/>
    <numFmt numFmtId="175" formatCode="_-* #,##0_-;\-* #,##0_-;_-* &quot;-&quot;??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Times New Roman"/>
      <family val="1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9"/>
      <color rgb="FF000000"/>
      <name val="Arial"/>
      <family val="2"/>
    </font>
    <font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Times New Roman"/>
      <family val="1"/>
    </font>
    <font>
      <sz val="11"/>
      <color theme="1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6A3B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ACC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64">
    <xf numFmtId="0" fontId="0" fillId="0" borderId="0" xfId="0"/>
    <xf numFmtId="0" fontId="5" fillId="0" borderId="0" xfId="0" applyFont="1"/>
    <xf numFmtId="0" fontId="6" fillId="0" borderId="0" xfId="0" applyFont="1"/>
    <xf numFmtId="0" fontId="8" fillId="0" borderId="0" xfId="0" applyFont="1"/>
    <xf numFmtId="0" fontId="0" fillId="0" borderId="2" xfId="0" applyBorder="1"/>
    <xf numFmtId="0" fontId="4" fillId="0" borderId="0" xfId="2"/>
    <xf numFmtId="0" fontId="0" fillId="0" borderId="4" xfId="0" applyBorder="1"/>
    <xf numFmtId="1" fontId="0" fillId="0" borderId="4" xfId="1" applyNumberFormat="1" applyFont="1" applyBorder="1"/>
    <xf numFmtId="164" fontId="0" fillId="4" borderId="4" xfId="3" applyFont="1" applyFill="1" applyBorder="1" applyAlignment="1">
      <alignment horizontal="left"/>
    </xf>
    <xf numFmtId="164" fontId="0" fillId="5" borderId="4" xfId="3" applyFont="1" applyFill="1" applyBorder="1" applyAlignment="1">
      <alignment horizontal="left"/>
    </xf>
    <xf numFmtId="166" fontId="2" fillId="6" borderId="5" xfId="4" applyNumberFormat="1" applyFont="1" applyFill="1" applyBorder="1"/>
    <xf numFmtId="166" fontId="0" fillId="4" borderId="4" xfId="3" applyNumberFormat="1" applyFont="1" applyFill="1" applyBorder="1" applyAlignment="1">
      <alignment horizontal="left"/>
    </xf>
    <xf numFmtId="165" fontId="0" fillId="5" borderId="4" xfId="3" applyNumberFormat="1" applyFont="1" applyFill="1" applyBorder="1" applyAlignment="1">
      <alignment horizontal="left"/>
    </xf>
    <xf numFmtId="9" fontId="0" fillId="4" borderId="4" xfId="1" applyFont="1" applyFill="1" applyBorder="1" applyAlignment="1">
      <alignment horizontal="left"/>
    </xf>
    <xf numFmtId="9" fontId="0" fillId="5" borderId="4" xfId="1" applyFont="1" applyFill="1" applyBorder="1" applyAlignment="1">
      <alignment horizontal="right"/>
    </xf>
    <xf numFmtId="0" fontId="9" fillId="0" borderId="0" xfId="0" applyFont="1"/>
    <xf numFmtId="0" fontId="6" fillId="0" borderId="0" xfId="0" applyFont="1" applyAlignment="1">
      <alignment horizontal="right"/>
    </xf>
    <xf numFmtId="0" fontId="9" fillId="0" borderId="1" xfId="0" applyFont="1" applyBorder="1"/>
    <xf numFmtId="0" fontId="0" fillId="0" borderId="1" xfId="0" applyBorder="1" applyAlignment="1">
      <alignment horizontal="right"/>
    </xf>
    <xf numFmtId="0" fontId="0" fillId="0" borderId="0" xfId="0" applyAlignment="1">
      <alignment horizontal="right"/>
    </xf>
    <xf numFmtId="0" fontId="10" fillId="0" borderId="1" xfId="0" applyFont="1" applyBorder="1"/>
    <xf numFmtId="0" fontId="0" fillId="0" borderId="0" xfId="0" applyAlignment="1">
      <alignment horizontal="left" wrapText="1" indent="3"/>
    </xf>
    <xf numFmtId="168" fontId="0" fillId="0" borderId="0" xfId="3" applyNumberFormat="1" applyFont="1" applyAlignment="1">
      <alignment horizontal="center" vertical="center"/>
    </xf>
    <xf numFmtId="0" fontId="0" fillId="0" borderId="0" xfId="0" applyAlignment="1">
      <alignment horizontal="left" indent="3"/>
    </xf>
    <xf numFmtId="0" fontId="10" fillId="0" borderId="8" xfId="0" applyFont="1" applyBorder="1"/>
    <xf numFmtId="0" fontId="3" fillId="0" borderId="0" xfId="0" applyFont="1" applyAlignment="1">
      <alignment horizontal="center"/>
    </xf>
    <xf numFmtId="0" fontId="0" fillId="0" borderId="0" xfId="0" applyAlignment="1">
      <alignment horizontal="left"/>
    </xf>
    <xf numFmtId="3" fontId="11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0" fontId="0" fillId="0" borderId="0" xfId="0" applyAlignment="1">
      <alignment horizontal="left" indent="7"/>
    </xf>
    <xf numFmtId="0" fontId="0" fillId="0" borderId="8" xfId="0" applyBorder="1" applyAlignment="1">
      <alignment horizontal="left"/>
    </xf>
    <xf numFmtId="0" fontId="0" fillId="0" borderId="8" xfId="0" applyBorder="1" applyAlignment="1">
      <alignment horizontal="center"/>
    </xf>
    <xf numFmtId="0" fontId="10" fillId="0" borderId="9" xfId="0" applyFont="1" applyBorder="1" applyAlignment="1">
      <alignment horizontal="left"/>
    </xf>
    <xf numFmtId="168" fontId="2" fillId="0" borderId="9" xfId="3" applyNumberFormat="1" applyFont="1" applyBorder="1" applyAlignment="1">
      <alignment horizontal="center"/>
    </xf>
    <xf numFmtId="9" fontId="12" fillId="0" borderId="10" xfId="0" applyNumberFormat="1" applyFont="1" applyBorder="1" applyAlignment="1">
      <alignment horizontal="center" vertical="center" wrapText="1"/>
    </xf>
    <xf numFmtId="9" fontId="12" fillId="0" borderId="11" xfId="0" applyNumberFormat="1" applyFont="1" applyBorder="1" applyAlignment="1">
      <alignment horizontal="center" vertical="center" wrapText="1"/>
    </xf>
    <xf numFmtId="9" fontId="12" fillId="0" borderId="3" xfId="0" applyNumberFormat="1" applyFont="1" applyBorder="1" applyAlignment="1">
      <alignment horizontal="center" vertical="center" wrapText="1"/>
    </xf>
    <xf numFmtId="3" fontId="8" fillId="0" borderId="0" xfId="0" applyNumberFormat="1" applyFont="1"/>
    <xf numFmtId="9" fontId="0" fillId="0" borderId="0" xfId="1" applyFont="1"/>
    <xf numFmtId="0" fontId="5" fillId="0" borderId="0" xfId="0" applyFont="1" applyAlignment="1">
      <alignment horizontal="left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9" fontId="0" fillId="0" borderId="0" xfId="0" applyNumberFormat="1" applyAlignment="1">
      <alignment horizontal="center"/>
    </xf>
    <xf numFmtId="9" fontId="0" fillId="0" borderId="0" xfId="0" applyNumberFormat="1"/>
    <xf numFmtId="0" fontId="13" fillId="0" borderId="0" xfId="0" applyFont="1"/>
    <xf numFmtId="164" fontId="0" fillId="0" borderId="0" xfId="3" applyFont="1" applyAlignment="1">
      <alignment horizontal="center"/>
    </xf>
    <xf numFmtId="164" fontId="0" fillId="0" borderId="0" xfId="3" applyFont="1"/>
    <xf numFmtId="1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horizontal="center"/>
    </xf>
    <xf numFmtId="0" fontId="0" fillId="7" borderId="0" xfId="0" applyFill="1" applyAlignment="1">
      <alignment wrapText="1"/>
    </xf>
    <xf numFmtId="169" fontId="0" fillId="7" borderId="0" xfId="0" applyNumberFormat="1" applyFill="1"/>
    <xf numFmtId="169" fontId="0" fillId="0" borderId="0" xfId="0" applyNumberFormat="1"/>
    <xf numFmtId="169" fontId="0" fillId="0" borderId="0" xfId="3" applyNumberFormat="1" applyFont="1" applyAlignment="1">
      <alignment horizontal="center"/>
    </xf>
    <xf numFmtId="0" fontId="0" fillId="8" borderId="0" xfId="0" applyFill="1"/>
    <xf numFmtId="0" fontId="0" fillId="8" borderId="0" xfId="0" applyFill="1" applyAlignment="1">
      <alignment horizontal="center"/>
    </xf>
    <xf numFmtId="169" fontId="0" fillId="8" borderId="0" xfId="0" applyNumberFormat="1" applyFill="1"/>
    <xf numFmtId="170" fontId="0" fillId="0" borderId="0" xfId="0" applyNumberFormat="1"/>
    <xf numFmtId="0" fontId="0" fillId="3" borderId="0" xfId="0" applyFill="1"/>
    <xf numFmtId="0" fontId="0" fillId="3" borderId="0" xfId="0" applyFill="1" applyAlignment="1">
      <alignment horizontal="center"/>
    </xf>
    <xf numFmtId="171" fontId="0" fillId="3" borderId="0" xfId="0" applyNumberFormat="1" applyFill="1"/>
    <xf numFmtId="171" fontId="0" fillId="0" borderId="0" xfId="0" applyNumberFormat="1"/>
    <xf numFmtId="1" fontId="0" fillId="0" borderId="0" xfId="0" applyNumberFormat="1" applyAlignment="1">
      <alignment horizontal="center"/>
    </xf>
    <xf numFmtId="0" fontId="0" fillId="9" borderId="0" xfId="0" applyFill="1"/>
    <xf numFmtId="0" fontId="0" fillId="9" borderId="0" xfId="0" applyFill="1" applyAlignment="1">
      <alignment horizontal="center"/>
    </xf>
    <xf numFmtId="171" fontId="0" fillId="9" borderId="0" xfId="0" applyNumberFormat="1" applyFill="1"/>
    <xf numFmtId="0" fontId="0" fillId="11" borderId="0" xfId="0" applyFill="1"/>
    <xf numFmtId="164" fontId="0" fillId="11" borderId="0" xfId="0" applyNumberFormat="1" applyFill="1" applyAlignment="1">
      <alignment horizontal="center"/>
    </xf>
    <xf numFmtId="172" fontId="10" fillId="12" borderId="4" xfId="0" applyNumberFormat="1" applyFont="1" applyFill="1" applyBorder="1"/>
    <xf numFmtId="169" fontId="0" fillId="0" borderId="0" xfId="0" applyNumberFormat="1" applyAlignment="1">
      <alignment horizontal="center"/>
    </xf>
    <xf numFmtId="0" fontId="14" fillId="0" borderId="1" xfId="0" applyFont="1" applyBorder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/>
    <xf numFmtId="0" fontId="9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right" vertical="center" wrapText="1"/>
    </xf>
    <xf numFmtId="165" fontId="0" fillId="7" borderId="4" xfId="4" applyFont="1" applyFill="1" applyBorder="1" applyAlignment="1">
      <alignment wrapText="1"/>
    </xf>
    <xf numFmtId="165" fontId="0" fillId="13" borderId="4" xfId="4" applyFont="1" applyFill="1" applyBorder="1" applyAlignment="1">
      <alignment wrapText="1"/>
    </xf>
    <xf numFmtId="165" fontId="0" fillId="3" borderId="4" xfId="4" applyFont="1" applyFill="1" applyBorder="1" applyAlignment="1">
      <alignment wrapText="1"/>
    </xf>
    <xf numFmtId="165" fontId="0" fillId="3" borderId="4" xfId="4" applyFont="1" applyFill="1" applyBorder="1" applyAlignment="1">
      <alignment horizontal="right" wrapText="1"/>
    </xf>
    <xf numFmtId="165" fontId="0" fillId="9" borderId="4" xfId="4" applyFont="1" applyFill="1" applyBorder="1" applyAlignment="1">
      <alignment wrapText="1"/>
    </xf>
    <xf numFmtId="165" fontId="0" fillId="11" borderId="4" xfId="4" applyFont="1" applyFill="1" applyBorder="1" applyAlignment="1">
      <alignment wrapText="1"/>
    </xf>
    <xf numFmtId="165" fontId="0" fillId="12" borderId="4" xfId="4" applyFont="1" applyFill="1" applyBorder="1" applyAlignment="1">
      <alignment wrapText="1"/>
    </xf>
    <xf numFmtId="168" fontId="0" fillId="12" borderId="4" xfId="3" applyNumberFormat="1" applyFont="1" applyFill="1" applyBorder="1" applyAlignment="1">
      <alignment horizontal="right"/>
    </xf>
    <xf numFmtId="0" fontId="2" fillId="0" borderId="4" xfId="0" applyFont="1" applyBorder="1" applyAlignment="1">
      <alignment horizontal="left"/>
    </xf>
    <xf numFmtId="173" fontId="2" fillId="0" borderId="4" xfId="3" applyNumberFormat="1" applyFont="1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165" fontId="0" fillId="0" borderId="0" xfId="4" applyFont="1"/>
    <xf numFmtId="174" fontId="0" fillId="0" borderId="0" xfId="4" applyNumberFormat="1" applyFont="1"/>
    <xf numFmtId="0" fontId="14" fillId="4" borderId="0" xfId="0" applyFont="1" applyFill="1"/>
    <xf numFmtId="165" fontId="0" fillId="4" borderId="0" xfId="4" applyFont="1" applyFill="1"/>
    <xf numFmtId="0" fontId="2" fillId="0" borderId="0" xfId="0" applyFont="1"/>
    <xf numFmtId="0" fontId="0" fillId="15" borderId="4" xfId="0" applyFill="1" applyBorder="1" applyAlignment="1">
      <alignment horizontal="center"/>
    </xf>
    <xf numFmtId="0" fontId="0" fillId="15" borderId="4" xfId="4" applyNumberFormat="1" applyFont="1" applyFill="1" applyBorder="1" applyAlignment="1">
      <alignment horizontal="center"/>
    </xf>
    <xf numFmtId="165" fontId="0" fillId="0" borderId="4" xfId="4" applyFont="1" applyBorder="1" applyAlignment="1">
      <alignment wrapText="1"/>
    </xf>
    <xf numFmtId="165" fontId="0" fillId="0" borderId="4" xfId="4" applyFont="1" applyBorder="1"/>
    <xf numFmtId="166" fontId="0" fillId="0" borderId="4" xfId="4" applyNumberFormat="1" applyFont="1" applyBorder="1"/>
    <xf numFmtId="0" fontId="0" fillId="0" borderId="12" xfId="0" applyBorder="1"/>
    <xf numFmtId="165" fontId="0" fillId="0" borderId="2" xfId="4" applyFont="1" applyBorder="1"/>
    <xf numFmtId="0" fontId="0" fillId="15" borderId="5" xfId="0" applyFill="1" applyBorder="1" applyAlignment="1">
      <alignment horizontal="center"/>
    </xf>
    <xf numFmtId="165" fontId="0" fillId="15" borderId="9" xfId="4" applyFont="1" applyFill="1" applyBorder="1"/>
    <xf numFmtId="169" fontId="0" fillId="0" borderId="13" xfId="3" applyNumberFormat="1" applyFont="1" applyBorder="1" applyAlignment="1">
      <alignment horizontal="right"/>
    </xf>
    <xf numFmtId="164" fontId="0" fillId="0" borderId="5" xfId="3" applyFont="1" applyBorder="1"/>
    <xf numFmtId="164" fontId="0" fillId="0" borderId="4" xfId="3" applyFont="1" applyBorder="1"/>
    <xf numFmtId="164" fontId="0" fillId="0" borderId="14" xfId="3" applyFont="1" applyBorder="1"/>
    <xf numFmtId="166" fontId="0" fillId="0" borderId="0" xfId="3" applyNumberFormat="1" applyFont="1"/>
    <xf numFmtId="0" fontId="0" fillId="15" borderId="4" xfId="0" applyFill="1" applyBorder="1"/>
    <xf numFmtId="165" fontId="0" fillId="15" borderId="4" xfId="4" applyFont="1" applyFill="1" applyBorder="1"/>
    <xf numFmtId="0" fontId="2" fillId="6" borderId="4" xfId="0" applyFont="1" applyFill="1" applyBorder="1"/>
    <xf numFmtId="166" fontId="2" fillId="6" borderId="13" xfId="4" applyNumberFormat="1" applyFont="1" applyFill="1" applyBorder="1"/>
    <xf numFmtId="165" fontId="2" fillId="6" borderId="4" xfId="4" applyFont="1" applyFill="1" applyBorder="1"/>
    <xf numFmtId="9" fontId="2" fillId="6" borderId="4" xfId="4" applyNumberFormat="1" applyFont="1" applyFill="1" applyBorder="1"/>
    <xf numFmtId="0" fontId="14" fillId="14" borderId="0" xfId="0" applyFont="1" applyFill="1"/>
    <xf numFmtId="165" fontId="0" fillId="14" borderId="0" xfId="4" applyFont="1" applyFill="1"/>
    <xf numFmtId="0" fontId="0" fillId="14" borderId="4" xfId="0" applyFill="1" applyBorder="1" applyAlignment="1">
      <alignment horizontal="center"/>
    </xf>
    <xf numFmtId="0" fontId="0" fillId="14" borderId="4" xfId="4" applyNumberFormat="1" applyFont="1" applyFill="1" applyBorder="1" applyAlignment="1">
      <alignment horizontal="center"/>
    </xf>
    <xf numFmtId="165" fontId="0" fillId="0" borderId="5" xfId="4" applyFont="1" applyBorder="1"/>
    <xf numFmtId="0" fontId="0" fillId="14" borderId="5" xfId="0" applyFill="1" applyBorder="1" applyAlignment="1">
      <alignment horizontal="center"/>
    </xf>
    <xf numFmtId="165" fontId="0" fillId="14" borderId="9" xfId="4" applyFont="1" applyFill="1" applyBorder="1"/>
    <xf numFmtId="164" fontId="0" fillId="0" borderId="6" xfId="3" applyFont="1" applyBorder="1"/>
    <xf numFmtId="0" fontId="0" fillId="14" borderId="4" xfId="0" applyFill="1" applyBorder="1"/>
    <xf numFmtId="165" fontId="0" fillId="14" borderId="4" xfId="4" applyFont="1" applyFill="1" applyBorder="1"/>
    <xf numFmtId="0" fontId="2" fillId="16" borderId="4" xfId="0" applyFont="1" applyFill="1" applyBorder="1"/>
    <xf numFmtId="166" fontId="2" fillId="16" borderId="4" xfId="4" applyNumberFormat="1" applyFont="1" applyFill="1" applyBorder="1"/>
    <xf numFmtId="165" fontId="2" fillId="16" borderId="4" xfId="4" applyFont="1" applyFill="1" applyBorder="1"/>
    <xf numFmtId="9" fontId="2" fillId="16" borderId="4" xfId="4" applyNumberFormat="1" applyFont="1" applyFill="1" applyBorder="1"/>
    <xf numFmtId="9" fontId="0" fillId="0" borderId="4" xfId="0" applyNumberFormat="1" applyFont="1" applyBorder="1" applyAlignment="1">
      <alignment horizontal="left"/>
    </xf>
    <xf numFmtId="0" fontId="0" fillId="0" borderId="4" xfId="0" applyFont="1" applyBorder="1" applyAlignment="1">
      <alignment horizontal="center"/>
    </xf>
    <xf numFmtId="0" fontId="15" fillId="0" borderId="0" xfId="0" applyFont="1" applyBorder="1"/>
    <xf numFmtId="0" fontId="15" fillId="0" borderId="0" xfId="0" applyFont="1" applyBorder="1" applyAlignment="1">
      <alignment horizontal="center"/>
    </xf>
    <xf numFmtId="0" fontId="0" fillId="0" borderId="4" xfId="0" applyFont="1" applyBorder="1"/>
    <xf numFmtId="0" fontId="0" fillId="0" borderId="4" xfId="0" applyFont="1" applyBorder="1" applyAlignment="1">
      <alignment wrapText="1"/>
    </xf>
    <xf numFmtId="9" fontId="0" fillId="0" borderId="0" xfId="0" applyNumberFormat="1" applyFont="1"/>
    <xf numFmtId="0" fontId="0" fillId="0" borderId="4" xfId="0" applyFont="1" applyBorder="1" applyAlignment="1">
      <alignment horizontal="left"/>
    </xf>
    <xf numFmtId="9" fontId="0" fillId="0" borderId="4" xfId="1" applyFont="1" applyBorder="1" applyAlignment="1">
      <alignment horizontal="left"/>
    </xf>
    <xf numFmtId="0" fontId="0" fillId="0" borderId="4" xfId="0" applyFont="1" applyBorder="1" applyAlignment="1">
      <alignment horizontal="left" wrapText="1"/>
    </xf>
    <xf numFmtId="167" fontId="0" fillId="0" borderId="4" xfId="0" applyNumberFormat="1" applyFont="1" applyBorder="1" applyAlignment="1">
      <alignment horizontal="left"/>
    </xf>
    <xf numFmtId="167" fontId="0" fillId="0" borderId="4" xfId="1" applyNumberFormat="1" applyFont="1" applyBorder="1" applyAlignment="1">
      <alignment horizontal="left"/>
    </xf>
    <xf numFmtId="0" fontId="0" fillId="0" borderId="0" xfId="0" applyFont="1" applyBorder="1" applyAlignment="1">
      <alignment horizontal="left"/>
    </xf>
    <xf numFmtId="0" fontId="0" fillId="0" borderId="0" xfId="0" applyFont="1"/>
    <xf numFmtId="0" fontId="16" fillId="0" borderId="4" xfId="0" applyFont="1" applyBorder="1" applyAlignment="1">
      <alignment vertical="center" wrapText="1"/>
    </xf>
    <xf numFmtId="0" fontId="16" fillId="0" borderId="4" xfId="0" applyFont="1" applyBorder="1" applyAlignment="1">
      <alignment horizontal="left" vertical="center" wrapText="1"/>
    </xf>
    <xf numFmtId="9" fontId="16" fillId="0" borderId="4" xfId="1" applyFont="1" applyBorder="1" applyAlignment="1">
      <alignment horizontal="left" vertical="center" wrapText="1"/>
    </xf>
    <xf numFmtId="9" fontId="16" fillId="0" borderId="4" xfId="0" applyNumberFormat="1" applyFont="1" applyBorder="1" applyAlignment="1">
      <alignment horizontal="left" vertical="center" wrapText="1"/>
    </xf>
    <xf numFmtId="2" fontId="0" fillId="4" borderId="4" xfId="0" applyNumberFormat="1" applyFont="1" applyFill="1" applyBorder="1" applyAlignment="1">
      <alignment horizontal="left"/>
    </xf>
    <xf numFmtId="167" fontId="0" fillId="0" borderId="0" xfId="1" applyNumberFormat="1" applyFont="1"/>
    <xf numFmtId="0" fontId="0" fillId="0" borderId="0" xfId="0" applyFont="1" applyAlignment="1">
      <alignment wrapText="1"/>
    </xf>
    <xf numFmtId="0" fontId="0" fillId="0" borderId="6" xfId="0" applyFont="1" applyBorder="1"/>
    <xf numFmtId="9" fontId="0" fillId="0" borderId="7" xfId="0" applyNumberFormat="1" applyFont="1" applyBorder="1"/>
    <xf numFmtId="175" fontId="0" fillId="0" borderId="0" xfId="5" applyNumberFormat="1" applyFont="1"/>
    <xf numFmtId="168" fontId="0" fillId="0" borderId="8" xfId="3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wrapText="1"/>
    </xf>
    <xf numFmtId="0" fontId="0" fillId="0" borderId="0" xfId="0" applyAlignment="1">
      <alignment horizontal="left" vertical="top" wrapText="1"/>
    </xf>
    <xf numFmtId="0" fontId="0" fillId="2" borderId="0" xfId="0" applyFont="1" applyFill="1" applyBorder="1" applyAlignment="1">
      <alignment horizontal="center"/>
    </xf>
    <xf numFmtId="0" fontId="0" fillId="3" borderId="0" xfId="0" applyFont="1" applyFill="1" applyAlignment="1">
      <alignment horizontal="center"/>
    </xf>
    <xf numFmtId="0" fontId="0" fillId="4" borderId="0" xfId="0" applyFont="1" applyFill="1" applyBorder="1" applyAlignment="1">
      <alignment horizontal="center" vertical="center" wrapText="1"/>
    </xf>
    <xf numFmtId="0" fontId="0" fillId="4" borderId="0" xfId="0" applyFont="1" applyFill="1" applyAlignment="1">
      <alignment horizontal="center" vertical="center" wrapText="1"/>
    </xf>
    <xf numFmtId="0" fontId="13" fillId="12" borderId="0" xfId="0" applyFont="1" applyFill="1" applyAlignment="1">
      <alignment horizontal="left"/>
    </xf>
    <xf numFmtId="0" fontId="13" fillId="7" borderId="0" xfId="0" applyFont="1" applyFill="1" applyAlignment="1">
      <alignment horizontal="left" wrapText="1"/>
    </xf>
    <xf numFmtId="0" fontId="13" fillId="8" borderId="0" xfId="0" applyFont="1" applyFill="1" applyAlignment="1">
      <alignment horizontal="left" wrapText="1"/>
    </xf>
    <xf numFmtId="0" fontId="13" fillId="3" borderId="0" xfId="0" applyFont="1" applyFill="1" applyAlignment="1">
      <alignment horizontal="left"/>
    </xf>
    <xf numFmtId="0" fontId="13" fillId="9" borderId="0" xfId="0" applyFont="1" applyFill="1" applyAlignment="1">
      <alignment horizontal="left"/>
    </xf>
    <xf numFmtId="0" fontId="13" fillId="10" borderId="0" xfId="0" applyFont="1" applyFill="1" applyAlignment="1">
      <alignment horizontal="left"/>
    </xf>
    <xf numFmtId="0" fontId="0" fillId="14" borderId="0" xfId="0" applyFill="1" applyAlignment="1">
      <alignment horizontal="center" vertical="center"/>
    </xf>
  </cellXfs>
  <cellStyles count="6">
    <cellStyle name="Hipervínculo" xfId="2" builtinId="8"/>
    <cellStyle name="Millares" xfId="5" builtinId="3"/>
    <cellStyle name="Millares 2" xfId="4" xr:uid="{09082AE9-15A8-49EE-89ED-063D701EB12F}"/>
    <cellStyle name="Moneda 2" xfId="3" xr:uid="{C7AD6168-CD30-4CAD-9734-F1C004D5D8EE}"/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ustomXml" Target="../customXml/item1.xml"/><Relationship Id="rId17" Type="http://schemas.openxmlformats.org/officeDocument/2006/relationships/customXml" Target="../customXml/item6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uis/Downloads/BR-L1545%20ACB%206%20julio%20enviar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 "/>
      <sheetName val="Resumen"/>
      <sheetName val="Costos"/>
      <sheetName val="Beneficios Base"/>
      <sheetName val="Beneficios conservador"/>
      <sheetName val="Calculos"/>
    </sheetNames>
    <sheetDataSet>
      <sheetData sheetId="0"/>
      <sheetData sheetId="1">
        <row r="7">
          <cell r="F7" t="str">
            <v>Porcentaje de reincidencia delictiva de la población intervenida en programas de terapia conductivo conductual vis a vis un grupo de control en t+24 meses</v>
          </cell>
        </row>
      </sheetData>
      <sheetData sheetId="2"/>
      <sheetData sheetId="3">
        <row r="194">
          <cell r="A194" t="str">
            <v>Beneficio por menores costos para el sistema penitenciario para personas que cuentan con diagnostico RNR</v>
          </cell>
        </row>
        <row r="195">
          <cell r="A195" t="str">
            <v>Beneficio por menores costos para el sistema penitenciario para PPLs tratados</v>
          </cell>
        </row>
        <row r="196">
          <cell r="A196" t="str">
            <v>Beneficios por aumento de empleabilidad de post-penados tratados</v>
          </cell>
        </row>
        <row r="197">
          <cell r="A197" t="str">
            <v>Beneficios por aumento de empleabilidad post penados con diagnostico RNR</v>
          </cell>
        </row>
        <row r="198">
          <cell r="A198" t="str">
            <v>Beneficios por aumento de penas alternativas para sentencias menores a 4 años</v>
          </cell>
        </row>
        <row r="199">
          <cell r="A199" t="str">
            <v>Ahorros estimados por Videoconferencias</v>
          </cell>
        </row>
      </sheetData>
      <sheetData sheetId="4">
        <row r="194">
          <cell r="A194" t="str">
            <v>Beneficio por menores costos para el sistema penitenciario para personas que cuentan con diagnostico RNR</v>
          </cell>
        </row>
        <row r="195">
          <cell r="A195" t="str">
            <v>Beneficio por menores costos para el sistema penitenciario para PPLs tratados</v>
          </cell>
        </row>
        <row r="196">
          <cell r="A196" t="str">
            <v>Beneficios por aumento de empleabilidad de post-penados tratados</v>
          </cell>
        </row>
        <row r="197">
          <cell r="A197" t="str">
            <v>Beneficios por aumento de empleabilidad post penados con diagnostico RNR</v>
          </cell>
        </row>
        <row r="198">
          <cell r="A198" t="str">
            <v>Beneficios por aumento de penas alternativas para sentencias menores a 4 años</v>
          </cell>
        </row>
        <row r="199">
          <cell r="A199" t="str">
            <v>Ahorros estimados por Videoconferencias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C3A8FD-0F06-40A5-B130-147CE8F200FB}">
  <sheetPr codeName="Hoja1"/>
  <dimension ref="A1:F15"/>
  <sheetViews>
    <sheetView tabSelected="1" workbookViewId="0">
      <selection activeCell="O11" sqref="O11"/>
    </sheetView>
  </sheetViews>
  <sheetFormatPr baseColWidth="10" defaultColWidth="8.7109375" defaultRowHeight="15" x14ac:dyDescent="0.25"/>
  <cols>
    <col min="1" max="1" width="17.28515625" customWidth="1"/>
  </cols>
  <sheetData>
    <row r="1" spans="1:6" ht="23.25" x14ac:dyDescent="0.35">
      <c r="A1" s="1" t="s">
        <v>0</v>
      </c>
      <c r="B1" s="2"/>
      <c r="C1" s="2"/>
      <c r="D1" s="2"/>
      <c r="E1" s="2"/>
      <c r="F1" s="2"/>
    </row>
    <row r="2" spans="1:6" ht="48.4" customHeight="1" x14ac:dyDescent="0.25">
      <c r="A2" s="151" t="s">
        <v>1</v>
      </c>
      <c r="B2" s="151"/>
      <c r="C2" s="151"/>
      <c r="D2" s="151"/>
      <c r="E2" s="151"/>
      <c r="F2" s="151"/>
    </row>
    <row r="3" spans="1:6" x14ac:dyDescent="0.25">
      <c r="A3" s="3"/>
      <c r="B3" s="4"/>
      <c r="C3" s="4"/>
      <c r="D3" s="4"/>
      <c r="E3" s="4"/>
      <c r="F3" s="4"/>
    </row>
    <row r="4" spans="1:6" x14ac:dyDescent="0.25">
      <c r="A4" s="152" t="s">
        <v>153</v>
      </c>
      <c r="B4" s="152"/>
      <c r="C4" s="152"/>
      <c r="D4" s="152"/>
      <c r="E4" s="152"/>
      <c r="F4" s="152"/>
    </row>
    <row r="5" spans="1:6" x14ac:dyDescent="0.25">
      <c r="A5" s="152"/>
      <c r="B5" s="152"/>
      <c r="C5" s="152"/>
      <c r="D5" s="152"/>
      <c r="E5" s="152"/>
      <c r="F5" s="152"/>
    </row>
    <row r="6" spans="1:6" x14ac:dyDescent="0.25">
      <c r="A6" s="152"/>
      <c r="B6" s="152"/>
      <c r="C6" s="152"/>
      <c r="D6" s="152"/>
      <c r="E6" s="152"/>
      <c r="F6" s="152"/>
    </row>
    <row r="7" spans="1:6" x14ac:dyDescent="0.25">
      <c r="A7" s="152"/>
      <c r="B7" s="152"/>
      <c r="C7" s="152"/>
      <c r="D7" s="152"/>
      <c r="E7" s="152"/>
      <c r="F7" s="152"/>
    </row>
    <row r="8" spans="1:6" x14ac:dyDescent="0.25">
      <c r="A8" s="152"/>
      <c r="B8" s="152"/>
      <c r="C8" s="152"/>
      <c r="D8" s="152"/>
      <c r="E8" s="152"/>
      <c r="F8" s="152"/>
    </row>
    <row r="9" spans="1:6" x14ac:dyDescent="0.25">
      <c r="A9" s="152"/>
      <c r="B9" s="152"/>
      <c r="C9" s="152"/>
      <c r="D9" s="152"/>
      <c r="E9" s="152"/>
      <c r="F9" s="152"/>
    </row>
    <row r="11" spans="1:6" x14ac:dyDescent="0.25">
      <c r="A11" s="5" t="s">
        <v>149</v>
      </c>
    </row>
    <row r="12" spans="1:6" x14ac:dyDescent="0.25">
      <c r="A12" s="5" t="s">
        <v>150</v>
      </c>
    </row>
    <row r="13" spans="1:6" x14ac:dyDescent="0.25">
      <c r="A13" s="5" t="s">
        <v>151</v>
      </c>
    </row>
    <row r="14" spans="1:6" x14ac:dyDescent="0.25">
      <c r="A14" s="5" t="s">
        <v>152</v>
      </c>
    </row>
    <row r="15" spans="1:6" x14ac:dyDescent="0.25">
      <c r="A15" s="5"/>
    </row>
  </sheetData>
  <mergeCells count="2">
    <mergeCell ref="A2:F2"/>
    <mergeCell ref="A4:F9"/>
  </mergeCells>
  <hyperlinks>
    <hyperlink ref="A12" location="Costos!A1" display="1. Costos" xr:uid="{EE62BF30-C22C-4477-8D9D-7E42BDC3F69A}"/>
    <hyperlink ref="A13" location="'Beneficios Base'!A1" display="2. Beneficio Base" xr:uid="{BB50F5BA-9343-4A0C-BCF0-02DE29162A84}"/>
    <hyperlink ref="A14" location="Cálculos!A1" display="3. Cálculos" xr:uid="{18ADA364-A99A-4724-BB9B-E14975813E98}"/>
    <hyperlink ref="A11" location="Resumen!A1" display="1. Resumen" xr:uid="{9F5BDDC2-4132-4589-9155-D671C42E5B41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0FCAE6-FB0D-4F24-81F2-2A581D328CEA}">
  <sheetPr codeName="Hoja2"/>
  <dimension ref="A4:I43"/>
  <sheetViews>
    <sheetView zoomScale="85" zoomScaleNormal="85" workbookViewId="0">
      <selection activeCell="B10" sqref="B10"/>
    </sheetView>
  </sheetViews>
  <sheetFormatPr baseColWidth="10" defaultColWidth="8.7109375" defaultRowHeight="15" x14ac:dyDescent="0.25"/>
  <cols>
    <col min="1" max="1" width="54.28515625" style="139" customWidth="1"/>
    <col min="2" max="2" width="29.28515625" style="139" customWidth="1"/>
    <col min="3" max="3" width="18.28515625" style="139" customWidth="1"/>
    <col min="4" max="4" width="10.7109375" style="139" customWidth="1"/>
    <col min="5" max="5" width="9.7109375" style="139" bestFit="1" customWidth="1"/>
    <col min="6" max="6" width="38.7109375" style="139" customWidth="1"/>
    <col min="7" max="7" width="21.28515625" style="139" customWidth="1"/>
    <col min="8" max="8" width="14" style="139" customWidth="1"/>
    <col min="9" max="9" width="17" style="139" customWidth="1"/>
    <col min="10" max="16384" width="8.7109375" style="139"/>
  </cols>
  <sheetData>
    <row r="4" spans="1:9" x14ac:dyDescent="0.25">
      <c r="A4" s="153" t="s">
        <v>147</v>
      </c>
      <c r="B4" s="153"/>
      <c r="C4" s="153"/>
      <c r="F4" s="154" t="s">
        <v>2</v>
      </c>
      <c r="G4" s="154"/>
      <c r="H4" s="154"/>
      <c r="I4" s="154"/>
    </row>
    <row r="5" spans="1:9" x14ac:dyDescent="0.25">
      <c r="A5" s="140"/>
      <c r="B5" s="140" t="s">
        <v>3</v>
      </c>
      <c r="C5" s="140" t="s">
        <v>4</v>
      </c>
      <c r="F5" s="141" t="s">
        <v>5</v>
      </c>
      <c r="G5" s="141" t="s">
        <v>6</v>
      </c>
      <c r="H5" s="141" t="s">
        <v>7</v>
      </c>
      <c r="I5" s="141" t="s">
        <v>8</v>
      </c>
    </row>
    <row r="6" spans="1:9" ht="28.5" x14ac:dyDescent="0.25">
      <c r="A6" s="140" t="s">
        <v>148</v>
      </c>
      <c r="B6" s="142">
        <f>H6-I6</f>
        <v>6.9999999999999951E-2</v>
      </c>
      <c r="C6" s="142">
        <v>0.06</v>
      </c>
      <c r="D6" s="155" t="s">
        <v>9</v>
      </c>
      <c r="E6" s="156"/>
      <c r="F6" s="141" t="s">
        <v>10</v>
      </c>
      <c r="G6" s="141" t="s">
        <v>11</v>
      </c>
      <c r="H6" s="142">
        <v>0.35</v>
      </c>
      <c r="I6" s="142">
        <v>0.28000000000000003</v>
      </c>
    </row>
    <row r="7" spans="1:9" ht="57" x14ac:dyDescent="0.25">
      <c r="A7" s="140" t="s">
        <v>12</v>
      </c>
      <c r="B7" s="142">
        <f>H7-I7</f>
        <v>9.9999999999999978E-2</v>
      </c>
      <c r="C7" s="142">
        <v>0.08</v>
      </c>
      <c r="D7" s="155"/>
      <c r="E7" s="156"/>
      <c r="F7" s="141" t="s">
        <v>13</v>
      </c>
      <c r="G7" s="141" t="s">
        <v>11</v>
      </c>
      <c r="H7" s="142">
        <v>0.35</v>
      </c>
      <c r="I7" s="142">
        <v>0.25</v>
      </c>
    </row>
    <row r="8" spans="1:9" ht="74.45" customHeight="1" x14ac:dyDescent="0.25">
      <c r="A8" s="140" t="s">
        <v>14</v>
      </c>
      <c r="B8" s="142">
        <f>I8-H8</f>
        <v>0.10799999999999998</v>
      </c>
      <c r="C8" s="142">
        <v>9.5000000000000001E-2</v>
      </c>
      <c r="D8" s="155"/>
      <c r="E8" s="156"/>
      <c r="F8" s="141" t="s">
        <v>15</v>
      </c>
      <c r="G8" s="141" t="s">
        <v>11</v>
      </c>
      <c r="H8" s="142">
        <v>4.2000000000000003E-2</v>
      </c>
      <c r="I8" s="142">
        <v>0.15</v>
      </c>
    </row>
    <row r="9" spans="1:9" ht="40.9" customHeight="1" x14ac:dyDescent="0.25">
      <c r="A9" s="140" t="s">
        <v>16</v>
      </c>
      <c r="B9" s="142">
        <f>(H9-I9)/H9</f>
        <v>0.6</v>
      </c>
      <c r="C9" s="142">
        <v>0.5</v>
      </c>
      <c r="D9" s="155"/>
      <c r="E9" s="156"/>
      <c r="F9" s="141" t="s">
        <v>17</v>
      </c>
      <c r="G9" s="141" t="s">
        <v>18</v>
      </c>
      <c r="H9" s="141">
        <v>705.5</v>
      </c>
      <c r="I9" s="141">
        <v>282.2</v>
      </c>
    </row>
    <row r="10" spans="1:9" ht="49.9" customHeight="1" x14ac:dyDescent="0.25">
      <c r="A10" s="140" t="s">
        <v>19</v>
      </c>
      <c r="B10" s="142">
        <v>0.15</v>
      </c>
      <c r="C10" s="142">
        <v>0.12</v>
      </c>
      <c r="D10" s="155"/>
      <c r="E10" s="156"/>
      <c r="F10" s="141" t="s">
        <v>20</v>
      </c>
      <c r="G10" s="141" t="s">
        <v>11</v>
      </c>
      <c r="H10" s="143">
        <v>0.38</v>
      </c>
      <c r="I10" s="143">
        <v>0.43</v>
      </c>
    </row>
    <row r="15" spans="1:9" x14ac:dyDescent="0.25">
      <c r="A15" s="130" t="s">
        <v>21</v>
      </c>
      <c r="B15" s="7">
        <v>2021</v>
      </c>
      <c r="C15" s="130">
        <v>2022</v>
      </c>
      <c r="D15" s="130">
        <v>2023</v>
      </c>
      <c r="E15" s="130">
        <v>2024</v>
      </c>
      <c r="F15" s="130">
        <v>2025</v>
      </c>
    </row>
    <row r="16" spans="1:9" x14ac:dyDescent="0.25">
      <c r="A16" s="131" t="s">
        <v>22</v>
      </c>
      <c r="B16" s="7">
        <v>4000</v>
      </c>
      <c r="C16" s="7">
        <v>13000</v>
      </c>
      <c r="D16" s="7">
        <v>13000</v>
      </c>
      <c r="E16" s="7">
        <v>13000</v>
      </c>
      <c r="F16" s="7">
        <v>13000</v>
      </c>
    </row>
    <row r="17" spans="1:6" ht="30" x14ac:dyDescent="0.25">
      <c r="A17" s="131" t="s">
        <v>23</v>
      </c>
      <c r="B17" s="130"/>
      <c r="C17" s="130">
        <v>5000</v>
      </c>
      <c r="D17" s="130">
        <v>5000</v>
      </c>
      <c r="E17" s="130">
        <v>5000</v>
      </c>
      <c r="F17" s="130">
        <v>5000</v>
      </c>
    </row>
    <row r="20" spans="1:6" x14ac:dyDescent="0.25">
      <c r="B20" s="8" t="s">
        <v>3</v>
      </c>
      <c r="C20" s="9" t="s">
        <v>4</v>
      </c>
    </row>
    <row r="21" spans="1:6" x14ac:dyDescent="0.25">
      <c r="A21" s="10" t="s">
        <v>24</v>
      </c>
      <c r="B21" s="11">
        <f>Cálculos!B29</f>
        <v>5130569.7278570607</v>
      </c>
      <c r="C21" s="12">
        <f>Cálculos!B54</f>
        <v>931470.34449275956</v>
      </c>
    </row>
    <row r="22" spans="1:6" x14ac:dyDescent="0.25">
      <c r="A22" s="10" t="s">
        <v>25</v>
      </c>
      <c r="B22" s="144">
        <f>Cálculos!B31</f>
        <v>1.0665869751549899</v>
      </c>
      <c r="C22" s="12">
        <f>Cálculos!B56</f>
        <v>1.0126666146361163</v>
      </c>
    </row>
    <row r="23" spans="1:6" x14ac:dyDescent="0.25">
      <c r="A23" s="10" t="s">
        <v>26</v>
      </c>
      <c r="B23" s="13">
        <f>Cálculos!B32</f>
        <v>0.23156196132137397</v>
      </c>
      <c r="C23" s="14">
        <f>Cálculos!B57</f>
        <v>0.15541469665709862</v>
      </c>
    </row>
    <row r="32" spans="1:6" x14ac:dyDescent="0.25">
      <c r="B32" s="38"/>
      <c r="C32" s="38"/>
    </row>
    <row r="36" spans="1:4" x14ac:dyDescent="0.25">
      <c r="B36" s="132"/>
      <c r="C36" s="132"/>
    </row>
    <row r="37" spans="1:4" x14ac:dyDescent="0.25">
      <c r="B37" s="145"/>
      <c r="C37" s="145"/>
      <c r="D37" s="146"/>
    </row>
    <row r="39" spans="1:4" x14ac:dyDescent="0.25">
      <c r="B39" s="145"/>
      <c r="C39" s="132"/>
    </row>
    <row r="40" spans="1:4" x14ac:dyDescent="0.25">
      <c r="B40" s="145"/>
      <c r="C40" s="132"/>
    </row>
    <row r="43" spans="1:4" x14ac:dyDescent="0.25">
      <c r="A43" s="147"/>
      <c r="B43" s="132"/>
      <c r="C43" s="148"/>
    </row>
  </sheetData>
  <mergeCells count="3">
    <mergeCell ref="A4:C4"/>
    <mergeCell ref="F4:I4"/>
    <mergeCell ref="D6:E10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CCE07D-1BF9-4556-8A26-79F606C81005}">
  <sheetPr codeName="Hoja3"/>
  <dimension ref="B2:H46"/>
  <sheetViews>
    <sheetView topLeftCell="A3" workbookViewId="0">
      <selection activeCell="C6" sqref="C6"/>
    </sheetView>
  </sheetViews>
  <sheetFormatPr baseColWidth="10" defaultColWidth="8.7109375" defaultRowHeight="15" x14ac:dyDescent="0.25"/>
  <cols>
    <col min="2" max="2" width="78.140625" customWidth="1"/>
    <col min="3" max="3" width="22.7109375" bestFit="1" customWidth="1"/>
    <col min="4" max="4" width="17.140625" customWidth="1"/>
    <col min="5" max="5" width="15" bestFit="1" customWidth="1"/>
    <col min="6" max="6" width="14.28515625" bestFit="1" customWidth="1"/>
    <col min="7" max="7" width="14.28515625" customWidth="1"/>
    <col min="8" max="8" width="18.42578125" customWidth="1"/>
    <col min="9" max="9" width="13.7109375" bestFit="1" customWidth="1"/>
  </cols>
  <sheetData>
    <row r="2" spans="2:8" ht="23.25" x14ac:dyDescent="0.35">
      <c r="B2" s="1" t="s">
        <v>27</v>
      </c>
      <c r="C2" s="16"/>
      <c r="D2" s="16"/>
      <c r="E2" s="16"/>
      <c r="F2" s="16"/>
      <c r="G2" s="16"/>
    </row>
    <row r="3" spans="2:8" ht="18.75" x14ac:dyDescent="0.3">
      <c r="B3" s="17" t="s">
        <v>28</v>
      </c>
      <c r="C3" s="18"/>
      <c r="D3" s="18"/>
      <c r="E3" s="18"/>
      <c r="F3" s="18"/>
      <c r="G3" s="19"/>
    </row>
    <row r="4" spans="2:8" x14ac:dyDescent="0.25">
      <c r="C4" s="19"/>
      <c r="D4" s="19"/>
      <c r="E4" s="19"/>
      <c r="F4" s="19"/>
      <c r="G4" s="19"/>
    </row>
    <row r="5" spans="2:8" ht="15.75" x14ac:dyDescent="0.25">
      <c r="B5" s="20" t="s">
        <v>29</v>
      </c>
      <c r="C5" s="18"/>
      <c r="D5" s="18"/>
      <c r="E5" s="18"/>
      <c r="F5" s="18"/>
      <c r="G5" s="19"/>
    </row>
    <row r="6" spans="2:8" ht="15.4" customHeight="1" x14ac:dyDescent="0.25">
      <c r="B6" t="s">
        <v>30</v>
      </c>
      <c r="C6" s="40">
        <v>2015</v>
      </c>
      <c r="D6" s="19"/>
      <c r="E6" s="19"/>
      <c r="F6" s="19"/>
      <c r="G6" s="19"/>
    </row>
    <row r="7" spans="2:8" ht="18.75" customHeight="1" x14ac:dyDescent="0.25">
      <c r="B7" s="21" t="s">
        <v>31</v>
      </c>
      <c r="C7" s="22">
        <v>23111500</v>
      </c>
      <c r="D7" s="19"/>
      <c r="E7" s="19"/>
      <c r="F7" s="19"/>
      <c r="G7" s="19"/>
    </row>
    <row r="8" spans="2:8" ht="15.4" customHeight="1" x14ac:dyDescent="0.25">
      <c r="B8" s="23" t="s">
        <v>32</v>
      </c>
      <c r="C8" s="22">
        <v>31600000</v>
      </c>
    </row>
    <row r="9" spans="2:8" ht="33.75" customHeight="1" x14ac:dyDescent="0.25">
      <c r="B9" s="21" t="s">
        <v>33</v>
      </c>
      <c r="C9" s="22">
        <v>43400000</v>
      </c>
    </row>
    <row r="10" spans="2:8" ht="14.25" customHeight="1" x14ac:dyDescent="0.25">
      <c r="B10" s="21" t="s">
        <v>154</v>
      </c>
      <c r="C10" s="22">
        <v>4800000</v>
      </c>
    </row>
    <row r="11" spans="2:8" ht="16.5" thickBot="1" x14ac:dyDescent="0.3">
      <c r="B11" s="24" t="s">
        <v>34</v>
      </c>
      <c r="C11" s="150">
        <v>102911500</v>
      </c>
      <c r="D11" s="25"/>
      <c r="E11" s="25"/>
      <c r="F11" s="25"/>
      <c r="G11" s="25"/>
    </row>
    <row r="12" spans="2:8" ht="15.75" thickTop="1" x14ac:dyDescent="0.25">
      <c r="B12" s="26"/>
      <c r="C12" s="27"/>
      <c r="D12" s="25"/>
      <c r="E12" s="25"/>
      <c r="F12" s="25"/>
      <c r="G12" s="25"/>
    </row>
    <row r="13" spans="2:8" x14ac:dyDescent="0.25">
      <c r="B13" s="23"/>
      <c r="C13" s="28"/>
      <c r="D13" s="25"/>
      <c r="E13" s="25"/>
      <c r="F13" s="25"/>
      <c r="G13" s="25"/>
    </row>
    <row r="14" spans="2:8" x14ac:dyDescent="0.25">
      <c r="B14" s="29"/>
      <c r="C14" s="28"/>
      <c r="D14" s="25"/>
      <c r="E14" s="25"/>
      <c r="F14" s="25"/>
      <c r="G14" s="25"/>
    </row>
    <row r="15" spans="2:8" ht="15.75" thickBot="1" x14ac:dyDescent="0.3">
      <c r="B15" s="30"/>
      <c r="C15" s="31">
        <v>2021</v>
      </c>
      <c r="D15" s="31">
        <v>2022</v>
      </c>
      <c r="E15" s="31">
        <v>2023</v>
      </c>
      <c r="F15" s="31">
        <v>2024</v>
      </c>
      <c r="G15" s="31">
        <v>2025</v>
      </c>
      <c r="H15" s="31" t="s">
        <v>35</v>
      </c>
    </row>
    <row r="16" spans="2:8" ht="17.25" thickTop="1" thickBot="1" x14ac:dyDescent="0.3">
      <c r="B16" s="32" t="s">
        <v>34</v>
      </c>
      <c r="C16" s="33">
        <f>C11*0.17</f>
        <v>17494955</v>
      </c>
      <c r="D16" s="33">
        <f>C11*D17</f>
        <v>36019025</v>
      </c>
      <c r="E16" s="33">
        <f>C11*E17</f>
        <v>24698760</v>
      </c>
      <c r="F16" s="33">
        <f>C11*F17</f>
        <v>16465840</v>
      </c>
      <c r="G16" s="33">
        <f>C11*G17</f>
        <v>8232920</v>
      </c>
      <c r="H16" s="33">
        <f>SUM(C16:G16)</f>
        <v>102911500</v>
      </c>
    </row>
    <row r="17" spans="2:8" ht="15.75" thickBot="1" x14ac:dyDescent="0.3">
      <c r="B17" s="30" t="s">
        <v>36</v>
      </c>
      <c r="C17" s="34">
        <v>0.17</v>
      </c>
      <c r="D17" s="35">
        <v>0.35</v>
      </c>
      <c r="E17" s="35">
        <v>0.24</v>
      </c>
      <c r="F17" s="35">
        <v>0.16</v>
      </c>
      <c r="G17" s="36">
        <v>0.08</v>
      </c>
      <c r="H17" s="35">
        <v>1</v>
      </c>
    </row>
    <row r="18" spans="2:8" ht="15.75" thickTop="1" x14ac:dyDescent="0.25"/>
    <row r="45" spans="2:3" x14ac:dyDescent="0.25">
      <c r="B45" s="37"/>
    </row>
    <row r="46" spans="2:3" x14ac:dyDescent="0.25">
      <c r="B46" s="37"/>
      <c r="C46" s="38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E75F89-E992-4B6E-BDCA-B0C5A86CBE2F}">
  <sheetPr codeName="Hoja4"/>
  <dimension ref="A2:AU225"/>
  <sheetViews>
    <sheetView topLeftCell="A13" zoomScale="85" zoomScaleNormal="85" zoomScalePageLayoutView="85" workbookViewId="0">
      <selection activeCell="A16" sqref="A16"/>
    </sheetView>
  </sheetViews>
  <sheetFormatPr baseColWidth="10" defaultColWidth="8.7109375" defaultRowHeight="15" outlineLevelRow="1" x14ac:dyDescent="0.25"/>
  <cols>
    <col min="1" max="1" width="80.28515625" customWidth="1"/>
    <col min="2" max="2" width="18.42578125" style="40" customWidth="1"/>
    <col min="3" max="3" width="32.7109375" customWidth="1"/>
    <col min="4" max="4" width="35.7109375" style="40" customWidth="1"/>
    <col min="5" max="5" width="20.28515625" style="40" customWidth="1"/>
    <col min="6" max="6" width="18.28515625" customWidth="1"/>
    <col min="7" max="7" width="23" customWidth="1"/>
    <col min="8" max="8" width="20.7109375" customWidth="1"/>
    <col min="9" max="9" width="21.42578125" customWidth="1"/>
    <col min="10" max="10" width="15.28515625" customWidth="1"/>
    <col min="11" max="11" width="17.28515625" customWidth="1"/>
    <col min="12" max="12" width="17" customWidth="1"/>
    <col min="13" max="13" width="15.7109375" customWidth="1"/>
    <col min="14" max="14" width="17.28515625" customWidth="1"/>
    <col min="15" max="15" width="18.28515625" customWidth="1"/>
    <col min="16" max="16" width="17" customWidth="1"/>
    <col min="17" max="17" width="18.42578125" customWidth="1"/>
    <col min="18" max="18" width="22.42578125" customWidth="1"/>
    <col min="19" max="19" width="19.7109375" customWidth="1"/>
    <col min="20" max="20" width="19.85546875" customWidth="1"/>
    <col min="21" max="21" width="28.28515625" customWidth="1"/>
    <col min="22" max="22" width="14.5703125" customWidth="1"/>
    <col min="23" max="23" width="19.140625" customWidth="1"/>
    <col min="24" max="24" width="15.5703125" customWidth="1"/>
    <col min="25" max="25" width="19.28515625" customWidth="1"/>
  </cols>
  <sheetData>
    <row r="2" spans="1:7" ht="23.25" x14ac:dyDescent="0.35">
      <c r="A2" s="39" t="s">
        <v>37</v>
      </c>
      <c r="C2" s="1"/>
      <c r="D2" s="39"/>
      <c r="E2" s="39"/>
      <c r="F2" s="16"/>
      <c r="G2" s="16"/>
    </row>
    <row r="3" spans="1:7" ht="18.75" x14ac:dyDescent="0.3">
      <c r="A3" s="15" t="s">
        <v>38</v>
      </c>
      <c r="C3" s="15"/>
      <c r="D3" s="15"/>
      <c r="E3" s="15"/>
      <c r="F3" s="19"/>
      <c r="G3" s="19"/>
    </row>
    <row r="4" spans="1:7" ht="18.75" x14ac:dyDescent="0.3">
      <c r="A4" s="128"/>
      <c r="B4" s="129"/>
      <c r="C4" s="128"/>
      <c r="D4" s="128"/>
      <c r="E4" s="15"/>
      <c r="F4" s="19"/>
      <c r="G4" s="19"/>
    </row>
    <row r="5" spans="1:7" ht="18.75" x14ac:dyDescent="0.3">
      <c r="A5" s="130" t="s">
        <v>146</v>
      </c>
      <c r="B5" s="133" t="s">
        <v>39</v>
      </c>
      <c r="C5" s="133" t="s">
        <v>40</v>
      </c>
      <c r="D5" s="130" t="s">
        <v>41</v>
      </c>
      <c r="E5" s="15"/>
      <c r="F5" s="19"/>
      <c r="G5" s="19"/>
    </row>
    <row r="6" spans="1:7" ht="18.75" x14ac:dyDescent="0.3">
      <c r="A6" s="130" t="s">
        <v>42</v>
      </c>
      <c r="B6" s="133">
        <v>23323</v>
      </c>
      <c r="C6" s="133">
        <v>23323</v>
      </c>
      <c r="D6" s="130" t="s">
        <v>43</v>
      </c>
      <c r="E6" s="15"/>
      <c r="F6" s="15"/>
      <c r="G6" s="19"/>
    </row>
    <row r="7" spans="1:7" ht="18.75" x14ac:dyDescent="0.3">
      <c r="A7" s="130" t="s">
        <v>44</v>
      </c>
      <c r="B7" s="133">
        <v>31</v>
      </c>
      <c r="C7" s="133">
        <v>31</v>
      </c>
      <c r="D7" s="130" t="s">
        <v>43</v>
      </c>
      <c r="E7" s="15"/>
      <c r="F7" s="19"/>
      <c r="G7" s="19"/>
    </row>
    <row r="8" spans="1:7" ht="18.75" x14ac:dyDescent="0.3">
      <c r="A8" s="130" t="s">
        <v>45</v>
      </c>
      <c r="B8" s="134">
        <v>0.35</v>
      </c>
      <c r="C8" s="134">
        <f>B8-Resumen!B6</f>
        <v>0.28000000000000003</v>
      </c>
      <c r="D8" s="130" t="s">
        <v>46</v>
      </c>
      <c r="E8" s="15"/>
      <c r="F8" s="19"/>
      <c r="G8" s="19"/>
    </row>
    <row r="9" spans="1:7" ht="38.450000000000003" customHeight="1" x14ac:dyDescent="0.3">
      <c r="A9" s="131" t="str">
        <f>[1]Resumen!F7</f>
        <v>Porcentaje de reincidencia delictiva de la población intervenida en programas de terapia conductivo conductual vis a vis un grupo de control en t+24 meses</v>
      </c>
      <c r="B9" s="134">
        <v>0.35</v>
      </c>
      <c r="C9" s="134">
        <f>B9-Resumen!B7</f>
        <v>0.25</v>
      </c>
      <c r="D9" s="130"/>
      <c r="E9" s="15"/>
      <c r="F9" s="19"/>
      <c r="G9" s="19"/>
    </row>
    <row r="10" spans="1:7" ht="18.75" x14ac:dyDescent="0.3">
      <c r="A10" s="130" t="s">
        <v>47</v>
      </c>
      <c r="B10" s="133">
        <v>1000</v>
      </c>
      <c r="C10" s="133">
        <v>1000</v>
      </c>
      <c r="D10" s="130" t="s">
        <v>48</v>
      </c>
      <c r="E10" s="15"/>
      <c r="F10" s="19"/>
      <c r="G10" s="19"/>
    </row>
    <row r="11" spans="1:7" ht="18.75" x14ac:dyDescent="0.3">
      <c r="A11" s="130" t="s">
        <v>49</v>
      </c>
      <c r="B11" s="133">
        <v>9093</v>
      </c>
      <c r="C11" s="133">
        <v>9093</v>
      </c>
      <c r="D11" s="130" t="s">
        <v>43</v>
      </c>
      <c r="E11" s="15"/>
      <c r="F11" s="19"/>
      <c r="G11" s="19"/>
    </row>
    <row r="12" spans="1:7" ht="18.75" x14ac:dyDescent="0.3">
      <c r="A12" s="130" t="s">
        <v>50</v>
      </c>
      <c r="B12" s="133">
        <v>9000</v>
      </c>
      <c r="C12" s="133">
        <v>9000</v>
      </c>
      <c r="D12" s="130" t="s">
        <v>43</v>
      </c>
      <c r="E12" s="15"/>
      <c r="F12" s="19"/>
      <c r="G12" s="19"/>
    </row>
    <row r="13" spans="1:7" ht="18.75" x14ac:dyDescent="0.3">
      <c r="A13" s="130" t="s">
        <v>51</v>
      </c>
      <c r="B13" s="136">
        <v>5.0000000000000001E-3</v>
      </c>
      <c r="C13" s="136">
        <v>5.0000000000000001E-3</v>
      </c>
      <c r="D13" s="130"/>
      <c r="E13" s="15"/>
      <c r="F13" s="19"/>
      <c r="G13" s="19"/>
    </row>
    <row r="14" spans="1:7" ht="30.75" x14ac:dyDescent="0.3">
      <c r="A14" s="130" t="s">
        <v>52</v>
      </c>
      <c r="B14" s="137">
        <v>4.2999999999999997E-2</v>
      </c>
      <c r="C14" s="137">
        <v>4.2999999999999997E-2</v>
      </c>
      <c r="D14" s="131" t="s">
        <v>53</v>
      </c>
      <c r="E14" s="15"/>
      <c r="F14" s="19"/>
      <c r="G14" s="19"/>
    </row>
    <row r="15" spans="1:7" ht="18.75" x14ac:dyDescent="0.3">
      <c r="A15" s="130" t="s">
        <v>54</v>
      </c>
      <c r="B15" s="133">
        <v>5000</v>
      </c>
      <c r="C15" s="133">
        <v>5000</v>
      </c>
      <c r="D15" s="130" t="s">
        <v>43</v>
      </c>
      <c r="E15" s="15"/>
      <c r="F15" s="19"/>
      <c r="G15" s="19"/>
    </row>
    <row r="16" spans="1:7" ht="18.75" x14ac:dyDescent="0.3">
      <c r="A16" s="130" t="s">
        <v>55</v>
      </c>
      <c r="B16" s="137">
        <v>0.33</v>
      </c>
      <c r="C16" s="126">
        <v>0.45</v>
      </c>
      <c r="D16" s="130" t="s">
        <v>43</v>
      </c>
      <c r="E16" s="15"/>
      <c r="F16" s="19"/>
      <c r="G16" s="19"/>
    </row>
    <row r="17" spans="1:24" ht="18.75" x14ac:dyDescent="0.3">
      <c r="A17" s="130" t="s">
        <v>56</v>
      </c>
      <c r="B17" s="137">
        <v>4.2000000000000003E-2</v>
      </c>
      <c r="C17" s="126">
        <f>B17+Resumen!B8</f>
        <v>0.15</v>
      </c>
      <c r="D17" s="130" t="s">
        <v>43</v>
      </c>
      <c r="E17" s="15"/>
      <c r="F17" s="19"/>
      <c r="G17" s="19"/>
    </row>
    <row r="18" spans="1:24" ht="18.75" x14ac:dyDescent="0.3">
      <c r="A18" s="130" t="s">
        <v>57</v>
      </c>
      <c r="B18" s="133">
        <v>3120</v>
      </c>
      <c r="C18" s="133">
        <v>3120</v>
      </c>
      <c r="D18" s="130" t="s">
        <v>58</v>
      </c>
      <c r="E18" s="15"/>
      <c r="F18" s="19"/>
      <c r="G18" s="19"/>
    </row>
    <row r="19" spans="1:24" ht="18.75" x14ac:dyDescent="0.3">
      <c r="A19" s="130" t="s">
        <v>59</v>
      </c>
      <c r="B19" s="133">
        <v>0.2</v>
      </c>
      <c r="C19" s="133">
        <v>0.2</v>
      </c>
      <c r="D19" s="130" t="s">
        <v>60</v>
      </c>
      <c r="E19" s="15"/>
      <c r="F19" s="19"/>
      <c r="G19" s="19"/>
    </row>
    <row r="20" spans="1:24" x14ac:dyDescent="0.25">
      <c r="A20" s="130" t="s">
        <v>61</v>
      </c>
      <c r="B20" s="126">
        <v>0.12</v>
      </c>
      <c r="C20" s="126">
        <v>0.12</v>
      </c>
      <c r="D20" s="130" t="s">
        <v>62</v>
      </c>
      <c r="F20" s="19"/>
      <c r="G20" s="19"/>
    </row>
    <row r="21" spans="1:24" x14ac:dyDescent="0.25">
      <c r="A21" s="130" t="s">
        <v>63</v>
      </c>
      <c r="B21" s="134">
        <v>0.38</v>
      </c>
      <c r="C21" s="134">
        <f>B21*(1+Resumen!B10)</f>
        <v>0.43699999999999994</v>
      </c>
      <c r="D21" s="130" t="s">
        <v>43</v>
      </c>
    </row>
    <row r="22" spans="1:24" ht="18.75" customHeight="1" x14ac:dyDescent="0.25">
      <c r="A22" s="130" t="s">
        <v>64</v>
      </c>
      <c r="B22" s="126">
        <v>0.6</v>
      </c>
      <c r="C22" s="126">
        <v>0.6</v>
      </c>
      <c r="D22" s="127"/>
    </row>
    <row r="25" spans="1:24" s="44" customFormat="1" ht="21" x14ac:dyDescent="0.35">
      <c r="A25"/>
      <c r="B25" s="41">
        <v>2021</v>
      </c>
      <c r="C25" s="41">
        <f>B25+1</f>
        <v>2022</v>
      </c>
      <c r="D25" s="41">
        <f t="shared" ref="D25:P25" si="0">C25+1</f>
        <v>2023</v>
      </c>
      <c r="E25" s="41">
        <f t="shared" si="0"/>
        <v>2024</v>
      </c>
      <c r="F25" s="41">
        <f t="shared" si="0"/>
        <v>2025</v>
      </c>
      <c r="G25" s="41">
        <f t="shared" si="0"/>
        <v>2026</v>
      </c>
      <c r="H25" s="41">
        <f t="shared" si="0"/>
        <v>2027</v>
      </c>
      <c r="I25" s="41">
        <f t="shared" si="0"/>
        <v>2028</v>
      </c>
      <c r="J25" s="41">
        <f t="shared" si="0"/>
        <v>2029</v>
      </c>
      <c r="K25" s="41">
        <f t="shared" si="0"/>
        <v>2030</v>
      </c>
      <c r="L25" s="41">
        <f t="shared" si="0"/>
        <v>2031</v>
      </c>
      <c r="M25" s="41">
        <f t="shared" si="0"/>
        <v>2032</v>
      </c>
      <c r="N25" s="41">
        <f>M25+1</f>
        <v>2033</v>
      </c>
      <c r="O25" s="41">
        <f t="shared" si="0"/>
        <v>2034</v>
      </c>
      <c r="P25" s="41">
        <f t="shared" si="0"/>
        <v>2035</v>
      </c>
      <c r="Q25" s="41">
        <f>P25+1</f>
        <v>2036</v>
      </c>
      <c r="R25" s="41">
        <v>2022</v>
      </c>
      <c r="S25" s="41">
        <f>R25+1</f>
        <v>2023</v>
      </c>
      <c r="T25" s="41">
        <f t="shared" ref="T25:X25" si="1">S25+1</f>
        <v>2024</v>
      </c>
      <c r="U25" s="41">
        <f t="shared" si="1"/>
        <v>2025</v>
      </c>
      <c r="V25" s="41">
        <f t="shared" si="1"/>
        <v>2026</v>
      </c>
      <c r="W25" s="41">
        <f t="shared" si="1"/>
        <v>2027</v>
      </c>
      <c r="X25" s="41">
        <f t="shared" si="1"/>
        <v>2028</v>
      </c>
    </row>
    <row r="26" spans="1:24" outlineLevel="1" x14ac:dyDescent="0.25">
      <c r="B26" s="41">
        <v>0</v>
      </c>
      <c r="C26" s="41">
        <v>1</v>
      </c>
      <c r="D26" s="41">
        <v>2</v>
      </c>
      <c r="E26" s="41">
        <v>3</v>
      </c>
      <c r="F26" s="41">
        <v>4</v>
      </c>
      <c r="G26" s="41">
        <v>5</v>
      </c>
      <c r="H26" s="41">
        <v>7</v>
      </c>
      <c r="I26" s="41">
        <v>8</v>
      </c>
      <c r="J26" s="41">
        <v>9</v>
      </c>
      <c r="K26" s="41">
        <v>10</v>
      </c>
      <c r="L26" s="41">
        <v>11</v>
      </c>
      <c r="M26" s="41">
        <v>12</v>
      </c>
      <c r="N26" s="41">
        <v>13</v>
      </c>
      <c r="O26" s="41">
        <v>14</v>
      </c>
      <c r="P26" s="41">
        <v>15</v>
      </c>
      <c r="Q26" s="41">
        <v>16</v>
      </c>
      <c r="R26" s="41">
        <v>17</v>
      </c>
      <c r="S26" s="41">
        <v>18</v>
      </c>
      <c r="T26" s="41">
        <v>19</v>
      </c>
      <c r="U26" s="41">
        <v>20</v>
      </c>
      <c r="V26" s="40">
        <v>21</v>
      </c>
      <c r="W26" s="40">
        <v>22</v>
      </c>
      <c r="X26">
        <v>23</v>
      </c>
    </row>
    <row r="27" spans="1:24" outlineLevel="1" x14ac:dyDescent="0.25">
      <c r="D27"/>
      <c r="E27"/>
      <c r="F27" s="40"/>
      <c r="J27" s="40"/>
      <c r="N27" s="40"/>
      <c r="P27" s="40"/>
      <c r="Q27" s="40"/>
      <c r="S27" s="40"/>
      <c r="T27" s="40"/>
      <c r="V27" s="40"/>
      <c r="W27" s="40"/>
    </row>
    <row r="28" spans="1:24" outlineLevel="1" x14ac:dyDescent="0.25">
      <c r="A28" t="s">
        <v>65</v>
      </c>
      <c r="B28" s="45">
        <v>5000</v>
      </c>
      <c r="C28" s="46">
        <f>B28*(1+$B$14)</f>
        <v>5215</v>
      </c>
      <c r="D28" s="46">
        <f t="shared" ref="D28:S29" si="2">C28*(1+$B$14)</f>
        <v>5439.2449999999999</v>
      </c>
      <c r="E28" s="46">
        <f t="shared" si="2"/>
        <v>5673.1325349999997</v>
      </c>
      <c r="F28" s="46">
        <f t="shared" si="2"/>
        <v>5917.0772340049989</v>
      </c>
      <c r="G28" s="46">
        <f t="shared" si="2"/>
        <v>6171.5115550672135</v>
      </c>
      <c r="H28" s="46">
        <f t="shared" si="2"/>
        <v>6436.8865519351029</v>
      </c>
      <c r="I28" s="46">
        <f t="shared" si="2"/>
        <v>6713.6726736683122</v>
      </c>
      <c r="J28" s="46">
        <f t="shared" si="2"/>
        <v>7002.360598636049</v>
      </c>
      <c r="K28" s="46">
        <f t="shared" si="2"/>
        <v>7303.4621043773986</v>
      </c>
      <c r="L28" s="46">
        <f t="shared" si="2"/>
        <v>7617.5109748656259</v>
      </c>
      <c r="M28" s="46">
        <f t="shared" si="2"/>
        <v>7945.0639467848468</v>
      </c>
      <c r="N28" s="46">
        <f t="shared" si="2"/>
        <v>8286.7016964965951</v>
      </c>
      <c r="O28" s="46">
        <f t="shared" si="2"/>
        <v>8643.0298694459489</v>
      </c>
      <c r="P28" s="46">
        <f t="shared" si="2"/>
        <v>9014.6801538321233</v>
      </c>
      <c r="Q28" s="46">
        <f t="shared" si="2"/>
        <v>9402.3114004469044</v>
      </c>
      <c r="R28" s="46">
        <f t="shared" si="2"/>
        <v>9806.61079066612</v>
      </c>
      <c r="S28" s="46">
        <f t="shared" si="2"/>
        <v>10228.295054664763</v>
      </c>
      <c r="T28" s="46">
        <f t="shared" ref="T28:X29" si="3">S28*(1+$B$14)</f>
        <v>10668.111742015346</v>
      </c>
      <c r="U28" s="46">
        <f t="shared" si="3"/>
        <v>11126.840546922005</v>
      </c>
      <c r="V28" s="46">
        <f t="shared" si="3"/>
        <v>11605.29469043965</v>
      </c>
      <c r="W28" s="46">
        <f t="shared" si="3"/>
        <v>12104.322362128554</v>
      </c>
      <c r="X28" s="46">
        <f t="shared" si="3"/>
        <v>12624.808223700082</v>
      </c>
    </row>
    <row r="29" spans="1:24" outlineLevel="1" x14ac:dyDescent="0.25">
      <c r="A29" t="s">
        <v>66</v>
      </c>
      <c r="B29" s="45">
        <f>B10</f>
        <v>1000</v>
      </c>
      <c r="C29" s="46">
        <f>B29*(1+$B$14)</f>
        <v>1043</v>
      </c>
      <c r="D29" s="46">
        <f t="shared" si="2"/>
        <v>1087.8489999999999</v>
      </c>
      <c r="E29" s="46">
        <f t="shared" si="2"/>
        <v>1134.6265069999999</v>
      </c>
      <c r="F29" s="46">
        <f t="shared" si="2"/>
        <v>1183.4154468009999</v>
      </c>
      <c r="G29" s="46">
        <f t="shared" si="2"/>
        <v>1234.3023110134429</v>
      </c>
      <c r="H29" s="46">
        <f t="shared" si="2"/>
        <v>1287.377310387021</v>
      </c>
      <c r="I29" s="46">
        <f t="shared" si="2"/>
        <v>1342.7345347336627</v>
      </c>
      <c r="J29" s="46">
        <f t="shared" si="2"/>
        <v>1400.4721197272102</v>
      </c>
      <c r="K29" s="46">
        <f t="shared" si="2"/>
        <v>1460.6924208754801</v>
      </c>
      <c r="L29" s="46">
        <f t="shared" si="2"/>
        <v>1523.5021949731256</v>
      </c>
      <c r="M29" s="46">
        <f t="shared" si="2"/>
        <v>1589.01278935697</v>
      </c>
      <c r="N29" s="46">
        <f t="shared" si="2"/>
        <v>1657.3403392993196</v>
      </c>
      <c r="O29" s="46">
        <f t="shared" si="2"/>
        <v>1728.6059738891902</v>
      </c>
      <c r="P29" s="46">
        <f t="shared" si="2"/>
        <v>1802.9360307664253</v>
      </c>
      <c r="Q29" s="46">
        <f t="shared" si="2"/>
        <v>1880.4622800893815</v>
      </c>
      <c r="R29" s="46">
        <f t="shared" si="2"/>
        <v>1961.3221581332248</v>
      </c>
      <c r="S29" s="46">
        <f t="shared" si="2"/>
        <v>2045.6590109329534</v>
      </c>
      <c r="T29" s="46">
        <f t="shared" si="3"/>
        <v>2133.6223484030702</v>
      </c>
      <c r="U29" s="46">
        <f t="shared" si="3"/>
        <v>2225.368109384402</v>
      </c>
      <c r="V29" s="46">
        <f t="shared" si="3"/>
        <v>2321.058938087931</v>
      </c>
      <c r="W29" s="46">
        <f t="shared" si="3"/>
        <v>2420.8644724257119</v>
      </c>
      <c r="X29" s="46">
        <f t="shared" si="3"/>
        <v>2524.9616447400172</v>
      </c>
    </row>
    <row r="30" spans="1:24" outlineLevel="1" x14ac:dyDescent="0.25">
      <c r="A30" t="s">
        <v>67</v>
      </c>
      <c r="B30" s="42">
        <v>0</v>
      </c>
      <c r="C30" s="43">
        <v>0.25</v>
      </c>
      <c r="D30" s="43">
        <v>0.5</v>
      </c>
      <c r="E30" s="43">
        <v>0.75</v>
      </c>
      <c r="F30" s="43">
        <v>1</v>
      </c>
      <c r="G30" s="43">
        <v>1</v>
      </c>
      <c r="H30" s="43">
        <v>1</v>
      </c>
      <c r="I30" s="43">
        <v>1</v>
      </c>
      <c r="J30" s="43">
        <v>1</v>
      </c>
      <c r="K30" s="43">
        <v>1</v>
      </c>
      <c r="L30" s="43">
        <v>1</v>
      </c>
      <c r="M30" s="43">
        <v>1</v>
      </c>
      <c r="N30" s="43">
        <v>1</v>
      </c>
      <c r="O30" s="43">
        <v>1</v>
      </c>
      <c r="P30" s="43">
        <v>1</v>
      </c>
      <c r="Q30" s="43">
        <v>1</v>
      </c>
      <c r="R30" s="43">
        <v>1</v>
      </c>
      <c r="S30" s="43">
        <v>2</v>
      </c>
      <c r="T30" s="43">
        <v>3</v>
      </c>
      <c r="U30" s="43">
        <v>4</v>
      </c>
      <c r="V30" s="43">
        <v>5</v>
      </c>
      <c r="W30" s="43">
        <v>6</v>
      </c>
      <c r="X30" s="43">
        <v>7</v>
      </c>
    </row>
    <row r="31" spans="1:24" outlineLevel="1" x14ac:dyDescent="0.25">
      <c r="A31" t="s">
        <v>68</v>
      </c>
      <c r="B31" s="47">
        <f>Resumen!B16</f>
        <v>4000</v>
      </c>
      <c r="C31" s="47">
        <f>Resumen!C16</f>
        <v>13000</v>
      </c>
      <c r="D31" s="47">
        <f>Resumen!D16</f>
        <v>13000</v>
      </c>
      <c r="E31" s="47">
        <f>Resumen!E16</f>
        <v>13000</v>
      </c>
      <c r="F31" s="47">
        <f>Resumen!F16</f>
        <v>13000</v>
      </c>
      <c r="I31">
        <f t="shared" ref="I31:X31" si="4">H31*(1+$B$13)</f>
        <v>0</v>
      </c>
      <c r="J31">
        <f t="shared" si="4"/>
        <v>0</v>
      </c>
      <c r="K31">
        <f t="shared" si="4"/>
        <v>0</v>
      </c>
      <c r="L31">
        <f t="shared" si="4"/>
        <v>0</v>
      </c>
      <c r="M31">
        <f t="shared" si="4"/>
        <v>0</v>
      </c>
      <c r="N31">
        <f t="shared" si="4"/>
        <v>0</v>
      </c>
      <c r="O31">
        <f t="shared" si="4"/>
        <v>0</v>
      </c>
      <c r="P31">
        <f t="shared" si="4"/>
        <v>0</v>
      </c>
      <c r="Q31">
        <f t="shared" si="4"/>
        <v>0</v>
      </c>
      <c r="R31">
        <f t="shared" si="4"/>
        <v>0</v>
      </c>
      <c r="S31">
        <f t="shared" si="4"/>
        <v>0</v>
      </c>
      <c r="T31">
        <f t="shared" si="4"/>
        <v>0</v>
      </c>
      <c r="U31">
        <f t="shared" si="4"/>
        <v>0</v>
      </c>
      <c r="V31">
        <f t="shared" si="4"/>
        <v>0</v>
      </c>
      <c r="W31">
        <f t="shared" si="4"/>
        <v>0</v>
      </c>
      <c r="X31">
        <f t="shared" si="4"/>
        <v>0</v>
      </c>
    </row>
    <row r="32" spans="1:24" outlineLevel="1" x14ac:dyDescent="0.25">
      <c r="A32" t="s">
        <v>69</v>
      </c>
      <c r="B32" s="47">
        <f>Resumen!B17</f>
        <v>0</v>
      </c>
      <c r="C32" s="47">
        <f>Resumen!C17</f>
        <v>5000</v>
      </c>
      <c r="D32" s="47">
        <f>Resumen!D17</f>
        <v>5000</v>
      </c>
      <c r="E32" s="47">
        <f>Resumen!E17</f>
        <v>5000</v>
      </c>
      <c r="F32" s="47">
        <f>Resumen!F17</f>
        <v>5000</v>
      </c>
    </row>
    <row r="33" spans="1:18" outlineLevel="1" x14ac:dyDescent="0.25">
      <c r="A33" t="s">
        <v>70</v>
      </c>
      <c r="B33" s="47">
        <f>B31-B32</f>
        <v>4000</v>
      </c>
      <c r="C33" s="47">
        <f t="shared" ref="C33:F33" si="5">C31-C32</f>
        <v>8000</v>
      </c>
      <c r="D33" s="47">
        <f t="shared" si="5"/>
        <v>8000</v>
      </c>
      <c r="E33" s="47">
        <f t="shared" si="5"/>
        <v>8000</v>
      </c>
      <c r="F33" s="47">
        <f t="shared" si="5"/>
        <v>8000</v>
      </c>
    </row>
    <row r="34" spans="1:18" outlineLevel="1" x14ac:dyDescent="0.25">
      <c r="B34" s="42"/>
      <c r="D34"/>
      <c r="E34"/>
    </row>
    <row r="35" spans="1:18" x14ac:dyDescent="0.25"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</row>
    <row r="36" spans="1:18" x14ac:dyDescent="0.25">
      <c r="A36" s="158" t="s">
        <v>71</v>
      </c>
      <c r="B36" s="158"/>
      <c r="C36" s="158"/>
      <c r="D36" s="158"/>
      <c r="E36" s="158"/>
      <c r="F36" s="158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</row>
    <row r="37" spans="1:18" x14ac:dyDescent="0.25">
      <c r="A37" s="158"/>
      <c r="B37" s="158"/>
      <c r="C37" s="158"/>
      <c r="D37" s="158"/>
      <c r="E37" s="158"/>
      <c r="F37" s="158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</row>
    <row r="38" spans="1:18" x14ac:dyDescent="0.25"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</row>
    <row r="39" spans="1:18" outlineLevel="1" x14ac:dyDescent="0.25">
      <c r="A39" t="s">
        <v>72</v>
      </c>
      <c r="E39" s="45">
        <f>$B$33*$B$8*E28</f>
        <v>7942385.5489999996</v>
      </c>
      <c r="F39" s="45">
        <f>$B$31*$B$8*F28</f>
        <v>8283908.1276069982</v>
      </c>
      <c r="G39" s="45">
        <f>$B$31*$B$8*G28</f>
        <v>8640116.1770940982</v>
      </c>
      <c r="H39" s="45">
        <f>$B$31*$B$8*H28</f>
        <v>9011641.1727091447</v>
      </c>
      <c r="N39" s="46"/>
      <c r="O39" s="46"/>
      <c r="P39" s="46"/>
      <c r="Q39" s="46"/>
      <c r="R39" s="46"/>
    </row>
    <row r="40" spans="1:18" outlineLevel="1" x14ac:dyDescent="0.25">
      <c r="A40" t="s">
        <v>73</v>
      </c>
      <c r="E40" s="45">
        <f>E39/(1+$B$20)^E$26</f>
        <v>5653233.1542968731</v>
      </c>
      <c r="F40" s="45">
        <f>F39/(1+$B$20)^F$26</f>
        <v>5264573.374938962</v>
      </c>
      <c r="G40" s="45">
        <f>G39/(1+$B$20)^G$26</f>
        <v>4902633.9554119082</v>
      </c>
      <c r="H40" s="45">
        <f>H39/(1+$B$20)^H$26</f>
        <v>4076408.8133726236</v>
      </c>
      <c r="N40" s="46"/>
      <c r="O40" s="46"/>
      <c r="P40" s="46"/>
      <c r="Q40" s="46"/>
      <c r="R40" s="46"/>
    </row>
    <row r="41" spans="1:18" outlineLevel="1" x14ac:dyDescent="0.25">
      <c r="A41" t="s">
        <v>74</v>
      </c>
      <c r="F41" s="45">
        <f>$C$33*$B$8*F28</f>
        <v>16567816.255213996</v>
      </c>
      <c r="G41" s="45">
        <f>$C$33*$B$8*G28</f>
        <v>17280232.354188196</v>
      </c>
      <c r="H41" s="45">
        <f>$C$33*$B$8*H28</f>
        <v>18023282.345418289</v>
      </c>
      <c r="I41" s="45">
        <f>$C$33*$B$8*I28</f>
        <v>18798283.486271273</v>
      </c>
      <c r="N41" s="46"/>
      <c r="O41" s="46"/>
      <c r="P41" s="46"/>
      <c r="Q41" s="46"/>
      <c r="R41" s="46"/>
    </row>
    <row r="42" spans="1:18" outlineLevel="1" x14ac:dyDescent="0.25">
      <c r="A42" t="s">
        <v>75</v>
      </c>
      <c r="F42" s="45">
        <f>F41/(1+$B$20)^F$26</f>
        <v>10529146.749877924</v>
      </c>
      <c r="G42" s="45">
        <f>G41/(1+$B$20)^G$26</f>
        <v>9805267.9108238164</v>
      </c>
      <c r="H42" s="45">
        <f>H41/(1+$B$20)^H$26</f>
        <v>8152817.6267452473</v>
      </c>
      <c r="I42" s="45">
        <f>I41/(1+$B$20)^I$26</f>
        <v>7592311.4149065102</v>
      </c>
      <c r="N42" s="46"/>
      <c r="O42" s="46"/>
      <c r="P42" s="46"/>
      <c r="Q42" s="46"/>
      <c r="R42" s="46"/>
    </row>
    <row r="43" spans="1:18" outlineLevel="1" x14ac:dyDescent="0.25">
      <c r="A43" t="s">
        <v>76</v>
      </c>
      <c r="G43" s="45">
        <f>$D$33*$B$8*G28</f>
        <v>17280232.354188196</v>
      </c>
      <c r="H43" s="45">
        <f>$D$33*$B$8*H28</f>
        <v>18023282.345418289</v>
      </c>
      <c r="I43" s="45">
        <f>$D$33*$B$8*I28</f>
        <v>18798283.486271273</v>
      </c>
      <c r="J43" s="45">
        <f>$D$33*$B$8*J28</f>
        <v>19606609.676180936</v>
      </c>
      <c r="N43" s="46"/>
      <c r="O43" s="46"/>
      <c r="P43" s="46"/>
      <c r="Q43" s="46"/>
      <c r="R43" s="46"/>
    </row>
    <row r="44" spans="1:18" outlineLevel="1" x14ac:dyDescent="0.25">
      <c r="A44" t="s">
        <v>77</v>
      </c>
      <c r="G44" s="45">
        <f>G43/(1+$B$20)^G$26</f>
        <v>9805267.9108238164</v>
      </c>
      <c r="H44" s="45">
        <f>H43/(1+$B$20)^H$26</f>
        <v>8152817.6267452473</v>
      </c>
      <c r="I44" s="45">
        <f>I43/(1+$B$20)^I$26</f>
        <v>7592311.4149065102</v>
      </c>
      <c r="J44" s="45">
        <f>J43/(1+$B$20)^J$26</f>
        <v>7070340.005131687</v>
      </c>
      <c r="N44" s="46"/>
      <c r="O44" s="46"/>
      <c r="P44" s="46"/>
      <c r="Q44" s="46"/>
      <c r="R44" s="46"/>
    </row>
    <row r="45" spans="1:18" outlineLevel="1" x14ac:dyDescent="0.25">
      <c r="A45" t="s">
        <v>78</v>
      </c>
      <c r="H45" s="45">
        <f>$E$33*$B$8*H28</f>
        <v>18023282.345418289</v>
      </c>
      <c r="I45" s="45">
        <f>$E$33*$B$8*I28</f>
        <v>18798283.486271273</v>
      </c>
      <c r="J45" s="45">
        <f>$E$33*$B$8*J28</f>
        <v>19606609.676180936</v>
      </c>
      <c r="K45" s="45">
        <f>$E$33*$B$8*K28</f>
        <v>20449693.892256714</v>
      </c>
      <c r="N45" s="46"/>
      <c r="O45" s="46"/>
      <c r="P45" s="46"/>
      <c r="Q45" s="46"/>
      <c r="R45" s="46"/>
    </row>
    <row r="46" spans="1:18" outlineLevel="1" x14ac:dyDescent="0.25">
      <c r="A46" t="s">
        <v>79</v>
      </c>
      <c r="H46" s="45">
        <f>H45/(1+$B$20)^H$26</f>
        <v>8152817.6267452473</v>
      </c>
      <c r="I46" s="45">
        <f>I45/(1+$B$20)^I$26</f>
        <v>7592311.4149065102</v>
      </c>
      <c r="J46" s="45">
        <f>J45/(1+$B$20)^J$26</f>
        <v>7070340.005131687</v>
      </c>
      <c r="K46" s="45">
        <f>K45/(1+$B$20)^K$26</f>
        <v>6584254.1297788825</v>
      </c>
      <c r="N46" s="46"/>
      <c r="O46" s="46"/>
      <c r="P46" s="46"/>
      <c r="Q46" s="46"/>
      <c r="R46" s="46"/>
    </row>
    <row r="47" spans="1:18" outlineLevel="1" x14ac:dyDescent="0.25">
      <c r="A47" t="s">
        <v>80</v>
      </c>
      <c r="I47" s="45">
        <f>$F$33*$B$8*I$28</f>
        <v>18798283.486271273</v>
      </c>
      <c r="J47" s="45">
        <f>$F$33*$B$8*J$28</f>
        <v>19606609.676180936</v>
      </c>
      <c r="K47" s="45">
        <f>$F$33*$B$8*K$28</f>
        <v>20449693.892256714</v>
      </c>
      <c r="L47" s="45">
        <f>$F$33*$B$8*L$28</f>
        <v>21329030.729623754</v>
      </c>
      <c r="N47" s="46"/>
      <c r="O47" s="46"/>
      <c r="P47" s="46"/>
      <c r="Q47" s="46"/>
      <c r="R47" s="46"/>
    </row>
    <row r="48" spans="1:18" outlineLevel="1" x14ac:dyDescent="0.25">
      <c r="I48" s="45">
        <f>I47/(1+$B$20)^I$26</f>
        <v>7592311.4149065102</v>
      </c>
      <c r="J48" s="45">
        <f>J47/(1+$B$20)^J$26</f>
        <v>7070340.005131687</v>
      </c>
      <c r="K48" s="45">
        <f>K47/(1+$B$20)^K$26</f>
        <v>6584254.1297788825</v>
      </c>
      <c r="L48" s="45">
        <f>L47/(1+$B$20)^L$26</f>
        <v>6131586.6583565827</v>
      </c>
      <c r="N48" s="46"/>
      <c r="O48" s="46"/>
      <c r="P48" s="46"/>
      <c r="Q48" s="46"/>
      <c r="R48" s="46"/>
    </row>
    <row r="49" spans="1:18" outlineLevel="1" x14ac:dyDescent="0.25">
      <c r="N49" s="46"/>
      <c r="O49" s="46"/>
      <c r="P49" s="46"/>
      <c r="Q49" s="46"/>
      <c r="R49" s="46"/>
    </row>
    <row r="50" spans="1:18" outlineLevel="1" x14ac:dyDescent="0.25">
      <c r="N50" s="46"/>
      <c r="O50" s="46"/>
      <c r="P50" s="46"/>
      <c r="Q50" s="46"/>
      <c r="R50" s="46"/>
    </row>
    <row r="51" spans="1:18" outlineLevel="1" x14ac:dyDescent="0.25">
      <c r="A51" t="s">
        <v>81</v>
      </c>
      <c r="C51" s="48">
        <f>SUM(E40:H40)</f>
        <v>19896849.298020367</v>
      </c>
      <c r="D51" s="49">
        <f>SUM(F42:I42)</f>
        <v>36079543.7023535</v>
      </c>
      <c r="E51" s="49">
        <f>SUM(G44:J44)</f>
        <v>32620736.957607262</v>
      </c>
      <c r="F51" s="48">
        <f>SUM(H46:K46)</f>
        <v>29399723.176562324</v>
      </c>
      <c r="G51" s="48">
        <f>SUM(I48:L48)</f>
        <v>27378492.208173662</v>
      </c>
      <c r="H51" s="48"/>
      <c r="I51" s="48"/>
      <c r="J51" s="48"/>
      <c r="K51" s="48"/>
      <c r="L51" s="48"/>
      <c r="M51" s="48"/>
      <c r="N51" s="46"/>
      <c r="O51" s="46"/>
      <c r="P51" s="46"/>
      <c r="Q51" s="46"/>
      <c r="R51" s="46"/>
    </row>
    <row r="52" spans="1:18" outlineLevel="1" x14ac:dyDescent="0.25">
      <c r="N52" s="46"/>
      <c r="O52" s="46"/>
      <c r="P52" s="46"/>
      <c r="Q52" s="46"/>
      <c r="R52" s="46"/>
    </row>
    <row r="53" spans="1:18" outlineLevel="1" x14ac:dyDescent="0.25">
      <c r="N53" s="46"/>
      <c r="O53" s="46"/>
      <c r="P53" s="46"/>
      <c r="Q53" s="46"/>
      <c r="R53" s="46"/>
    </row>
    <row r="54" spans="1:18" outlineLevel="1" x14ac:dyDescent="0.25">
      <c r="A54" t="s">
        <v>82</v>
      </c>
      <c r="E54" s="45">
        <f>$B$33*$C$8*E$28</f>
        <v>6353908.4391999999</v>
      </c>
      <c r="F54" s="45">
        <f>$B$33*$C$8*F$28</f>
        <v>6627126.5020855991</v>
      </c>
      <c r="G54" s="45">
        <f>$B$33*$C$8*G$28</f>
        <v>6912092.9416752793</v>
      </c>
      <c r="H54" s="45">
        <f>$B$33*$C$8*H$28</f>
        <v>7209312.938167315</v>
      </c>
      <c r="N54" s="46"/>
      <c r="O54" s="46"/>
      <c r="P54" s="46"/>
      <c r="Q54" s="46"/>
      <c r="R54" s="46"/>
    </row>
    <row r="55" spans="1:18" outlineLevel="1" x14ac:dyDescent="0.25">
      <c r="A55" t="s">
        <v>73</v>
      </c>
      <c r="E55" s="45">
        <f>E54/(1+$B$20)^E$26</f>
        <v>4522586.5234374991</v>
      </c>
      <c r="F55" s="45">
        <f>F54/(1+$B$20)^F$26</f>
        <v>4211658.69995117</v>
      </c>
      <c r="G55" s="45">
        <f>G54/(1+$B$20)^G$26</f>
        <v>3922107.1643295269</v>
      </c>
      <c r="H55" s="45">
        <f>H54/(1+$B$20)^H$26</f>
        <v>3261127.0506980987</v>
      </c>
      <c r="N55" s="46"/>
      <c r="O55" s="46"/>
      <c r="P55" s="46"/>
      <c r="Q55" s="46"/>
      <c r="R55" s="46"/>
    </row>
    <row r="56" spans="1:18" outlineLevel="1" x14ac:dyDescent="0.25">
      <c r="A56" t="s">
        <v>83</v>
      </c>
      <c r="F56" s="45">
        <f>$C$33*$C$8*F$28</f>
        <v>13254253.004171198</v>
      </c>
      <c r="G56" s="45">
        <f>$C$33*$C$8*G$28</f>
        <v>13824185.883350559</v>
      </c>
      <c r="H56" s="45">
        <f>$C$33*$C$8*H$28</f>
        <v>14418625.87633463</v>
      </c>
      <c r="I56" s="45">
        <f>$C$33*$C$8*I$28</f>
        <v>15038626.78901702</v>
      </c>
      <c r="N56" s="46"/>
      <c r="O56" s="46"/>
      <c r="P56" s="46"/>
      <c r="Q56" s="46"/>
      <c r="R56" s="46"/>
    </row>
    <row r="57" spans="1:18" outlineLevel="1" x14ac:dyDescent="0.25">
      <c r="A57" t="s">
        <v>75</v>
      </c>
      <c r="F57" s="45">
        <f>F56/(1+$B$20)^F$26</f>
        <v>8423317.39990234</v>
      </c>
      <c r="G57" s="45">
        <f>G56/(1+$B$20)^G$26</f>
        <v>7844214.3286590539</v>
      </c>
      <c r="H57" s="45">
        <f>H56/(1+$B$20)^H$26</f>
        <v>6522254.1013961975</v>
      </c>
      <c r="I57" s="45">
        <f>I56/(1+$B$20)^I$26</f>
        <v>6073849.1319252085</v>
      </c>
      <c r="N57" s="46"/>
      <c r="O57" s="46"/>
      <c r="P57" s="46"/>
      <c r="Q57" s="46"/>
      <c r="R57" s="46"/>
    </row>
    <row r="58" spans="1:18" outlineLevel="1" x14ac:dyDescent="0.25">
      <c r="A58" t="s">
        <v>84</v>
      </c>
      <c r="G58" s="45">
        <f>$D$33*$C$8*G$28</f>
        <v>13824185.883350559</v>
      </c>
      <c r="H58" s="45">
        <f>$D$33*$C$8*H$28</f>
        <v>14418625.87633463</v>
      </c>
      <c r="I58" s="45">
        <f>$D$33*$C$8*I$28</f>
        <v>15038626.78901702</v>
      </c>
      <c r="J58" s="45">
        <f>$D$33*$C$8*J$28</f>
        <v>15685287.740944751</v>
      </c>
      <c r="N58" s="46"/>
      <c r="O58" s="46"/>
      <c r="P58" s="46"/>
      <c r="Q58" s="46"/>
      <c r="R58" s="46"/>
    </row>
    <row r="59" spans="1:18" outlineLevel="1" x14ac:dyDescent="0.25">
      <c r="A59" t="s">
        <v>77</v>
      </c>
      <c r="G59" s="45">
        <f>G58/(1+$B$20)^G$26</f>
        <v>7844214.3286590539</v>
      </c>
      <c r="H59" s="45">
        <f>H58/(1+$B$20)^H$26</f>
        <v>6522254.1013961975</v>
      </c>
      <c r="I59" s="45">
        <f>I58/(1+$B$20)^I$26</f>
        <v>6073849.1319252085</v>
      </c>
      <c r="J59" s="45">
        <f>J58/(1+$B$20)^J$26</f>
        <v>5656272.00410535</v>
      </c>
      <c r="N59" s="46"/>
      <c r="O59" s="46"/>
      <c r="P59" s="46"/>
      <c r="Q59" s="46"/>
      <c r="R59" s="46"/>
    </row>
    <row r="60" spans="1:18" outlineLevel="1" x14ac:dyDescent="0.25">
      <c r="A60" t="s">
        <v>85</v>
      </c>
      <c r="H60" s="45">
        <f>$E$33*$C$8*H$28</f>
        <v>14418625.87633463</v>
      </c>
      <c r="I60" s="45">
        <f>$E$33*$C$8*I$28</f>
        <v>15038626.78901702</v>
      </c>
      <c r="J60" s="45">
        <f>$E$33*$C$8*J$28</f>
        <v>15685287.740944751</v>
      </c>
      <c r="K60" s="45">
        <f>$E$33*$C$8*K$28</f>
        <v>16359755.113805372</v>
      </c>
      <c r="N60" s="46"/>
      <c r="O60" s="46"/>
      <c r="P60" s="46"/>
      <c r="Q60" s="46"/>
      <c r="R60" s="46"/>
    </row>
    <row r="61" spans="1:18" outlineLevel="1" x14ac:dyDescent="0.25">
      <c r="A61" t="s">
        <v>79</v>
      </c>
      <c r="H61" s="45">
        <f>H60/(1+$B$20)^H$26</f>
        <v>6522254.1013961975</v>
      </c>
      <c r="I61" s="45">
        <f>I60/(1+$B$20)^I$26</f>
        <v>6073849.1319252085</v>
      </c>
      <c r="J61" s="45">
        <f>J60/(1+$B$20)^J$26</f>
        <v>5656272.00410535</v>
      </c>
      <c r="K61" s="45">
        <f>K60/(1+$B$20)^K$26</f>
        <v>5267403.303823106</v>
      </c>
      <c r="N61" s="46"/>
      <c r="O61" s="46"/>
      <c r="P61" s="46"/>
      <c r="Q61" s="46"/>
      <c r="R61" s="46"/>
    </row>
    <row r="62" spans="1:18" outlineLevel="1" x14ac:dyDescent="0.25">
      <c r="A62" t="s">
        <v>86</v>
      </c>
      <c r="I62" s="45">
        <f>$F$33*$C$8*I$28</f>
        <v>15038626.78901702</v>
      </c>
      <c r="J62" s="45">
        <f>$F$33*$C$8*J$28</f>
        <v>15685287.740944751</v>
      </c>
      <c r="K62" s="45">
        <f>$F$33*$C$8*K$28</f>
        <v>16359755.113805372</v>
      </c>
      <c r="L62" s="45">
        <f>$F$33*$C$8*L$28</f>
        <v>17063224.583699003</v>
      </c>
      <c r="N62" s="46"/>
      <c r="O62" s="46"/>
      <c r="P62" s="46"/>
      <c r="Q62" s="46"/>
      <c r="R62" s="46"/>
    </row>
    <row r="63" spans="1:18" outlineLevel="1" x14ac:dyDescent="0.25">
      <c r="I63" s="45">
        <f>I62/(1+$B$20)^I$26</f>
        <v>6073849.1319252085</v>
      </c>
      <c r="J63" s="45">
        <f>J62/(1+$B$20)^J$26</f>
        <v>5656272.00410535</v>
      </c>
      <c r="K63" s="45">
        <f>K62/(1+$B$20)^K$26</f>
        <v>5267403.303823106</v>
      </c>
      <c r="L63" s="45">
        <f>L62/(1+$B$20)^L$26</f>
        <v>4905269.3266852666</v>
      </c>
      <c r="N63" s="46"/>
      <c r="O63" s="46"/>
      <c r="P63" s="46"/>
      <c r="Q63" s="46"/>
      <c r="R63" s="46"/>
    </row>
    <row r="64" spans="1:18" outlineLevel="1" x14ac:dyDescent="0.25">
      <c r="N64" s="46"/>
      <c r="O64" s="46"/>
      <c r="P64" s="46"/>
      <c r="Q64" s="46"/>
      <c r="R64" s="46"/>
    </row>
    <row r="65" spans="1:18" outlineLevel="1" x14ac:dyDescent="0.25">
      <c r="N65" s="46"/>
      <c r="O65" s="46"/>
      <c r="P65" s="46"/>
      <c r="Q65" s="46"/>
      <c r="R65" s="46"/>
    </row>
    <row r="66" spans="1:18" outlineLevel="1" x14ac:dyDescent="0.25">
      <c r="A66" t="s">
        <v>87</v>
      </c>
      <c r="B66" s="48">
        <f>SUM(E55:H55)</f>
        <v>15917479.438416295</v>
      </c>
      <c r="C66" s="49">
        <f>SUM(F57:I57)</f>
        <v>28863634.9618828</v>
      </c>
      <c r="D66" s="49">
        <f>SUM(G59:J59)</f>
        <v>26096589.566085808</v>
      </c>
      <c r="E66" s="48">
        <f>SUM(H61:K61)</f>
        <v>23519778.541249864</v>
      </c>
      <c r="F66" s="48">
        <f>SUM(I63:L63)</f>
        <v>21902793.766538933</v>
      </c>
      <c r="H66" s="48"/>
      <c r="I66" s="48"/>
      <c r="J66" s="48"/>
      <c r="K66" s="48"/>
      <c r="L66" s="48"/>
      <c r="M66" s="48"/>
      <c r="N66" s="46"/>
      <c r="O66" s="46"/>
      <c r="P66" s="46"/>
      <c r="Q66" s="46"/>
      <c r="R66" s="46"/>
    </row>
    <row r="67" spans="1:18" ht="30" x14ac:dyDescent="0.25">
      <c r="A67" s="50" t="s">
        <v>88</v>
      </c>
      <c r="B67" s="51">
        <f>C51-B66</f>
        <v>3979369.8596040718</v>
      </c>
      <c r="C67" s="51">
        <f>D51-C66</f>
        <v>7215908.7404707</v>
      </c>
      <c r="D67" s="51">
        <f>E51-D66</f>
        <v>6524147.3915214539</v>
      </c>
      <c r="E67" s="51">
        <f>F51-E66</f>
        <v>5879944.6353124604</v>
      </c>
      <c r="F67" s="51">
        <f>G51-F66</f>
        <v>5475698.4416347295</v>
      </c>
      <c r="H67" s="52"/>
      <c r="I67" s="52"/>
      <c r="J67" s="52"/>
      <c r="K67" s="52"/>
      <c r="L67" s="52"/>
      <c r="M67" s="52"/>
      <c r="N67" s="52"/>
      <c r="O67" s="52"/>
      <c r="P67" s="52"/>
      <c r="Q67" s="46"/>
      <c r="R67" s="46"/>
    </row>
    <row r="68" spans="1:18" x14ac:dyDescent="0.25"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6"/>
      <c r="R68" s="46"/>
    </row>
    <row r="69" spans="1:18" ht="14.45" customHeight="1" x14ac:dyDescent="0.25">
      <c r="A69" s="159" t="s">
        <v>89</v>
      </c>
      <c r="B69" s="159"/>
      <c r="C69" s="159"/>
      <c r="D69" s="159"/>
      <c r="E69" s="159"/>
      <c r="F69" s="159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6"/>
      <c r="R69" s="46"/>
    </row>
    <row r="70" spans="1:18" ht="14.45" customHeight="1" x14ac:dyDescent="0.25">
      <c r="A70" s="159"/>
      <c r="B70" s="159"/>
      <c r="C70" s="159"/>
      <c r="D70" s="159"/>
      <c r="E70" s="159"/>
      <c r="F70" s="159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6"/>
      <c r="R70" s="46"/>
    </row>
    <row r="71" spans="1:18" x14ac:dyDescent="0.25"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6"/>
      <c r="R71" s="46"/>
    </row>
    <row r="72" spans="1:18" x14ac:dyDescent="0.25">
      <c r="A72" t="s">
        <v>74</v>
      </c>
      <c r="F72" s="45">
        <f>$C$32*$B$9*F$28</f>
        <v>10354885.159508748</v>
      </c>
      <c r="G72" s="45">
        <f>$C$32*$B$9*G$28</f>
        <v>10800145.221367624</v>
      </c>
      <c r="H72" s="45">
        <f>$C$32*$B$9*H$28</f>
        <v>11264551.465886431</v>
      </c>
      <c r="I72" s="45">
        <f>$C$32*$B$9*I$28</f>
        <v>11748927.178919546</v>
      </c>
      <c r="N72" s="48"/>
      <c r="O72" s="48"/>
      <c r="P72" s="48"/>
      <c r="Q72" s="46"/>
      <c r="R72" s="46"/>
    </row>
    <row r="73" spans="1:18" x14ac:dyDescent="0.25">
      <c r="A73" t="s">
        <v>73</v>
      </c>
      <c r="F73" s="45">
        <f>F72/(1+$B$20)^F$26</f>
        <v>6580716.7186737033</v>
      </c>
      <c r="G73" s="53">
        <f>G72/(1+$B$20)^G$26</f>
        <v>6128292.444264886</v>
      </c>
      <c r="H73" s="53">
        <f>H72/(1+$B$20)^H$26</f>
        <v>5095511.0167157799</v>
      </c>
      <c r="I73" s="53">
        <f>I72/(1+$B$20)^I$26</f>
        <v>4745194.6343165692</v>
      </c>
      <c r="N73" s="48"/>
      <c r="O73" s="48"/>
      <c r="P73" s="48"/>
      <c r="Q73" s="46"/>
      <c r="R73" s="46"/>
    </row>
    <row r="74" spans="1:18" x14ac:dyDescent="0.25">
      <c r="A74" t="s">
        <v>76</v>
      </c>
      <c r="G74" s="45">
        <f>$D$32*$B$9*G$28</f>
        <v>10800145.221367624</v>
      </c>
      <c r="H74" s="45">
        <f>$D$32*$B$9*H$28</f>
        <v>11264551.465886431</v>
      </c>
      <c r="I74" s="45">
        <f>$D$32*$B$9*I$28</f>
        <v>11748927.178919546</v>
      </c>
      <c r="J74" s="45">
        <f>$D$32*$B$9*J$28</f>
        <v>12254131.047613086</v>
      </c>
      <c r="N74" s="48"/>
      <c r="O74" s="48"/>
      <c r="P74" s="48"/>
      <c r="Q74" s="46"/>
      <c r="R74" s="46"/>
    </row>
    <row r="75" spans="1:18" x14ac:dyDescent="0.25">
      <c r="A75" t="s">
        <v>75</v>
      </c>
      <c r="G75" s="53">
        <f>G74/(1+$B$20)^G$26</f>
        <v>6128292.444264886</v>
      </c>
      <c r="H75" s="53">
        <f>H74/(1+$B$20)^H$26</f>
        <v>5095511.0167157799</v>
      </c>
      <c r="I75" s="53">
        <f>I74/(1+$B$20)^I$26</f>
        <v>4745194.6343165692</v>
      </c>
      <c r="J75" s="45">
        <f>J74/(1+$B$20)^J$26</f>
        <v>4418962.5032073045</v>
      </c>
      <c r="N75" s="48"/>
      <c r="O75" s="48"/>
      <c r="P75" s="48"/>
      <c r="Q75" s="46"/>
      <c r="R75" s="46"/>
    </row>
    <row r="76" spans="1:18" x14ac:dyDescent="0.25">
      <c r="A76" t="s">
        <v>78</v>
      </c>
      <c r="H76" s="45">
        <f>$E$32*$B$9*H$28</f>
        <v>11264551.465886431</v>
      </c>
      <c r="I76" s="45">
        <f>$E$32*$B$9*I$28</f>
        <v>11748927.178919546</v>
      </c>
      <c r="J76" s="45">
        <f>$E$32*$B$9*J$28</f>
        <v>12254131.047613086</v>
      </c>
      <c r="K76" s="45">
        <f>$E$32*$B$9*K$28</f>
        <v>12781058.682660447</v>
      </c>
      <c r="N76" s="48"/>
      <c r="O76" s="48"/>
      <c r="P76" s="48"/>
      <c r="Q76" s="46"/>
      <c r="R76" s="46"/>
    </row>
    <row r="77" spans="1:18" x14ac:dyDescent="0.25">
      <c r="A77" t="s">
        <v>77</v>
      </c>
      <c r="H77" s="45">
        <f>H76/(1+$B$20)^H$26</f>
        <v>5095511.0167157799</v>
      </c>
      <c r="I77" s="45">
        <f>I76/(1+$B$20)^I$26</f>
        <v>4745194.6343165692</v>
      </c>
      <c r="J77" s="45">
        <f>J76/(1+$B$20)^J$26</f>
        <v>4418962.5032073045</v>
      </c>
      <c r="K77" s="45">
        <f>K76/(1+$B$20)^K$26</f>
        <v>4115158.8311118018</v>
      </c>
      <c r="N77" s="48"/>
      <c r="O77" s="48"/>
      <c r="P77" s="48"/>
      <c r="Q77" s="46"/>
      <c r="R77" s="46"/>
    </row>
    <row r="78" spans="1:18" x14ac:dyDescent="0.25">
      <c r="A78" t="s">
        <v>80</v>
      </c>
      <c r="I78" s="45">
        <f>$F$32*$B$9*I$28</f>
        <v>11748927.178919546</v>
      </c>
      <c r="J78" s="45">
        <f>$F$32*$B$9*J$28</f>
        <v>12254131.047613086</v>
      </c>
      <c r="K78" s="45">
        <f>$F$32*$B$9*K$28</f>
        <v>12781058.682660447</v>
      </c>
      <c r="L78" s="45">
        <f>$F$32*$B$9*L$28</f>
        <v>13330644.206014846</v>
      </c>
      <c r="N78" s="48"/>
      <c r="O78" s="48"/>
      <c r="P78" s="48"/>
      <c r="Q78" s="46"/>
      <c r="R78" s="46"/>
    </row>
    <row r="79" spans="1:18" x14ac:dyDescent="0.25">
      <c r="A79" t="s">
        <v>79</v>
      </c>
      <c r="I79" s="45">
        <f>I78/(1+$B$20)^I$26</f>
        <v>4745194.6343165692</v>
      </c>
      <c r="J79" s="45">
        <f>J78/(1+$B$20)^J$26</f>
        <v>4418962.5032073045</v>
      </c>
      <c r="K79" s="45">
        <f>K78/(1+$B$20)^K$26</f>
        <v>4115158.8311118018</v>
      </c>
      <c r="L79" s="45">
        <f>L78/(1+$B$20)^L$26</f>
        <v>3832241.6614728644</v>
      </c>
      <c r="N79" s="48"/>
      <c r="O79" s="48"/>
      <c r="P79" s="48"/>
      <c r="Q79" s="46"/>
      <c r="R79" s="46"/>
    </row>
    <row r="80" spans="1:18" x14ac:dyDescent="0.25">
      <c r="N80" s="48"/>
      <c r="O80" s="48"/>
      <c r="P80" s="48"/>
      <c r="Q80" s="46"/>
      <c r="R80" s="46"/>
    </row>
    <row r="81" spans="1:18" x14ac:dyDescent="0.25">
      <c r="A81" t="s">
        <v>90</v>
      </c>
      <c r="C81" s="49">
        <f>SUM(F73:I73)</f>
        <v>22549714.813970938</v>
      </c>
      <c r="D81" s="49">
        <f>SUM(G75:J75)</f>
        <v>20387960.59850454</v>
      </c>
      <c r="E81" s="48">
        <f>SUM(H77:K77)</f>
        <v>18374826.985351458</v>
      </c>
      <c r="F81" s="48">
        <f>SUM(I79:L79)</f>
        <v>17111557.630108543</v>
      </c>
      <c r="H81" s="48"/>
      <c r="I81" s="48"/>
      <c r="J81" s="48"/>
      <c r="K81" s="48"/>
      <c r="L81" s="48"/>
      <c r="M81" s="48"/>
      <c r="N81" s="48"/>
      <c r="O81" s="48"/>
      <c r="P81" s="48"/>
      <c r="Q81" s="46"/>
      <c r="R81" s="46"/>
    </row>
    <row r="82" spans="1:18" x14ac:dyDescent="0.25">
      <c r="N82" s="48"/>
      <c r="O82" s="48"/>
      <c r="P82" s="48"/>
      <c r="Q82" s="46"/>
      <c r="R82" s="46"/>
    </row>
    <row r="83" spans="1:18" x14ac:dyDescent="0.25">
      <c r="N83" s="48"/>
      <c r="O83" s="48"/>
      <c r="P83" s="48"/>
      <c r="Q83" s="46"/>
      <c r="R83" s="46"/>
    </row>
    <row r="84" spans="1:18" x14ac:dyDescent="0.25">
      <c r="A84" t="s">
        <v>74</v>
      </c>
      <c r="E84" s="45"/>
      <c r="F84" s="45">
        <f>$C$32*$C$9*F$28</f>
        <v>7396346.5425062487</v>
      </c>
      <c r="G84" s="45">
        <f>$C$32*$C$9*G$28</f>
        <v>7714389.443834017</v>
      </c>
      <c r="H84" s="45">
        <f>$C$32*$C$9*H$28</f>
        <v>8046108.1899188785</v>
      </c>
      <c r="I84" s="45">
        <f>$C$32*$C$9*I$28</f>
        <v>8392090.8420853894</v>
      </c>
      <c r="N84" s="48"/>
      <c r="O84" s="48"/>
      <c r="P84" s="48"/>
      <c r="Q84" s="46"/>
      <c r="R84" s="46"/>
    </row>
    <row r="85" spans="1:18" x14ac:dyDescent="0.25">
      <c r="A85" t="s">
        <v>73</v>
      </c>
      <c r="E85" s="45"/>
      <c r="F85" s="45">
        <f>F84/(1+$B$20)^F$26</f>
        <v>4700511.9419097882</v>
      </c>
      <c r="G85" s="53">
        <f>G84/(1+$B$20)^G$26</f>
        <v>4377351.7459034901</v>
      </c>
      <c r="H85" s="53">
        <f>H84/(1+$B$20)^H$26</f>
        <v>3639650.7262255568</v>
      </c>
      <c r="I85" s="53">
        <f>I84/(1+$B$20)^I$26</f>
        <v>3389424.7387975492</v>
      </c>
      <c r="N85" s="48"/>
      <c r="O85" s="48"/>
      <c r="P85" s="48"/>
      <c r="Q85" s="46"/>
      <c r="R85" s="46"/>
    </row>
    <row r="86" spans="1:18" x14ac:dyDescent="0.25">
      <c r="A86" t="s">
        <v>76</v>
      </c>
      <c r="G86" s="45">
        <f>$D$32*$C$9*G$28</f>
        <v>7714389.443834017</v>
      </c>
      <c r="H86" s="45">
        <f>$D$32*$C$9*H$28</f>
        <v>8046108.1899188785</v>
      </c>
      <c r="I86" s="45">
        <f>$D$32*$C$9*I$28</f>
        <v>8392090.8420853894</v>
      </c>
      <c r="J86" s="45">
        <f>$D$32*$C$9*J$28</f>
        <v>8752950.7482950613</v>
      </c>
      <c r="N86" s="48"/>
      <c r="O86" s="48"/>
      <c r="P86" s="48"/>
      <c r="Q86" s="46"/>
      <c r="R86" s="46"/>
    </row>
    <row r="87" spans="1:18" x14ac:dyDescent="0.25">
      <c r="A87" t="s">
        <v>75</v>
      </c>
      <c r="G87" s="53">
        <f>G86/(1+$B$20)^G$26</f>
        <v>4377351.7459034901</v>
      </c>
      <c r="H87" s="53">
        <f>H86/(1+$B$20)^H$26</f>
        <v>3639650.7262255568</v>
      </c>
      <c r="I87" s="53">
        <f>I86/(1+$B$20)^I$26</f>
        <v>3389424.7387975492</v>
      </c>
      <c r="J87" s="45">
        <f>J86/(1+$B$20)^J$26</f>
        <v>3156401.7880052174</v>
      </c>
      <c r="N87" s="48"/>
      <c r="O87" s="48"/>
      <c r="P87" s="48"/>
      <c r="Q87" s="46"/>
      <c r="R87" s="46"/>
    </row>
    <row r="88" spans="1:18" x14ac:dyDescent="0.25">
      <c r="A88" t="s">
        <v>78</v>
      </c>
      <c r="H88" s="45">
        <f>$E$32*$C$9*H$28</f>
        <v>8046108.1899188785</v>
      </c>
      <c r="I88" s="45">
        <f>$E$32*$C$9*I$28</f>
        <v>8392090.8420853894</v>
      </c>
      <c r="J88" s="45">
        <f>$E$32*$C$9*J$28</f>
        <v>8752950.7482950613</v>
      </c>
      <c r="K88" s="45">
        <f>$E$32*$C$9*K$28</f>
        <v>9129327.6304717492</v>
      </c>
      <c r="N88" s="48"/>
      <c r="O88" s="48"/>
      <c r="P88" s="48"/>
      <c r="Q88" s="46"/>
      <c r="R88" s="46"/>
    </row>
    <row r="89" spans="1:18" x14ac:dyDescent="0.25">
      <c r="A89" t="s">
        <v>77</v>
      </c>
      <c r="H89" s="45">
        <f>H88/(1+$B$20)^H$26</f>
        <v>3639650.7262255568</v>
      </c>
      <c r="I89" s="45">
        <f>I88/(1+$B$20)^I$26</f>
        <v>3389424.7387975492</v>
      </c>
      <c r="J89" s="45">
        <f>J88/(1+$B$20)^J$26</f>
        <v>3156401.7880052174</v>
      </c>
      <c r="K89" s="45">
        <f>K88/(1+$B$20)^K$26</f>
        <v>2939399.1650798586</v>
      </c>
      <c r="N89" s="48"/>
      <c r="O89" s="48"/>
      <c r="P89" s="48"/>
      <c r="Q89" s="46"/>
      <c r="R89" s="46"/>
    </row>
    <row r="90" spans="1:18" x14ac:dyDescent="0.25">
      <c r="A90" t="s">
        <v>80</v>
      </c>
      <c r="I90" s="45">
        <f>$F$32*$C$9*I$28</f>
        <v>8392090.8420853894</v>
      </c>
      <c r="J90" s="45">
        <f>$F$32*$C$9*J$28</f>
        <v>8752950.7482950613</v>
      </c>
      <c r="K90" s="45">
        <f>$F$32*$C$9*K$28</f>
        <v>9129327.6304717492</v>
      </c>
      <c r="L90" s="45">
        <f>$F$32*$C$9*L$28</f>
        <v>9521888.7185820322</v>
      </c>
      <c r="N90" s="48"/>
      <c r="O90" s="48"/>
      <c r="P90" s="48"/>
      <c r="Q90" s="46"/>
      <c r="R90" s="46"/>
    </row>
    <row r="91" spans="1:18" x14ac:dyDescent="0.25">
      <c r="A91" t="s">
        <v>79</v>
      </c>
      <c r="I91" s="45">
        <f>I90/(1+$B$20)^I$26</f>
        <v>3389424.7387975492</v>
      </c>
      <c r="J91" s="45">
        <f>J90/(1+$B$20)^J$26</f>
        <v>3156401.7880052174</v>
      </c>
      <c r="K91" s="45">
        <f>K90/(1+$B$20)^K$26</f>
        <v>2939399.1650798586</v>
      </c>
      <c r="L91" s="45">
        <f>L90/(1+$B$20)^L$26</f>
        <v>2737315.4724806175</v>
      </c>
      <c r="N91" s="48"/>
      <c r="O91" s="48"/>
      <c r="P91" s="48"/>
      <c r="Q91" s="46"/>
      <c r="R91" s="46"/>
    </row>
    <row r="92" spans="1:18" x14ac:dyDescent="0.25">
      <c r="I92" s="45"/>
      <c r="J92" s="45"/>
      <c r="K92" s="45"/>
      <c r="L92" s="45"/>
      <c r="N92" s="48"/>
      <c r="O92" s="48"/>
      <c r="P92" s="48"/>
      <c r="Q92" s="46"/>
      <c r="R92" s="46"/>
    </row>
    <row r="93" spans="1:18" x14ac:dyDescent="0.25">
      <c r="A93" t="s">
        <v>91</v>
      </c>
      <c r="C93" s="48">
        <f>SUM(E85:H85)</f>
        <v>12717514.414038835</v>
      </c>
      <c r="D93" s="49">
        <f>SUM(F87:I87)</f>
        <v>11406427.210926596</v>
      </c>
      <c r="E93" s="49">
        <f>SUM(G89:J89)</f>
        <v>10185477.253028324</v>
      </c>
      <c r="F93" s="48">
        <f>SUM(H91:K91)</f>
        <v>9485225.6918826252</v>
      </c>
      <c r="H93" s="48"/>
      <c r="I93" s="48"/>
      <c r="J93" s="48"/>
      <c r="K93" s="48"/>
      <c r="L93" s="48"/>
      <c r="M93" s="48"/>
      <c r="N93" s="48"/>
      <c r="O93" s="48"/>
      <c r="P93" s="48"/>
      <c r="Q93" s="46"/>
      <c r="R93" s="46"/>
    </row>
    <row r="94" spans="1:18" ht="30" customHeight="1" x14ac:dyDescent="0.25">
      <c r="A94" s="54" t="s">
        <v>92</v>
      </c>
      <c r="B94" s="55"/>
      <c r="C94" s="56">
        <f>C81-C93</f>
        <v>9832200.3999321032</v>
      </c>
      <c r="D94" s="56">
        <f>D81-D93</f>
        <v>8981533.3875779435</v>
      </c>
      <c r="E94" s="56">
        <f>E81-E93</f>
        <v>8189349.7323231343</v>
      </c>
      <c r="F94" s="56">
        <f>F81-F93</f>
        <v>7626331.9382259175</v>
      </c>
      <c r="H94" s="52"/>
      <c r="I94" s="52"/>
      <c r="J94" s="52"/>
      <c r="K94" s="52"/>
      <c r="L94" s="52"/>
      <c r="M94" s="52"/>
      <c r="N94" s="48"/>
      <c r="O94" s="48"/>
      <c r="P94" s="48"/>
      <c r="Q94" s="46"/>
      <c r="R94" s="46"/>
    </row>
    <row r="95" spans="1:18" ht="14.45" customHeight="1" x14ac:dyDescent="0.25"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6"/>
      <c r="R95" s="46"/>
    </row>
    <row r="96" spans="1:18" x14ac:dyDescent="0.25"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6"/>
      <c r="R96" s="46"/>
    </row>
    <row r="97" spans="1:47" x14ac:dyDescent="0.25"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6"/>
      <c r="R97" s="46"/>
    </row>
    <row r="98" spans="1:47" x14ac:dyDescent="0.25">
      <c r="A98" s="160" t="s">
        <v>93</v>
      </c>
      <c r="B98" s="160"/>
      <c r="C98" s="160"/>
      <c r="D98" s="160"/>
      <c r="E98" s="160"/>
      <c r="F98" s="160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6"/>
      <c r="R98" s="46"/>
    </row>
    <row r="99" spans="1:47" x14ac:dyDescent="0.25">
      <c r="A99" s="160"/>
      <c r="B99" s="160"/>
      <c r="C99" s="160"/>
      <c r="D99" s="160"/>
      <c r="E99" s="160"/>
      <c r="F99" s="160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6"/>
      <c r="R99" s="46"/>
    </row>
    <row r="100" spans="1:47" outlineLevel="1" x14ac:dyDescent="0.25">
      <c r="B100" s="40">
        <v>2021</v>
      </c>
      <c r="C100">
        <f>B100+1</f>
        <v>2022</v>
      </c>
      <c r="D100">
        <f t="shared" ref="D100:M100" si="6">C100+1</f>
        <v>2023</v>
      </c>
      <c r="E100">
        <f t="shared" si="6"/>
        <v>2024</v>
      </c>
      <c r="F100">
        <f t="shared" si="6"/>
        <v>2025</v>
      </c>
      <c r="G100">
        <f t="shared" si="6"/>
        <v>2026</v>
      </c>
      <c r="H100">
        <f t="shared" si="6"/>
        <v>2027</v>
      </c>
      <c r="I100">
        <f t="shared" si="6"/>
        <v>2028</v>
      </c>
      <c r="J100">
        <f t="shared" si="6"/>
        <v>2029</v>
      </c>
      <c r="K100">
        <f t="shared" si="6"/>
        <v>2030</v>
      </c>
      <c r="L100">
        <f t="shared" si="6"/>
        <v>2031</v>
      </c>
      <c r="M100">
        <f t="shared" si="6"/>
        <v>2032</v>
      </c>
      <c r="N100">
        <f>M100+1</f>
        <v>2033</v>
      </c>
      <c r="O100">
        <f t="shared" ref="O100:P100" si="7">N100+1</f>
        <v>2034</v>
      </c>
      <c r="P100">
        <f t="shared" si="7"/>
        <v>2035</v>
      </c>
      <c r="Q100">
        <f>P100+1</f>
        <v>2036</v>
      </c>
      <c r="R100" s="40">
        <v>2022</v>
      </c>
      <c r="S100">
        <f>R100+1</f>
        <v>2023</v>
      </c>
      <c r="T100">
        <f t="shared" ref="T100:X100" si="8">S100+1</f>
        <v>2024</v>
      </c>
      <c r="U100">
        <f t="shared" si="8"/>
        <v>2025</v>
      </c>
      <c r="V100">
        <f t="shared" si="8"/>
        <v>2026</v>
      </c>
      <c r="W100">
        <f t="shared" si="8"/>
        <v>2027</v>
      </c>
      <c r="X100">
        <f t="shared" si="8"/>
        <v>2028</v>
      </c>
    </row>
    <row r="101" spans="1:47" outlineLevel="1" x14ac:dyDescent="0.25">
      <c r="B101" s="40">
        <v>1</v>
      </c>
      <c r="C101">
        <v>2</v>
      </c>
      <c r="D101">
        <v>3</v>
      </c>
      <c r="E101">
        <v>4</v>
      </c>
      <c r="F101" s="40">
        <v>5</v>
      </c>
      <c r="G101">
        <v>6</v>
      </c>
      <c r="H101">
        <v>7</v>
      </c>
      <c r="I101">
        <v>8</v>
      </c>
      <c r="J101" s="40">
        <v>9</v>
      </c>
      <c r="K101">
        <v>10</v>
      </c>
      <c r="L101">
        <v>11</v>
      </c>
      <c r="M101">
        <v>12</v>
      </c>
      <c r="N101" s="40">
        <v>13</v>
      </c>
      <c r="O101">
        <v>14</v>
      </c>
      <c r="P101" s="40">
        <v>15</v>
      </c>
      <c r="Q101" s="40">
        <v>16</v>
      </c>
      <c r="R101">
        <v>17</v>
      </c>
      <c r="S101" s="40">
        <v>18</v>
      </c>
      <c r="T101" s="40">
        <v>19</v>
      </c>
      <c r="U101">
        <v>20</v>
      </c>
      <c r="V101" s="40">
        <v>21</v>
      </c>
      <c r="W101" s="40">
        <v>22</v>
      </c>
      <c r="X101">
        <v>23</v>
      </c>
    </row>
    <row r="102" spans="1:47" outlineLevel="1" x14ac:dyDescent="0.25">
      <c r="A102" t="s">
        <v>94</v>
      </c>
      <c r="B102" s="45">
        <f>B18</f>
        <v>3120</v>
      </c>
      <c r="C102" s="46">
        <f>B102*(1+$B$14)</f>
        <v>3254.16</v>
      </c>
      <c r="D102" s="46">
        <f t="shared" ref="D102:AU102" si="9">C102*(1+$B$14)</f>
        <v>3394.0888799999998</v>
      </c>
      <c r="E102" s="46">
        <f t="shared" si="9"/>
        <v>3540.0347018399993</v>
      </c>
      <c r="F102" s="46">
        <f t="shared" si="9"/>
        <v>3692.256194019119</v>
      </c>
      <c r="G102" s="46">
        <f t="shared" si="9"/>
        <v>3851.023210361941</v>
      </c>
      <c r="H102" s="46">
        <f t="shared" si="9"/>
        <v>4016.6172084075042</v>
      </c>
      <c r="I102" s="46">
        <f t="shared" si="9"/>
        <v>4189.3317483690262</v>
      </c>
      <c r="J102" s="46">
        <f t="shared" si="9"/>
        <v>4369.4730135488944</v>
      </c>
      <c r="K102" s="46">
        <f t="shared" si="9"/>
        <v>4557.3603531314966</v>
      </c>
      <c r="L102" s="46">
        <f t="shared" si="9"/>
        <v>4753.326848316151</v>
      </c>
      <c r="M102" s="46">
        <f t="shared" si="9"/>
        <v>4957.719902793745</v>
      </c>
      <c r="N102" s="46">
        <f t="shared" si="9"/>
        <v>5170.9018586138754</v>
      </c>
      <c r="O102" s="46">
        <f t="shared" si="9"/>
        <v>5393.2506385342713</v>
      </c>
      <c r="P102" s="46">
        <f t="shared" si="9"/>
        <v>5625.1604159912449</v>
      </c>
      <c r="Q102" s="46">
        <f t="shared" si="9"/>
        <v>5867.0423138788683</v>
      </c>
      <c r="R102" s="46">
        <f t="shared" si="9"/>
        <v>6119.3251333756589</v>
      </c>
      <c r="S102" s="46">
        <f t="shared" si="9"/>
        <v>6382.4561141108115</v>
      </c>
      <c r="T102" s="46">
        <f t="shared" si="9"/>
        <v>6656.9017270175764</v>
      </c>
      <c r="U102" s="46">
        <f t="shared" si="9"/>
        <v>6943.1485012793319</v>
      </c>
      <c r="V102" s="46">
        <f t="shared" si="9"/>
        <v>7241.7038868343425</v>
      </c>
      <c r="W102" s="46">
        <f t="shared" si="9"/>
        <v>7553.0971539682187</v>
      </c>
      <c r="X102" s="46">
        <f t="shared" si="9"/>
        <v>7877.8803315888517</v>
      </c>
      <c r="Y102" s="46">
        <f t="shared" si="9"/>
        <v>8216.6291858471723</v>
      </c>
      <c r="Z102" s="46">
        <f t="shared" si="9"/>
        <v>8569.9442408386003</v>
      </c>
      <c r="AA102" s="46">
        <f t="shared" si="9"/>
        <v>8938.4518431946599</v>
      </c>
      <c r="AB102" s="46">
        <f t="shared" si="9"/>
        <v>9322.8052724520294</v>
      </c>
      <c r="AC102" s="46">
        <f t="shared" si="9"/>
        <v>9723.6858991674653</v>
      </c>
      <c r="AD102" s="46">
        <f t="shared" si="9"/>
        <v>10141.804392831666</v>
      </c>
      <c r="AE102" s="46">
        <f t="shared" si="9"/>
        <v>10577.901981723426</v>
      </c>
      <c r="AF102" s="46">
        <f t="shared" si="9"/>
        <v>11032.751766937532</v>
      </c>
      <c r="AG102" s="46">
        <f t="shared" si="9"/>
        <v>11507.160092915845</v>
      </c>
      <c r="AH102" s="46">
        <f t="shared" si="9"/>
        <v>12001.967976911224</v>
      </c>
      <c r="AI102" s="46">
        <f t="shared" si="9"/>
        <v>12518.052599918406</v>
      </c>
      <c r="AJ102" s="46">
        <f t="shared" si="9"/>
        <v>13056.328861714897</v>
      </c>
      <c r="AK102" s="46">
        <f t="shared" si="9"/>
        <v>13617.751002768637</v>
      </c>
      <c r="AL102" s="46">
        <f t="shared" si="9"/>
        <v>14203.314295887687</v>
      </c>
      <c r="AM102" s="46">
        <f t="shared" si="9"/>
        <v>14814.056810610857</v>
      </c>
      <c r="AN102" s="46">
        <f t="shared" si="9"/>
        <v>15451.061253467122</v>
      </c>
      <c r="AO102" s="46">
        <f t="shared" si="9"/>
        <v>16115.456887366207</v>
      </c>
      <c r="AP102" s="46">
        <f t="shared" si="9"/>
        <v>16808.421533522953</v>
      </c>
      <c r="AQ102" s="46">
        <f t="shared" si="9"/>
        <v>17531.183659464437</v>
      </c>
      <c r="AR102" s="46">
        <f t="shared" si="9"/>
        <v>18285.024556821409</v>
      </c>
      <c r="AS102" s="46">
        <f t="shared" si="9"/>
        <v>19071.280612764727</v>
      </c>
      <c r="AT102" s="46">
        <f t="shared" si="9"/>
        <v>19891.345679113609</v>
      </c>
      <c r="AU102" s="46">
        <f t="shared" si="9"/>
        <v>20746.673543315494</v>
      </c>
    </row>
    <row r="103" spans="1:47" outlineLevel="1" x14ac:dyDescent="0.25">
      <c r="A103" t="s">
        <v>67</v>
      </c>
      <c r="B103" s="42">
        <v>0</v>
      </c>
      <c r="C103" s="43">
        <v>0.25</v>
      </c>
      <c r="D103" s="43">
        <v>0.5</v>
      </c>
      <c r="E103" s="43">
        <v>0.75</v>
      </c>
      <c r="F103" s="43">
        <v>1</v>
      </c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</row>
    <row r="104" spans="1:47" outlineLevel="1" x14ac:dyDescent="0.25">
      <c r="A104" t="s">
        <v>95</v>
      </c>
      <c r="B104">
        <f>Resumen!B17</f>
        <v>0</v>
      </c>
      <c r="C104">
        <f>Resumen!C17</f>
        <v>5000</v>
      </c>
      <c r="D104">
        <f>Resumen!D17</f>
        <v>5000</v>
      </c>
      <c r="E104">
        <f>Resumen!E17</f>
        <v>5000</v>
      </c>
      <c r="F104">
        <f>Resumen!F17</f>
        <v>5000</v>
      </c>
      <c r="H104" s="57"/>
      <c r="I104" s="57"/>
      <c r="J104" s="57"/>
      <c r="K104" s="57"/>
      <c r="L104" s="57"/>
      <c r="M104" s="57"/>
      <c r="N104" s="57"/>
      <c r="O104" s="57"/>
      <c r="P104" s="57"/>
      <c r="Q104" s="57"/>
      <c r="R104" s="57"/>
      <c r="S104" s="57"/>
      <c r="T104" s="57"/>
      <c r="U104" s="57"/>
      <c r="V104" s="57"/>
      <c r="W104" s="57"/>
      <c r="X104" s="57"/>
      <c r="Y104" s="57"/>
      <c r="Z104" s="57"/>
      <c r="AA104" s="57"/>
      <c r="AB104" s="57"/>
      <c r="AC104" s="57"/>
      <c r="AD104" s="57"/>
      <c r="AE104" s="57"/>
      <c r="AF104" s="57"/>
      <c r="AG104" s="57"/>
      <c r="AH104" s="57"/>
      <c r="AI104" s="57"/>
      <c r="AJ104" s="57"/>
      <c r="AK104" s="57"/>
      <c r="AL104" s="57"/>
      <c r="AM104" s="57"/>
      <c r="AN104" s="57"/>
      <c r="AO104" s="57"/>
      <c r="AP104" s="57"/>
      <c r="AQ104" s="57"/>
      <c r="AR104" s="57"/>
      <c r="AS104" s="57"/>
      <c r="AT104" s="57"/>
      <c r="AU104" s="57"/>
    </row>
    <row r="105" spans="1:47" outlineLevel="1" x14ac:dyDescent="0.25">
      <c r="B105" s="42"/>
      <c r="D105" s="57"/>
      <c r="E105" s="57"/>
      <c r="F105" s="57"/>
      <c r="G105" s="57"/>
      <c r="H105" s="57"/>
      <c r="I105" s="57"/>
      <c r="J105" s="57"/>
      <c r="K105" s="57"/>
      <c r="L105" s="57"/>
      <c r="M105" s="57"/>
      <c r="N105" s="57"/>
      <c r="O105" s="57"/>
      <c r="P105" s="57"/>
      <c r="Q105" s="57"/>
      <c r="R105" s="57"/>
      <c r="S105" s="57"/>
      <c r="T105" s="57"/>
      <c r="U105" s="57"/>
      <c r="V105" s="57"/>
      <c r="W105" s="57"/>
      <c r="X105" s="57"/>
      <c r="Y105" s="57"/>
      <c r="Z105" s="57"/>
      <c r="AA105" s="57"/>
      <c r="AB105" s="57"/>
      <c r="AC105" s="57"/>
      <c r="AD105" s="57"/>
      <c r="AE105" s="57"/>
      <c r="AF105" s="57"/>
    </row>
    <row r="106" spans="1:47" outlineLevel="1" x14ac:dyDescent="0.25">
      <c r="A106" t="s">
        <v>96</v>
      </c>
      <c r="G106" s="45">
        <f t="shared" ref="G106:P106" si="10">$C$104*$B$17*G$102</f>
        <v>808714.87417600758</v>
      </c>
      <c r="H106" s="45">
        <f t="shared" si="10"/>
        <v>843489.61376557592</v>
      </c>
      <c r="I106" s="45">
        <f t="shared" si="10"/>
        <v>879759.66715749551</v>
      </c>
      <c r="J106" s="45">
        <f t="shared" si="10"/>
        <v>917589.33284526784</v>
      </c>
      <c r="K106" s="45">
        <f t="shared" si="10"/>
        <v>957045.67415761424</v>
      </c>
      <c r="L106" s="45">
        <f t="shared" si="10"/>
        <v>998198.63814639172</v>
      </c>
      <c r="M106" s="45">
        <f t="shared" si="10"/>
        <v>1041121.1795866864</v>
      </c>
      <c r="N106" s="45">
        <f t="shared" si="10"/>
        <v>1085889.3903089138</v>
      </c>
      <c r="O106" s="45">
        <f t="shared" si="10"/>
        <v>1132582.6340921971</v>
      </c>
      <c r="P106" s="45">
        <f t="shared" si="10"/>
        <v>1181283.6873581614</v>
      </c>
      <c r="Q106" s="45"/>
      <c r="R106" s="45"/>
      <c r="S106" s="45"/>
      <c r="T106" s="45"/>
      <c r="U106" s="45"/>
      <c r="V106" s="45"/>
      <c r="W106" s="45"/>
      <c r="X106" s="45"/>
      <c r="Y106" s="45"/>
      <c r="Z106" s="45"/>
      <c r="AA106" s="45"/>
      <c r="AB106" s="45"/>
      <c r="AC106" s="45"/>
      <c r="AD106" s="45"/>
      <c r="AE106" s="45"/>
      <c r="AF106" s="45"/>
      <c r="AG106" s="45"/>
    </row>
    <row r="107" spans="1:47" outlineLevel="1" x14ac:dyDescent="0.25">
      <c r="A107" t="s">
        <v>97</v>
      </c>
      <c r="G107" s="45">
        <f t="shared" ref="G107:P107" si="11">G106/(1+$B$20)^G$26</f>
        <v>458886.53822655458</v>
      </c>
      <c r="H107" s="45">
        <f t="shared" si="11"/>
        <v>381551.86493167758</v>
      </c>
      <c r="I107" s="45">
        <f t="shared" si="11"/>
        <v>355320.17421762465</v>
      </c>
      <c r="J107" s="45">
        <f t="shared" si="11"/>
        <v>330891.91224016296</v>
      </c>
      <c r="K107" s="45">
        <f t="shared" si="11"/>
        <v>308143.09327365167</v>
      </c>
      <c r="L107" s="45">
        <f t="shared" si="11"/>
        <v>286958.25561108813</v>
      </c>
      <c r="M107" s="45">
        <f t="shared" si="11"/>
        <v>267229.87553782581</v>
      </c>
      <c r="N107" s="45">
        <f t="shared" si="11"/>
        <v>248857.82159460019</v>
      </c>
      <c r="O107" s="45">
        <f t="shared" si="11"/>
        <v>231748.84635997139</v>
      </c>
      <c r="P107" s="45">
        <f t="shared" si="11"/>
        <v>215816.11317272336</v>
      </c>
      <c r="Q107" s="45"/>
      <c r="R107" s="45"/>
      <c r="S107" s="45"/>
      <c r="T107" s="45"/>
      <c r="U107" s="45"/>
      <c r="V107" s="45"/>
      <c r="W107" s="45"/>
      <c r="X107" s="45"/>
      <c r="Y107" s="45"/>
      <c r="Z107" s="45"/>
      <c r="AA107" s="45"/>
      <c r="AB107" s="45"/>
      <c r="AC107" s="45"/>
      <c r="AD107" s="45"/>
      <c r="AE107" s="45"/>
      <c r="AF107" s="45"/>
      <c r="AG107" s="45"/>
    </row>
    <row r="108" spans="1:47" outlineLevel="1" x14ac:dyDescent="0.25">
      <c r="A108" t="s">
        <v>98</v>
      </c>
      <c r="G108" s="40"/>
      <c r="H108" s="45">
        <f t="shared" ref="H108:Q108" si="12">$D$104*$B$17*H$102</f>
        <v>843489.61376557592</v>
      </c>
      <c r="I108" s="45">
        <f t="shared" si="12"/>
        <v>879759.66715749551</v>
      </c>
      <c r="J108" s="45">
        <f t="shared" si="12"/>
        <v>917589.33284526784</v>
      </c>
      <c r="K108" s="45">
        <f t="shared" si="12"/>
        <v>957045.67415761424</v>
      </c>
      <c r="L108" s="45">
        <f t="shared" si="12"/>
        <v>998198.63814639172</v>
      </c>
      <c r="M108" s="45">
        <f t="shared" si="12"/>
        <v>1041121.1795866864</v>
      </c>
      <c r="N108" s="45">
        <f t="shared" si="12"/>
        <v>1085889.3903089138</v>
      </c>
      <c r="O108" s="45">
        <f t="shared" si="12"/>
        <v>1132582.6340921971</v>
      </c>
      <c r="P108" s="45">
        <f t="shared" si="12"/>
        <v>1181283.6873581614</v>
      </c>
      <c r="Q108" s="45">
        <f t="shared" si="12"/>
        <v>1232078.8859145623</v>
      </c>
      <c r="R108" s="45"/>
      <c r="S108" s="45"/>
      <c r="T108" s="45"/>
      <c r="U108" s="45"/>
      <c r="V108" s="45"/>
      <c r="W108" s="45"/>
      <c r="X108" s="45"/>
      <c r="Y108" s="45"/>
      <c r="Z108" s="45"/>
      <c r="AA108" s="45"/>
      <c r="AB108" s="45"/>
      <c r="AC108" s="45"/>
      <c r="AD108" s="45"/>
      <c r="AE108" s="45"/>
      <c r="AF108" s="45"/>
      <c r="AG108" s="45"/>
      <c r="AH108" s="45"/>
    </row>
    <row r="109" spans="1:47" outlineLevel="1" x14ac:dyDescent="0.25">
      <c r="A109" t="s">
        <v>99</v>
      </c>
      <c r="G109" s="40"/>
      <c r="H109" s="45">
        <f t="shared" ref="H109:Q109" si="13">H108/(1+$B$20)^H$26</f>
        <v>381551.86493167758</v>
      </c>
      <c r="I109" s="45">
        <f t="shared" si="13"/>
        <v>355320.17421762465</v>
      </c>
      <c r="J109" s="45">
        <f t="shared" si="13"/>
        <v>330891.91224016296</v>
      </c>
      <c r="K109" s="45">
        <f t="shared" si="13"/>
        <v>308143.09327365167</v>
      </c>
      <c r="L109" s="45">
        <f t="shared" si="13"/>
        <v>286958.25561108813</v>
      </c>
      <c r="M109" s="45">
        <f t="shared" si="13"/>
        <v>267229.87553782581</v>
      </c>
      <c r="N109" s="45">
        <f t="shared" si="13"/>
        <v>248857.82159460019</v>
      </c>
      <c r="O109" s="45">
        <f t="shared" si="13"/>
        <v>231748.84635997139</v>
      </c>
      <c r="P109" s="45">
        <f t="shared" si="13"/>
        <v>215816.11317272336</v>
      </c>
      <c r="Q109" s="45">
        <f t="shared" si="13"/>
        <v>200978.75539209857</v>
      </c>
      <c r="R109" s="45"/>
      <c r="S109" s="45"/>
      <c r="T109" s="45"/>
      <c r="U109" s="45"/>
      <c r="V109" s="45"/>
      <c r="W109" s="45"/>
      <c r="X109" s="45"/>
      <c r="Y109" s="45"/>
      <c r="Z109" s="45"/>
      <c r="AA109" s="45"/>
      <c r="AB109" s="45"/>
      <c r="AC109" s="45"/>
      <c r="AD109" s="45"/>
      <c r="AE109" s="45"/>
      <c r="AF109" s="45"/>
      <c r="AG109" s="45"/>
      <c r="AH109" s="45"/>
    </row>
    <row r="110" spans="1:47" outlineLevel="1" x14ac:dyDescent="0.25">
      <c r="A110" t="s">
        <v>100</v>
      </c>
      <c r="G110" s="40"/>
      <c r="H110" s="40"/>
      <c r="I110" s="45">
        <f t="shared" ref="I110:R110" si="14">$E$104*$B$17*I$102</f>
        <v>879759.66715749551</v>
      </c>
      <c r="J110" s="45">
        <f t="shared" si="14"/>
        <v>917589.33284526784</v>
      </c>
      <c r="K110" s="45">
        <f t="shared" si="14"/>
        <v>957045.67415761424</v>
      </c>
      <c r="L110" s="45">
        <f t="shared" si="14"/>
        <v>998198.63814639172</v>
      </c>
      <c r="M110" s="45">
        <f t="shared" si="14"/>
        <v>1041121.1795866864</v>
      </c>
      <c r="N110" s="45">
        <f t="shared" si="14"/>
        <v>1085889.3903089138</v>
      </c>
      <c r="O110" s="45">
        <f t="shared" si="14"/>
        <v>1132582.6340921971</v>
      </c>
      <c r="P110" s="45">
        <f t="shared" si="14"/>
        <v>1181283.6873581614</v>
      </c>
      <c r="Q110" s="45">
        <f t="shared" si="14"/>
        <v>1232078.8859145623</v>
      </c>
      <c r="R110" s="45">
        <f t="shared" si="14"/>
        <v>1285058.2780088885</v>
      </c>
      <c r="S110" s="45"/>
      <c r="T110" s="45"/>
      <c r="U110" s="45"/>
      <c r="V110" s="45"/>
      <c r="W110" s="45"/>
      <c r="X110" s="45"/>
      <c r="Y110" s="45"/>
      <c r="Z110" s="45"/>
      <c r="AA110" s="45"/>
      <c r="AB110" s="45"/>
      <c r="AC110" s="45"/>
      <c r="AD110" s="45"/>
      <c r="AE110" s="45"/>
      <c r="AF110" s="45"/>
      <c r="AG110" s="45"/>
      <c r="AH110" s="45"/>
      <c r="AI110" s="45"/>
    </row>
    <row r="111" spans="1:47" outlineLevel="1" x14ac:dyDescent="0.25">
      <c r="A111" t="s">
        <v>101</v>
      </c>
      <c r="G111" s="40"/>
      <c r="H111" s="40"/>
      <c r="I111" s="45">
        <f t="shared" ref="I111:R111" si="15">I110/(1+$B$20)^I$26</f>
        <v>355320.17421762465</v>
      </c>
      <c r="J111" s="45">
        <f t="shared" si="15"/>
        <v>330891.91224016296</v>
      </c>
      <c r="K111" s="45">
        <f t="shared" si="15"/>
        <v>308143.09327365167</v>
      </c>
      <c r="L111" s="45">
        <f t="shared" si="15"/>
        <v>286958.25561108813</v>
      </c>
      <c r="M111" s="45">
        <f t="shared" si="15"/>
        <v>267229.87553782581</v>
      </c>
      <c r="N111" s="45">
        <f t="shared" si="15"/>
        <v>248857.82159460019</v>
      </c>
      <c r="O111" s="45">
        <f t="shared" si="15"/>
        <v>231748.84635997139</v>
      </c>
      <c r="P111" s="45">
        <f t="shared" si="15"/>
        <v>215816.11317272336</v>
      </c>
      <c r="Q111" s="45">
        <f t="shared" si="15"/>
        <v>200978.75539209857</v>
      </c>
      <c r="R111" s="45">
        <f t="shared" si="15"/>
        <v>187161.46595889179</v>
      </c>
      <c r="S111" s="45"/>
      <c r="T111" s="45"/>
      <c r="U111" s="45"/>
      <c r="V111" s="45"/>
      <c r="W111" s="45"/>
      <c r="X111" s="45"/>
      <c r="Y111" s="45"/>
      <c r="Z111" s="45"/>
      <c r="AA111" s="45"/>
      <c r="AB111" s="45"/>
      <c r="AC111" s="45"/>
      <c r="AD111" s="45"/>
      <c r="AE111" s="45"/>
      <c r="AF111" s="45"/>
      <c r="AG111" s="45"/>
      <c r="AH111" s="45"/>
      <c r="AI111" s="45"/>
    </row>
    <row r="112" spans="1:47" outlineLevel="1" x14ac:dyDescent="0.25">
      <c r="A112" t="s">
        <v>102</v>
      </c>
      <c r="G112" s="40"/>
      <c r="H112" s="40"/>
      <c r="J112" s="45">
        <f t="shared" ref="J112:S112" si="16">$F$104*$B$17*J$102</f>
        <v>917589.33284526784</v>
      </c>
      <c r="K112" s="45">
        <f t="shared" si="16"/>
        <v>957045.67415761424</v>
      </c>
      <c r="L112" s="45">
        <f t="shared" si="16"/>
        <v>998198.63814639172</v>
      </c>
      <c r="M112" s="45">
        <f t="shared" si="16"/>
        <v>1041121.1795866864</v>
      </c>
      <c r="N112" s="45">
        <f t="shared" si="16"/>
        <v>1085889.3903089138</v>
      </c>
      <c r="O112" s="45">
        <f t="shared" si="16"/>
        <v>1132582.6340921971</v>
      </c>
      <c r="P112" s="45">
        <f t="shared" si="16"/>
        <v>1181283.6873581614</v>
      </c>
      <c r="Q112" s="45">
        <f t="shared" si="16"/>
        <v>1232078.8859145623</v>
      </c>
      <c r="R112" s="45">
        <f t="shared" si="16"/>
        <v>1285058.2780088885</v>
      </c>
      <c r="S112" s="45">
        <f t="shared" si="16"/>
        <v>1340315.7839632705</v>
      </c>
      <c r="T112" s="45"/>
      <c r="U112" s="45"/>
      <c r="V112" s="45"/>
      <c r="W112" s="45"/>
      <c r="X112" s="45"/>
      <c r="Y112" s="45"/>
      <c r="Z112" s="45"/>
      <c r="AA112" s="45"/>
      <c r="AB112" s="45"/>
      <c r="AC112" s="45"/>
      <c r="AD112" s="45"/>
      <c r="AE112" s="45"/>
      <c r="AF112" s="45"/>
      <c r="AG112" s="45"/>
      <c r="AH112" s="45"/>
      <c r="AI112" s="45"/>
      <c r="AJ112" s="45"/>
    </row>
    <row r="113" spans="1:36" outlineLevel="1" x14ac:dyDescent="0.25">
      <c r="A113" t="s">
        <v>103</v>
      </c>
      <c r="G113" s="40"/>
      <c r="H113" s="40"/>
      <c r="J113" s="45">
        <f t="shared" ref="J113:S113" si="17">J112/(1+$B$20)^J$26</f>
        <v>330891.91224016296</v>
      </c>
      <c r="K113" s="45">
        <f t="shared" si="17"/>
        <v>308143.09327365167</v>
      </c>
      <c r="L113" s="45">
        <f t="shared" si="17"/>
        <v>286958.25561108813</v>
      </c>
      <c r="M113" s="45">
        <f t="shared" si="17"/>
        <v>267229.87553782581</v>
      </c>
      <c r="N113" s="45">
        <f t="shared" si="17"/>
        <v>248857.82159460019</v>
      </c>
      <c r="O113" s="45">
        <f t="shared" si="17"/>
        <v>231748.84635997139</v>
      </c>
      <c r="P113" s="45">
        <f t="shared" si="17"/>
        <v>215816.11317272336</v>
      </c>
      <c r="Q113" s="45">
        <f t="shared" si="17"/>
        <v>200978.75539209857</v>
      </c>
      <c r="R113" s="45">
        <f t="shared" si="17"/>
        <v>187161.46595889179</v>
      </c>
      <c r="S113" s="45">
        <f t="shared" si="17"/>
        <v>174294.11517421794</v>
      </c>
      <c r="T113" s="45"/>
      <c r="U113" s="45"/>
      <c r="V113" s="45"/>
      <c r="W113" s="45"/>
      <c r="X113" s="45"/>
      <c r="Y113" s="45"/>
      <c r="Z113" s="45"/>
      <c r="AA113" s="45"/>
      <c r="AB113" s="45"/>
      <c r="AC113" s="45"/>
      <c r="AD113" s="45"/>
      <c r="AE113" s="45"/>
      <c r="AF113" s="45"/>
      <c r="AG113" s="45"/>
      <c r="AH113" s="45"/>
      <c r="AI113" s="45"/>
      <c r="AJ113" s="45"/>
    </row>
    <row r="114" spans="1:36" outlineLevel="1" x14ac:dyDescent="0.25">
      <c r="G114" s="45"/>
      <c r="H114" s="45"/>
      <c r="I114" s="45"/>
      <c r="J114" s="45"/>
      <c r="K114" s="45"/>
      <c r="L114" s="45"/>
      <c r="M114" s="45"/>
      <c r="N114" s="45"/>
      <c r="O114" s="45"/>
      <c r="P114" s="45"/>
      <c r="Q114" s="45"/>
      <c r="R114" s="45"/>
      <c r="S114" s="45"/>
      <c r="T114" s="45"/>
      <c r="U114" s="45"/>
      <c r="V114" s="45"/>
      <c r="W114" s="45"/>
      <c r="X114" s="45"/>
      <c r="Y114" s="45"/>
      <c r="Z114" s="45"/>
      <c r="AA114" s="45"/>
      <c r="AB114" s="45"/>
      <c r="AC114" s="45"/>
      <c r="AD114" s="45"/>
      <c r="AE114" s="45"/>
      <c r="AF114" s="45"/>
      <c r="AG114" s="45"/>
      <c r="AH114" s="45"/>
      <c r="AI114" s="45"/>
      <c r="AJ114" s="45"/>
    </row>
    <row r="115" spans="1:36" outlineLevel="1" x14ac:dyDescent="0.25">
      <c r="A115" t="s">
        <v>104</v>
      </c>
      <c r="C115" s="48">
        <f>SUM(G107:AG107)</f>
        <v>3085404.4951658803</v>
      </c>
      <c r="D115" s="48">
        <f>SUM(H109:AH109)</f>
        <v>2827496.7123314245</v>
      </c>
      <c r="E115" s="48">
        <f>SUM(I111:AI111)</f>
        <v>2633106.3133586389</v>
      </c>
      <c r="F115" s="48">
        <f>SUM(J113:AJ113)</f>
        <v>2452080.2543152319</v>
      </c>
      <c r="H115" s="48"/>
      <c r="I115" s="48"/>
      <c r="J115" s="48"/>
      <c r="K115" s="48"/>
      <c r="L115" s="48"/>
      <c r="M115" s="48"/>
      <c r="N115" s="48"/>
      <c r="O115" s="48"/>
      <c r="P115" s="48"/>
      <c r="Q115" s="46"/>
      <c r="R115" s="46"/>
    </row>
    <row r="116" spans="1:36" outlineLevel="1" x14ac:dyDescent="0.25"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6"/>
      <c r="R116" s="46"/>
    </row>
    <row r="117" spans="1:36" outlineLevel="1" x14ac:dyDescent="0.25">
      <c r="A117" t="s">
        <v>105</v>
      </c>
      <c r="G117" s="45">
        <f t="shared" ref="G117:P117" si="18">$C$104*$C$17*G$102</f>
        <v>2888267.4077714556</v>
      </c>
      <c r="H117" s="45">
        <f t="shared" si="18"/>
        <v>3012462.9063056284</v>
      </c>
      <c r="I117" s="45">
        <f t="shared" si="18"/>
        <v>3141998.8112767697</v>
      </c>
      <c r="J117" s="45">
        <f t="shared" si="18"/>
        <v>3277104.7601616709</v>
      </c>
      <c r="K117" s="45">
        <f t="shared" si="18"/>
        <v>3418020.2648486225</v>
      </c>
      <c r="L117" s="45">
        <f t="shared" si="18"/>
        <v>3564995.1362371133</v>
      </c>
      <c r="M117" s="45">
        <f t="shared" si="18"/>
        <v>3718289.9270953089</v>
      </c>
      <c r="N117" s="45">
        <f t="shared" si="18"/>
        <v>3878176.3939604065</v>
      </c>
      <c r="O117" s="45">
        <f t="shared" si="18"/>
        <v>4044937.9789007036</v>
      </c>
      <c r="P117" s="45">
        <f t="shared" si="18"/>
        <v>4218870.3119934341</v>
      </c>
      <c r="Q117" s="45"/>
      <c r="R117" s="45"/>
      <c r="S117" s="45"/>
      <c r="T117" s="45"/>
      <c r="U117" s="45"/>
      <c r="V117" s="45"/>
      <c r="W117" s="45"/>
      <c r="X117" s="45"/>
      <c r="Y117" s="45"/>
      <c r="Z117" s="45"/>
      <c r="AA117" s="45"/>
      <c r="AB117" s="45"/>
      <c r="AC117" s="45"/>
      <c r="AD117" s="45"/>
      <c r="AE117" s="45"/>
      <c r="AF117" s="45"/>
    </row>
    <row r="118" spans="1:36" outlineLevel="1" x14ac:dyDescent="0.25">
      <c r="A118" t="s">
        <v>97</v>
      </c>
      <c r="G118" s="45">
        <f t="shared" ref="G118:P118" si="19">G117/(1+$B$20)^G$26</f>
        <v>1638880.4936662663</v>
      </c>
      <c r="H118" s="45">
        <f t="shared" si="19"/>
        <v>1362685.2318988487</v>
      </c>
      <c r="I118" s="45">
        <f t="shared" si="19"/>
        <v>1269000.6222058025</v>
      </c>
      <c r="J118" s="45">
        <f t="shared" si="19"/>
        <v>1181756.8294291534</v>
      </c>
      <c r="K118" s="45">
        <f t="shared" si="19"/>
        <v>1100511.047405899</v>
      </c>
      <c r="L118" s="45">
        <f t="shared" si="19"/>
        <v>1024850.9128967433</v>
      </c>
      <c r="M118" s="45">
        <f t="shared" si="19"/>
        <v>954392.41263509216</v>
      </c>
      <c r="N118" s="45">
        <f t="shared" si="19"/>
        <v>888777.93426642928</v>
      </c>
      <c r="O118" s="45">
        <f t="shared" si="19"/>
        <v>827674.45128561207</v>
      </c>
      <c r="P118" s="45">
        <f t="shared" si="19"/>
        <v>770771.83275972633</v>
      </c>
      <c r="Q118" s="45"/>
      <c r="R118" s="45"/>
      <c r="S118" s="45"/>
      <c r="T118" s="45"/>
      <c r="U118" s="45"/>
      <c r="V118" s="45"/>
      <c r="W118" s="45"/>
      <c r="X118" s="45"/>
      <c r="Y118" s="45"/>
      <c r="Z118" s="45"/>
      <c r="AA118" s="45"/>
      <c r="AB118" s="45"/>
      <c r="AC118" s="45"/>
      <c r="AD118" s="45"/>
      <c r="AE118" s="45"/>
      <c r="AF118" s="45"/>
    </row>
    <row r="119" spans="1:36" outlineLevel="1" x14ac:dyDescent="0.25">
      <c r="A119" t="s">
        <v>76</v>
      </c>
      <c r="H119" s="45">
        <f t="shared" ref="H119:Q119" si="20">$D$104*$C$17*H$102</f>
        <v>3012462.9063056284</v>
      </c>
      <c r="I119" s="45">
        <f t="shared" si="20"/>
        <v>3141998.8112767697</v>
      </c>
      <c r="J119" s="45">
        <f t="shared" si="20"/>
        <v>3277104.7601616709</v>
      </c>
      <c r="K119" s="45">
        <f t="shared" si="20"/>
        <v>3418020.2648486225</v>
      </c>
      <c r="L119" s="45">
        <f t="shared" si="20"/>
        <v>3564995.1362371133</v>
      </c>
      <c r="M119" s="45">
        <f t="shared" si="20"/>
        <v>3718289.9270953089</v>
      </c>
      <c r="N119" s="45">
        <f t="shared" si="20"/>
        <v>3878176.3939604065</v>
      </c>
      <c r="O119" s="45">
        <f t="shared" si="20"/>
        <v>4044937.9789007036</v>
      </c>
      <c r="P119" s="45">
        <f t="shared" si="20"/>
        <v>4218870.3119934341</v>
      </c>
      <c r="Q119" s="45">
        <f t="shared" si="20"/>
        <v>4400281.7354091508</v>
      </c>
      <c r="R119" s="45"/>
      <c r="S119" s="45"/>
      <c r="T119" s="45"/>
      <c r="U119" s="45"/>
      <c r="V119" s="45"/>
      <c r="W119" s="45"/>
      <c r="X119" s="45"/>
      <c r="Y119" s="45"/>
      <c r="Z119" s="45"/>
      <c r="AA119" s="45"/>
      <c r="AB119" s="45"/>
      <c r="AC119" s="45"/>
      <c r="AD119" s="45"/>
      <c r="AE119" s="45"/>
      <c r="AF119" s="45"/>
      <c r="AG119" s="45"/>
    </row>
    <row r="120" spans="1:36" outlineLevel="1" x14ac:dyDescent="0.25">
      <c r="A120" t="s">
        <v>75</v>
      </c>
      <c r="H120" s="45">
        <f t="shared" ref="H120:Q120" si="21">H119/(1+$B$20)^H$26</f>
        <v>1362685.2318988487</v>
      </c>
      <c r="I120" s="45">
        <f t="shared" si="21"/>
        <v>1269000.6222058025</v>
      </c>
      <c r="J120" s="45">
        <f t="shared" si="21"/>
        <v>1181756.8294291534</v>
      </c>
      <c r="K120" s="45">
        <f t="shared" si="21"/>
        <v>1100511.047405899</v>
      </c>
      <c r="L120" s="45">
        <f t="shared" si="21"/>
        <v>1024850.9128967433</v>
      </c>
      <c r="M120" s="45">
        <f t="shared" si="21"/>
        <v>954392.41263509216</v>
      </c>
      <c r="N120" s="45">
        <f t="shared" si="21"/>
        <v>888777.93426642928</v>
      </c>
      <c r="O120" s="45">
        <f t="shared" si="21"/>
        <v>827674.45128561207</v>
      </c>
      <c r="P120" s="45">
        <f t="shared" si="21"/>
        <v>770771.83275972633</v>
      </c>
      <c r="Q120" s="45">
        <f t="shared" si="21"/>
        <v>717781.26925749495</v>
      </c>
      <c r="R120" s="45"/>
      <c r="S120" s="45"/>
      <c r="T120" s="45"/>
      <c r="U120" s="45"/>
      <c r="V120" s="45"/>
      <c r="W120" s="45"/>
      <c r="X120" s="45"/>
      <c r="Y120" s="45"/>
      <c r="Z120" s="45"/>
      <c r="AA120" s="45"/>
      <c r="AB120" s="45"/>
      <c r="AC120" s="45"/>
      <c r="AD120" s="45"/>
      <c r="AE120" s="45"/>
      <c r="AF120" s="45"/>
      <c r="AG120" s="45"/>
    </row>
    <row r="121" spans="1:36" outlineLevel="1" x14ac:dyDescent="0.25">
      <c r="A121" t="s">
        <v>106</v>
      </c>
      <c r="H121" s="40"/>
      <c r="I121" s="45">
        <f t="shared" ref="I121:R121" si="22">$E$104*$C$17*I$102</f>
        <v>3141998.8112767697</v>
      </c>
      <c r="J121" s="45">
        <f t="shared" si="22"/>
        <v>3277104.7601616709</v>
      </c>
      <c r="K121" s="45">
        <f t="shared" si="22"/>
        <v>3418020.2648486225</v>
      </c>
      <c r="L121" s="45">
        <f t="shared" si="22"/>
        <v>3564995.1362371133</v>
      </c>
      <c r="M121" s="45">
        <f t="shared" si="22"/>
        <v>3718289.9270953089</v>
      </c>
      <c r="N121" s="45">
        <f t="shared" si="22"/>
        <v>3878176.3939604065</v>
      </c>
      <c r="O121" s="45">
        <f t="shared" si="22"/>
        <v>4044937.9789007036</v>
      </c>
      <c r="P121" s="45">
        <f t="shared" si="22"/>
        <v>4218870.3119934341</v>
      </c>
      <c r="Q121" s="45">
        <f t="shared" si="22"/>
        <v>4400281.7354091508</v>
      </c>
      <c r="R121" s="45">
        <f t="shared" si="22"/>
        <v>4589493.8500317438</v>
      </c>
      <c r="S121" s="45"/>
      <c r="T121" s="45"/>
      <c r="U121" s="45"/>
      <c r="V121" s="45"/>
      <c r="W121" s="45"/>
      <c r="X121" s="45"/>
      <c r="Y121" s="45"/>
      <c r="Z121" s="45"/>
      <c r="AA121" s="45"/>
      <c r="AB121" s="45"/>
      <c r="AC121" s="45"/>
      <c r="AD121" s="45"/>
      <c r="AE121" s="45"/>
      <c r="AF121" s="45"/>
      <c r="AG121" s="45"/>
      <c r="AH121" s="45"/>
    </row>
    <row r="122" spans="1:36" outlineLevel="1" x14ac:dyDescent="0.25">
      <c r="A122" t="s">
        <v>77</v>
      </c>
      <c r="H122" s="40"/>
      <c r="I122" s="45">
        <f t="shared" ref="I122:R122" si="23">I121/(1+$B$20)^I$26</f>
        <v>1269000.6222058025</v>
      </c>
      <c r="J122" s="45">
        <f t="shared" si="23"/>
        <v>1181756.8294291534</v>
      </c>
      <c r="K122" s="45">
        <f t="shared" si="23"/>
        <v>1100511.047405899</v>
      </c>
      <c r="L122" s="45">
        <f t="shared" si="23"/>
        <v>1024850.9128967433</v>
      </c>
      <c r="M122" s="45">
        <f t="shared" si="23"/>
        <v>954392.41263509216</v>
      </c>
      <c r="N122" s="45">
        <f t="shared" si="23"/>
        <v>888777.93426642928</v>
      </c>
      <c r="O122" s="45">
        <f t="shared" si="23"/>
        <v>827674.45128561207</v>
      </c>
      <c r="P122" s="45">
        <f t="shared" si="23"/>
        <v>770771.83275972633</v>
      </c>
      <c r="Q122" s="45">
        <f t="shared" si="23"/>
        <v>717781.26925749495</v>
      </c>
      <c r="R122" s="45">
        <f t="shared" si="23"/>
        <v>668433.80699604203</v>
      </c>
      <c r="S122" s="45"/>
      <c r="T122" s="45"/>
      <c r="U122" s="45"/>
      <c r="V122" s="45"/>
      <c r="W122" s="45"/>
      <c r="X122" s="45"/>
      <c r="Y122" s="45"/>
      <c r="Z122" s="45"/>
      <c r="AA122" s="45"/>
      <c r="AB122" s="45"/>
      <c r="AC122" s="45"/>
      <c r="AD122" s="45"/>
      <c r="AE122" s="45"/>
      <c r="AF122" s="45"/>
      <c r="AG122" s="45"/>
      <c r="AH122" s="45"/>
    </row>
    <row r="123" spans="1:36" outlineLevel="1" x14ac:dyDescent="0.25">
      <c r="A123" t="s">
        <v>80</v>
      </c>
      <c r="H123" s="40"/>
      <c r="I123" s="40"/>
      <c r="J123" s="45">
        <f t="shared" ref="J123:S123" si="24">$F$104*$C$17*J$102</f>
        <v>3277104.7601616709</v>
      </c>
      <c r="K123" s="45">
        <f t="shared" si="24"/>
        <v>3418020.2648486225</v>
      </c>
      <c r="L123" s="45">
        <f t="shared" si="24"/>
        <v>3564995.1362371133</v>
      </c>
      <c r="M123" s="45">
        <f t="shared" si="24"/>
        <v>3718289.9270953089</v>
      </c>
      <c r="N123" s="45">
        <f t="shared" si="24"/>
        <v>3878176.3939604065</v>
      </c>
      <c r="O123" s="45">
        <f t="shared" si="24"/>
        <v>4044937.9789007036</v>
      </c>
      <c r="P123" s="45">
        <f t="shared" si="24"/>
        <v>4218870.3119934341</v>
      </c>
      <c r="Q123" s="45">
        <f t="shared" si="24"/>
        <v>4400281.7354091508</v>
      </c>
      <c r="R123" s="45">
        <f t="shared" si="24"/>
        <v>4589493.8500317438</v>
      </c>
      <c r="S123" s="45">
        <f t="shared" si="24"/>
        <v>4786842.0855831085</v>
      </c>
      <c r="T123" s="45"/>
      <c r="U123" s="45"/>
      <c r="V123" s="45"/>
      <c r="W123" s="45"/>
      <c r="X123" s="45"/>
      <c r="Y123" s="45"/>
      <c r="Z123" s="45"/>
      <c r="AA123" s="45"/>
      <c r="AB123" s="45"/>
      <c r="AC123" s="45"/>
      <c r="AD123" s="45"/>
      <c r="AE123" s="45"/>
      <c r="AF123" s="45"/>
      <c r="AG123" s="45"/>
      <c r="AH123" s="45"/>
      <c r="AI123" s="45"/>
    </row>
    <row r="124" spans="1:36" outlineLevel="1" x14ac:dyDescent="0.25">
      <c r="A124" t="s">
        <v>79</v>
      </c>
      <c r="H124" s="40"/>
      <c r="I124" s="40"/>
      <c r="J124" s="45">
        <f t="shared" ref="J124:S124" si="25">J123/(1+$B$20)^J$26</f>
        <v>1181756.8294291534</v>
      </c>
      <c r="K124" s="45">
        <f t="shared" si="25"/>
        <v>1100511.047405899</v>
      </c>
      <c r="L124" s="45">
        <f t="shared" si="25"/>
        <v>1024850.9128967433</v>
      </c>
      <c r="M124" s="45">
        <f t="shared" si="25"/>
        <v>954392.41263509216</v>
      </c>
      <c r="N124" s="45">
        <f t="shared" si="25"/>
        <v>888777.93426642928</v>
      </c>
      <c r="O124" s="45">
        <f t="shared" si="25"/>
        <v>827674.45128561207</v>
      </c>
      <c r="P124" s="45">
        <f t="shared" si="25"/>
        <v>770771.83275972633</v>
      </c>
      <c r="Q124" s="45">
        <f t="shared" si="25"/>
        <v>717781.26925749495</v>
      </c>
      <c r="R124" s="45">
        <f t="shared" si="25"/>
        <v>668433.80699604203</v>
      </c>
      <c r="S124" s="45">
        <f t="shared" si="25"/>
        <v>622478.98276506399</v>
      </c>
      <c r="T124" s="45"/>
      <c r="U124" s="45"/>
      <c r="V124" s="45"/>
      <c r="W124" s="45"/>
      <c r="X124" s="45"/>
      <c r="Y124" s="45"/>
      <c r="Z124" s="45"/>
      <c r="AA124" s="45"/>
      <c r="AB124" s="45"/>
      <c r="AC124" s="45"/>
      <c r="AD124" s="45"/>
      <c r="AE124" s="45"/>
      <c r="AF124" s="45"/>
      <c r="AG124" s="45"/>
      <c r="AH124" s="45"/>
      <c r="AI124" s="45"/>
    </row>
    <row r="125" spans="1:36" outlineLevel="1" x14ac:dyDescent="0.25"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6"/>
      <c r="R125" s="46"/>
    </row>
    <row r="126" spans="1:36" outlineLevel="1" x14ac:dyDescent="0.25">
      <c r="C126" s="48">
        <f>SUM(G118:AF118)</f>
        <v>11019301.768449573</v>
      </c>
      <c r="D126" s="48">
        <f>SUM(H120:AG120)</f>
        <v>10098202.544040801</v>
      </c>
      <c r="E126" s="48">
        <f>SUM(I122:AH122)</f>
        <v>9403951.1191379949</v>
      </c>
      <c r="F126" s="48">
        <f>SUM(J124:AI124)</f>
        <v>8757429.4796972573</v>
      </c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6"/>
      <c r="R126" s="46"/>
    </row>
    <row r="127" spans="1:36" ht="31.15" customHeight="1" x14ac:dyDescent="0.25">
      <c r="A127" s="58" t="s">
        <v>93</v>
      </c>
      <c r="B127" s="59"/>
      <c r="C127" s="60">
        <f>(C126-C115)</f>
        <v>7933897.2732836921</v>
      </c>
      <c r="D127" s="60">
        <f t="shared" ref="D127:F127" si="26">(D126-D115)</f>
        <v>7270705.8317093765</v>
      </c>
      <c r="E127" s="60">
        <f t="shared" si="26"/>
        <v>6770844.8057793565</v>
      </c>
      <c r="F127" s="60">
        <f t="shared" si="26"/>
        <v>6305349.2253820254</v>
      </c>
      <c r="G127" s="61"/>
      <c r="H127" s="61"/>
      <c r="I127" s="61"/>
      <c r="J127" s="61"/>
      <c r="K127" s="61"/>
      <c r="L127" s="61"/>
      <c r="M127" s="61"/>
      <c r="N127" s="61"/>
      <c r="O127" s="61"/>
      <c r="P127" s="61"/>
      <c r="Q127" s="46"/>
      <c r="R127" s="46"/>
    </row>
    <row r="128" spans="1:36" x14ac:dyDescent="0.25">
      <c r="C128" s="61"/>
      <c r="D128" s="61"/>
      <c r="E128" s="61"/>
      <c r="F128" s="61"/>
      <c r="G128" s="61"/>
      <c r="H128" s="61"/>
      <c r="I128" s="61"/>
      <c r="J128" s="61"/>
      <c r="K128" s="61"/>
      <c r="L128" s="61"/>
      <c r="M128" s="61"/>
      <c r="N128" s="61"/>
      <c r="O128" s="61"/>
      <c r="P128" s="61"/>
      <c r="Q128" s="46"/>
      <c r="R128" s="46"/>
    </row>
    <row r="129" spans="1:19" x14ac:dyDescent="0.25">
      <c r="A129" s="161" t="s">
        <v>107</v>
      </c>
      <c r="B129" s="161"/>
      <c r="C129" s="161"/>
      <c r="D129" s="161"/>
      <c r="E129" s="161"/>
      <c r="F129" s="161"/>
      <c r="G129" s="61"/>
      <c r="H129" s="61"/>
      <c r="I129" s="61"/>
      <c r="J129" s="61"/>
      <c r="K129" s="61"/>
      <c r="L129" s="61"/>
      <c r="M129" s="61"/>
      <c r="N129" s="61"/>
      <c r="O129" s="61"/>
      <c r="P129" s="61"/>
      <c r="Q129" s="46"/>
      <c r="R129" s="46"/>
    </row>
    <row r="130" spans="1:19" x14ac:dyDescent="0.25">
      <c r="A130" s="161"/>
      <c r="B130" s="161"/>
      <c r="C130" s="161"/>
      <c r="D130" s="161"/>
      <c r="E130" s="161"/>
      <c r="F130" s="161"/>
      <c r="G130" s="61"/>
      <c r="H130" s="61"/>
      <c r="I130" s="61"/>
      <c r="J130" s="61"/>
      <c r="K130" s="61"/>
      <c r="L130" s="61"/>
      <c r="M130" s="61"/>
      <c r="N130" s="61"/>
      <c r="O130" s="61"/>
      <c r="P130" s="61"/>
      <c r="Q130" s="46"/>
      <c r="R130" s="46"/>
    </row>
    <row r="131" spans="1:19" x14ac:dyDescent="0.25">
      <c r="A131" t="s">
        <v>108</v>
      </c>
      <c r="B131" s="62"/>
      <c r="C131" s="62">
        <f>C31-C104</f>
        <v>8000</v>
      </c>
      <c r="D131" s="62">
        <f>D31-D104</f>
        <v>8000</v>
      </c>
      <c r="E131" s="62">
        <f>E31-E104</f>
        <v>8000</v>
      </c>
      <c r="F131" s="62">
        <f>F31-F104</f>
        <v>8000</v>
      </c>
      <c r="G131" s="62"/>
      <c r="H131" s="61"/>
      <c r="I131" s="61"/>
      <c r="J131" s="61"/>
      <c r="K131" s="61"/>
      <c r="L131" s="61"/>
      <c r="M131" s="61"/>
      <c r="N131" s="61"/>
      <c r="O131" s="61"/>
      <c r="P131" s="61"/>
      <c r="Q131" s="46"/>
      <c r="R131" s="46"/>
    </row>
    <row r="132" spans="1:19" x14ac:dyDescent="0.25">
      <c r="C132" s="61"/>
      <c r="D132" s="61"/>
      <c r="E132" s="61"/>
      <c r="F132" s="61"/>
      <c r="G132" s="61"/>
      <c r="H132" s="61"/>
      <c r="I132" s="61"/>
      <c r="J132" s="61"/>
      <c r="K132" s="61"/>
      <c r="L132" s="61"/>
      <c r="M132" s="61"/>
      <c r="N132" s="61"/>
      <c r="O132" s="61"/>
      <c r="P132" s="61"/>
      <c r="Q132" s="46"/>
      <c r="R132" s="46"/>
    </row>
    <row r="133" spans="1:19" x14ac:dyDescent="0.25">
      <c r="A133" t="s">
        <v>109</v>
      </c>
      <c r="C133" s="61"/>
      <c r="D133" s="61"/>
      <c r="E133" s="61"/>
      <c r="F133" s="61"/>
      <c r="G133" s="61">
        <f t="shared" ref="G133:P133" si="27">$C$131*$B$17*G$102</f>
        <v>1293943.7986816121</v>
      </c>
      <c r="H133" s="61">
        <f t="shared" si="27"/>
        <v>1349583.3820249215</v>
      </c>
      <c r="I133" s="61">
        <f t="shared" si="27"/>
        <v>1407615.4674519929</v>
      </c>
      <c r="J133" s="61">
        <f t="shared" si="27"/>
        <v>1468142.9325524285</v>
      </c>
      <c r="K133" s="61">
        <f t="shared" si="27"/>
        <v>1531273.0786521828</v>
      </c>
      <c r="L133" s="61">
        <f t="shared" si="27"/>
        <v>1597117.8210342268</v>
      </c>
      <c r="M133" s="61">
        <f t="shared" si="27"/>
        <v>1665793.8873386984</v>
      </c>
      <c r="N133" s="61">
        <f t="shared" si="27"/>
        <v>1737423.0244942622</v>
      </c>
      <c r="O133" s="61">
        <f t="shared" si="27"/>
        <v>1812132.2145475151</v>
      </c>
      <c r="P133" s="61">
        <f t="shared" si="27"/>
        <v>1890053.8997730582</v>
      </c>
      <c r="Q133" s="61"/>
      <c r="R133" s="46"/>
    </row>
    <row r="134" spans="1:19" x14ac:dyDescent="0.25">
      <c r="A134" t="s">
        <v>110</v>
      </c>
      <c r="C134" s="61"/>
      <c r="D134" s="61"/>
      <c r="E134" s="61"/>
      <c r="F134" s="61"/>
      <c r="G134" s="61">
        <f t="shared" ref="G134:P134" si="28">G133/(1+$B$20)^G26</f>
        <v>734218.46116248728</v>
      </c>
      <c r="H134" s="61">
        <f t="shared" si="28"/>
        <v>610482.98389068409</v>
      </c>
      <c r="I134" s="61">
        <f t="shared" si="28"/>
        <v>568512.27874819946</v>
      </c>
      <c r="J134" s="61">
        <f t="shared" si="28"/>
        <v>529427.05958426069</v>
      </c>
      <c r="K134" s="61">
        <f t="shared" si="28"/>
        <v>493028.94923784269</v>
      </c>
      <c r="L134" s="61">
        <f t="shared" si="28"/>
        <v>459133.20897774096</v>
      </c>
      <c r="M134" s="61">
        <f t="shared" si="28"/>
        <v>427567.80086052127</v>
      </c>
      <c r="N134" s="61">
        <f t="shared" si="28"/>
        <v>398172.51455136033</v>
      </c>
      <c r="O134" s="61">
        <f t="shared" si="28"/>
        <v>370798.15417595423</v>
      </c>
      <c r="P134" s="61">
        <f t="shared" si="28"/>
        <v>345305.78107635735</v>
      </c>
      <c r="Q134" s="46"/>
      <c r="R134" s="46"/>
    </row>
    <row r="135" spans="1:19" x14ac:dyDescent="0.25">
      <c r="A135" t="s">
        <v>109</v>
      </c>
      <c r="C135" s="61"/>
      <c r="D135" s="61"/>
      <c r="E135" s="61"/>
      <c r="F135" s="61"/>
      <c r="G135" s="61"/>
      <c r="H135" s="61">
        <f t="shared" ref="H135:Q135" si="29">$D$131*$B$17*H$102</f>
        <v>1349583.3820249215</v>
      </c>
      <c r="I135" s="61">
        <f t="shared" si="29"/>
        <v>1407615.4674519929</v>
      </c>
      <c r="J135" s="61">
        <f t="shared" si="29"/>
        <v>1468142.9325524285</v>
      </c>
      <c r="K135" s="61">
        <f t="shared" si="29"/>
        <v>1531273.0786521828</v>
      </c>
      <c r="L135" s="61">
        <f t="shared" si="29"/>
        <v>1597117.8210342268</v>
      </c>
      <c r="M135" s="61">
        <f t="shared" si="29"/>
        <v>1665793.8873386984</v>
      </c>
      <c r="N135" s="61">
        <f t="shared" si="29"/>
        <v>1737423.0244942622</v>
      </c>
      <c r="O135" s="61">
        <f t="shared" si="29"/>
        <v>1812132.2145475151</v>
      </c>
      <c r="P135" s="61">
        <f t="shared" si="29"/>
        <v>1890053.8997730582</v>
      </c>
      <c r="Q135" s="61">
        <f t="shared" si="29"/>
        <v>1971326.2174632996</v>
      </c>
      <c r="R135" s="46"/>
    </row>
    <row r="136" spans="1:19" x14ac:dyDescent="0.25">
      <c r="A136" t="s">
        <v>110</v>
      </c>
      <c r="C136" s="61"/>
      <c r="D136" s="61"/>
      <c r="E136" s="61"/>
      <c r="F136" s="61"/>
      <c r="G136" s="61"/>
      <c r="H136" s="61">
        <f t="shared" ref="H136:Q136" si="30">H135/(1+$B$20)^H$26</f>
        <v>610482.98389068409</v>
      </c>
      <c r="I136" s="61">
        <f t="shared" si="30"/>
        <v>568512.27874819946</v>
      </c>
      <c r="J136" s="61">
        <f t="shared" si="30"/>
        <v>529427.05958426069</v>
      </c>
      <c r="K136" s="61">
        <f t="shared" si="30"/>
        <v>493028.94923784269</v>
      </c>
      <c r="L136" s="61">
        <f t="shared" si="30"/>
        <v>459133.20897774096</v>
      </c>
      <c r="M136" s="61">
        <f t="shared" si="30"/>
        <v>427567.80086052127</v>
      </c>
      <c r="N136" s="61">
        <f t="shared" si="30"/>
        <v>398172.51455136033</v>
      </c>
      <c r="O136" s="61">
        <f t="shared" si="30"/>
        <v>370798.15417595423</v>
      </c>
      <c r="P136" s="61">
        <f t="shared" si="30"/>
        <v>345305.78107635735</v>
      </c>
      <c r="Q136" s="61">
        <f t="shared" si="30"/>
        <v>321566.00862735772</v>
      </c>
      <c r="R136" s="46"/>
    </row>
    <row r="137" spans="1:19" x14ac:dyDescent="0.25">
      <c r="A137" t="s">
        <v>98</v>
      </c>
      <c r="C137" s="61"/>
      <c r="D137" s="61"/>
      <c r="E137" s="61"/>
      <c r="F137" s="61"/>
      <c r="G137" s="61"/>
      <c r="H137" s="61"/>
      <c r="I137" s="61">
        <f t="shared" ref="I137:R137" si="31">$E$131*$B$17*I$102</f>
        <v>1407615.4674519929</v>
      </c>
      <c r="J137" s="61">
        <f t="shared" si="31"/>
        <v>1468142.9325524285</v>
      </c>
      <c r="K137" s="61">
        <f t="shared" si="31"/>
        <v>1531273.0786521828</v>
      </c>
      <c r="L137" s="61">
        <f t="shared" si="31"/>
        <v>1597117.8210342268</v>
      </c>
      <c r="M137" s="61">
        <f t="shared" si="31"/>
        <v>1665793.8873386984</v>
      </c>
      <c r="N137" s="61">
        <f t="shared" si="31"/>
        <v>1737423.0244942622</v>
      </c>
      <c r="O137" s="61">
        <f t="shared" si="31"/>
        <v>1812132.2145475151</v>
      </c>
      <c r="P137" s="61">
        <f t="shared" si="31"/>
        <v>1890053.8997730582</v>
      </c>
      <c r="Q137" s="61">
        <f t="shared" si="31"/>
        <v>1971326.2174632996</v>
      </c>
      <c r="R137" s="61">
        <f t="shared" si="31"/>
        <v>2056093.2448142213</v>
      </c>
    </row>
    <row r="138" spans="1:19" x14ac:dyDescent="0.25">
      <c r="A138" t="s">
        <v>99</v>
      </c>
      <c r="C138" s="61"/>
      <c r="D138" s="61"/>
      <c r="E138" s="61"/>
      <c r="F138" s="61"/>
      <c r="G138" s="61"/>
      <c r="H138" s="61"/>
      <c r="I138" s="61">
        <f t="shared" ref="I138:R138" si="32">I137/(1+$B$20)^I$26</f>
        <v>568512.27874819946</v>
      </c>
      <c r="J138" s="61">
        <f t="shared" si="32"/>
        <v>529427.05958426069</v>
      </c>
      <c r="K138" s="61">
        <f t="shared" si="32"/>
        <v>493028.94923784269</v>
      </c>
      <c r="L138" s="61">
        <f t="shared" si="32"/>
        <v>459133.20897774096</v>
      </c>
      <c r="M138" s="61">
        <f t="shared" si="32"/>
        <v>427567.80086052127</v>
      </c>
      <c r="N138" s="61">
        <f t="shared" si="32"/>
        <v>398172.51455136033</v>
      </c>
      <c r="O138" s="61">
        <f t="shared" si="32"/>
        <v>370798.15417595423</v>
      </c>
      <c r="P138" s="61">
        <f t="shared" si="32"/>
        <v>345305.78107635735</v>
      </c>
      <c r="Q138" s="61">
        <f t="shared" si="32"/>
        <v>321566.00862735772</v>
      </c>
      <c r="R138" s="61">
        <f t="shared" si="32"/>
        <v>299458.3455342268</v>
      </c>
    </row>
    <row r="139" spans="1:19" x14ac:dyDescent="0.25">
      <c r="A139" t="s">
        <v>100</v>
      </c>
      <c r="C139" s="61"/>
      <c r="D139" s="61"/>
      <c r="E139" s="61"/>
      <c r="F139" s="61"/>
      <c r="G139" s="61"/>
      <c r="H139" s="61"/>
      <c r="I139" s="61"/>
      <c r="J139" s="61">
        <f t="shared" ref="J139:S139" si="33">$F$131*$B$17*J$102</f>
        <v>1468142.9325524285</v>
      </c>
      <c r="K139" s="61">
        <f t="shared" si="33"/>
        <v>1531273.0786521828</v>
      </c>
      <c r="L139" s="61">
        <f t="shared" si="33"/>
        <v>1597117.8210342268</v>
      </c>
      <c r="M139" s="61">
        <f t="shared" si="33"/>
        <v>1665793.8873386984</v>
      </c>
      <c r="N139" s="61">
        <f t="shared" si="33"/>
        <v>1737423.0244942622</v>
      </c>
      <c r="O139" s="61">
        <f t="shared" si="33"/>
        <v>1812132.2145475151</v>
      </c>
      <c r="P139" s="61">
        <f t="shared" si="33"/>
        <v>1890053.8997730582</v>
      </c>
      <c r="Q139" s="61">
        <f t="shared" si="33"/>
        <v>1971326.2174632996</v>
      </c>
      <c r="R139" s="61">
        <f t="shared" si="33"/>
        <v>2056093.2448142213</v>
      </c>
      <c r="S139" s="61">
        <f t="shared" si="33"/>
        <v>2144505.2543412326</v>
      </c>
    </row>
    <row r="140" spans="1:19" x14ac:dyDescent="0.25">
      <c r="A140" t="s">
        <v>101</v>
      </c>
      <c r="C140" s="61"/>
      <c r="D140" s="61"/>
      <c r="E140" s="61"/>
      <c r="F140" s="61"/>
      <c r="G140" s="61"/>
      <c r="H140" s="61"/>
      <c r="I140" s="61"/>
      <c r="J140" s="61">
        <f t="shared" ref="J140:S140" si="34">J139/(1+$B$20)^J$26</f>
        <v>529427.05958426069</v>
      </c>
      <c r="K140" s="61">
        <f t="shared" si="34"/>
        <v>493028.94923784269</v>
      </c>
      <c r="L140" s="61">
        <f t="shared" si="34"/>
        <v>459133.20897774096</v>
      </c>
      <c r="M140" s="61">
        <f t="shared" si="34"/>
        <v>427567.80086052127</v>
      </c>
      <c r="N140" s="61">
        <f t="shared" si="34"/>
        <v>398172.51455136033</v>
      </c>
      <c r="O140" s="61">
        <f t="shared" si="34"/>
        <v>370798.15417595423</v>
      </c>
      <c r="P140" s="61">
        <f t="shared" si="34"/>
        <v>345305.78107635735</v>
      </c>
      <c r="Q140" s="61">
        <f t="shared" si="34"/>
        <v>321566.00862735772</v>
      </c>
      <c r="R140" s="61">
        <f t="shared" si="34"/>
        <v>299458.3455342268</v>
      </c>
      <c r="S140" s="61">
        <f t="shared" si="34"/>
        <v>278870.58427874866</v>
      </c>
    </row>
    <row r="141" spans="1:19" x14ac:dyDescent="0.25">
      <c r="A141" t="s">
        <v>102</v>
      </c>
      <c r="C141" s="61"/>
      <c r="D141" s="61"/>
      <c r="E141" s="61"/>
      <c r="F141" s="61"/>
      <c r="G141" s="61"/>
      <c r="H141" s="61"/>
      <c r="I141" s="61"/>
      <c r="J141" s="61"/>
      <c r="K141" s="61"/>
      <c r="L141" s="61"/>
      <c r="M141" s="61"/>
      <c r="N141" s="61"/>
      <c r="O141" s="61"/>
      <c r="P141" s="61"/>
      <c r="Q141" s="46"/>
      <c r="R141" s="46"/>
    </row>
    <row r="142" spans="1:19" x14ac:dyDescent="0.25">
      <c r="A142" t="s">
        <v>103</v>
      </c>
      <c r="C142" s="61"/>
      <c r="D142" s="61"/>
      <c r="E142" s="61"/>
      <c r="F142" s="61"/>
      <c r="G142" s="61"/>
      <c r="H142" s="61"/>
      <c r="I142" s="61"/>
      <c r="J142" s="61"/>
      <c r="K142" s="61"/>
      <c r="L142" s="61"/>
      <c r="M142" s="61"/>
      <c r="N142" s="61"/>
      <c r="O142" s="61"/>
      <c r="P142" s="61"/>
      <c r="Q142" s="46"/>
      <c r="R142" s="46"/>
    </row>
    <row r="143" spans="1:19" x14ac:dyDescent="0.25">
      <c r="C143" s="61"/>
      <c r="D143" s="61"/>
      <c r="E143" s="61"/>
      <c r="F143" s="61"/>
      <c r="G143" s="61"/>
      <c r="H143" s="61"/>
      <c r="I143" s="61"/>
      <c r="J143" s="61"/>
      <c r="K143" s="61"/>
      <c r="L143" s="61"/>
      <c r="M143" s="61"/>
      <c r="N143" s="61"/>
      <c r="O143" s="61"/>
      <c r="P143" s="61"/>
      <c r="Q143" s="46"/>
      <c r="R143" s="46"/>
    </row>
    <row r="144" spans="1:19" x14ac:dyDescent="0.25">
      <c r="A144" s="63" t="s">
        <v>111</v>
      </c>
      <c r="B144" s="64"/>
      <c r="C144" s="65">
        <f>SUM(G134:P134)</f>
        <v>4936647.1922654081</v>
      </c>
      <c r="D144" s="65">
        <f>SUM(H136:Q136)</f>
        <v>4523994.739730279</v>
      </c>
      <c r="E144" s="65">
        <f>SUM(I138:R138)</f>
        <v>4212970.1013738215</v>
      </c>
      <c r="F144" s="65">
        <f>SUM(J140:S140)</f>
        <v>3923328.406904371</v>
      </c>
      <c r="G144" s="61"/>
      <c r="H144" s="61"/>
      <c r="I144" s="61"/>
      <c r="J144" s="61"/>
      <c r="K144" s="61"/>
      <c r="L144" s="61"/>
      <c r="M144" s="61"/>
      <c r="N144" s="61"/>
      <c r="O144" s="61"/>
      <c r="P144" s="61"/>
      <c r="Q144" s="46"/>
      <c r="R144" s="46"/>
    </row>
    <row r="145" spans="1:24" x14ac:dyDescent="0.25">
      <c r="C145" s="61"/>
      <c r="D145" s="61"/>
      <c r="E145" s="61"/>
      <c r="F145" s="61"/>
      <c r="G145" s="61"/>
      <c r="H145" s="61"/>
      <c r="I145" s="61"/>
      <c r="J145" s="61"/>
      <c r="K145" s="61"/>
      <c r="L145" s="61"/>
      <c r="M145" s="61"/>
      <c r="N145" s="61"/>
      <c r="O145" s="61"/>
      <c r="P145" s="61"/>
      <c r="Q145" s="46"/>
      <c r="R145" s="46"/>
    </row>
    <row r="146" spans="1:24" x14ac:dyDescent="0.25">
      <c r="C146" s="61"/>
      <c r="D146" s="61"/>
      <c r="E146" s="61"/>
      <c r="F146" s="61"/>
      <c r="G146" s="61"/>
      <c r="H146" s="61"/>
      <c r="I146" s="61"/>
      <c r="J146" s="61"/>
      <c r="K146" s="61"/>
      <c r="L146" s="61"/>
      <c r="M146" s="61"/>
      <c r="N146" s="61"/>
      <c r="O146" s="61"/>
      <c r="P146" s="61"/>
      <c r="Q146" s="46"/>
      <c r="R146" s="46"/>
    </row>
    <row r="147" spans="1:24" x14ac:dyDescent="0.25">
      <c r="A147" s="162" t="s">
        <v>112</v>
      </c>
      <c r="B147" s="162"/>
      <c r="C147" s="162"/>
      <c r="D147" s="162"/>
      <c r="E147" s="162"/>
      <c r="F147" s="162"/>
      <c r="G147" s="61"/>
      <c r="H147" s="61"/>
      <c r="I147" s="61"/>
      <c r="J147" s="61"/>
      <c r="K147" s="61"/>
      <c r="L147" s="61"/>
      <c r="M147" s="61"/>
      <c r="N147" s="61"/>
      <c r="O147" s="61"/>
      <c r="P147" s="61"/>
      <c r="Q147" s="46"/>
      <c r="R147" s="46"/>
    </row>
    <row r="148" spans="1:24" x14ac:dyDescent="0.25">
      <c r="A148" s="162"/>
      <c r="B148" s="162"/>
      <c r="C148" s="162"/>
      <c r="D148" s="162"/>
      <c r="E148" s="162"/>
      <c r="F148" s="162"/>
      <c r="G148" s="61"/>
      <c r="H148" s="61"/>
      <c r="I148" s="61"/>
      <c r="J148" s="61"/>
      <c r="K148" s="61"/>
      <c r="L148" s="61"/>
      <c r="M148" s="61"/>
      <c r="N148" s="61"/>
      <c r="O148" s="61"/>
      <c r="P148" s="61"/>
      <c r="Q148" s="46"/>
      <c r="R148" s="46"/>
    </row>
    <row r="149" spans="1:24" x14ac:dyDescent="0.25">
      <c r="C149" s="61"/>
      <c r="D149" s="61"/>
      <c r="E149" s="61"/>
      <c r="F149" s="61"/>
      <c r="G149" s="61"/>
      <c r="H149" s="61"/>
      <c r="I149" s="61"/>
      <c r="J149" s="61"/>
      <c r="K149" s="61"/>
      <c r="L149" s="61"/>
      <c r="M149" s="61"/>
      <c r="N149" s="61"/>
      <c r="O149" s="61"/>
      <c r="P149" s="61"/>
      <c r="Q149" s="46"/>
      <c r="R149" s="46"/>
    </row>
    <row r="150" spans="1:24" outlineLevel="1" x14ac:dyDescent="0.25">
      <c r="A150" t="s">
        <v>49</v>
      </c>
      <c r="B150">
        <f>C11</f>
        <v>9093</v>
      </c>
      <c r="C150" s="47">
        <f>B150*(1+$B$13)</f>
        <v>9138.4649999999983</v>
      </c>
      <c r="D150" s="47">
        <f t="shared" ref="D150:F150" si="35">C150*(1+$B$13)</f>
        <v>9184.1573249999965</v>
      </c>
      <c r="E150" s="47">
        <f t="shared" si="35"/>
        <v>9230.0781116249964</v>
      </c>
      <c r="F150" s="47">
        <f t="shared" si="35"/>
        <v>9276.2285021831212</v>
      </c>
      <c r="G150" s="47"/>
      <c r="H150" s="47"/>
      <c r="I150" s="47"/>
      <c r="J150" s="47"/>
      <c r="K150" s="47"/>
      <c r="L150" s="47"/>
      <c r="M150" s="47"/>
      <c r="N150" s="47"/>
      <c r="O150" s="47"/>
      <c r="P150" s="47"/>
      <c r="Q150" s="61"/>
      <c r="R150" s="61"/>
      <c r="S150" s="61"/>
      <c r="T150" s="61"/>
      <c r="U150" s="61"/>
      <c r="V150" s="61"/>
      <c r="W150" s="61"/>
      <c r="X150" s="61"/>
    </row>
    <row r="151" spans="1:24" outlineLevel="1" x14ac:dyDescent="0.25">
      <c r="A151" t="s">
        <v>113</v>
      </c>
      <c r="B151"/>
      <c r="C151">
        <f t="shared" ref="C151:F151" si="36">C150*$B$21</f>
        <v>3472.6166999999996</v>
      </c>
      <c r="D151">
        <f t="shared" si="36"/>
        <v>3489.9797834999986</v>
      </c>
      <c r="E151">
        <f t="shared" si="36"/>
        <v>3507.4296824174985</v>
      </c>
      <c r="F151">
        <f t="shared" si="36"/>
        <v>3524.9668308295859</v>
      </c>
      <c r="Q151" s="46"/>
      <c r="R151" s="46"/>
    </row>
    <row r="152" spans="1:24" outlineLevel="1" x14ac:dyDescent="0.25">
      <c r="A152" t="s">
        <v>114</v>
      </c>
      <c r="B152" s="49"/>
      <c r="C152" s="49">
        <f>C151*C28*$B$22</f>
        <v>10865817.654299999</v>
      </c>
      <c r="D152" s="49">
        <f>D151*D28*$B$22</f>
        <v>11389713.052502068</v>
      </c>
      <c r="E152" s="49">
        <f>E151*E28*$B$22</f>
        <v>11938868.067328457</v>
      </c>
      <c r="F152" s="49">
        <f>F151*F28*$B$22</f>
        <v>12514500.591194697</v>
      </c>
      <c r="G152" s="49"/>
      <c r="H152" s="49"/>
      <c r="I152" s="49"/>
      <c r="J152" s="49"/>
      <c r="K152" s="49"/>
      <c r="L152" s="49"/>
      <c r="M152" s="49"/>
      <c r="N152" s="49"/>
      <c r="O152" s="49"/>
      <c r="P152" s="49"/>
      <c r="Q152" s="46"/>
      <c r="R152" s="46"/>
    </row>
    <row r="153" spans="1:24" outlineLevel="1" x14ac:dyDescent="0.25">
      <c r="A153" t="s">
        <v>115</v>
      </c>
      <c r="B153"/>
      <c r="C153">
        <f t="shared" ref="C153:F153" si="37">C150*$C$21</f>
        <v>3993.5092049999989</v>
      </c>
      <c r="D153">
        <f t="shared" si="37"/>
        <v>4013.4767510249981</v>
      </c>
      <c r="E153">
        <f t="shared" si="37"/>
        <v>4033.5441347801229</v>
      </c>
      <c r="F153">
        <f t="shared" si="37"/>
        <v>4053.7118554540234</v>
      </c>
      <c r="Q153" s="46"/>
      <c r="R153" s="46"/>
    </row>
    <row r="154" spans="1:24" outlineLevel="1" x14ac:dyDescent="0.25">
      <c r="A154" t="s">
        <v>116</v>
      </c>
      <c r="B154" s="49"/>
      <c r="C154" s="49">
        <f>C153*C28*$B$22</f>
        <v>12495690.302444996</v>
      </c>
      <c r="D154" s="49">
        <f>D153*D28*$B$22</f>
        <v>13098170.010377379</v>
      </c>
      <c r="E154" s="49">
        <f>E153*E28*$B$22</f>
        <v>13729698.277427724</v>
      </c>
      <c r="F154" s="49">
        <f>F153*F28*$B$22</f>
        <v>14391675.679873897</v>
      </c>
      <c r="G154" s="49"/>
      <c r="H154" s="49"/>
      <c r="I154" s="49"/>
      <c r="J154" s="49"/>
      <c r="K154" s="49"/>
      <c r="L154" s="49"/>
      <c r="M154" s="49"/>
      <c r="N154" s="49"/>
      <c r="O154" s="49"/>
      <c r="P154" s="49"/>
      <c r="Q154" s="46"/>
      <c r="R154" s="46"/>
    </row>
    <row r="155" spans="1:24" x14ac:dyDescent="0.25">
      <c r="A155" s="66" t="s">
        <v>112</v>
      </c>
      <c r="B155" s="67"/>
      <c r="C155" s="67">
        <f t="shared" ref="C155:F155" si="38">C154-C152</f>
        <v>1629872.6481449977</v>
      </c>
      <c r="D155" s="67">
        <f t="shared" si="38"/>
        <v>1708456.9578753114</v>
      </c>
      <c r="E155" s="67">
        <f t="shared" si="38"/>
        <v>1790830.2100992668</v>
      </c>
      <c r="F155" s="67">
        <f t="shared" si="38"/>
        <v>1877175.0886792</v>
      </c>
      <c r="G155" s="49"/>
      <c r="H155" s="49"/>
      <c r="I155" s="49"/>
      <c r="J155" s="49"/>
      <c r="K155" s="49"/>
      <c r="L155" s="49"/>
      <c r="M155" s="49"/>
      <c r="N155" s="49"/>
      <c r="O155" s="49"/>
      <c r="P155" s="49"/>
      <c r="Q155" s="46"/>
      <c r="R155" s="46"/>
    </row>
    <row r="156" spans="1:24" x14ac:dyDescent="0.25">
      <c r="C156" s="61"/>
      <c r="D156" s="61"/>
      <c r="E156" s="61"/>
      <c r="F156" s="61"/>
      <c r="G156" s="61"/>
      <c r="H156" s="61"/>
      <c r="I156" s="61"/>
      <c r="J156" s="61"/>
      <c r="K156" s="61"/>
      <c r="L156" s="61"/>
      <c r="M156" s="61"/>
      <c r="N156" s="61"/>
      <c r="O156" s="61"/>
      <c r="P156" s="61"/>
      <c r="Q156" s="46"/>
      <c r="R156" s="46"/>
    </row>
    <row r="157" spans="1:24" hidden="1" x14ac:dyDescent="0.25">
      <c r="C157" s="61"/>
      <c r="D157" s="61"/>
      <c r="E157" s="61"/>
      <c r="F157" s="61"/>
      <c r="G157" s="61"/>
      <c r="H157" s="61"/>
      <c r="I157" s="61"/>
      <c r="J157" s="61"/>
      <c r="K157" s="61"/>
      <c r="L157" s="61"/>
      <c r="M157" s="61"/>
      <c r="N157" s="61"/>
      <c r="O157" s="61"/>
      <c r="P157" s="61"/>
      <c r="Q157" s="46"/>
      <c r="R157" s="46"/>
    </row>
    <row r="158" spans="1:24" hidden="1" x14ac:dyDescent="0.25">
      <c r="C158" s="61"/>
      <c r="D158" s="61"/>
      <c r="E158" s="61"/>
      <c r="F158" s="61"/>
      <c r="G158" s="61"/>
      <c r="H158" s="61"/>
      <c r="I158" s="61"/>
      <c r="J158" s="61"/>
      <c r="K158" s="61"/>
      <c r="L158" s="61"/>
      <c r="M158" s="61"/>
      <c r="N158" s="61"/>
      <c r="O158" s="61"/>
      <c r="P158" s="61"/>
      <c r="Q158" s="46"/>
      <c r="R158" s="46"/>
    </row>
    <row r="159" spans="1:24" hidden="1" x14ac:dyDescent="0.25">
      <c r="C159" s="61"/>
      <c r="D159" s="61"/>
      <c r="E159" s="61"/>
      <c r="F159" s="61"/>
      <c r="G159" s="61"/>
      <c r="H159" s="61"/>
      <c r="I159" s="61"/>
      <c r="J159" s="61"/>
      <c r="K159" s="61"/>
      <c r="L159" s="61"/>
      <c r="M159" s="61"/>
      <c r="N159" s="61"/>
      <c r="O159" s="61"/>
      <c r="P159" s="61"/>
      <c r="Q159" s="46"/>
      <c r="R159" s="46"/>
    </row>
    <row r="160" spans="1:24" hidden="1" x14ac:dyDescent="0.25">
      <c r="C160" s="61"/>
      <c r="D160" s="61"/>
      <c r="E160" s="61"/>
      <c r="F160" s="61"/>
      <c r="G160" s="61"/>
      <c r="H160" s="61"/>
      <c r="I160" s="61"/>
      <c r="J160" s="61"/>
      <c r="K160" s="61"/>
      <c r="L160" s="61"/>
      <c r="M160" s="61"/>
      <c r="N160" s="61"/>
      <c r="O160" s="61"/>
      <c r="P160" s="61"/>
      <c r="Q160" s="46"/>
      <c r="R160" s="46"/>
    </row>
    <row r="161" spans="1:18" hidden="1" x14ac:dyDescent="0.25">
      <c r="C161" s="61"/>
      <c r="D161" s="61"/>
      <c r="E161" s="61"/>
      <c r="F161" s="61"/>
      <c r="G161" s="61"/>
      <c r="H161" s="61"/>
      <c r="I161" s="61"/>
      <c r="J161" s="61"/>
      <c r="K161" s="61"/>
      <c r="L161" s="61"/>
      <c r="M161" s="61"/>
      <c r="N161" s="61"/>
      <c r="O161" s="61"/>
      <c r="P161" s="61"/>
      <c r="Q161" s="46"/>
      <c r="R161" s="46"/>
    </row>
    <row r="162" spans="1:18" hidden="1" x14ac:dyDescent="0.25">
      <c r="C162" s="61"/>
      <c r="D162" s="61"/>
      <c r="E162" s="61"/>
      <c r="F162" s="61"/>
      <c r="G162" s="61"/>
      <c r="H162" s="61"/>
      <c r="I162" s="61"/>
      <c r="J162" s="61"/>
      <c r="K162" s="61"/>
      <c r="L162" s="61"/>
      <c r="M162" s="61"/>
      <c r="N162" s="61"/>
      <c r="O162" s="61"/>
      <c r="P162" s="61"/>
      <c r="Q162" s="46"/>
      <c r="R162" s="46"/>
    </row>
    <row r="163" spans="1:18" hidden="1" x14ac:dyDescent="0.25">
      <c r="C163" s="61"/>
      <c r="D163" s="61"/>
      <c r="E163" s="61"/>
      <c r="F163" s="61"/>
      <c r="G163" s="61"/>
      <c r="H163" s="61"/>
      <c r="I163" s="61"/>
      <c r="J163" s="61"/>
      <c r="K163" s="61"/>
      <c r="L163" s="61"/>
      <c r="M163" s="61"/>
      <c r="N163" s="61"/>
      <c r="O163" s="61"/>
      <c r="P163" s="61"/>
      <c r="Q163" s="46"/>
      <c r="R163" s="46"/>
    </row>
    <row r="164" spans="1:18" hidden="1" x14ac:dyDescent="0.25">
      <c r="C164" s="61"/>
      <c r="D164" s="61"/>
      <c r="E164" s="61"/>
      <c r="F164" s="61"/>
      <c r="G164" s="61"/>
      <c r="H164" s="61"/>
      <c r="I164" s="61"/>
      <c r="J164" s="61"/>
      <c r="K164" s="61"/>
      <c r="L164" s="61"/>
      <c r="M164" s="61"/>
      <c r="N164" s="61"/>
      <c r="O164" s="61"/>
      <c r="P164" s="61"/>
      <c r="Q164" s="46"/>
      <c r="R164" s="46"/>
    </row>
    <row r="165" spans="1:18" hidden="1" x14ac:dyDescent="0.25">
      <c r="C165" s="61"/>
      <c r="D165" s="61"/>
      <c r="E165" s="61"/>
      <c r="F165" s="61"/>
      <c r="G165" s="61"/>
      <c r="H165" s="61"/>
      <c r="I165" s="61"/>
      <c r="J165" s="61"/>
      <c r="K165" s="61"/>
      <c r="L165" s="61"/>
      <c r="M165" s="61"/>
      <c r="N165" s="61"/>
      <c r="O165" s="61"/>
      <c r="P165" s="61"/>
      <c r="Q165" s="46"/>
      <c r="R165" s="46"/>
    </row>
    <row r="166" spans="1:18" hidden="1" x14ac:dyDescent="0.25">
      <c r="C166" s="61"/>
      <c r="D166" s="61"/>
      <c r="E166" s="61"/>
      <c r="F166" s="61"/>
      <c r="G166" s="61"/>
      <c r="H166" s="61"/>
      <c r="I166" s="61"/>
      <c r="J166" s="61"/>
      <c r="K166" s="61"/>
      <c r="L166" s="61"/>
      <c r="M166" s="61"/>
      <c r="N166" s="61"/>
      <c r="O166" s="61"/>
      <c r="P166" s="61"/>
      <c r="Q166" s="46"/>
      <c r="R166" s="46"/>
    </row>
    <row r="167" spans="1:18" hidden="1" x14ac:dyDescent="0.25">
      <c r="C167" s="61"/>
      <c r="D167" s="61"/>
      <c r="E167" s="61"/>
      <c r="F167" s="61"/>
      <c r="G167" s="61"/>
      <c r="H167" s="61"/>
      <c r="I167" s="61"/>
      <c r="J167" s="61"/>
      <c r="K167" s="61"/>
      <c r="L167" s="61"/>
      <c r="M167" s="61"/>
      <c r="N167" s="61"/>
      <c r="O167" s="61"/>
      <c r="P167" s="61"/>
      <c r="Q167" s="46"/>
      <c r="R167" s="46"/>
    </row>
    <row r="168" spans="1:18" ht="15.6" hidden="1" customHeight="1" x14ac:dyDescent="0.25">
      <c r="C168" s="61"/>
      <c r="D168" s="61"/>
      <c r="E168" s="61"/>
      <c r="F168" s="61"/>
      <c r="G168" s="61"/>
      <c r="H168" s="61"/>
      <c r="I168" s="61"/>
      <c r="J168" s="61"/>
      <c r="K168" s="61"/>
      <c r="L168" s="61"/>
      <c r="M168" s="61"/>
      <c r="N168" s="61"/>
      <c r="O168" s="61"/>
      <c r="P168" s="61"/>
      <c r="Q168" s="46"/>
      <c r="R168" s="46"/>
    </row>
    <row r="169" spans="1:18" hidden="1" x14ac:dyDescent="0.25">
      <c r="C169" s="61"/>
      <c r="D169" s="61"/>
      <c r="E169" s="61"/>
      <c r="F169" s="61"/>
      <c r="G169" s="61"/>
      <c r="H169" s="61"/>
      <c r="I169" s="61"/>
      <c r="J169" s="61"/>
      <c r="K169" s="61"/>
      <c r="L169" s="61"/>
      <c r="M169" s="61"/>
      <c r="N169" s="61"/>
      <c r="O169" s="61"/>
      <c r="P169" s="61"/>
      <c r="Q169" s="46"/>
      <c r="R169" s="46"/>
    </row>
    <row r="170" spans="1:18" hidden="1" x14ac:dyDescent="0.25">
      <c r="C170" s="61"/>
      <c r="D170" s="61"/>
      <c r="E170" s="61"/>
      <c r="F170" s="61"/>
      <c r="G170" s="61"/>
      <c r="H170" s="61"/>
      <c r="I170" s="61"/>
      <c r="J170" s="61"/>
      <c r="K170" s="61"/>
      <c r="L170" s="61"/>
      <c r="M170" s="61"/>
      <c r="N170" s="61"/>
      <c r="O170" s="61"/>
      <c r="P170" s="61"/>
      <c r="Q170" s="46"/>
      <c r="R170" s="46"/>
    </row>
    <row r="171" spans="1:18" hidden="1" x14ac:dyDescent="0.25">
      <c r="C171" s="61"/>
      <c r="D171" s="61"/>
      <c r="E171" s="61"/>
      <c r="F171" s="61"/>
      <c r="G171" s="61"/>
      <c r="H171" s="61"/>
      <c r="I171" s="61"/>
      <c r="J171" s="61"/>
      <c r="K171" s="61"/>
      <c r="L171" s="61"/>
      <c r="M171" s="61"/>
      <c r="N171" s="61"/>
      <c r="O171" s="61"/>
      <c r="P171" s="61"/>
      <c r="Q171" s="46"/>
      <c r="R171" s="46"/>
    </row>
    <row r="172" spans="1:18" hidden="1" x14ac:dyDescent="0.25">
      <c r="C172" s="61"/>
      <c r="D172" s="61"/>
      <c r="E172" s="61"/>
      <c r="F172" s="61"/>
      <c r="G172" s="61"/>
      <c r="H172" s="61"/>
      <c r="I172" s="61"/>
      <c r="J172" s="61"/>
      <c r="K172" s="61"/>
      <c r="L172" s="61"/>
      <c r="M172" s="61"/>
      <c r="N172" s="61"/>
      <c r="O172" s="61"/>
      <c r="P172" s="61"/>
      <c r="Q172" s="46"/>
      <c r="R172" s="46"/>
    </row>
    <row r="173" spans="1:18" hidden="1" x14ac:dyDescent="0.25">
      <c r="C173" s="61"/>
      <c r="D173" s="61"/>
      <c r="E173" s="61"/>
      <c r="F173" s="61"/>
      <c r="G173" s="61"/>
      <c r="H173" s="61"/>
      <c r="I173" s="61"/>
      <c r="J173" s="61"/>
      <c r="K173" s="61"/>
      <c r="L173" s="61"/>
      <c r="M173" s="61"/>
      <c r="N173" s="61"/>
      <c r="O173" s="61"/>
      <c r="P173" s="61"/>
      <c r="Q173" s="46"/>
      <c r="R173" s="46"/>
    </row>
    <row r="174" spans="1:18" hidden="1" x14ac:dyDescent="0.25">
      <c r="C174" s="61"/>
      <c r="D174" s="61"/>
      <c r="E174" s="61"/>
      <c r="F174" s="61"/>
      <c r="G174" s="61"/>
      <c r="H174" s="61"/>
      <c r="I174" s="61"/>
      <c r="J174" s="61"/>
      <c r="K174" s="61"/>
      <c r="L174" s="61"/>
      <c r="M174" s="61"/>
      <c r="N174" s="61"/>
      <c r="O174" s="61"/>
      <c r="P174" s="61"/>
      <c r="Q174" s="46"/>
      <c r="R174" s="46"/>
    </row>
    <row r="175" spans="1:18" x14ac:dyDescent="0.25">
      <c r="C175" s="61"/>
      <c r="D175" s="61"/>
      <c r="E175" s="61"/>
      <c r="F175" s="61"/>
      <c r="G175" s="61"/>
      <c r="H175" s="61"/>
      <c r="I175" s="61"/>
      <c r="J175" s="61"/>
      <c r="K175" s="61"/>
      <c r="L175" s="61"/>
      <c r="M175" s="61"/>
      <c r="N175" s="61"/>
      <c r="O175" s="61"/>
      <c r="P175" s="61"/>
      <c r="Q175" s="46"/>
      <c r="R175" s="46"/>
    </row>
    <row r="176" spans="1:18" x14ac:dyDescent="0.25">
      <c r="A176" s="157" t="s">
        <v>117</v>
      </c>
      <c r="B176" s="157"/>
      <c r="C176" s="157"/>
      <c r="D176" s="157"/>
      <c r="E176" s="157"/>
      <c r="F176" s="157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6"/>
      <c r="R176" s="46"/>
    </row>
    <row r="177" spans="1:18" x14ac:dyDescent="0.25">
      <c r="A177" s="157"/>
      <c r="B177" s="157"/>
      <c r="C177" s="157"/>
      <c r="D177" s="157"/>
      <c r="E177" s="157"/>
      <c r="F177" s="157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6"/>
      <c r="R177" s="46"/>
    </row>
    <row r="178" spans="1:18" hidden="1" x14ac:dyDescent="0.25">
      <c r="B178" s="40" t="s">
        <v>118</v>
      </c>
      <c r="C178" s="48" t="s">
        <v>119</v>
      </c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6"/>
      <c r="R178" s="46"/>
    </row>
    <row r="179" spans="1:18" ht="15.75" hidden="1" x14ac:dyDescent="0.25">
      <c r="A179" s="68" t="s">
        <v>120</v>
      </c>
      <c r="B179" s="40">
        <v>3527189.4828571398</v>
      </c>
      <c r="C179" s="52">
        <f>B179*B19</f>
        <v>705437.89657142805</v>
      </c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6"/>
      <c r="R179" s="46"/>
    </row>
    <row r="180" spans="1:18" hidden="1" x14ac:dyDescent="0.25">
      <c r="A180" t="s">
        <v>121</v>
      </c>
      <c r="B180" s="40">
        <v>808.84000248971347</v>
      </c>
      <c r="C180" s="52" t="e">
        <f>B180*#REF!</f>
        <v>#REF!</v>
      </c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6"/>
      <c r="R180" s="46"/>
    </row>
    <row r="181" spans="1:18" hidden="1" x14ac:dyDescent="0.25">
      <c r="B181" s="42">
        <v>0.45</v>
      </c>
      <c r="C181" s="43">
        <v>0.5</v>
      </c>
      <c r="D181" s="43">
        <v>0.55000000000000004</v>
      </c>
      <c r="E181" s="43">
        <v>0.6</v>
      </c>
      <c r="F181" s="43">
        <v>0.6</v>
      </c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6"/>
      <c r="R181" s="46"/>
    </row>
    <row r="182" spans="1:18" hidden="1" x14ac:dyDescent="0.25">
      <c r="A182" t="s">
        <v>122</v>
      </c>
      <c r="B182" s="69">
        <f>C179</f>
        <v>705437.89657142805</v>
      </c>
      <c r="C182" s="48">
        <f>B182*(1+$B$14)</f>
        <v>735771.72612399946</v>
      </c>
      <c r="D182" s="69">
        <f>C182*(1+$B$14)</f>
        <v>767409.91034733143</v>
      </c>
      <c r="E182" s="48">
        <f t="shared" ref="E182:F182" si="39">D182*(1+$B$14)</f>
        <v>800408.53649226658</v>
      </c>
      <c r="F182" s="48">
        <f t="shared" si="39"/>
        <v>834826.10356143396</v>
      </c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6"/>
      <c r="R182" s="46"/>
    </row>
    <row r="183" spans="1:18" x14ac:dyDescent="0.25">
      <c r="A183" t="s">
        <v>123</v>
      </c>
      <c r="B183" s="49">
        <f>B181*B182</f>
        <v>317447.05345714261</v>
      </c>
      <c r="C183" s="49">
        <f t="shared" ref="C183:F183" si="40">C181*C182</f>
        <v>367885.86306199973</v>
      </c>
      <c r="D183" s="49">
        <f t="shared" si="40"/>
        <v>422075.45069103234</v>
      </c>
      <c r="E183" s="49">
        <f t="shared" si="40"/>
        <v>480245.12189535995</v>
      </c>
      <c r="F183" s="49">
        <f t="shared" si="40"/>
        <v>500895.66213686037</v>
      </c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6"/>
      <c r="R183" s="46"/>
    </row>
    <row r="184" spans="1:18" x14ac:dyDescent="0.25"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6"/>
      <c r="R184" s="46"/>
    </row>
    <row r="185" spans="1:18" hidden="1" x14ac:dyDescent="0.25"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6"/>
      <c r="R185" s="46"/>
    </row>
    <row r="186" spans="1:18" hidden="1" x14ac:dyDescent="0.25"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6"/>
      <c r="R186" s="46"/>
    </row>
    <row r="187" spans="1:18" hidden="1" x14ac:dyDescent="0.25">
      <c r="N187" s="46"/>
      <c r="O187" s="46"/>
      <c r="P187" s="46"/>
      <c r="Q187" s="46"/>
      <c r="R187" s="46"/>
    </row>
    <row r="188" spans="1:18" hidden="1" x14ac:dyDescent="0.25">
      <c r="N188" s="46"/>
      <c r="O188" s="46"/>
      <c r="P188" s="46"/>
      <c r="Q188" s="46"/>
      <c r="R188" s="46"/>
    </row>
    <row r="189" spans="1:18" x14ac:dyDescent="0.25">
      <c r="N189" s="46"/>
      <c r="O189" s="46"/>
      <c r="P189" s="46"/>
      <c r="Q189" s="46"/>
      <c r="R189" s="46"/>
    </row>
    <row r="190" spans="1:18" ht="18.75" x14ac:dyDescent="0.3">
      <c r="A190" s="70" t="s">
        <v>124</v>
      </c>
      <c r="B190" s="71"/>
      <c r="C190" s="72"/>
      <c r="D190" s="71"/>
      <c r="E190"/>
    </row>
    <row r="191" spans="1:18" ht="15.75" x14ac:dyDescent="0.25">
      <c r="A191" s="71"/>
      <c r="B191" s="71"/>
      <c r="C191" s="72"/>
      <c r="D191" s="71"/>
      <c r="E191"/>
    </row>
    <row r="192" spans="1:18" ht="15.75" x14ac:dyDescent="0.25">
      <c r="A192" s="71"/>
      <c r="B192" s="71"/>
      <c r="C192" s="72"/>
      <c r="D192" s="71"/>
      <c r="E192"/>
    </row>
    <row r="193" spans="1:17" s="15" customFormat="1" ht="18.75" x14ac:dyDescent="0.3">
      <c r="A193" s="73" t="s">
        <v>125</v>
      </c>
      <c r="B193" s="74">
        <f>B25</f>
        <v>2021</v>
      </c>
      <c r="C193" s="74">
        <f>C25</f>
        <v>2022</v>
      </c>
      <c r="D193" s="74">
        <f>D25</f>
        <v>2023</v>
      </c>
      <c r="E193" s="74">
        <f>E25</f>
        <v>2024</v>
      </c>
      <c r="F193" s="74">
        <f>F25</f>
        <v>2025</v>
      </c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</row>
    <row r="194" spans="1:17" ht="55.9" customHeight="1" x14ac:dyDescent="0.25">
      <c r="A194" s="75" t="str">
        <f>A67</f>
        <v>Beneficio por menores costos para el sistema penitenciario para personas que cuentan con diagnostico RNR</v>
      </c>
      <c r="B194" s="75">
        <f t="shared" ref="B194:F194" si="41">B67</f>
        <v>3979369.8596040718</v>
      </c>
      <c r="C194" s="75">
        <f t="shared" si="41"/>
        <v>7215908.7404707</v>
      </c>
      <c r="D194" s="75">
        <f t="shared" si="41"/>
        <v>6524147.3915214539</v>
      </c>
      <c r="E194" s="75">
        <f t="shared" si="41"/>
        <v>5879944.6353124604</v>
      </c>
      <c r="F194" s="75">
        <f t="shared" si="41"/>
        <v>5475698.4416347295</v>
      </c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</row>
    <row r="195" spans="1:17" ht="31.15" customHeight="1" x14ac:dyDescent="0.25">
      <c r="A195" s="76" t="str">
        <f>A94</f>
        <v>Beneficio por menores costos para el sistema penitenciario para PPLs tratados</v>
      </c>
      <c r="B195" s="76">
        <f t="shared" ref="B195:F195" si="42">B94</f>
        <v>0</v>
      </c>
      <c r="C195" s="76">
        <f t="shared" si="42"/>
        <v>9832200.3999321032</v>
      </c>
      <c r="D195" s="76">
        <f t="shared" si="42"/>
        <v>8981533.3875779435</v>
      </c>
      <c r="E195" s="76">
        <f t="shared" si="42"/>
        <v>8189349.7323231343</v>
      </c>
      <c r="F195" s="76">
        <f t="shared" si="42"/>
        <v>7626331.9382259175</v>
      </c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</row>
    <row r="196" spans="1:17" x14ac:dyDescent="0.25">
      <c r="A196" s="77" t="str">
        <f>A127</f>
        <v>Beneficios por aumento de empleabilidad de post-penados tratados</v>
      </c>
      <c r="B196" s="78"/>
      <c r="C196" s="78">
        <f>C127</f>
        <v>7933897.2732836921</v>
      </c>
      <c r="D196" s="78">
        <f>D127</f>
        <v>7270705.8317093765</v>
      </c>
      <c r="E196" s="78">
        <f>E127</f>
        <v>6770844.8057793565</v>
      </c>
      <c r="F196" s="78">
        <f>F127</f>
        <v>6305349.2253820254</v>
      </c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</row>
    <row r="197" spans="1:17" ht="24.6" customHeight="1" x14ac:dyDescent="0.25">
      <c r="A197" s="79" t="str">
        <f>A144</f>
        <v>Beneficios por aumento de empleabilidad post penados con diagnostico RNR</v>
      </c>
      <c r="B197" s="79">
        <f t="shared" ref="B197:F197" si="43">B144</f>
        <v>0</v>
      </c>
      <c r="C197" s="79">
        <f t="shared" si="43"/>
        <v>4936647.1922654081</v>
      </c>
      <c r="D197" s="79">
        <f t="shared" si="43"/>
        <v>4523994.739730279</v>
      </c>
      <c r="E197" s="79">
        <f t="shared" si="43"/>
        <v>4212970.1013738215</v>
      </c>
      <c r="F197" s="79">
        <f t="shared" si="43"/>
        <v>3923328.406904371</v>
      </c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</row>
    <row r="198" spans="1:17" x14ac:dyDescent="0.25">
      <c r="A198" s="80" t="str">
        <f>A155</f>
        <v>Beneficios por aumento de penas alternativas para sentencias menores a 4 años</v>
      </c>
      <c r="B198" s="80"/>
      <c r="C198" s="80">
        <f t="shared" ref="C198:F198" si="44">C155</f>
        <v>1629872.6481449977</v>
      </c>
      <c r="D198" s="80">
        <f t="shared" si="44"/>
        <v>1708456.9578753114</v>
      </c>
      <c r="E198" s="80">
        <f t="shared" si="44"/>
        <v>1790830.2100992668</v>
      </c>
      <c r="F198" s="80">
        <f t="shared" si="44"/>
        <v>1877175.0886792</v>
      </c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</row>
    <row r="199" spans="1:17" x14ac:dyDescent="0.25">
      <c r="A199" s="81" t="str">
        <f>A183</f>
        <v>Ahorros estimados por Videoconferencias</v>
      </c>
      <c r="B199" s="82">
        <f>B183</f>
        <v>317447.05345714261</v>
      </c>
      <c r="C199" s="82">
        <f t="shared" ref="C199:F199" si="45">C183</f>
        <v>367885.86306199973</v>
      </c>
      <c r="D199" s="82">
        <f t="shared" si="45"/>
        <v>422075.45069103234</v>
      </c>
      <c r="E199" s="82">
        <f t="shared" si="45"/>
        <v>480245.12189535995</v>
      </c>
      <c r="F199" s="82">
        <f t="shared" si="45"/>
        <v>500895.66213686037</v>
      </c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</row>
    <row r="200" spans="1:17" x14ac:dyDescent="0.25">
      <c r="A200" s="83" t="s">
        <v>126</v>
      </c>
      <c r="B200" s="84">
        <f>SUM(B194:B199)</f>
        <v>4296816.9130612146</v>
      </c>
      <c r="C200" s="84">
        <f t="shared" ref="C200:F200" si="46">SUM(C194:C199)</f>
        <v>31916412.117158893</v>
      </c>
      <c r="D200" s="84">
        <f t="shared" si="46"/>
        <v>29430913.759105399</v>
      </c>
      <c r="E200" s="84">
        <f t="shared" si="46"/>
        <v>27324184.606783401</v>
      </c>
      <c r="F200" s="84">
        <f t="shared" si="46"/>
        <v>25708778.762963101</v>
      </c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</row>
    <row r="201" spans="1:17" x14ac:dyDescent="0.25">
      <c r="A201" s="40"/>
      <c r="E201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</row>
    <row r="202" spans="1:17" x14ac:dyDescent="0.25">
      <c r="B202"/>
      <c r="D202"/>
      <c r="E202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</row>
    <row r="203" spans="1:17" x14ac:dyDescent="0.25">
      <c r="A203" s="85"/>
      <c r="B203" s="85"/>
      <c r="C203" s="86"/>
      <c r="D203" s="85"/>
      <c r="E203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</row>
    <row r="204" spans="1:17" x14ac:dyDescent="0.25">
      <c r="B204"/>
      <c r="D204"/>
      <c r="E204"/>
    </row>
    <row r="205" spans="1:17" x14ac:dyDescent="0.25">
      <c r="B205"/>
      <c r="D205"/>
      <c r="E205"/>
    </row>
    <row r="206" spans="1:17" x14ac:dyDescent="0.25">
      <c r="B206"/>
      <c r="D206"/>
      <c r="E206"/>
    </row>
    <row r="207" spans="1:17" x14ac:dyDescent="0.25">
      <c r="B207"/>
      <c r="D207"/>
      <c r="E207"/>
    </row>
    <row r="208" spans="1:17" x14ac:dyDescent="0.25">
      <c r="B208"/>
      <c r="D208"/>
      <c r="E208"/>
    </row>
    <row r="209" spans="2:5" x14ac:dyDescent="0.25">
      <c r="B209"/>
      <c r="D209"/>
      <c r="E209"/>
    </row>
    <row r="210" spans="2:5" x14ac:dyDescent="0.25">
      <c r="B210"/>
      <c r="D210"/>
      <c r="E210"/>
    </row>
    <row r="211" spans="2:5" x14ac:dyDescent="0.25">
      <c r="B211"/>
      <c r="D211"/>
      <c r="E211"/>
    </row>
    <row r="212" spans="2:5" x14ac:dyDescent="0.25">
      <c r="B212"/>
      <c r="D212"/>
      <c r="E212"/>
    </row>
    <row r="213" spans="2:5" x14ac:dyDescent="0.25">
      <c r="B213"/>
      <c r="D213"/>
      <c r="E213"/>
    </row>
    <row r="214" spans="2:5" x14ac:dyDescent="0.25">
      <c r="B214"/>
      <c r="D214"/>
      <c r="E214"/>
    </row>
    <row r="215" spans="2:5" x14ac:dyDescent="0.25">
      <c r="B215"/>
      <c r="D215"/>
      <c r="E215"/>
    </row>
    <row r="216" spans="2:5" x14ac:dyDescent="0.25">
      <c r="B216"/>
      <c r="D216"/>
      <c r="E216"/>
    </row>
    <row r="217" spans="2:5" x14ac:dyDescent="0.25">
      <c r="B217"/>
      <c r="D217"/>
      <c r="E217"/>
    </row>
    <row r="218" spans="2:5" x14ac:dyDescent="0.25">
      <c r="B218"/>
      <c r="D218"/>
      <c r="E218"/>
    </row>
    <row r="219" spans="2:5" x14ac:dyDescent="0.25">
      <c r="B219"/>
      <c r="D219"/>
      <c r="E219"/>
    </row>
    <row r="220" spans="2:5" x14ac:dyDescent="0.25">
      <c r="B220"/>
      <c r="D220"/>
      <c r="E220"/>
    </row>
    <row r="221" spans="2:5" x14ac:dyDescent="0.25">
      <c r="B221"/>
      <c r="D221"/>
      <c r="E221"/>
    </row>
    <row r="222" spans="2:5" x14ac:dyDescent="0.25">
      <c r="B222"/>
      <c r="D222"/>
      <c r="E222"/>
    </row>
    <row r="223" spans="2:5" x14ac:dyDescent="0.25">
      <c r="B223"/>
      <c r="D223"/>
      <c r="E223"/>
    </row>
    <row r="224" spans="2:5" x14ac:dyDescent="0.25">
      <c r="B224"/>
      <c r="D224"/>
      <c r="E224"/>
    </row>
    <row r="225" spans="2:5" x14ac:dyDescent="0.25">
      <c r="B225"/>
      <c r="D225"/>
      <c r="E225"/>
    </row>
  </sheetData>
  <mergeCells count="6">
    <mergeCell ref="A176:F177"/>
    <mergeCell ref="A36:F37"/>
    <mergeCell ref="A69:F70"/>
    <mergeCell ref="A98:F99"/>
    <mergeCell ref="A129:F130"/>
    <mergeCell ref="A147:F148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2BF32E-CCD2-495F-989B-DB3FED9AD7E9}">
  <sheetPr codeName="Hoja5"/>
  <dimension ref="A2:AU225"/>
  <sheetViews>
    <sheetView zoomScale="90" zoomScaleNormal="90" workbookViewId="0">
      <selection activeCell="B15" sqref="B15"/>
    </sheetView>
  </sheetViews>
  <sheetFormatPr baseColWidth="10" defaultColWidth="8.7109375" defaultRowHeight="15" outlineLevelRow="1" x14ac:dyDescent="0.25"/>
  <cols>
    <col min="1" max="1" width="80.28515625" customWidth="1"/>
    <col min="2" max="2" width="18.42578125" style="40" customWidth="1"/>
    <col min="3" max="3" width="32.7109375" customWidth="1"/>
    <col min="4" max="4" width="35.7109375" style="40" customWidth="1"/>
    <col min="5" max="5" width="20.28515625" style="40" customWidth="1"/>
    <col min="6" max="6" width="18.28515625" customWidth="1"/>
    <col min="7" max="7" width="23" customWidth="1"/>
    <col min="8" max="8" width="20.7109375" customWidth="1"/>
    <col min="9" max="9" width="21.42578125" customWidth="1"/>
    <col min="10" max="10" width="15.28515625" customWidth="1"/>
    <col min="11" max="11" width="17.28515625" customWidth="1"/>
    <col min="12" max="12" width="17" customWidth="1"/>
    <col min="13" max="13" width="15.7109375" customWidth="1"/>
    <col min="14" max="14" width="17.28515625" customWidth="1"/>
    <col min="15" max="15" width="18.28515625" customWidth="1"/>
    <col min="16" max="16" width="17" customWidth="1"/>
    <col min="17" max="17" width="18.42578125" customWidth="1"/>
    <col min="18" max="18" width="22.42578125" customWidth="1"/>
    <col min="19" max="19" width="19.7109375" customWidth="1"/>
    <col min="20" max="20" width="19.85546875" customWidth="1"/>
    <col min="21" max="21" width="28.28515625" customWidth="1"/>
    <col min="22" max="22" width="14.5703125" customWidth="1"/>
    <col min="23" max="23" width="19.140625" customWidth="1"/>
    <col min="24" max="24" width="15.5703125" customWidth="1"/>
    <col min="25" max="25" width="19.28515625" customWidth="1"/>
  </cols>
  <sheetData>
    <row r="2" spans="1:7" ht="23.25" x14ac:dyDescent="0.35">
      <c r="A2" s="39" t="s">
        <v>37</v>
      </c>
      <c r="C2" s="1"/>
      <c r="D2" s="39"/>
      <c r="E2" s="39"/>
      <c r="F2" s="16"/>
      <c r="G2" s="16"/>
    </row>
    <row r="3" spans="1:7" ht="18.75" x14ac:dyDescent="0.3">
      <c r="A3" s="15" t="s">
        <v>38</v>
      </c>
      <c r="C3" s="15"/>
      <c r="D3" s="15"/>
      <c r="E3" s="15"/>
      <c r="F3" s="19"/>
      <c r="G3" s="19"/>
    </row>
    <row r="4" spans="1:7" ht="18.75" x14ac:dyDescent="0.3">
      <c r="A4" s="138"/>
      <c r="B4" s="138"/>
      <c r="C4" s="138"/>
      <c r="D4" s="138"/>
      <c r="E4" s="15"/>
      <c r="F4" s="19"/>
      <c r="G4" s="19"/>
    </row>
    <row r="5" spans="1:7" ht="18.75" x14ac:dyDescent="0.3">
      <c r="A5" s="133"/>
      <c r="B5" s="133" t="s">
        <v>39</v>
      </c>
      <c r="C5" s="133" t="s">
        <v>40</v>
      </c>
      <c r="D5" s="133" t="s">
        <v>41</v>
      </c>
      <c r="E5" s="15"/>
      <c r="F5" s="19"/>
      <c r="G5" s="19"/>
    </row>
    <row r="6" spans="1:7" ht="18.75" x14ac:dyDescent="0.3">
      <c r="A6" s="133" t="s">
        <v>42</v>
      </c>
      <c r="B6" s="133">
        <v>23323</v>
      </c>
      <c r="C6" s="133">
        <v>23323</v>
      </c>
      <c r="D6" s="133" t="s">
        <v>43</v>
      </c>
      <c r="E6" s="15"/>
      <c r="F6" s="15"/>
      <c r="G6" s="19"/>
    </row>
    <row r="7" spans="1:7" ht="18.75" x14ac:dyDescent="0.3">
      <c r="A7" s="133" t="s">
        <v>44</v>
      </c>
      <c r="B7" s="133">
        <v>31</v>
      </c>
      <c r="C7" s="133">
        <v>31</v>
      </c>
      <c r="D7" s="133" t="s">
        <v>43</v>
      </c>
      <c r="E7" s="15"/>
      <c r="F7" s="19"/>
      <c r="G7" s="19"/>
    </row>
    <row r="8" spans="1:7" ht="18.75" x14ac:dyDescent="0.3">
      <c r="A8" s="133" t="s">
        <v>45</v>
      </c>
      <c r="B8" s="134">
        <v>0.35</v>
      </c>
      <c r="C8" s="134">
        <f>B8-Resumen!C6</f>
        <v>0.28999999999999998</v>
      </c>
      <c r="D8" s="133" t="s">
        <v>46</v>
      </c>
      <c r="E8" s="15"/>
      <c r="F8" s="19"/>
      <c r="G8" s="19"/>
    </row>
    <row r="9" spans="1:7" ht="38.450000000000003" customHeight="1" x14ac:dyDescent="0.3">
      <c r="A9" s="135" t="str">
        <f>[1]Resumen!F7</f>
        <v>Porcentaje de reincidencia delictiva de la población intervenida en programas de terapia conductivo conductual vis a vis un grupo de control en t+24 meses</v>
      </c>
      <c r="B9" s="134">
        <v>0.35</v>
      </c>
      <c r="C9" s="134">
        <f>B9-Resumen!C7</f>
        <v>0.26999999999999996</v>
      </c>
      <c r="D9" s="133"/>
      <c r="E9" s="15"/>
      <c r="F9" s="19"/>
      <c r="G9" s="19"/>
    </row>
    <row r="10" spans="1:7" ht="18.75" x14ac:dyDescent="0.3">
      <c r="A10" s="133" t="s">
        <v>47</v>
      </c>
      <c r="B10" s="133">
        <v>1000</v>
      </c>
      <c r="C10" s="133">
        <v>1000</v>
      </c>
      <c r="D10" s="133" t="s">
        <v>48</v>
      </c>
      <c r="E10" s="15"/>
      <c r="F10" s="19"/>
      <c r="G10" s="19"/>
    </row>
    <row r="11" spans="1:7" ht="18.75" x14ac:dyDescent="0.3">
      <c r="A11" s="133" t="s">
        <v>49</v>
      </c>
      <c r="B11" s="133">
        <v>9093</v>
      </c>
      <c r="C11" s="133">
        <v>9093</v>
      </c>
      <c r="D11" s="133" t="s">
        <v>43</v>
      </c>
      <c r="E11" s="15"/>
      <c r="F11" s="19"/>
      <c r="G11" s="19"/>
    </row>
    <row r="12" spans="1:7" ht="18.75" x14ac:dyDescent="0.3">
      <c r="A12" s="133" t="s">
        <v>50</v>
      </c>
      <c r="B12" s="133">
        <v>9000</v>
      </c>
      <c r="C12" s="133">
        <v>9000</v>
      </c>
      <c r="D12" s="133" t="s">
        <v>43</v>
      </c>
      <c r="E12" s="15"/>
      <c r="F12" s="19"/>
      <c r="G12" s="19"/>
    </row>
    <row r="13" spans="1:7" ht="18.75" x14ac:dyDescent="0.3">
      <c r="A13" s="133" t="s">
        <v>51</v>
      </c>
      <c r="B13" s="136">
        <v>5.0000000000000001E-3</v>
      </c>
      <c r="C13" s="136">
        <v>5.0000000000000001E-3</v>
      </c>
      <c r="D13" s="133"/>
      <c r="E13" s="15"/>
      <c r="F13" s="19"/>
      <c r="G13" s="19"/>
    </row>
    <row r="14" spans="1:7" ht="30.75" x14ac:dyDescent="0.3">
      <c r="A14" s="133" t="s">
        <v>52</v>
      </c>
      <c r="B14" s="137">
        <v>4.2999999999999997E-2</v>
      </c>
      <c r="C14" s="137">
        <v>4.2999999999999997E-2</v>
      </c>
      <c r="D14" s="135" t="s">
        <v>53</v>
      </c>
      <c r="E14" s="15"/>
      <c r="F14" s="19"/>
      <c r="G14" s="19"/>
    </row>
    <row r="15" spans="1:7" ht="18.75" x14ac:dyDescent="0.3">
      <c r="A15" s="133" t="s">
        <v>54</v>
      </c>
      <c r="B15" s="133">
        <v>5000</v>
      </c>
      <c r="C15" s="133">
        <v>5000</v>
      </c>
      <c r="D15" s="133" t="s">
        <v>43</v>
      </c>
      <c r="E15" s="15"/>
      <c r="F15" s="19"/>
      <c r="G15" s="19"/>
    </row>
    <row r="16" spans="1:7" ht="18.75" x14ac:dyDescent="0.3">
      <c r="A16" s="133" t="s">
        <v>55</v>
      </c>
      <c r="B16" s="137">
        <v>0.33</v>
      </c>
      <c r="C16" s="126">
        <v>0.45</v>
      </c>
      <c r="D16" s="133" t="s">
        <v>43</v>
      </c>
      <c r="E16" s="15"/>
      <c r="F16" s="19"/>
      <c r="G16" s="19"/>
    </row>
    <row r="17" spans="1:24" ht="18.75" x14ac:dyDescent="0.3">
      <c r="A17" s="133" t="s">
        <v>56</v>
      </c>
      <c r="B17" s="137">
        <v>4.2000000000000003E-2</v>
      </c>
      <c r="C17" s="126">
        <f>B17+Resumen!C8</f>
        <v>0.13700000000000001</v>
      </c>
      <c r="D17" s="133" t="s">
        <v>43</v>
      </c>
      <c r="E17" s="15"/>
      <c r="F17" s="19"/>
      <c r="G17" s="19"/>
    </row>
    <row r="18" spans="1:24" ht="18.75" x14ac:dyDescent="0.3">
      <c r="A18" s="133" t="s">
        <v>57</v>
      </c>
      <c r="B18" s="133">
        <v>3120</v>
      </c>
      <c r="C18" s="133">
        <v>3120</v>
      </c>
      <c r="D18" s="133" t="s">
        <v>58</v>
      </c>
      <c r="E18" s="15"/>
      <c r="F18" s="19"/>
      <c r="G18" s="19"/>
    </row>
    <row r="19" spans="1:24" ht="18.75" x14ac:dyDescent="0.3">
      <c r="A19" s="133" t="s">
        <v>59</v>
      </c>
      <c r="B19" s="133">
        <v>0.2</v>
      </c>
      <c r="C19" s="133">
        <v>0.2</v>
      </c>
      <c r="D19" s="133" t="s">
        <v>60</v>
      </c>
      <c r="E19" s="15"/>
      <c r="F19" s="19"/>
      <c r="G19" s="19"/>
    </row>
    <row r="20" spans="1:24" x14ac:dyDescent="0.25">
      <c r="A20" s="133" t="s">
        <v>61</v>
      </c>
      <c r="B20" s="126">
        <v>0.12</v>
      </c>
      <c r="C20" s="126">
        <v>0.12</v>
      </c>
      <c r="D20" s="133" t="s">
        <v>62</v>
      </c>
      <c r="F20" s="19"/>
      <c r="G20" s="19"/>
    </row>
    <row r="21" spans="1:24" x14ac:dyDescent="0.25">
      <c r="A21" s="133" t="s">
        <v>63</v>
      </c>
      <c r="B21" s="134">
        <v>0.38</v>
      </c>
      <c r="C21" s="134">
        <f>B21*(1+Resumen!B10)</f>
        <v>0.43699999999999994</v>
      </c>
      <c r="D21" s="133" t="s">
        <v>43</v>
      </c>
    </row>
    <row r="22" spans="1:24" ht="34.15" customHeight="1" x14ac:dyDescent="0.25">
      <c r="A22" s="133" t="s">
        <v>64</v>
      </c>
      <c r="B22" s="126">
        <v>0.6</v>
      </c>
      <c r="C22" s="126">
        <v>0.6</v>
      </c>
      <c r="D22" s="133"/>
    </row>
    <row r="25" spans="1:24" s="44" customFormat="1" ht="21" x14ac:dyDescent="0.35">
      <c r="A25"/>
      <c r="B25" s="41">
        <v>2021</v>
      </c>
      <c r="C25" s="41">
        <f>B25+1</f>
        <v>2022</v>
      </c>
      <c r="D25" s="41">
        <f t="shared" ref="D25:P25" si="0">C25+1</f>
        <v>2023</v>
      </c>
      <c r="E25" s="41">
        <f t="shared" si="0"/>
        <v>2024</v>
      </c>
      <c r="F25" s="41">
        <f t="shared" si="0"/>
        <v>2025</v>
      </c>
      <c r="G25" s="41">
        <f t="shared" si="0"/>
        <v>2026</v>
      </c>
      <c r="H25" s="41">
        <f t="shared" si="0"/>
        <v>2027</v>
      </c>
      <c r="I25" s="41">
        <f t="shared" si="0"/>
        <v>2028</v>
      </c>
      <c r="J25" s="41">
        <f t="shared" si="0"/>
        <v>2029</v>
      </c>
      <c r="K25" s="41">
        <f t="shared" si="0"/>
        <v>2030</v>
      </c>
      <c r="L25" s="41">
        <f t="shared" si="0"/>
        <v>2031</v>
      </c>
      <c r="M25" s="41">
        <f t="shared" si="0"/>
        <v>2032</v>
      </c>
      <c r="N25" s="41">
        <f>M25+1</f>
        <v>2033</v>
      </c>
      <c r="O25" s="41">
        <f t="shared" si="0"/>
        <v>2034</v>
      </c>
      <c r="P25" s="41">
        <f t="shared" si="0"/>
        <v>2035</v>
      </c>
      <c r="Q25" s="41">
        <f>P25+1</f>
        <v>2036</v>
      </c>
      <c r="R25" s="41">
        <v>2022</v>
      </c>
      <c r="S25" s="41">
        <f>R25+1</f>
        <v>2023</v>
      </c>
      <c r="T25" s="41">
        <f t="shared" ref="T25:X25" si="1">S25+1</f>
        <v>2024</v>
      </c>
      <c r="U25" s="41">
        <f t="shared" si="1"/>
        <v>2025</v>
      </c>
      <c r="V25" s="41">
        <f t="shared" si="1"/>
        <v>2026</v>
      </c>
      <c r="W25" s="41">
        <f t="shared" si="1"/>
        <v>2027</v>
      </c>
      <c r="X25" s="41">
        <f t="shared" si="1"/>
        <v>2028</v>
      </c>
    </row>
    <row r="26" spans="1:24" outlineLevel="1" x14ac:dyDescent="0.25">
      <c r="B26" s="41">
        <v>0</v>
      </c>
      <c r="C26" s="41">
        <v>1</v>
      </c>
      <c r="D26" s="41">
        <v>2</v>
      </c>
      <c r="E26" s="41">
        <v>3</v>
      </c>
      <c r="F26" s="41">
        <v>4</v>
      </c>
      <c r="G26" s="41">
        <v>5</v>
      </c>
      <c r="H26" s="41">
        <v>7</v>
      </c>
      <c r="I26" s="41">
        <v>8</v>
      </c>
      <c r="J26" s="41">
        <v>9</v>
      </c>
      <c r="K26" s="41">
        <v>10</v>
      </c>
      <c r="L26" s="41">
        <v>11</v>
      </c>
      <c r="M26" s="41">
        <v>12</v>
      </c>
      <c r="N26" s="41">
        <v>13</v>
      </c>
      <c r="O26" s="41">
        <v>14</v>
      </c>
      <c r="P26" s="41">
        <v>15</v>
      </c>
      <c r="Q26" s="41">
        <v>16</v>
      </c>
      <c r="R26" s="41">
        <v>17</v>
      </c>
      <c r="S26" s="41">
        <v>18</v>
      </c>
      <c r="T26" s="41">
        <v>19</v>
      </c>
      <c r="U26" s="41">
        <v>20</v>
      </c>
      <c r="V26" s="40">
        <v>21</v>
      </c>
      <c r="W26" s="40">
        <v>22</v>
      </c>
      <c r="X26">
        <v>23</v>
      </c>
    </row>
    <row r="27" spans="1:24" outlineLevel="1" x14ac:dyDescent="0.25">
      <c r="D27"/>
      <c r="E27"/>
      <c r="F27" s="40"/>
      <c r="J27" s="40"/>
      <c r="N27" s="40"/>
      <c r="P27" s="40"/>
      <c r="Q27" s="40"/>
      <c r="S27" s="40"/>
      <c r="T27" s="40"/>
      <c r="V27" s="40"/>
      <c r="W27" s="40"/>
    </row>
    <row r="28" spans="1:24" outlineLevel="1" x14ac:dyDescent="0.25">
      <c r="A28" t="s">
        <v>65</v>
      </c>
      <c r="B28" s="45">
        <v>5000</v>
      </c>
      <c r="C28" s="46">
        <f>B28*(1+$B$14)</f>
        <v>5215</v>
      </c>
      <c r="D28" s="46">
        <f t="shared" ref="D28:S29" si="2">C28*(1+$B$14)</f>
        <v>5439.2449999999999</v>
      </c>
      <c r="E28" s="46">
        <f t="shared" si="2"/>
        <v>5673.1325349999997</v>
      </c>
      <c r="F28" s="46">
        <f t="shared" si="2"/>
        <v>5917.0772340049989</v>
      </c>
      <c r="G28" s="46">
        <f t="shared" si="2"/>
        <v>6171.5115550672135</v>
      </c>
      <c r="H28" s="46">
        <f t="shared" si="2"/>
        <v>6436.8865519351029</v>
      </c>
      <c r="I28" s="46">
        <f t="shared" si="2"/>
        <v>6713.6726736683122</v>
      </c>
      <c r="J28" s="46">
        <f t="shared" si="2"/>
        <v>7002.360598636049</v>
      </c>
      <c r="K28" s="46">
        <f t="shared" si="2"/>
        <v>7303.4621043773986</v>
      </c>
      <c r="L28" s="46">
        <f t="shared" si="2"/>
        <v>7617.5109748656259</v>
      </c>
      <c r="M28" s="46">
        <f t="shared" si="2"/>
        <v>7945.0639467848468</v>
      </c>
      <c r="N28" s="46">
        <f t="shared" si="2"/>
        <v>8286.7016964965951</v>
      </c>
      <c r="O28" s="46">
        <f t="shared" si="2"/>
        <v>8643.0298694459489</v>
      </c>
      <c r="P28" s="46">
        <f t="shared" si="2"/>
        <v>9014.6801538321233</v>
      </c>
      <c r="Q28" s="46">
        <f t="shared" si="2"/>
        <v>9402.3114004469044</v>
      </c>
      <c r="R28" s="46">
        <f t="shared" si="2"/>
        <v>9806.61079066612</v>
      </c>
      <c r="S28" s="46">
        <f t="shared" si="2"/>
        <v>10228.295054664763</v>
      </c>
      <c r="T28" s="46">
        <f t="shared" ref="T28:X29" si="3">S28*(1+$B$14)</f>
        <v>10668.111742015346</v>
      </c>
      <c r="U28" s="46">
        <f t="shared" si="3"/>
        <v>11126.840546922005</v>
      </c>
      <c r="V28" s="46">
        <f t="shared" si="3"/>
        <v>11605.29469043965</v>
      </c>
      <c r="W28" s="46">
        <f t="shared" si="3"/>
        <v>12104.322362128554</v>
      </c>
      <c r="X28" s="46">
        <f t="shared" si="3"/>
        <v>12624.808223700082</v>
      </c>
    </row>
    <row r="29" spans="1:24" outlineLevel="1" x14ac:dyDescent="0.25">
      <c r="A29" t="s">
        <v>66</v>
      </c>
      <c r="B29" s="45">
        <f>B10</f>
        <v>1000</v>
      </c>
      <c r="C29" s="46">
        <f>B29*(1+$B$14)</f>
        <v>1043</v>
      </c>
      <c r="D29" s="46">
        <f t="shared" si="2"/>
        <v>1087.8489999999999</v>
      </c>
      <c r="E29" s="46">
        <f t="shared" si="2"/>
        <v>1134.6265069999999</v>
      </c>
      <c r="F29" s="46">
        <f t="shared" si="2"/>
        <v>1183.4154468009999</v>
      </c>
      <c r="G29" s="46">
        <f t="shared" si="2"/>
        <v>1234.3023110134429</v>
      </c>
      <c r="H29" s="46">
        <f t="shared" si="2"/>
        <v>1287.377310387021</v>
      </c>
      <c r="I29" s="46">
        <f t="shared" si="2"/>
        <v>1342.7345347336627</v>
      </c>
      <c r="J29" s="46">
        <f t="shared" si="2"/>
        <v>1400.4721197272102</v>
      </c>
      <c r="K29" s="46">
        <f t="shared" si="2"/>
        <v>1460.6924208754801</v>
      </c>
      <c r="L29" s="46">
        <f t="shared" si="2"/>
        <v>1523.5021949731256</v>
      </c>
      <c r="M29" s="46">
        <f t="shared" si="2"/>
        <v>1589.01278935697</v>
      </c>
      <c r="N29" s="46">
        <f t="shared" si="2"/>
        <v>1657.3403392993196</v>
      </c>
      <c r="O29" s="46">
        <f t="shared" si="2"/>
        <v>1728.6059738891902</v>
      </c>
      <c r="P29" s="46">
        <f t="shared" si="2"/>
        <v>1802.9360307664253</v>
      </c>
      <c r="Q29" s="46">
        <f t="shared" si="2"/>
        <v>1880.4622800893815</v>
      </c>
      <c r="R29" s="46">
        <f t="shared" si="2"/>
        <v>1961.3221581332248</v>
      </c>
      <c r="S29" s="46">
        <f t="shared" si="2"/>
        <v>2045.6590109329534</v>
      </c>
      <c r="T29" s="46">
        <f t="shared" si="3"/>
        <v>2133.6223484030702</v>
      </c>
      <c r="U29" s="46">
        <f t="shared" si="3"/>
        <v>2225.368109384402</v>
      </c>
      <c r="V29" s="46">
        <f t="shared" si="3"/>
        <v>2321.058938087931</v>
      </c>
      <c r="W29" s="46">
        <f t="shared" si="3"/>
        <v>2420.8644724257119</v>
      </c>
      <c r="X29" s="46">
        <f t="shared" si="3"/>
        <v>2524.9616447400172</v>
      </c>
    </row>
    <row r="30" spans="1:24" outlineLevel="1" x14ac:dyDescent="0.25">
      <c r="A30" t="s">
        <v>67</v>
      </c>
      <c r="B30" s="42">
        <v>0</v>
      </c>
      <c r="C30" s="43">
        <v>0.25</v>
      </c>
      <c r="D30" s="43">
        <v>0.5</v>
      </c>
      <c r="E30" s="43">
        <v>0.75</v>
      </c>
      <c r="F30" s="43">
        <v>1</v>
      </c>
      <c r="G30" s="43">
        <v>1</v>
      </c>
      <c r="H30" s="43">
        <v>1</v>
      </c>
      <c r="I30" s="43">
        <v>1</v>
      </c>
      <c r="J30" s="43">
        <v>1</v>
      </c>
      <c r="K30" s="43">
        <v>1</v>
      </c>
      <c r="L30" s="43">
        <v>1</v>
      </c>
      <c r="M30" s="43">
        <v>1</v>
      </c>
      <c r="N30" s="43">
        <v>1</v>
      </c>
      <c r="O30" s="43">
        <v>1</v>
      </c>
      <c r="P30" s="43">
        <v>1</v>
      </c>
      <c r="Q30" s="43">
        <v>1</v>
      </c>
      <c r="R30" s="43">
        <v>1</v>
      </c>
      <c r="S30" s="43">
        <v>2</v>
      </c>
      <c r="T30" s="43">
        <v>3</v>
      </c>
      <c r="U30" s="43">
        <v>4</v>
      </c>
      <c r="V30" s="43">
        <v>5</v>
      </c>
      <c r="W30" s="43">
        <v>6</v>
      </c>
      <c r="X30" s="43">
        <v>7</v>
      </c>
    </row>
    <row r="31" spans="1:24" outlineLevel="1" x14ac:dyDescent="0.25">
      <c r="A31" t="s">
        <v>68</v>
      </c>
      <c r="B31" s="47">
        <f>Resumen!B16</f>
        <v>4000</v>
      </c>
      <c r="C31" s="47">
        <f>Resumen!C16</f>
        <v>13000</v>
      </c>
      <c r="D31" s="47">
        <f>Resumen!D16</f>
        <v>13000</v>
      </c>
      <c r="E31" s="47">
        <f>Resumen!E16</f>
        <v>13000</v>
      </c>
      <c r="F31" s="47">
        <f>Resumen!F16</f>
        <v>13000</v>
      </c>
      <c r="I31">
        <f t="shared" ref="I31:X31" si="4">H31*(1+$B$13)</f>
        <v>0</v>
      </c>
      <c r="J31">
        <f t="shared" si="4"/>
        <v>0</v>
      </c>
      <c r="K31">
        <f t="shared" si="4"/>
        <v>0</v>
      </c>
      <c r="L31">
        <f t="shared" si="4"/>
        <v>0</v>
      </c>
      <c r="M31">
        <f t="shared" si="4"/>
        <v>0</v>
      </c>
      <c r="N31">
        <f t="shared" si="4"/>
        <v>0</v>
      </c>
      <c r="O31">
        <f t="shared" si="4"/>
        <v>0</v>
      </c>
      <c r="P31">
        <f t="shared" si="4"/>
        <v>0</v>
      </c>
      <c r="Q31">
        <f t="shared" si="4"/>
        <v>0</v>
      </c>
      <c r="R31">
        <f t="shared" si="4"/>
        <v>0</v>
      </c>
      <c r="S31">
        <f t="shared" si="4"/>
        <v>0</v>
      </c>
      <c r="T31">
        <f t="shared" si="4"/>
        <v>0</v>
      </c>
      <c r="U31">
        <f t="shared" si="4"/>
        <v>0</v>
      </c>
      <c r="V31">
        <f t="shared" si="4"/>
        <v>0</v>
      </c>
      <c r="W31">
        <f t="shared" si="4"/>
        <v>0</v>
      </c>
      <c r="X31">
        <f t="shared" si="4"/>
        <v>0</v>
      </c>
    </row>
    <row r="32" spans="1:24" outlineLevel="1" x14ac:dyDescent="0.25">
      <c r="A32" t="s">
        <v>69</v>
      </c>
      <c r="B32" s="47">
        <f>Resumen!B17</f>
        <v>0</v>
      </c>
      <c r="C32" s="47">
        <f>Resumen!C17</f>
        <v>5000</v>
      </c>
      <c r="D32" s="47">
        <f>Resumen!D17</f>
        <v>5000</v>
      </c>
      <c r="E32" s="47">
        <f>Resumen!E17</f>
        <v>5000</v>
      </c>
      <c r="F32" s="47">
        <f>Resumen!F17</f>
        <v>5000</v>
      </c>
    </row>
    <row r="33" spans="1:18" outlineLevel="1" x14ac:dyDescent="0.25">
      <c r="A33" t="s">
        <v>70</v>
      </c>
      <c r="B33" s="47">
        <f>B31-B32</f>
        <v>4000</v>
      </c>
      <c r="C33" s="47">
        <f t="shared" ref="C33:F33" si="5">C31-C32</f>
        <v>8000</v>
      </c>
      <c r="D33" s="47">
        <f t="shared" si="5"/>
        <v>8000</v>
      </c>
      <c r="E33" s="47">
        <f t="shared" si="5"/>
        <v>8000</v>
      </c>
      <c r="F33" s="47">
        <f t="shared" si="5"/>
        <v>8000</v>
      </c>
    </row>
    <row r="34" spans="1:18" outlineLevel="1" x14ac:dyDescent="0.25">
      <c r="B34" s="42"/>
      <c r="D34"/>
      <c r="E34"/>
    </row>
    <row r="35" spans="1:18" x14ac:dyDescent="0.25"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</row>
    <row r="36" spans="1:18" x14ac:dyDescent="0.25">
      <c r="A36" s="158" t="s">
        <v>71</v>
      </c>
      <c r="B36" s="158"/>
      <c r="C36" s="158"/>
      <c r="D36" s="158"/>
      <c r="E36" s="158"/>
      <c r="F36" s="158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</row>
    <row r="37" spans="1:18" x14ac:dyDescent="0.25">
      <c r="A37" s="158"/>
      <c r="B37" s="158"/>
      <c r="C37" s="158"/>
      <c r="D37" s="158"/>
      <c r="E37" s="158"/>
      <c r="F37" s="158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</row>
    <row r="38" spans="1:18" x14ac:dyDescent="0.25"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</row>
    <row r="39" spans="1:18" outlineLevel="1" x14ac:dyDescent="0.25">
      <c r="A39" t="s">
        <v>72</v>
      </c>
      <c r="E39" s="45">
        <f>$B$33*$B$8*E28</f>
        <v>7942385.5489999996</v>
      </c>
      <c r="F39" s="45">
        <f>$B$31*$B$8*F28</f>
        <v>8283908.1276069982</v>
      </c>
      <c r="G39" s="45">
        <f>$B$31*$B$8*G28</f>
        <v>8640116.1770940982</v>
      </c>
      <c r="H39" s="45">
        <f>$B$31*$B$8*H28</f>
        <v>9011641.1727091447</v>
      </c>
      <c r="N39" s="46"/>
      <c r="O39" s="46"/>
      <c r="P39" s="46"/>
      <c r="Q39" s="46"/>
      <c r="R39" s="46"/>
    </row>
    <row r="40" spans="1:18" outlineLevel="1" x14ac:dyDescent="0.25">
      <c r="A40" t="s">
        <v>73</v>
      </c>
      <c r="E40" s="45">
        <f>E39/(1+$B$20)^E$26</f>
        <v>5653233.1542968731</v>
      </c>
      <c r="F40" s="45">
        <f>F39/(1+$B$20)^F$26</f>
        <v>5264573.374938962</v>
      </c>
      <c r="G40" s="45">
        <f>G39/(1+$B$20)^G$26</f>
        <v>4902633.9554119082</v>
      </c>
      <c r="H40" s="45">
        <f>H39/(1+$B$20)^H$26</f>
        <v>4076408.8133726236</v>
      </c>
      <c r="N40" s="46"/>
      <c r="O40" s="46"/>
      <c r="P40" s="46"/>
      <c r="Q40" s="46"/>
      <c r="R40" s="46"/>
    </row>
    <row r="41" spans="1:18" outlineLevel="1" x14ac:dyDescent="0.25">
      <c r="A41" t="s">
        <v>74</v>
      </c>
      <c r="F41" s="45">
        <f>$C$33*$B$8*F28</f>
        <v>16567816.255213996</v>
      </c>
      <c r="G41" s="45">
        <f>$C$33*$B$8*G28</f>
        <v>17280232.354188196</v>
      </c>
      <c r="H41" s="45">
        <f>$C$33*$B$8*H28</f>
        <v>18023282.345418289</v>
      </c>
      <c r="I41" s="45">
        <f>$C$33*$B$8*I28</f>
        <v>18798283.486271273</v>
      </c>
      <c r="N41" s="46"/>
      <c r="O41" s="46"/>
      <c r="P41" s="46"/>
      <c r="Q41" s="46"/>
      <c r="R41" s="46"/>
    </row>
    <row r="42" spans="1:18" outlineLevel="1" x14ac:dyDescent="0.25">
      <c r="A42" t="s">
        <v>75</v>
      </c>
      <c r="F42" s="45">
        <f>F41/(1+$B$20)^F$26</f>
        <v>10529146.749877924</v>
      </c>
      <c r="G42" s="45">
        <f>G41/(1+$B$20)^G$26</f>
        <v>9805267.9108238164</v>
      </c>
      <c r="H42" s="45">
        <f>H41/(1+$B$20)^H$26</f>
        <v>8152817.6267452473</v>
      </c>
      <c r="I42" s="45">
        <f>I41/(1+$B$20)^I$26</f>
        <v>7592311.4149065102</v>
      </c>
      <c r="N42" s="46"/>
      <c r="O42" s="46"/>
      <c r="P42" s="46"/>
      <c r="Q42" s="46"/>
      <c r="R42" s="46"/>
    </row>
    <row r="43" spans="1:18" outlineLevel="1" x14ac:dyDescent="0.25">
      <c r="A43" t="s">
        <v>76</v>
      </c>
      <c r="G43" s="45">
        <f>$D$33*$B$8*G28</f>
        <v>17280232.354188196</v>
      </c>
      <c r="H43" s="45">
        <f>$D$33*$B$8*H28</f>
        <v>18023282.345418289</v>
      </c>
      <c r="I43" s="45">
        <f>$D$33*$B$8*I28</f>
        <v>18798283.486271273</v>
      </c>
      <c r="J43" s="45">
        <f>$D$33*$B$8*J28</f>
        <v>19606609.676180936</v>
      </c>
      <c r="N43" s="46"/>
      <c r="O43" s="46"/>
      <c r="P43" s="46"/>
      <c r="Q43" s="46"/>
      <c r="R43" s="46"/>
    </row>
    <row r="44" spans="1:18" outlineLevel="1" x14ac:dyDescent="0.25">
      <c r="A44" t="s">
        <v>77</v>
      </c>
      <c r="G44" s="45">
        <f>G43/(1+$B$20)^G$26</f>
        <v>9805267.9108238164</v>
      </c>
      <c r="H44" s="45">
        <f>H43/(1+$B$20)^H$26</f>
        <v>8152817.6267452473</v>
      </c>
      <c r="I44" s="45">
        <f>I43/(1+$B$20)^I$26</f>
        <v>7592311.4149065102</v>
      </c>
      <c r="J44" s="45">
        <f>J43/(1+$B$20)^J$26</f>
        <v>7070340.005131687</v>
      </c>
      <c r="N44" s="46"/>
      <c r="O44" s="46"/>
      <c r="P44" s="46"/>
      <c r="Q44" s="46"/>
      <c r="R44" s="46"/>
    </row>
    <row r="45" spans="1:18" outlineLevel="1" x14ac:dyDescent="0.25">
      <c r="A45" t="s">
        <v>78</v>
      </c>
      <c r="H45" s="45">
        <f>$E$33*$B$8*H28</f>
        <v>18023282.345418289</v>
      </c>
      <c r="I45" s="45">
        <f>$E$33*$B$8*I28</f>
        <v>18798283.486271273</v>
      </c>
      <c r="J45" s="45">
        <f>$E$33*$B$8*J28</f>
        <v>19606609.676180936</v>
      </c>
      <c r="K45" s="45">
        <f>$E$33*$B$8*K28</f>
        <v>20449693.892256714</v>
      </c>
      <c r="N45" s="46"/>
      <c r="O45" s="46"/>
      <c r="P45" s="46"/>
      <c r="Q45" s="46"/>
      <c r="R45" s="46"/>
    </row>
    <row r="46" spans="1:18" outlineLevel="1" x14ac:dyDescent="0.25">
      <c r="A46" t="s">
        <v>79</v>
      </c>
      <c r="H46" s="45">
        <f>H45/(1+$B$20)^H$26</f>
        <v>8152817.6267452473</v>
      </c>
      <c r="I46" s="45">
        <f>I45/(1+$B$20)^I$26</f>
        <v>7592311.4149065102</v>
      </c>
      <c r="J46" s="45">
        <f>J45/(1+$B$20)^J$26</f>
        <v>7070340.005131687</v>
      </c>
      <c r="K46" s="45">
        <f>K45/(1+$B$20)^K$26</f>
        <v>6584254.1297788825</v>
      </c>
      <c r="N46" s="46"/>
      <c r="O46" s="46"/>
      <c r="P46" s="46"/>
      <c r="Q46" s="46"/>
      <c r="R46" s="46"/>
    </row>
    <row r="47" spans="1:18" outlineLevel="1" x14ac:dyDescent="0.25">
      <c r="A47" t="s">
        <v>80</v>
      </c>
      <c r="I47" s="45">
        <f>$F$33*$B$8*I$28</f>
        <v>18798283.486271273</v>
      </c>
      <c r="J47" s="45">
        <f>$F$33*$B$8*J$28</f>
        <v>19606609.676180936</v>
      </c>
      <c r="K47" s="45">
        <f>$F$33*$B$8*K$28</f>
        <v>20449693.892256714</v>
      </c>
      <c r="L47" s="45">
        <f>$F$33*$B$8*L$28</f>
        <v>21329030.729623754</v>
      </c>
      <c r="N47" s="46"/>
      <c r="O47" s="46"/>
      <c r="P47" s="46"/>
      <c r="Q47" s="46"/>
      <c r="R47" s="46"/>
    </row>
    <row r="48" spans="1:18" outlineLevel="1" x14ac:dyDescent="0.25">
      <c r="I48" s="45">
        <f>I47/(1+$B$20)^I$26</f>
        <v>7592311.4149065102</v>
      </c>
      <c r="J48" s="45">
        <f>J47/(1+$B$20)^J$26</f>
        <v>7070340.005131687</v>
      </c>
      <c r="K48" s="45">
        <f>K47/(1+$B$20)^K$26</f>
        <v>6584254.1297788825</v>
      </c>
      <c r="L48" s="45">
        <f>L47/(1+$B$20)^L$26</f>
        <v>6131586.6583565827</v>
      </c>
      <c r="N48" s="46"/>
      <c r="O48" s="46"/>
      <c r="P48" s="46"/>
      <c r="Q48" s="46"/>
      <c r="R48" s="46"/>
    </row>
    <row r="49" spans="1:18" outlineLevel="1" x14ac:dyDescent="0.25">
      <c r="N49" s="46"/>
      <c r="O49" s="46"/>
      <c r="P49" s="46"/>
      <c r="Q49" s="46"/>
      <c r="R49" s="46"/>
    </row>
    <row r="50" spans="1:18" outlineLevel="1" x14ac:dyDescent="0.25">
      <c r="N50" s="46"/>
      <c r="O50" s="46"/>
      <c r="P50" s="46"/>
      <c r="Q50" s="46"/>
      <c r="R50" s="46"/>
    </row>
    <row r="51" spans="1:18" outlineLevel="1" x14ac:dyDescent="0.25">
      <c r="A51" t="s">
        <v>81</v>
      </c>
      <c r="C51" s="48">
        <f>SUM(E40:H40)</f>
        <v>19896849.298020367</v>
      </c>
      <c r="D51" s="49">
        <f>SUM(F42:I42)</f>
        <v>36079543.7023535</v>
      </c>
      <c r="E51" s="49">
        <f>SUM(G44:J44)</f>
        <v>32620736.957607262</v>
      </c>
      <c r="F51" s="48">
        <f>SUM(H46:K46)</f>
        <v>29399723.176562324</v>
      </c>
      <c r="G51" s="48">
        <f>SUM(I48:L48)</f>
        <v>27378492.208173662</v>
      </c>
      <c r="H51" s="48"/>
      <c r="I51" s="48"/>
      <c r="J51" s="48"/>
      <c r="K51" s="48"/>
      <c r="L51" s="48"/>
      <c r="M51" s="48"/>
      <c r="N51" s="46"/>
      <c r="O51" s="46"/>
      <c r="P51" s="46"/>
      <c r="Q51" s="46"/>
      <c r="R51" s="46"/>
    </row>
    <row r="52" spans="1:18" outlineLevel="1" x14ac:dyDescent="0.25">
      <c r="N52" s="46"/>
      <c r="O52" s="46"/>
      <c r="P52" s="46"/>
      <c r="Q52" s="46"/>
      <c r="R52" s="46"/>
    </row>
    <row r="53" spans="1:18" outlineLevel="1" x14ac:dyDescent="0.25">
      <c r="N53" s="46"/>
      <c r="O53" s="46"/>
      <c r="P53" s="46"/>
      <c r="Q53" s="46"/>
      <c r="R53" s="46"/>
    </row>
    <row r="54" spans="1:18" outlineLevel="1" x14ac:dyDescent="0.25">
      <c r="A54" t="s">
        <v>82</v>
      </c>
      <c r="E54" s="45">
        <f>$B$33*$C$8*E$28</f>
        <v>6580833.7406000001</v>
      </c>
      <c r="F54" s="45">
        <f>$B$33*$C$8*F$28</f>
        <v>6863809.591445799</v>
      </c>
      <c r="G54" s="45">
        <f>$B$33*$C$8*G$28</f>
        <v>7158953.403877968</v>
      </c>
      <c r="H54" s="45">
        <f>$B$33*$C$8*H$28</f>
        <v>7466788.4002447193</v>
      </c>
      <c r="N54" s="46"/>
      <c r="O54" s="46"/>
      <c r="P54" s="46"/>
      <c r="Q54" s="46"/>
      <c r="R54" s="46"/>
    </row>
    <row r="55" spans="1:18" outlineLevel="1" x14ac:dyDescent="0.25">
      <c r="A55" t="s">
        <v>73</v>
      </c>
      <c r="E55" s="45">
        <f>E54/(1+$B$20)^E$26</f>
        <v>4684107.4707031241</v>
      </c>
      <c r="F55" s="45">
        <f>F54/(1+$B$20)^F$26</f>
        <v>4362075.0820922833</v>
      </c>
      <c r="G55" s="45">
        <f>G54/(1+$B$20)^G$26</f>
        <v>4062182.4201984387</v>
      </c>
      <c r="H55" s="45">
        <f>H54/(1+$B$20)^H$26</f>
        <v>3377595.8739373167</v>
      </c>
      <c r="N55" s="46"/>
      <c r="O55" s="46"/>
      <c r="P55" s="46"/>
      <c r="Q55" s="46"/>
      <c r="R55" s="46"/>
    </row>
    <row r="56" spans="1:18" outlineLevel="1" x14ac:dyDescent="0.25">
      <c r="A56" t="s">
        <v>83</v>
      </c>
      <c r="F56" s="45">
        <f>$C$33*$C$8*F$28</f>
        <v>13727619.182891598</v>
      </c>
      <c r="G56" s="45">
        <f>$C$33*$C$8*G$28</f>
        <v>14317906.807755936</v>
      </c>
      <c r="H56" s="45">
        <f>$C$33*$C$8*H$28</f>
        <v>14933576.800489439</v>
      </c>
      <c r="I56" s="45">
        <f>$C$33*$C$8*I$28</f>
        <v>15575720.602910485</v>
      </c>
      <c r="N56" s="46"/>
      <c r="O56" s="46"/>
      <c r="P56" s="46"/>
      <c r="Q56" s="46"/>
      <c r="R56" s="46"/>
    </row>
    <row r="57" spans="1:18" outlineLevel="1" x14ac:dyDescent="0.25">
      <c r="A57" t="s">
        <v>75</v>
      </c>
      <c r="F57" s="45">
        <f>F56/(1+$B$20)^F$26</f>
        <v>8724150.1641845666</v>
      </c>
      <c r="G57" s="45">
        <f>G56/(1+$B$20)^G$26</f>
        <v>8124364.8403968774</v>
      </c>
      <c r="H57" s="45">
        <f>H56/(1+$B$20)^H$26</f>
        <v>6755191.7478746334</v>
      </c>
      <c r="I57" s="45">
        <f>I56/(1+$B$20)^I$26</f>
        <v>6290772.3152082525</v>
      </c>
      <c r="N57" s="46"/>
      <c r="O57" s="46"/>
      <c r="P57" s="46"/>
      <c r="Q57" s="46"/>
      <c r="R57" s="46"/>
    </row>
    <row r="58" spans="1:18" outlineLevel="1" x14ac:dyDescent="0.25">
      <c r="A58" t="s">
        <v>84</v>
      </c>
      <c r="G58" s="45">
        <f>$D$33*$C$8*G$28</f>
        <v>14317906.807755936</v>
      </c>
      <c r="H58" s="45">
        <f>$D$33*$C$8*H$28</f>
        <v>14933576.800489439</v>
      </c>
      <c r="I58" s="45">
        <f>$D$33*$C$8*I$28</f>
        <v>15575720.602910485</v>
      </c>
      <c r="J58" s="45">
        <f>$D$33*$C$8*J$28</f>
        <v>16245476.588835634</v>
      </c>
      <c r="N58" s="46"/>
      <c r="O58" s="46"/>
      <c r="P58" s="46"/>
      <c r="Q58" s="46"/>
      <c r="R58" s="46"/>
    </row>
    <row r="59" spans="1:18" outlineLevel="1" x14ac:dyDescent="0.25">
      <c r="A59" t="s">
        <v>77</v>
      </c>
      <c r="G59" s="45">
        <f>G58/(1+$B$20)^G$26</f>
        <v>8124364.8403968774</v>
      </c>
      <c r="H59" s="45">
        <f>H58/(1+$B$20)^H$26</f>
        <v>6755191.7478746334</v>
      </c>
      <c r="I59" s="45">
        <f>I58/(1+$B$20)^I$26</f>
        <v>6290772.3152082525</v>
      </c>
      <c r="J59" s="45">
        <f>J58/(1+$B$20)^J$26</f>
        <v>5858281.7185376836</v>
      </c>
      <c r="N59" s="46"/>
      <c r="O59" s="46"/>
      <c r="P59" s="46"/>
      <c r="Q59" s="46"/>
      <c r="R59" s="46"/>
    </row>
    <row r="60" spans="1:18" outlineLevel="1" x14ac:dyDescent="0.25">
      <c r="A60" t="s">
        <v>85</v>
      </c>
      <c r="H60" s="45">
        <f>$E$33*$C$8*H$28</f>
        <v>14933576.800489439</v>
      </c>
      <c r="I60" s="45">
        <f>$E$33*$C$8*I$28</f>
        <v>15575720.602910485</v>
      </c>
      <c r="J60" s="45">
        <f>$E$33*$C$8*J$28</f>
        <v>16245476.588835634</v>
      </c>
      <c r="K60" s="45">
        <f>$E$33*$C$8*K$28</f>
        <v>16944032.082155567</v>
      </c>
      <c r="N60" s="46"/>
      <c r="O60" s="46"/>
      <c r="P60" s="46"/>
      <c r="Q60" s="46"/>
      <c r="R60" s="46"/>
    </row>
    <row r="61" spans="1:18" outlineLevel="1" x14ac:dyDescent="0.25">
      <c r="A61" t="s">
        <v>79</v>
      </c>
      <c r="H61" s="45">
        <f>H60/(1+$B$20)^H$26</f>
        <v>6755191.7478746334</v>
      </c>
      <c r="I61" s="45">
        <f>I60/(1+$B$20)^I$26</f>
        <v>6290772.3152082525</v>
      </c>
      <c r="J61" s="45">
        <f>J60/(1+$B$20)^J$26</f>
        <v>5858281.7185376836</v>
      </c>
      <c r="K61" s="45">
        <f>K60/(1+$B$20)^K$26</f>
        <v>5455524.8503882177</v>
      </c>
      <c r="N61" s="46"/>
      <c r="O61" s="46"/>
      <c r="P61" s="46"/>
      <c r="Q61" s="46"/>
      <c r="R61" s="46"/>
    </row>
    <row r="62" spans="1:18" outlineLevel="1" x14ac:dyDescent="0.25">
      <c r="A62" t="s">
        <v>86</v>
      </c>
      <c r="I62" s="45">
        <f>$F$33*$C$8*I$28</f>
        <v>15575720.602910485</v>
      </c>
      <c r="J62" s="45">
        <f>$F$33*$C$8*J$28</f>
        <v>16245476.588835634</v>
      </c>
      <c r="K62" s="45">
        <f>$F$33*$C$8*K$28</f>
        <v>16944032.082155567</v>
      </c>
      <c r="L62" s="45">
        <f>$F$33*$C$8*L$28</f>
        <v>17672625.461688254</v>
      </c>
      <c r="N62" s="46"/>
      <c r="O62" s="46"/>
      <c r="P62" s="46"/>
      <c r="Q62" s="46"/>
      <c r="R62" s="46"/>
    </row>
    <row r="63" spans="1:18" outlineLevel="1" x14ac:dyDescent="0.25">
      <c r="I63" s="45">
        <f>I62/(1+$B$20)^I$26</f>
        <v>6290772.3152082525</v>
      </c>
      <c r="J63" s="45">
        <f>J62/(1+$B$20)^J$26</f>
        <v>5858281.7185376836</v>
      </c>
      <c r="K63" s="45">
        <f>K62/(1+$B$20)^K$26</f>
        <v>5455524.8503882177</v>
      </c>
      <c r="L63" s="45">
        <f>L62/(1+$B$20)^L$26</f>
        <v>5080457.5169240264</v>
      </c>
      <c r="N63" s="46"/>
      <c r="O63" s="46"/>
      <c r="P63" s="46"/>
      <c r="Q63" s="46"/>
      <c r="R63" s="46"/>
    </row>
    <row r="64" spans="1:18" outlineLevel="1" x14ac:dyDescent="0.25">
      <c r="N64" s="46"/>
      <c r="O64" s="46"/>
      <c r="P64" s="46"/>
      <c r="Q64" s="46"/>
      <c r="R64" s="46"/>
    </row>
    <row r="65" spans="1:18" outlineLevel="1" x14ac:dyDescent="0.25">
      <c r="N65" s="46"/>
      <c r="O65" s="46"/>
      <c r="P65" s="46"/>
      <c r="Q65" s="46"/>
      <c r="R65" s="46"/>
    </row>
    <row r="66" spans="1:18" outlineLevel="1" x14ac:dyDescent="0.25">
      <c r="A66" t="s">
        <v>87</v>
      </c>
      <c r="B66" s="48">
        <f>SUM(E55:H55)</f>
        <v>16485960.846931161</v>
      </c>
      <c r="C66" s="49">
        <f>SUM(F57:I57)</f>
        <v>29894479.067664329</v>
      </c>
      <c r="D66" s="49">
        <f>SUM(G59:J59)</f>
        <v>27028610.622017447</v>
      </c>
      <c r="E66" s="48">
        <f>SUM(H61:K61)</f>
        <v>24359770.632008787</v>
      </c>
      <c r="F66" s="48">
        <f>SUM(I63:L63)</f>
        <v>22685036.401058182</v>
      </c>
      <c r="H66" s="48"/>
      <c r="I66" s="48"/>
      <c r="J66" s="48"/>
      <c r="K66" s="48"/>
      <c r="L66" s="48"/>
      <c r="M66" s="48"/>
      <c r="N66" s="46"/>
      <c r="O66" s="46"/>
      <c r="P66" s="46"/>
      <c r="Q66" s="46"/>
      <c r="R66" s="46"/>
    </row>
    <row r="67" spans="1:18" ht="30" x14ac:dyDescent="0.25">
      <c r="A67" s="50" t="s">
        <v>88</v>
      </c>
      <c r="B67" s="51">
        <f>C51-B66</f>
        <v>3410888.4510892052</v>
      </c>
      <c r="C67" s="51">
        <f>D51-C66</f>
        <v>6185064.6346891709</v>
      </c>
      <c r="D67" s="51">
        <f>E51-D66</f>
        <v>5592126.3355898149</v>
      </c>
      <c r="E67" s="51">
        <f>F51-E66</f>
        <v>5039952.5445535369</v>
      </c>
      <c r="F67" s="51">
        <f>G51-F66</f>
        <v>4693455.8071154803</v>
      </c>
      <c r="H67" s="52"/>
      <c r="I67" s="52"/>
      <c r="J67" s="52"/>
      <c r="K67" s="52"/>
      <c r="L67" s="52"/>
      <c r="M67" s="52"/>
      <c r="N67" s="52"/>
      <c r="O67" s="52"/>
      <c r="P67" s="52"/>
      <c r="Q67" s="46"/>
      <c r="R67" s="46"/>
    </row>
    <row r="68" spans="1:18" x14ac:dyDescent="0.25"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6"/>
      <c r="R68" s="46"/>
    </row>
    <row r="69" spans="1:18" ht="14.45" customHeight="1" x14ac:dyDescent="0.25">
      <c r="A69" s="159" t="s">
        <v>89</v>
      </c>
      <c r="B69" s="159"/>
      <c r="C69" s="159"/>
      <c r="D69" s="159"/>
      <c r="E69" s="159"/>
      <c r="F69" s="159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6"/>
      <c r="R69" s="46"/>
    </row>
    <row r="70" spans="1:18" ht="14.45" customHeight="1" x14ac:dyDescent="0.25">
      <c r="A70" s="159"/>
      <c r="B70" s="159"/>
      <c r="C70" s="159"/>
      <c r="D70" s="159"/>
      <c r="E70" s="159"/>
      <c r="F70" s="159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6"/>
      <c r="R70" s="46"/>
    </row>
    <row r="71" spans="1:18" x14ac:dyDescent="0.25"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6"/>
      <c r="R71" s="46"/>
    </row>
    <row r="72" spans="1:18" x14ac:dyDescent="0.25">
      <c r="A72" t="s">
        <v>74</v>
      </c>
      <c r="F72" s="45">
        <f>$C$32*$B$9*F$28</f>
        <v>10354885.159508748</v>
      </c>
      <c r="G72" s="45">
        <f>$C$32*$B$9*G$28</f>
        <v>10800145.221367624</v>
      </c>
      <c r="H72" s="45">
        <f>$C$32*$B$9*H$28</f>
        <v>11264551.465886431</v>
      </c>
      <c r="I72" s="45">
        <f>$C$32*$B$9*I$28</f>
        <v>11748927.178919546</v>
      </c>
      <c r="N72" s="48"/>
      <c r="O72" s="48"/>
      <c r="P72" s="48"/>
      <c r="Q72" s="46"/>
      <c r="R72" s="46"/>
    </row>
    <row r="73" spans="1:18" x14ac:dyDescent="0.25">
      <c r="A73" t="s">
        <v>73</v>
      </c>
      <c r="F73" s="45">
        <f>F72/(1+$B$20)^F$26</f>
        <v>6580716.7186737033</v>
      </c>
      <c r="G73" s="53">
        <f>G72/(1+$B$20)^G$26</f>
        <v>6128292.444264886</v>
      </c>
      <c r="H73" s="53">
        <f>H72/(1+$B$20)^H$26</f>
        <v>5095511.0167157799</v>
      </c>
      <c r="I73" s="53">
        <f>I72/(1+$B$20)^I$26</f>
        <v>4745194.6343165692</v>
      </c>
      <c r="N73" s="48"/>
      <c r="O73" s="48"/>
      <c r="P73" s="48"/>
      <c r="Q73" s="46"/>
      <c r="R73" s="46"/>
    </row>
    <row r="74" spans="1:18" x14ac:dyDescent="0.25">
      <c r="A74" t="s">
        <v>76</v>
      </c>
      <c r="G74" s="45">
        <f>$D$32*$B$9*G$28</f>
        <v>10800145.221367624</v>
      </c>
      <c r="H74" s="45">
        <f>$D$32*$B$9*H$28</f>
        <v>11264551.465886431</v>
      </c>
      <c r="I74" s="45">
        <f>$D$32*$B$9*I$28</f>
        <v>11748927.178919546</v>
      </c>
      <c r="J74" s="45">
        <f>$D$32*$B$9*J$28</f>
        <v>12254131.047613086</v>
      </c>
      <c r="N74" s="48"/>
      <c r="O74" s="48"/>
      <c r="P74" s="48"/>
      <c r="Q74" s="46"/>
      <c r="R74" s="46"/>
    </row>
    <row r="75" spans="1:18" x14ac:dyDescent="0.25">
      <c r="A75" t="s">
        <v>75</v>
      </c>
      <c r="G75" s="53">
        <f>G74/(1+$B$20)^G$26</f>
        <v>6128292.444264886</v>
      </c>
      <c r="H75" s="53">
        <f>H74/(1+$B$20)^H$26</f>
        <v>5095511.0167157799</v>
      </c>
      <c r="I75" s="53">
        <f>I74/(1+$B$20)^I$26</f>
        <v>4745194.6343165692</v>
      </c>
      <c r="J75" s="45">
        <f>J74/(1+$B$20)^J$26</f>
        <v>4418962.5032073045</v>
      </c>
      <c r="N75" s="48"/>
      <c r="O75" s="48"/>
      <c r="P75" s="48"/>
      <c r="Q75" s="46"/>
      <c r="R75" s="46"/>
    </row>
    <row r="76" spans="1:18" x14ac:dyDescent="0.25">
      <c r="A76" t="s">
        <v>78</v>
      </c>
      <c r="H76" s="45">
        <f>$E$32*$B$9*H$28</f>
        <v>11264551.465886431</v>
      </c>
      <c r="I76" s="45">
        <f>$E$32*$B$9*I$28</f>
        <v>11748927.178919546</v>
      </c>
      <c r="J76" s="45">
        <f>$E$32*$B$9*J$28</f>
        <v>12254131.047613086</v>
      </c>
      <c r="K76" s="45">
        <f>$E$32*$B$9*K$28</f>
        <v>12781058.682660447</v>
      </c>
      <c r="N76" s="48"/>
      <c r="O76" s="48"/>
      <c r="P76" s="48"/>
      <c r="Q76" s="46"/>
      <c r="R76" s="46"/>
    </row>
    <row r="77" spans="1:18" x14ac:dyDescent="0.25">
      <c r="A77" t="s">
        <v>77</v>
      </c>
      <c r="H77" s="45">
        <f>H76/(1+$B$20)^H$26</f>
        <v>5095511.0167157799</v>
      </c>
      <c r="I77" s="45">
        <f>I76/(1+$B$20)^I$26</f>
        <v>4745194.6343165692</v>
      </c>
      <c r="J77" s="45">
        <f>J76/(1+$B$20)^J$26</f>
        <v>4418962.5032073045</v>
      </c>
      <c r="K77" s="45">
        <f>K76/(1+$B$20)^K$26</f>
        <v>4115158.8311118018</v>
      </c>
      <c r="N77" s="48"/>
      <c r="O77" s="48"/>
      <c r="P77" s="48"/>
      <c r="Q77" s="46"/>
      <c r="R77" s="46"/>
    </row>
    <row r="78" spans="1:18" x14ac:dyDescent="0.25">
      <c r="A78" t="s">
        <v>80</v>
      </c>
      <c r="I78" s="45">
        <f>$F$32*$B$9*I$28</f>
        <v>11748927.178919546</v>
      </c>
      <c r="J78" s="45">
        <f>$F$32*$B$9*J$28</f>
        <v>12254131.047613086</v>
      </c>
      <c r="K78" s="45">
        <f>$F$32*$B$9*K$28</f>
        <v>12781058.682660447</v>
      </c>
      <c r="L78" s="45">
        <f>$F$32*$B$9*L$28</f>
        <v>13330644.206014846</v>
      </c>
      <c r="N78" s="48"/>
      <c r="O78" s="48"/>
      <c r="P78" s="48"/>
      <c r="Q78" s="46"/>
      <c r="R78" s="46"/>
    </row>
    <row r="79" spans="1:18" x14ac:dyDescent="0.25">
      <c r="A79" t="s">
        <v>79</v>
      </c>
      <c r="I79" s="45">
        <f>I78/(1+$B$20)^I$26</f>
        <v>4745194.6343165692</v>
      </c>
      <c r="J79" s="45">
        <f>J78/(1+$B$20)^J$26</f>
        <v>4418962.5032073045</v>
      </c>
      <c r="K79" s="45">
        <f>K78/(1+$B$20)^K$26</f>
        <v>4115158.8311118018</v>
      </c>
      <c r="L79" s="45">
        <f>L78/(1+$B$20)^L$26</f>
        <v>3832241.6614728644</v>
      </c>
      <c r="N79" s="48"/>
      <c r="O79" s="48"/>
      <c r="P79" s="48"/>
      <c r="Q79" s="46"/>
      <c r="R79" s="46"/>
    </row>
    <row r="80" spans="1:18" x14ac:dyDescent="0.25">
      <c r="N80" s="48"/>
      <c r="O80" s="48"/>
      <c r="P80" s="48"/>
      <c r="Q80" s="46"/>
      <c r="R80" s="46"/>
    </row>
    <row r="81" spans="1:18" x14ac:dyDescent="0.25">
      <c r="A81" t="s">
        <v>90</v>
      </c>
      <c r="C81" s="49">
        <f>SUM(F73:I73)</f>
        <v>22549714.813970938</v>
      </c>
      <c r="D81" s="49">
        <f>SUM(G75:J75)</f>
        <v>20387960.59850454</v>
      </c>
      <c r="E81" s="48">
        <f>SUM(H77:K77)</f>
        <v>18374826.985351458</v>
      </c>
      <c r="F81" s="48">
        <f>SUM(I79:L79)</f>
        <v>17111557.630108543</v>
      </c>
      <c r="H81" s="48"/>
      <c r="I81" s="48"/>
      <c r="J81" s="48"/>
      <c r="K81" s="48"/>
      <c r="L81" s="48"/>
      <c r="M81" s="48"/>
      <c r="N81" s="48"/>
      <c r="O81" s="48"/>
      <c r="P81" s="48"/>
      <c r="Q81" s="46"/>
      <c r="R81" s="46"/>
    </row>
    <row r="82" spans="1:18" x14ac:dyDescent="0.25">
      <c r="N82" s="48"/>
      <c r="O82" s="48"/>
      <c r="P82" s="48"/>
      <c r="Q82" s="46"/>
      <c r="R82" s="46"/>
    </row>
    <row r="83" spans="1:18" x14ac:dyDescent="0.25">
      <c r="N83" s="48"/>
      <c r="O83" s="48"/>
      <c r="P83" s="48"/>
      <c r="Q83" s="46"/>
      <c r="R83" s="46"/>
    </row>
    <row r="84" spans="1:18" x14ac:dyDescent="0.25">
      <c r="A84" t="s">
        <v>74</v>
      </c>
      <c r="E84" s="45"/>
      <c r="F84" s="45">
        <f>$C$32*$C$9*F$28</f>
        <v>7988054.2659067474</v>
      </c>
      <c r="G84" s="45">
        <f>$C$32*$C$9*G$28</f>
        <v>8331540.5993407369</v>
      </c>
      <c r="H84" s="45">
        <f>$C$32*$C$9*H$28</f>
        <v>8689796.8451123871</v>
      </c>
      <c r="I84" s="45">
        <f>$C$32*$C$9*I$28</f>
        <v>9063458.1094522197</v>
      </c>
      <c r="N84" s="48"/>
      <c r="O84" s="48"/>
      <c r="P84" s="48"/>
      <c r="Q84" s="46"/>
      <c r="R84" s="46"/>
    </row>
    <row r="85" spans="1:18" x14ac:dyDescent="0.25">
      <c r="A85" t="s">
        <v>73</v>
      </c>
      <c r="E85" s="45"/>
      <c r="F85" s="45">
        <f>F84/(1+$B$20)^F$26</f>
        <v>5076552.8972625704</v>
      </c>
      <c r="G85" s="53">
        <f>G84/(1+$B$20)^G$26</f>
        <v>4727539.8855757676</v>
      </c>
      <c r="H85" s="53">
        <f>H84/(1+$B$20)^H$26</f>
        <v>3930822.7843236006</v>
      </c>
      <c r="I85" s="53">
        <f>I84/(1+$B$20)^I$26</f>
        <v>3660578.7179013528</v>
      </c>
      <c r="N85" s="48"/>
      <c r="O85" s="48"/>
      <c r="P85" s="48"/>
      <c r="Q85" s="46"/>
      <c r="R85" s="46"/>
    </row>
    <row r="86" spans="1:18" x14ac:dyDescent="0.25">
      <c r="A86" t="s">
        <v>76</v>
      </c>
      <c r="G86" s="45">
        <f>$D$32*$C$9*G$28</f>
        <v>8331540.5993407369</v>
      </c>
      <c r="H86" s="45">
        <f>$D$32*$C$9*H$28</f>
        <v>8689796.8451123871</v>
      </c>
      <c r="I86" s="45">
        <f>$D$32*$C$9*I$28</f>
        <v>9063458.1094522197</v>
      </c>
      <c r="J86" s="45">
        <f>$D$32*$C$9*J$28</f>
        <v>9453186.808158664</v>
      </c>
      <c r="N86" s="48"/>
      <c r="O86" s="48"/>
      <c r="P86" s="48"/>
      <c r="Q86" s="46"/>
      <c r="R86" s="46"/>
    </row>
    <row r="87" spans="1:18" x14ac:dyDescent="0.25">
      <c r="A87" t="s">
        <v>75</v>
      </c>
      <c r="G87" s="53">
        <f>G86/(1+$B$20)^G$26</f>
        <v>4727539.8855757676</v>
      </c>
      <c r="H87" s="53">
        <f>H86/(1+$B$20)^H$26</f>
        <v>3930822.7843236006</v>
      </c>
      <c r="I87" s="53">
        <f>I86/(1+$B$20)^I$26</f>
        <v>3660578.7179013528</v>
      </c>
      <c r="J87" s="45">
        <f>J86/(1+$B$20)^J$26</f>
        <v>3408913.9310456342</v>
      </c>
      <c r="N87" s="48"/>
      <c r="O87" s="48"/>
      <c r="P87" s="48"/>
      <c r="Q87" s="46"/>
      <c r="R87" s="46"/>
    </row>
    <row r="88" spans="1:18" x14ac:dyDescent="0.25">
      <c r="A88" t="s">
        <v>78</v>
      </c>
      <c r="H88" s="45">
        <f>$E$32*$C$9*H$28</f>
        <v>8689796.8451123871</v>
      </c>
      <c r="I88" s="45">
        <f>$E$32*$C$9*I$28</f>
        <v>9063458.1094522197</v>
      </c>
      <c r="J88" s="45">
        <f>$E$32*$C$9*J$28</f>
        <v>9453186.808158664</v>
      </c>
      <c r="K88" s="45">
        <f>$E$32*$C$9*K$28</f>
        <v>9859673.8409094866</v>
      </c>
      <c r="N88" s="48"/>
      <c r="O88" s="48"/>
      <c r="P88" s="48"/>
      <c r="Q88" s="46"/>
      <c r="R88" s="46"/>
    </row>
    <row r="89" spans="1:18" x14ac:dyDescent="0.25">
      <c r="A89" t="s">
        <v>77</v>
      </c>
      <c r="H89" s="45">
        <f>H88/(1+$B$20)^H$26</f>
        <v>3930822.7843236006</v>
      </c>
      <c r="I89" s="45">
        <f>I88/(1+$B$20)^I$26</f>
        <v>3660578.7179013528</v>
      </c>
      <c r="J89" s="45">
        <f>J88/(1+$B$20)^J$26</f>
        <v>3408913.9310456342</v>
      </c>
      <c r="K89" s="45">
        <f>K88/(1+$B$20)^K$26</f>
        <v>3174551.0982862464</v>
      </c>
      <c r="N89" s="48"/>
      <c r="O89" s="48"/>
      <c r="P89" s="48"/>
      <c r="Q89" s="46"/>
      <c r="R89" s="46"/>
    </row>
    <row r="90" spans="1:18" x14ac:dyDescent="0.25">
      <c r="A90" t="s">
        <v>80</v>
      </c>
      <c r="I90" s="45">
        <f>$F$32*$C$9*I$28</f>
        <v>9063458.1094522197</v>
      </c>
      <c r="J90" s="45">
        <f>$F$32*$C$9*J$28</f>
        <v>9453186.808158664</v>
      </c>
      <c r="K90" s="45">
        <f>$F$32*$C$9*K$28</f>
        <v>9859673.8409094866</v>
      </c>
      <c r="L90" s="45">
        <f>$F$32*$C$9*L$28</f>
        <v>10283639.816068593</v>
      </c>
      <c r="N90" s="48"/>
      <c r="O90" s="48"/>
      <c r="P90" s="48"/>
      <c r="Q90" s="46"/>
      <c r="R90" s="46"/>
    </row>
    <row r="91" spans="1:18" x14ac:dyDescent="0.25">
      <c r="A91" t="s">
        <v>79</v>
      </c>
      <c r="I91" s="45">
        <f>I90/(1+$B$20)^I$26</f>
        <v>3660578.7179013528</v>
      </c>
      <c r="J91" s="45">
        <f>J90/(1+$B$20)^J$26</f>
        <v>3408913.9310456342</v>
      </c>
      <c r="K91" s="45">
        <f>K90/(1+$B$20)^K$26</f>
        <v>3174551.0982862464</v>
      </c>
      <c r="L91" s="45">
        <f>L90/(1+$B$20)^L$26</f>
        <v>2956300.7102790661</v>
      </c>
      <c r="N91" s="48"/>
      <c r="O91" s="48"/>
      <c r="P91" s="48"/>
      <c r="Q91" s="46"/>
      <c r="R91" s="46"/>
    </row>
    <row r="92" spans="1:18" x14ac:dyDescent="0.25">
      <c r="I92" s="45"/>
      <c r="J92" s="45"/>
      <c r="K92" s="45"/>
      <c r="L92" s="45"/>
      <c r="N92" s="48"/>
      <c r="O92" s="48"/>
      <c r="P92" s="48"/>
      <c r="Q92" s="46"/>
      <c r="R92" s="46"/>
    </row>
    <row r="93" spans="1:18" x14ac:dyDescent="0.25">
      <c r="A93" t="s">
        <v>91</v>
      </c>
      <c r="C93" s="48">
        <f>SUM(E85:H85)</f>
        <v>13734915.567161938</v>
      </c>
      <c r="D93" s="49">
        <f>SUM(F87:I87)</f>
        <v>12318941.387800721</v>
      </c>
      <c r="E93" s="49">
        <f>SUM(G89:J89)</f>
        <v>11000315.433270589</v>
      </c>
      <c r="F93" s="48">
        <f>SUM(H91:K91)</f>
        <v>10244043.747233234</v>
      </c>
      <c r="H93" s="48"/>
      <c r="I93" s="48"/>
      <c r="J93" s="48"/>
      <c r="K93" s="48"/>
      <c r="L93" s="48"/>
      <c r="M93" s="48"/>
      <c r="N93" s="48"/>
      <c r="O93" s="48"/>
      <c r="P93" s="48"/>
      <c r="Q93" s="46"/>
      <c r="R93" s="46"/>
    </row>
    <row r="94" spans="1:18" ht="30" customHeight="1" x14ac:dyDescent="0.25">
      <c r="A94" s="54" t="s">
        <v>92</v>
      </c>
      <c r="B94" s="55"/>
      <c r="C94" s="56">
        <f>C81-C93</f>
        <v>8814799.2468090001</v>
      </c>
      <c r="D94" s="56">
        <f>D81-D93</f>
        <v>8069019.2107038181</v>
      </c>
      <c r="E94" s="56">
        <f>E81-E93</f>
        <v>7374511.5520808697</v>
      </c>
      <c r="F94" s="56">
        <f>F81-F93</f>
        <v>6867513.8828753084</v>
      </c>
      <c r="H94" s="52"/>
      <c r="I94" s="52"/>
      <c r="J94" s="52"/>
      <c r="K94" s="52"/>
      <c r="L94" s="52"/>
      <c r="M94" s="52"/>
      <c r="N94" s="48"/>
      <c r="O94" s="48"/>
      <c r="P94" s="48"/>
      <c r="Q94" s="46"/>
      <c r="R94" s="46"/>
    </row>
    <row r="95" spans="1:18" ht="14.45" customHeight="1" x14ac:dyDescent="0.25"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6"/>
      <c r="R95" s="46"/>
    </row>
    <row r="96" spans="1:18" x14ac:dyDescent="0.25"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6"/>
      <c r="R96" s="46"/>
    </row>
    <row r="97" spans="1:47" x14ac:dyDescent="0.25"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6"/>
      <c r="R97" s="46"/>
    </row>
    <row r="98" spans="1:47" x14ac:dyDescent="0.25">
      <c r="A98" s="160" t="s">
        <v>93</v>
      </c>
      <c r="B98" s="160"/>
      <c r="C98" s="160"/>
      <c r="D98" s="160"/>
      <c r="E98" s="160"/>
      <c r="F98" s="160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6"/>
      <c r="R98" s="46"/>
    </row>
    <row r="99" spans="1:47" x14ac:dyDescent="0.25">
      <c r="A99" s="160"/>
      <c r="B99" s="160"/>
      <c r="C99" s="160"/>
      <c r="D99" s="160"/>
      <c r="E99" s="160"/>
      <c r="F99" s="160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6"/>
      <c r="R99" s="46"/>
    </row>
    <row r="100" spans="1:47" outlineLevel="1" x14ac:dyDescent="0.25">
      <c r="B100" s="40">
        <v>2021</v>
      </c>
      <c r="C100">
        <f>B100+1</f>
        <v>2022</v>
      </c>
      <c r="D100">
        <f t="shared" ref="D100:M100" si="6">C100+1</f>
        <v>2023</v>
      </c>
      <c r="E100">
        <f t="shared" si="6"/>
        <v>2024</v>
      </c>
      <c r="F100">
        <f t="shared" si="6"/>
        <v>2025</v>
      </c>
      <c r="G100">
        <f t="shared" si="6"/>
        <v>2026</v>
      </c>
      <c r="H100">
        <f t="shared" si="6"/>
        <v>2027</v>
      </c>
      <c r="I100">
        <f t="shared" si="6"/>
        <v>2028</v>
      </c>
      <c r="J100">
        <f t="shared" si="6"/>
        <v>2029</v>
      </c>
      <c r="K100">
        <f t="shared" si="6"/>
        <v>2030</v>
      </c>
      <c r="L100">
        <f t="shared" si="6"/>
        <v>2031</v>
      </c>
      <c r="M100">
        <f t="shared" si="6"/>
        <v>2032</v>
      </c>
      <c r="N100">
        <f>M100+1</f>
        <v>2033</v>
      </c>
      <c r="O100">
        <f t="shared" ref="O100:P100" si="7">N100+1</f>
        <v>2034</v>
      </c>
      <c r="P100">
        <f t="shared" si="7"/>
        <v>2035</v>
      </c>
      <c r="Q100">
        <f>P100+1</f>
        <v>2036</v>
      </c>
      <c r="R100" s="40">
        <v>2022</v>
      </c>
      <c r="S100">
        <f>R100+1</f>
        <v>2023</v>
      </c>
      <c r="T100">
        <f t="shared" ref="T100:X100" si="8">S100+1</f>
        <v>2024</v>
      </c>
      <c r="U100">
        <f t="shared" si="8"/>
        <v>2025</v>
      </c>
      <c r="V100">
        <f t="shared" si="8"/>
        <v>2026</v>
      </c>
      <c r="W100">
        <f t="shared" si="8"/>
        <v>2027</v>
      </c>
      <c r="X100">
        <f t="shared" si="8"/>
        <v>2028</v>
      </c>
    </row>
    <row r="101" spans="1:47" outlineLevel="1" x14ac:dyDescent="0.25">
      <c r="B101" s="40">
        <v>1</v>
      </c>
      <c r="C101">
        <v>2</v>
      </c>
      <c r="D101">
        <v>3</v>
      </c>
      <c r="E101">
        <v>4</v>
      </c>
      <c r="F101" s="40">
        <v>5</v>
      </c>
      <c r="G101">
        <v>6</v>
      </c>
      <c r="H101">
        <v>7</v>
      </c>
      <c r="I101">
        <v>8</v>
      </c>
      <c r="J101" s="40">
        <v>9</v>
      </c>
      <c r="K101">
        <v>10</v>
      </c>
      <c r="L101">
        <v>11</v>
      </c>
      <c r="M101">
        <v>12</v>
      </c>
      <c r="N101" s="40">
        <v>13</v>
      </c>
      <c r="O101">
        <v>14</v>
      </c>
      <c r="P101" s="40">
        <v>15</v>
      </c>
      <c r="Q101" s="40">
        <v>16</v>
      </c>
      <c r="R101">
        <v>17</v>
      </c>
      <c r="S101" s="40">
        <v>18</v>
      </c>
      <c r="T101" s="40">
        <v>19</v>
      </c>
      <c r="U101">
        <v>20</v>
      </c>
      <c r="V101" s="40">
        <v>21</v>
      </c>
      <c r="W101" s="40">
        <v>22</v>
      </c>
      <c r="X101">
        <v>23</v>
      </c>
    </row>
    <row r="102" spans="1:47" outlineLevel="1" x14ac:dyDescent="0.25">
      <c r="A102" t="s">
        <v>94</v>
      </c>
      <c r="B102" s="45">
        <f>B18</f>
        <v>3120</v>
      </c>
      <c r="C102" s="46">
        <f>B102*(1+$B$14)</f>
        <v>3254.16</v>
      </c>
      <c r="D102" s="46">
        <f t="shared" ref="D102:AU102" si="9">C102*(1+$B$14)</f>
        <v>3394.0888799999998</v>
      </c>
      <c r="E102" s="46">
        <f t="shared" si="9"/>
        <v>3540.0347018399993</v>
      </c>
      <c r="F102" s="46">
        <f t="shared" si="9"/>
        <v>3692.256194019119</v>
      </c>
      <c r="G102" s="46">
        <f t="shared" si="9"/>
        <v>3851.023210361941</v>
      </c>
      <c r="H102" s="46">
        <f t="shared" si="9"/>
        <v>4016.6172084075042</v>
      </c>
      <c r="I102" s="46">
        <f t="shared" si="9"/>
        <v>4189.3317483690262</v>
      </c>
      <c r="J102" s="46">
        <f t="shared" si="9"/>
        <v>4369.4730135488944</v>
      </c>
      <c r="K102" s="46">
        <f t="shared" si="9"/>
        <v>4557.3603531314966</v>
      </c>
      <c r="L102" s="46">
        <f t="shared" si="9"/>
        <v>4753.326848316151</v>
      </c>
      <c r="M102" s="46">
        <f t="shared" si="9"/>
        <v>4957.719902793745</v>
      </c>
      <c r="N102" s="46">
        <f t="shared" si="9"/>
        <v>5170.9018586138754</v>
      </c>
      <c r="O102" s="46">
        <f t="shared" si="9"/>
        <v>5393.2506385342713</v>
      </c>
      <c r="P102" s="46">
        <f t="shared" si="9"/>
        <v>5625.1604159912449</v>
      </c>
      <c r="Q102" s="46">
        <f t="shared" si="9"/>
        <v>5867.0423138788683</v>
      </c>
      <c r="R102" s="46">
        <f t="shared" si="9"/>
        <v>6119.3251333756589</v>
      </c>
      <c r="S102" s="46">
        <f t="shared" si="9"/>
        <v>6382.4561141108115</v>
      </c>
      <c r="T102" s="46">
        <f t="shared" si="9"/>
        <v>6656.9017270175764</v>
      </c>
      <c r="U102" s="46">
        <f t="shared" si="9"/>
        <v>6943.1485012793319</v>
      </c>
      <c r="V102" s="46">
        <f t="shared" si="9"/>
        <v>7241.7038868343425</v>
      </c>
      <c r="W102" s="46">
        <f t="shared" si="9"/>
        <v>7553.0971539682187</v>
      </c>
      <c r="X102" s="46">
        <f t="shared" si="9"/>
        <v>7877.8803315888517</v>
      </c>
      <c r="Y102" s="46">
        <f t="shared" si="9"/>
        <v>8216.6291858471723</v>
      </c>
      <c r="Z102" s="46">
        <f t="shared" si="9"/>
        <v>8569.9442408386003</v>
      </c>
      <c r="AA102" s="46">
        <f t="shared" si="9"/>
        <v>8938.4518431946599</v>
      </c>
      <c r="AB102" s="46">
        <f t="shared" si="9"/>
        <v>9322.8052724520294</v>
      </c>
      <c r="AC102" s="46">
        <f t="shared" si="9"/>
        <v>9723.6858991674653</v>
      </c>
      <c r="AD102" s="46">
        <f t="shared" si="9"/>
        <v>10141.804392831666</v>
      </c>
      <c r="AE102" s="46">
        <f t="shared" si="9"/>
        <v>10577.901981723426</v>
      </c>
      <c r="AF102" s="46">
        <f t="shared" si="9"/>
        <v>11032.751766937532</v>
      </c>
      <c r="AG102" s="46">
        <f t="shared" si="9"/>
        <v>11507.160092915845</v>
      </c>
      <c r="AH102" s="46">
        <f t="shared" si="9"/>
        <v>12001.967976911224</v>
      </c>
      <c r="AI102" s="46">
        <f t="shared" si="9"/>
        <v>12518.052599918406</v>
      </c>
      <c r="AJ102" s="46">
        <f t="shared" si="9"/>
        <v>13056.328861714897</v>
      </c>
      <c r="AK102" s="46">
        <f t="shared" si="9"/>
        <v>13617.751002768637</v>
      </c>
      <c r="AL102" s="46">
        <f t="shared" si="9"/>
        <v>14203.314295887687</v>
      </c>
      <c r="AM102" s="46">
        <f t="shared" si="9"/>
        <v>14814.056810610857</v>
      </c>
      <c r="AN102" s="46">
        <f t="shared" si="9"/>
        <v>15451.061253467122</v>
      </c>
      <c r="AO102" s="46">
        <f t="shared" si="9"/>
        <v>16115.456887366207</v>
      </c>
      <c r="AP102" s="46">
        <f t="shared" si="9"/>
        <v>16808.421533522953</v>
      </c>
      <c r="AQ102" s="46">
        <f t="shared" si="9"/>
        <v>17531.183659464437</v>
      </c>
      <c r="AR102" s="46">
        <f t="shared" si="9"/>
        <v>18285.024556821409</v>
      </c>
      <c r="AS102" s="46">
        <f t="shared" si="9"/>
        <v>19071.280612764727</v>
      </c>
      <c r="AT102" s="46">
        <f t="shared" si="9"/>
        <v>19891.345679113609</v>
      </c>
      <c r="AU102" s="46">
        <f t="shared" si="9"/>
        <v>20746.673543315494</v>
      </c>
    </row>
    <row r="103" spans="1:47" outlineLevel="1" x14ac:dyDescent="0.25">
      <c r="A103" t="s">
        <v>67</v>
      </c>
      <c r="B103" s="42">
        <v>0</v>
      </c>
      <c r="C103" s="43">
        <v>0.25</v>
      </c>
      <c r="D103" s="43">
        <v>0.5</v>
      </c>
      <c r="E103" s="43">
        <v>0.75</v>
      </c>
      <c r="F103" s="43">
        <v>1</v>
      </c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</row>
    <row r="104" spans="1:47" outlineLevel="1" x14ac:dyDescent="0.25">
      <c r="A104" t="s">
        <v>95</v>
      </c>
      <c r="B104">
        <f>Resumen!B17</f>
        <v>0</v>
      </c>
      <c r="C104">
        <f>Resumen!C17</f>
        <v>5000</v>
      </c>
      <c r="D104">
        <f>Resumen!D17</f>
        <v>5000</v>
      </c>
      <c r="E104">
        <f>Resumen!E17</f>
        <v>5000</v>
      </c>
      <c r="F104">
        <f>Resumen!F17</f>
        <v>5000</v>
      </c>
      <c r="H104" s="57"/>
      <c r="I104" s="57"/>
      <c r="J104" s="57"/>
      <c r="K104" s="57"/>
      <c r="L104" s="57"/>
      <c r="M104" s="57"/>
      <c r="N104" s="57"/>
      <c r="O104" s="57"/>
      <c r="P104" s="57"/>
      <c r="Q104" s="57"/>
      <c r="R104" s="57"/>
      <c r="S104" s="57"/>
      <c r="T104" s="57"/>
      <c r="U104" s="57"/>
      <c r="V104" s="57"/>
      <c r="W104" s="57"/>
      <c r="X104" s="57"/>
      <c r="Y104" s="57"/>
      <c r="Z104" s="57"/>
      <c r="AA104" s="57"/>
      <c r="AB104" s="57"/>
      <c r="AC104" s="57"/>
      <c r="AD104" s="57"/>
      <c r="AE104" s="57"/>
      <c r="AF104" s="57"/>
      <c r="AG104" s="57"/>
      <c r="AH104" s="57"/>
      <c r="AI104" s="57"/>
      <c r="AJ104" s="57"/>
      <c r="AK104" s="57"/>
      <c r="AL104" s="57"/>
      <c r="AM104" s="57"/>
      <c r="AN104" s="57"/>
      <c r="AO104" s="57"/>
      <c r="AP104" s="57"/>
      <c r="AQ104" s="57"/>
      <c r="AR104" s="57"/>
      <c r="AS104" s="57"/>
      <c r="AT104" s="57"/>
      <c r="AU104" s="57"/>
    </row>
    <row r="105" spans="1:47" outlineLevel="1" x14ac:dyDescent="0.25">
      <c r="B105" s="42"/>
      <c r="D105" s="57"/>
      <c r="E105" s="57"/>
      <c r="F105" s="57"/>
      <c r="G105" s="57"/>
      <c r="H105" s="57"/>
      <c r="I105" s="57"/>
      <c r="J105" s="57"/>
      <c r="K105" s="57"/>
      <c r="L105" s="57"/>
      <c r="M105" s="57"/>
      <c r="N105" s="57"/>
      <c r="O105" s="57"/>
      <c r="P105" s="57"/>
      <c r="Q105" s="57"/>
      <c r="R105" s="57"/>
      <c r="S105" s="57"/>
      <c r="T105" s="57"/>
      <c r="U105" s="57"/>
      <c r="V105" s="57"/>
      <c r="W105" s="57"/>
      <c r="X105" s="57"/>
      <c r="Y105" s="57"/>
      <c r="Z105" s="57"/>
      <c r="AA105" s="57"/>
      <c r="AB105" s="57"/>
      <c r="AC105" s="57"/>
      <c r="AD105" s="57"/>
      <c r="AE105" s="57"/>
      <c r="AF105" s="57"/>
    </row>
    <row r="106" spans="1:47" outlineLevel="1" x14ac:dyDescent="0.25">
      <c r="A106" t="s">
        <v>96</v>
      </c>
      <c r="G106" s="45">
        <f t="shared" ref="G106:P106" si="10">$C$104*$B$17*G$102</f>
        <v>808714.87417600758</v>
      </c>
      <c r="H106" s="45">
        <f t="shared" si="10"/>
        <v>843489.61376557592</v>
      </c>
      <c r="I106" s="45">
        <f t="shared" si="10"/>
        <v>879759.66715749551</v>
      </c>
      <c r="J106" s="45">
        <f t="shared" si="10"/>
        <v>917589.33284526784</v>
      </c>
      <c r="K106" s="45">
        <f t="shared" si="10"/>
        <v>957045.67415761424</v>
      </c>
      <c r="L106" s="45">
        <f t="shared" si="10"/>
        <v>998198.63814639172</v>
      </c>
      <c r="M106" s="45">
        <f t="shared" si="10"/>
        <v>1041121.1795866864</v>
      </c>
      <c r="N106" s="45">
        <f t="shared" si="10"/>
        <v>1085889.3903089138</v>
      </c>
      <c r="O106" s="45">
        <f t="shared" si="10"/>
        <v>1132582.6340921971</v>
      </c>
      <c r="P106" s="45">
        <f t="shared" si="10"/>
        <v>1181283.6873581614</v>
      </c>
      <c r="Q106" s="45"/>
      <c r="R106" s="45"/>
      <c r="S106" s="45"/>
      <c r="T106" s="45"/>
      <c r="U106" s="45"/>
      <c r="V106" s="45"/>
      <c r="W106" s="45"/>
      <c r="X106" s="45"/>
      <c r="Y106" s="45"/>
      <c r="Z106" s="45"/>
      <c r="AA106" s="45"/>
      <c r="AB106" s="45"/>
      <c r="AC106" s="45"/>
      <c r="AD106" s="45"/>
      <c r="AE106" s="45"/>
      <c r="AF106" s="45"/>
      <c r="AG106" s="45"/>
    </row>
    <row r="107" spans="1:47" outlineLevel="1" x14ac:dyDescent="0.25">
      <c r="A107" t="s">
        <v>97</v>
      </c>
      <c r="G107" s="45">
        <f t="shared" ref="G107:P107" si="11">G106/(1+$B$20)^G$26</f>
        <v>458886.53822655458</v>
      </c>
      <c r="H107" s="45">
        <f t="shared" si="11"/>
        <v>381551.86493167758</v>
      </c>
      <c r="I107" s="45">
        <f t="shared" si="11"/>
        <v>355320.17421762465</v>
      </c>
      <c r="J107" s="45">
        <f t="shared" si="11"/>
        <v>330891.91224016296</v>
      </c>
      <c r="K107" s="45">
        <f t="shared" si="11"/>
        <v>308143.09327365167</v>
      </c>
      <c r="L107" s="45">
        <f t="shared" si="11"/>
        <v>286958.25561108813</v>
      </c>
      <c r="M107" s="45">
        <f t="shared" si="11"/>
        <v>267229.87553782581</v>
      </c>
      <c r="N107" s="45">
        <f t="shared" si="11"/>
        <v>248857.82159460019</v>
      </c>
      <c r="O107" s="45">
        <f t="shared" si="11"/>
        <v>231748.84635997139</v>
      </c>
      <c r="P107" s="45">
        <f t="shared" si="11"/>
        <v>215816.11317272336</v>
      </c>
      <c r="Q107" s="45"/>
      <c r="R107" s="45"/>
      <c r="S107" s="45"/>
      <c r="T107" s="45"/>
      <c r="U107" s="45"/>
      <c r="V107" s="45"/>
      <c r="W107" s="45"/>
      <c r="X107" s="45"/>
      <c r="Y107" s="45"/>
      <c r="Z107" s="45"/>
      <c r="AA107" s="45"/>
      <c r="AB107" s="45"/>
      <c r="AC107" s="45"/>
      <c r="AD107" s="45"/>
      <c r="AE107" s="45"/>
      <c r="AF107" s="45"/>
      <c r="AG107" s="45"/>
    </row>
    <row r="108" spans="1:47" outlineLevel="1" x14ac:dyDescent="0.25">
      <c r="A108" t="s">
        <v>98</v>
      </c>
      <c r="G108" s="40"/>
      <c r="H108" s="45">
        <f t="shared" ref="H108:Q108" si="12">$D$104*$B$17*H$102</f>
        <v>843489.61376557592</v>
      </c>
      <c r="I108" s="45">
        <f t="shared" si="12"/>
        <v>879759.66715749551</v>
      </c>
      <c r="J108" s="45">
        <f t="shared" si="12"/>
        <v>917589.33284526784</v>
      </c>
      <c r="K108" s="45">
        <f t="shared" si="12"/>
        <v>957045.67415761424</v>
      </c>
      <c r="L108" s="45">
        <f t="shared" si="12"/>
        <v>998198.63814639172</v>
      </c>
      <c r="M108" s="45">
        <f t="shared" si="12"/>
        <v>1041121.1795866864</v>
      </c>
      <c r="N108" s="45">
        <f t="shared" si="12"/>
        <v>1085889.3903089138</v>
      </c>
      <c r="O108" s="45">
        <f t="shared" si="12"/>
        <v>1132582.6340921971</v>
      </c>
      <c r="P108" s="45">
        <f t="shared" si="12"/>
        <v>1181283.6873581614</v>
      </c>
      <c r="Q108" s="45">
        <f t="shared" si="12"/>
        <v>1232078.8859145623</v>
      </c>
      <c r="R108" s="45"/>
      <c r="S108" s="45"/>
      <c r="T108" s="45"/>
      <c r="U108" s="45"/>
      <c r="V108" s="45"/>
      <c r="W108" s="45"/>
      <c r="X108" s="45"/>
      <c r="Y108" s="45"/>
      <c r="Z108" s="45"/>
      <c r="AA108" s="45"/>
      <c r="AB108" s="45"/>
      <c r="AC108" s="45"/>
      <c r="AD108" s="45"/>
      <c r="AE108" s="45"/>
      <c r="AF108" s="45"/>
      <c r="AG108" s="45"/>
      <c r="AH108" s="45"/>
    </row>
    <row r="109" spans="1:47" outlineLevel="1" x14ac:dyDescent="0.25">
      <c r="A109" t="s">
        <v>99</v>
      </c>
      <c r="G109" s="40"/>
      <c r="H109" s="45">
        <f t="shared" ref="H109:Q109" si="13">H108/(1+$B$20)^H$26</f>
        <v>381551.86493167758</v>
      </c>
      <c r="I109" s="45">
        <f t="shared" si="13"/>
        <v>355320.17421762465</v>
      </c>
      <c r="J109" s="45">
        <f t="shared" si="13"/>
        <v>330891.91224016296</v>
      </c>
      <c r="K109" s="45">
        <f t="shared" si="13"/>
        <v>308143.09327365167</v>
      </c>
      <c r="L109" s="45">
        <f t="shared" si="13"/>
        <v>286958.25561108813</v>
      </c>
      <c r="M109" s="45">
        <f t="shared" si="13"/>
        <v>267229.87553782581</v>
      </c>
      <c r="N109" s="45">
        <f t="shared" si="13"/>
        <v>248857.82159460019</v>
      </c>
      <c r="O109" s="45">
        <f t="shared" si="13"/>
        <v>231748.84635997139</v>
      </c>
      <c r="P109" s="45">
        <f t="shared" si="13"/>
        <v>215816.11317272336</v>
      </c>
      <c r="Q109" s="45">
        <f t="shared" si="13"/>
        <v>200978.75539209857</v>
      </c>
      <c r="R109" s="45"/>
      <c r="S109" s="45"/>
      <c r="T109" s="45"/>
      <c r="U109" s="45"/>
      <c r="V109" s="45"/>
      <c r="W109" s="45"/>
      <c r="X109" s="45"/>
      <c r="Y109" s="45"/>
      <c r="Z109" s="45"/>
      <c r="AA109" s="45"/>
      <c r="AB109" s="45"/>
      <c r="AC109" s="45"/>
      <c r="AD109" s="45"/>
      <c r="AE109" s="45"/>
      <c r="AF109" s="45"/>
      <c r="AG109" s="45"/>
      <c r="AH109" s="45"/>
    </row>
    <row r="110" spans="1:47" outlineLevel="1" x14ac:dyDescent="0.25">
      <c r="A110" t="s">
        <v>100</v>
      </c>
      <c r="G110" s="40"/>
      <c r="H110" s="40"/>
      <c r="I110" s="45">
        <f t="shared" ref="I110:R110" si="14">$E$104*$B$17*I$102</f>
        <v>879759.66715749551</v>
      </c>
      <c r="J110" s="45">
        <f t="shared" si="14"/>
        <v>917589.33284526784</v>
      </c>
      <c r="K110" s="45">
        <f t="shared" si="14"/>
        <v>957045.67415761424</v>
      </c>
      <c r="L110" s="45">
        <f t="shared" si="14"/>
        <v>998198.63814639172</v>
      </c>
      <c r="M110" s="45">
        <f t="shared" si="14"/>
        <v>1041121.1795866864</v>
      </c>
      <c r="N110" s="45">
        <f t="shared" si="14"/>
        <v>1085889.3903089138</v>
      </c>
      <c r="O110" s="45">
        <f t="shared" si="14"/>
        <v>1132582.6340921971</v>
      </c>
      <c r="P110" s="45">
        <f t="shared" si="14"/>
        <v>1181283.6873581614</v>
      </c>
      <c r="Q110" s="45">
        <f t="shared" si="14"/>
        <v>1232078.8859145623</v>
      </c>
      <c r="R110" s="45">
        <f t="shared" si="14"/>
        <v>1285058.2780088885</v>
      </c>
      <c r="S110" s="45"/>
      <c r="T110" s="45"/>
      <c r="U110" s="45"/>
      <c r="V110" s="45"/>
      <c r="W110" s="45"/>
      <c r="X110" s="45"/>
      <c r="Y110" s="45"/>
      <c r="Z110" s="45"/>
      <c r="AA110" s="45"/>
      <c r="AB110" s="45"/>
      <c r="AC110" s="45"/>
      <c r="AD110" s="45"/>
      <c r="AE110" s="45"/>
      <c r="AF110" s="45"/>
      <c r="AG110" s="45"/>
      <c r="AH110" s="45"/>
      <c r="AI110" s="45"/>
    </row>
    <row r="111" spans="1:47" outlineLevel="1" x14ac:dyDescent="0.25">
      <c r="A111" t="s">
        <v>101</v>
      </c>
      <c r="G111" s="40"/>
      <c r="H111" s="40"/>
      <c r="I111" s="45">
        <f t="shared" ref="I111:R111" si="15">I110/(1+$B$20)^I$26</f>
        <v>355320.17421762465</v>
      </c>
      <c r="J111" s="45">
        <f t="shared" si="15"/>
        <v>330891.91224016296</v>
      </c>
      <c r="K111" s="45">
        <f t="shared" si="15"/>
        <v>308143.09327365167</v>
      </c>
      <c r="L111" s="45">
        <f t="shared" si="15"/>
        <v>286958.25561108813</v>
      </c>
      <c r="M111" s="45">
        <f t="shared" si="15"/>
        <v>267229.87553782581</v>
      </c>
      <c r="N111" s="45">
        <f t="shared" si="15"/>
        <v>248857.82159460019</v>
      </c>
      <c r="O111" s="45">
        <f t="shared" si="15"/>
        <v>231748.84635997139</v>
      </c>
      <c r="P111" s="45">
        <f t="shared" si="15"/>
        <v>215816.11317272336</v>
      </c>
      <c r="Q111" s="45">
        <f t="shared" si="15"/>
        <v>200978.75539209857</v>
      </c>
      <c r="R111" s="45">
        <f t="shared" si="15"/>
        <v>187161.46595889179</v>
      </c>
      <c r="S111" s="45"/>
      <c r="T111" s="45"/>
      <c r="U111" s="45"/>
      <c r="V111" s="45"/>
      <c r="W111" s="45"/>
      <c r="X111" s="45"/>
      <c r="Y111" s="45"/>
      <c r="Z111" s="45"/>
      <c r="AA111" s="45"/>
      <c r="AB111" s="45"/>
      <c r="AC111" s="45"/>
      <c r="AD111" s="45"/>
      <c r="AE111" s="45"/>
      <c r="AF111" s="45"/>
      <c r="AG111" s="45"/>
      <c r="AH111" s="45"/>
      <c r="AI111" s="45"/>
    </row>
    <row r="112" spans="1:47" outlineLevel="1" x14ac:dyDescent="0.25">
      <c r="A112" t="s">
        <v>102</v>
      </c>
      <c r="G112" s="40"/>
      <c r="H112" s="40"/>
      <c r="J112" s="45">
        <f t="shared" ref="J112:S112" si="16">$F$104*$B$17*J$102</f>
        <v>917589.33284526784</v>
      </c>
      <c r="K112" s="45">
        <f t="shared" si="16"/>
        <v>957045.67415761424</v>
      </c>
      <c r="L112" s="45">
        <f t="shared" si="16"/>
        <v>998198.63814639172</v>
      </c>
      <c r="M112" s="45">
        <f t="shared" si="16"/>
        <v>1041121.1795866864</v>
      </c>
      <c r="N112" s="45">
        <f t="shared" si="16"/>
        <v>1085889.3903089138</v>
      </c>
      <c r="O112" s="45">
        <f t="shared" si="16"/>
        <v>1132582.6340921971</v>
      </c>
      <c r="P112" s="45">
        <f t="shared" si="16"/>
        <v>1181283.6873581614</v>
      </c>
      <c r="Q112" s="45">
        <f t="shared" si="16"/>
        <v>1232078.8859145623</v>
      </c>
      <c r="R112" s="45">
        <f t="shared" si="16"/>
        <v>1285058.2780088885</v>
      </c>
      <c r="S112" s="45">
        <f t="shared" si="16"/>
        <v>1340315.7839632705</v>
      </c>
      <c r="T112" s="45"/>
      <c r="U112" s="45"/>
      <c r="V112" s="45"/>
      <c r="W112" s="45"/>
      <c r="X112" s="45"/>
      <c r="Y112" s="45"/>
      <c r="Z112" s="45"/>
      <c r="AA112" s="45"/>
      <c r="AB112" s="45"/>
      <c r="AC112" s="45"/>
      <c r="AD112" s="45"/>
      <c r="AE112" s="45"/>
      <c r="AF112" s="45"/>
      <c r="AG112" s="45"/>
      <c r="AH112" s="45"/>
      <c r="AI112" s="45"/>
      <c r="AJ112" s="45"/>
    </row>
    <row r="113" spans="1:36" outlineLevel="1" x14ac:dyDescent="0.25">
      <c r="A113" t="s">
        <v>103</v>
      </c>
      <c r="G113" s="40"/>
      <c r="H113" s="40"/>
      <c r="J113" s="45">
        <f t="shared" ref="J113:S113" si="17">J112/(1+$B$20)^J$26</f>
        <v>330891.91224016296</v>
      </c>
      <c r="K113" s="45">
        <f t="shared" si="17"/>
        <v>308143.09327365167</v>
      </c>
      <c r="L113" s="45">
        <f t="shared" si="17"/>
        <v>286958.25561108813</v>
      </c>
      <c r="M113" s="45">
        <f t="shared" si="17"/>
        <v>267229.87553782581</v>
      </c>
      <c r="N113" s="45">
        <f t="shared" si="17"/>
        <v>248857.82159460019</v>
      </c>
      <c r="O113" s="45">
        <f t="shared" si="17"/>
        <v>231748.84635997139</v>
      </c>
      <c r="P113" s="45">
        <f t="shared" si="17"/>
        <v>215816.11317272336</v>
      </c>
      <c r="Q113" s="45">
        <f t="shared" si="17"/>
        <v>200978.75539209857</v>
      </c>
      <c r="R113" s="45">
        <f t="shared" si="17"/>
        <v>187161.46595889179</v>
      </c>
      <c r="S113" s="45">
        <f t="shared" si="17"/>
        <v>174294.11517421794</v>
      </c>
      <c r="T113" s="45"/>
      <c r="U113" s="45"/>
      <c r="V113" s="45"/>
      <c r="W113" s="45"/>
      <c r="X113" s="45"/>
      <c r="Y113" s="45"/>
      <c r="Z113" s="45"/>
      <c r="AA113" s="45"/>
      <c r="AB113" s="45"/>
      <c r="AC113" s="45"/>
      <c r="AD113" s="45"/>
      <c r="AE113" s="45"/>
      <c r="AF113" s="45"/>
      <c r="AG113" s="45"/>
      <c r="AH113" s="45"/>
      <c r="AI113" s="45"/>
      <c r="AJ113" s="45"/>
    </row>
    <row r="114" spans="1:36" outlineLevel="1" x14ac:dyDescent="0.25">
      <c r="G114" s="45"/>
      <c r="H114" s="45"/>
      <c r="I114" s="45"/>
      <c r="J114" s="45"/>
      <c r="K114" s="45"/>
      <c r="L114" s="45"/>
      <c r="M114" s="45"/>
      <c r="N114" s="45"/>
      <c r="O114" s="45"/>
      <c r="P114" s="45"/>
      <c r="Q114" s="45"/>
      <c r="R114" s="45"/>
      <c r="S114" s="45"/>
      <c r="T114" s="45"/>
      <c r="U114" s="45"/>
      <c r="V114" s="45"/>
      <c r="W114" s="45"/>
      <c r="X114" s="45"/>
      <c r="Y114" s="45"/>
      <c r="Z114" s="45"/>
      <c r="AA114" s="45"/>
      <c r="AB114" s="45"/>
      <c r="AC114" s="45"/>
      <c r="AD114" s="45"/>
      <c r="AE114" s="45"/>
      <c r="AF114" s="45"/>
      <c r="AG114" s="45"/>
      <c r="AH114" s="45"/>
      <c r="AI114" s="45"/>
      <c r="AJ114" s="45"/>
    </row>
    <row r="115" spans="1:36" outlineLevel="1" x14ac:dyDescent="0.25">
      <c r="A115" t="s">
        <v>104</v>
      </c>
      <c r="C115" s="48">
        <f>SUM(G107:AG107)</f>
        <v>3085404.4951658803</v>
      </c>
      <c r="D115" s="48">
        <f>SUM(H109:AH109)</f>
        <v>2827496.7123314245</v>
      </c>
      <c r="E115" s="48">
        <f>SUM(I111:AI111)</f>
        <v>2633106.3133586389</v>
      </c>
      <c r="F115" s="48">
        <f>SUM(J113:AJ113)</f>
        <v>2452080.2543152319</v>
      </c>
      <c r="H115" s="48"/>
      <c r="I115" s="48"/>
      <c r="J115" s="48"/>
      <c r="K115" s="48"/>
      <c r="L115" s="48"/>
      <c r="M115" s="48"/>
      <c r="N115" s="48"/>
      <c r="O115" s="48"/>
      <c r="P115" s="48"/>
      <c r="Q115" s="46"/>
      <c r="R115" s="46"/>
    </row>
    <row r="116" spans="1:36" outlineLevel="1" x14ac:dyDescent="0.25"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6"/>
      <c r="R116" s="46"/>
    </row>
    <row r="117" spans="1:36" outlineLevel="1" x14ac:dyDescent="0.25">
      <c r="A117" t="s">
        <v>105</v>
      </c>
      <c r="G117" s="45">
        <f t="shared" ref="G117:P117" si="18">$C$104*$C$17*G$102</f>
        <v>2637950.8990979297</v>
      </c>
      <c r="H117" s="45">
        <f t="shared" si="18"/>
        <v>2751382.7877591406</v>
      </c>
      <c r="I117" s="45">
        <f t="shared" si="18"/>
        <v>2869692.2476327829</v>
      </c>
      <c r="J117" s="45">
        <f t="shared" si="18"/>
        <v>2993089.0142809926</v>
      </c>
      <c r="K117" s="45">
        <f t="shared" si="18"/>
        <v>3121791.841895075</v>
      </c>
      <c r="L117" s="45">
        <f t="shared" si="18"/>
        <v>3256028.8910965635</v>
      </c>
      <c r="M117" s="45">
        <f t="shared" si="18"/>
        <v>3396038.1334137153</v>
      </c>
      <c r="N117" s="45">
        <f t="shared" si="18"/>
        <v>3542067.7731505046</v>
      </c>
      <c r="O117" s="45">
        <f t="shared" si="18"/>
        <v>3694376.6873959759</v>
      </c>
      <c r="P117" s="45">
        <f t="shared" si="18"/>
        <v>3853234.8849540027</v>
      </c>
      <c r="Q117" s="45"/>
      <c r="R117" s="45"/>
      <c r="S117" s="45"/>
      <c r="T117" s="45"/>
      <c r="U117" s="45"/>
      <c r="V117" s="45"/>
      <c r="W117" s="45"/>
      <c r="X117" s="45"/>
      <c r="Y117" s="45"/>
      <c r="Z117" s="45"/>
      <c r="AA117" s="45"/>
      <c r="AB117" s="45"/>
      <c r="AC117" s="45"/>
      <c r="AD117" s="45"/>
      <c r="AE117" s="45"/>
      <c r="AF117" s="45"/>
    </row>
    <row r="118" spans="1:36" outlineLevel="1" x14ac:dyDescent="0.25">
      <c r="A118" t="s">
        <v>97</v>
      </c>
      <c r="G118" s="45">
        <f t="shared" ref="G118:P118" si="19">G117/(1+$B$20)^G$26</f>
        <v>1496844.1842151901</v>
      </c>
      <c r="H118" s="45">
        <f t="shared" si="19"/>
        <v>1244585.8451342818</v>
      </c>
      <c r="I118" s="45">
        <f t="shared" si="19"/>
        <v>1159020.5682812994</v>
      </c>
      <c r="J118" s="45">
        <f t="shared" si="19"/>
        <v>1079337.90421196</v>
      </c>
      <c r="K118" s="45">
        <f t="shared" si="19"/>
        <v>1005133.4232973877</v>
      </c>
      <c r="L118" s="45">
        <f t="shared" si="19"/>
        <v>936030.50044569222</v>
      </c>
      <c r="M118" s="45">
        <f t="shared" si="19"/>
        <v>871678.40354005084</v>
      </c>
      <c r="N118" s="45">
        <f t="shared" si="19"/>
        <v>811750.51329667203</v>
      </c>
      <c r="O118" s="45">
        <f t="shared" si="19"/>
        <v>755942.66550752567</v>
      </c>
      <c r="P118" s="45">
        <f t="shared" si="19"/>
        <v>703971.60725388338</v>
      </c>
      <c r="Q118" s="45"/>
      <c r="R118" s="45"/>
      <c r="S118" s="45"/>
      <c r="T118" s="45"/>
      <c r="U118" s="45"/>
      <c r="V118" s="45"/>
      <c r="W118" s="45"/>
      <c r="X118" s="45"/>
      <c r="Y118" s="45"/>
      <c r="Z118" s="45"/>
      <c r="AA118" s="45"/>
      <c r="AB118" s="45"/>
      <c r="AC118" s="45"/>
      <c r="AD118" s="45"/>
      <c r="AE118" s="45"/>
      <c r="AF118" s="45"/>
    </row>
    <row r="119" spans="1:36" outlineLevel="1" x14ac:dyDescent="0.25">
      <c r="A119" t="s">
        <v>76</v>
      </c>
      <c r="H119" s="45">
        <f t="shared" ref="H119:Q119" si="20">$D$104*$C$17*H$102</f>
        <v>2751382.7877591406</v>
      </c>
      <c r="I119" s="45">
        <f t="shared" si="20"/>
        <v>2869692.2476327829</v>
      </c>
      <c r="J119" s="45">
        <f t="shared" si="20"/>
        <v>2993089.0142809926</v>
      </c>
      <c r="K119" s="45">
        <f t="shared" si="20"/>
        <v>3121791.841895075</v>
      </c>
      <c r="L119" s="45">
        <f t="shared" si="20"/>
        <v>3256028.8910965635</v>
      </c>
      <c r="M119" s="45">
        <f t="shared" si="20"/>
        <v>3396038.1334137153</v>
      </c>
      <c r="N119" s="45">
        <f t="shared" si="20"/>
        <v>3542067.7731505046</v>
      </c>
      <c r="O119" s="45">
        <f t="shared" si="20"/>
        <v>3694376.6873959759</v>
      </c>
      <c r="P119" s="45">
        <f t="shared" si="20"/>
        <v>3853234.8849540027</v>
      </c>
      <c r="Q119" s="45">
        <f t="shared" si="20"/>
        <v>4018923.9850070248</v>
      </c>
      <c r="R119" s="45"/>
      <c r="S119" s="45"/>
      <c r="T119" s="45"/>
      <c r="U119" s="45"/>
      <c r="V119" s="45"/>
      <c r="W119" s="45"/>
      <c r="X119" s="45"/>
      <c r="Y119" s="45"/>
      <c r="Z119" s="45"/>
      <c r="AA119" s="45"/>
      <c r="AB119" s="45"/>
      <c r="AC119" s="45"/>
      <c r="AD119" s="45"/>
      <c r="AE119" s="45"/>
      <c r="AF119" s="45"/>
      <c r="AG119" s="45"/>
    </row>
    <row r="120" spans="1:36" outlineLevel="1" x14ac:dyDescent="0.25">
      <c r="A120" t="s">
        <v>75</v>
      </c>
      <c r="H120" s="45">
        <f t="shared" ref="H120:Q120" si="21">H119/(1+$B$20)^H$26</f>
        <v>1244585.8451342818</v>
      </c>
      <c r="I120" s="45">
        <f t="shared" si="21"/>
        <v>1159020.5682812994</v>
      </c>
      <c r="J120" s="45">
        <f t="shared" si="21"/>
        <v>1079337.90421196</v>
      </c>
      <c r="K120" s="45">
        <f t="shared" si="21"/>
        <v>1005133.4232973877</v>
      </c>
      <c r="L120" s="45">
        <f t="shared" si="21"/>
        <v>936030.50044569222</v>
      </c>
      <c r="M120" s="45">
        <f t="shared" si="21"/>
        <v>871678.40354005084</v>
      </c>
      <c r="N120" s="45">
        <f t="shared" si="21"/>
        <v>811750.51329667203</v>
      </c>
      <c r="O120" s="45">
        <f t="shared" si="21"/>
        <v>755942.66550752567</v>
      </c>
      <c r="P120" s="45">
        <f t="shared" si="21"/>
        <v>703971.60725388338</v>
      </c>
      <c r="Q120" s="45">
        <f t="shared" si="21"/>
        <v>655573.55925517878</v>
      </c>
      <c r="R120" s="45"/>
      <c r="S120" s="45"/>
      <c r="T120" s="45"/>
      <c r="U120" s="45"/>
      <c r="V120" s="45"/>
      <c r="W120" s="45"/>
      <c r="X120" s="45"/>
      <c r="Y120" s="45"/>
      <c r="Z120" s="45"/>
      <c r="AA120" s="45"/>
      <c r="AB120" s="45"/>
      <c r="AC120" s="45"/>
      <c r="AD120" s="45"/>
      <c r="AE120" s="45"/>
      <c r="AF120" s="45"/>
      <c r="AG120" s="45"/>
    </row>
    <row r="121" spans="1:36" outlineLevel="1" x14ac:dyDescent="0.25">
      <c r="A121" t="s">
        <v>106</v>
      </c>
      <c r="H121" s="40"/>
      <c r="I121" s="45">
        <f t="shared" ref="I121:R121" si="22">$E$104*$C$17*I$102</f>
        <v>2869692.2476327829</v>
      </c>
      <c r="J121" s="45">
        <f t="shared" si="22"/>
        <v>2993089.0142809926</v>
      </c>
      <c r="K121" s="45">
        <f t="shared" si="22"/>
        <v>3121791.841895075</v>
      </c>
      <c r="L121" s="45">
        <f t="shared" si="22"/>
        <v>3256028.8910965635</v>
      </c>
      <c r="M121" s="45">
        <f t="shared" si="22"/>
        <v>3396038.1334137153</v>
      </c>
      <c r="N121" s="45">
        <f t="shared" si="22"/>
        <v>3542067.7731505046</v>
      </c>
      <c r="O121" s="45">
        <f t="shared" si="22"/>
        <v>3694376.6873959759</v>
      </c>
      <c r="P121" s="45">
        <f t="shared" si="22"/>
        <v>3853234.8849540027</v>
      </c>
      <c r="Q121" s="45">
        <f t="shared" si="22"/>
        <v>4018923.9850070248</v>
      </c>
      <c r="R121" s="45">
        <f t="shared" si="22"/>
        <v>4191737.7163623264</v>
      </c>
      <c r="S121" s="45"/>
      <c r="T121" s="45"/>
      <c r="U121" s="45"/>
      <c r="V121" s="45"/>
      <c r="W121" s="45"/>
      <c r="X121" s="45"/>
      <c r="Y121" s="45"/>
      <c r="Z121" s="45"/>
      <c r="AA121" s="45"/>
      <c r="AB121" s="45"/>
      <c r="AC121" s="45"/>
      <c r="AD121" s="45"/>
      <c r="AE121" s="45"/>
      <c r="AF121" s="45"/>
      <c r="AG121" s="45"/>
      <c r="AH121" s="45"/>
    </row>
    <row r="122" spans="1:36" outlineLevel="1" x14ac:dyDescent="0.25">
      <c r="A122" t="s">
        <v>77</v>
      </c>
      <c r="H122" s="40"/>
      <c r="I122" s="45">
        <f t="shared" ref="I122:R122" si="23">I121/(1+$B$20)^I$26</f>
        <v>1159020.5682812994</v>
      </c>
      <c r="J122" s="45">
        <f t="shared" si="23"/>
        <v>1079337.90421196</v>
      </c>
      <c r="K122" s="45">
        <f t="shared" si="23"/>
        <v>1005133.4232973877</v>
      </c>
      <c r="L122" s="45">
        <f t="shared" si="23"/>
        <v>936030.50044569222</v>
      </c>
      <c r="M122" s="45">
        <f t="shared" si="23"/>
        <v>871678.40354005084</v>
      </c>
      <c r="N122" s="45">
        <f t="shared" si="23"/>
        <v>811750.51329667203</v>
      </c>
      <c r="O122" s="45">
        <f t="shared" si="23"/>
        <v>755942.66550752567</v>
      </c>
      <c r="P122" s="45">
        <f t="shared" si="23"/>
        <v>703971.60725388338</v>
      </c>
      <c r="Q122" s="45">
        <f t="shared" si="23"/>
        <v>655573.55925517878</v>
      </c>
      <c r="R122" s="45">
        <f t="shared" si="23"/>
        <v>610502.87705638504</v>
      </c>
      <c r="S122" s="45"/>
      <c r="T122" s="45"/>
      <c r="U122" s="45"/>
      <c r="V122" s="45"/>
      <c r="W122" s="45"/>
      <c r="X122" s="45"/>
      <c r="Y122" s="45"/>
      <c r="Z122" s="45"/>
      <c r="AA122" s="45"/>
      <c r="AB122" s="45"/>
      <c r="AC122" s="45"/>
      <c r="AD122" s="45"/>
      <c r="AE122" s="45"/>
      <c r="AF122" s="45"/>
      <c r="AG122" s="45"/>
      <c r="AH122" s="45"/>
    </row>
    <row r="123" spans="1:36" outlineLevel="1" x14ac:dyDescent="0.25">
      <c r="A123" t="s">
        <v>80</v>
      </c>
      <c r="H123" s="40"/>
      <c r="I123" s="40"/>
      <c r="J123" s="45">
        <f t="shared" ref="J123:S123" si="24">$F$104*$C$17*J$102</f>
        <v>2993089.0142809926</v>
      </c>
      <c r="K123" s="45">
        <f t="shared" si="24"/>
        <v>3121791.841895075</v>
      </c>
      <c r="L123" s="45">
        <f t="shared" si="24"/>
        <v>3256028.8910965635</v>
      </c>
      <c r="M123" s="45">
        <f t="shared" si="24"/>
        <v>3396038.1334137153</v>
      </c>
      <c r="N123" s="45">
        <f t="shared" si="24"/>
        <v>3542067.7731505046</v>
      </c>
      <c r="O123" s="45">
        <f t="shared" si="24"/>
        <v>3694376.6873959759</v>
      </c>
      <c r="P123" s="45">
        <f t="shared" si="24"/>
        <v>3853234.8849540027</v>
      </c>
      <c r="Q123" s="45">
        <f t="shared" si="24"/>
        <v>4018923.9850070248</v>
      </c>
      <c r="R123" s="45">
        <f t="shared" si="24"/>
        <v>4191737.7163623264</v>
      </c>
      <c r="S123" s="45">
        <f t="shared" si="24"/>
        <v>4371982.4381659059</v>
      </c>
      <c r="T123" s="45"/>
      <c r="U123" s="45"/>
      <c r="V123" s="45"/>
      <c r="W123" s="45"/>
      <c r="X123" s="45"/>
      <c r="Y123" s="45"/>
      <c r="Z123" s="45"/>
      <c r="AA123" s="45"/>
      <c r="AB123" s="45"/>
      <c r="AC123" s="45"/>
      <c r="AD123" s="45"/>
      <c r="AE123" s="45"/>
      <c r="AF123" s="45"/>
      <c r="AG123" s="45"/>
      <c r="AH123" s="45"/>
      <c r="AI123" s="45"/>
    </row>
    <row r="124" spans="1:36" outlineLevel="1" x14ac:dyDescent="0.25">
      <c r="A124" t="s">
        <v>79</v>
      </c>
      <c r="H124" s="40"/>
      <c r="I124" s="40"/>
      <c r="J124" s="45">
        <f t="shared" ref="J124:S124" si="25">J123/(1+$B$20)^J$26</f>
        <v>1079337.90421196</v>
      </c>
      <c r="K124" s="45">
        <f t="shared" si="25"/>
        <v>1005133.4232973877</v>
      </c>
      <c r="L124" s="45">
        <f t="shared" si="25"/>
        <v>936030.50044569222</v>
      </c>
      <c r="M124" s="45">
        <f t="shared" si="25"/>
        <v>871678.40354005084</v>
      </c>
      <c r="N124" s="45">
        <f t="shared" si="25"/>
        <v>811750.51329667203</v>
      </c>
      <c r="O124" s="45">
        <f t="shared" si="25"/>
        <v>755942.66550752567</v>
      </c>
      <c r="P124" s="45">
        <f t="shared" si="25"/>
        <v>703971.60725388338</v>
      </c>
      <c r="Q124" s="45">
        <f t="shared" si="25"/>
        <v>655573.55925517878</v>
      </c>
      <c r="R124" s="45">
        <f t="shared" si="25"/>
        <v>610502.87705638504</v>
      </c>
      <c r="S124" s="45">
        <f t="shared" si="25"/>
        <v>568530.80425875844</v>
      </c>
      <c r="T124" s="45"/>
      <c r="U124" s="45"/>
      <c r="V124" s="45"/>
      <c r="W124" s="45"/>
      <c r="X124" s="45"/>
      <c r="Y124" s="45"/>
      <c r="Z124" s="45"/>
      <c r="AA124" s="45"/>
      <c r="AB124" s="45"/>
      <c r="AC124" s="45"/>
      <c r="AD124" s="45"/>
      <c r="AE124" s="45"/>
      <c r="AF124" s="45"/>
      <c r="AG124" s="45"/>
      <c r="AH124" s="45"/>
      <c r="AI124" s="45"/>
    </row>
    <row r="125" spans="1:36" outlineLevel="1" x14ac:dyDescent="0.25"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6"/>
      <c r="R125" s="46"/>
    </row>
    <row r="126" spans="1:36" outlineLevel="1" x14ac:dyDescent="0.25">
      <c r="C126" s="48">
        <f>SUM(G118:AF118)</f>
        <v>10064295.615183942</v>
      </c>
      <c r="D126" s="48">
        <f>SUM(H120:AG120)</f>
        <v>9223024.9902239311</v>
      </c>
      <c r="E126" s="48">
        <f>SUM(I122:AH122)</f>
        <v>8588942.022146035</v>
      </c>
      <c r="F126" s="48">
        <f>SUM(J124:AI124)</f>
        <v>7998452.2581234938</v>
      </c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6"/>
      <c r="R126" s="46"/>
    </row>
    <row r="127" spans="1:36" ht="31.15" customHeight="1" x14ac:dyDescent="0.25">
      <c r="A127" s="58" t="s">
        <v>93</v>
      </c>
      <c r="B127" s="59"/>
      <c r="C127" s="60">
        <f>(C126-C115)</f>
        <v>6978891.1200180613</v>
      </c>
      <c r="D127" s="60">
        <f t="shared" ref="D127:F127" si="26">(D126-D115)</f>
        <v>6395528.2778925067</v>
      </c>
      <c r="E127" s="60">
        <f t="shared" si="26"/>
        <v>5955835.7087873966</v>
      </c>
      <c r="F127" s="60">
        <f t="shared" si="26"/>
        <v>5546372.0038082618</v>
      </c>
      <c r="G127" s="61"/>
      <c r="H127" s="61"/>
      <c r="I127" s="61"/>
      <c r="J127" s="61"/>
      <c r="K127" s="61"/>
      <c r="L127" s="61"/>
      <c r="M127" s="61"/>
      <c r="N127" s="61"/>
      <c r="O127" s="61"/>
      <c r="P127" s="61"/>
      <c r="Q127" s="46"/>
      <c r="R127" s="46"/>
    </row>
    <row r="128" spans="1:36" x14ac:dyDescent="0.25">
      <c r="C128" s="61"/>
      <c r="D128" s="61"/>
      <c r="E128" s="61"/>
      <c r="F128" s="61"/>
      <c r="G128" s="61"/>
      <c r="H128" s="61"/>
      <c r="I128" s="61"/>
      <c r="J128" s="61"/>
      <c r="K128" s="61"/>
      <c r="L128" s="61"/>
      <c r="M128" s="61"/>
      <c r="N128" s="61"/>
      <c r="O128" s="61"/>
      <c r="P128" s="61"/>
      <c r="Q128" s="46"/>
      <c r="R128" s="46"/>
    </row>
    <row r="129" spans="1:19" x14ac:dyDescent="0.25">
      <c r="A129" s="161" t="s">
        <v>107</v>
      </c>
      <c r="B129" s="161"/>
      <c r="C129" s="161"/>
      <c r="D129" s="161"/>
      <c r="E129" s="161"/>
      <c r="F129" s="161"/>
      <c r="G129" s="61"/>
      <c r="H129" s="61"/>
      <c r="I129" s="61"/>
      <c r="J129" s="61"/>
      <c r="K129" s="61"/>
      <c r="L129" s="61"/>
      <c r="M129" s="61"/>
      <c r="N129" s="61"/>
      <c r="O129" s="61"/>
      <c r="P129" s="61"/>
      <c r="Q129" s="46"/>
      <c r="R129" s="46"/>
    </row>
    <row r="130" spans="1:19" x14ac:dyDescent="0.25">
      <c r="A130" s="161"/>
      <c r="B130" s="161"/>
      <c r="C130" s="161"/>
      <c r="D130" s="161"/>
      <c r="E130" s="161"/>
      <c r="F130" s="161"/>
      <c r="G130" s="61"/>
      <c r="H130" s="61"/>
      <c r="I130" s="61"/>
      <c r="J130" s="61"/>
      <c r="K130" s="61"/>
      <c r="L130" s="61"/>
      <c r="M130" s="61"/>
      <c r="N130" s="61"/>
      <c r="O130" s="61"/>
      <c r="P130" s="61"/>
      <c r="Q130" s="46"/>
      <c r="R130" s="46"/>
    </row>
    <row r="131" spans="1:19" x14ac:dyDescent="0.25">
      <c r="A131" t="s">
        <v>108</v>
      </c>
      <c r="B131" s="62"/>
      <c r="C131" s="62">
        <f>C31-C104</f>
        <v>8000</v>
      </c>
      <c r="D131" s="62">
        <f>D31-D104</f>
        <v>8000</v>
      </c>
      <c r="E131" s="62">
        <f>E31-E104</f>
        <v>8000</v>
      </c>
      <c r="F131" s="62">
        <f>F31-F104</f>
        <v>8000</v>
      </c>
      <c r="G131" s="62"/>
      <c r="H131" s="61"/>
      <c r="I131" s="61"/>
      <c r="J131" s="61"/>
      <c r="K131" s="61"/>
      <c r="L131" s="61"/>
      <c r="M131" s="61"/>
      <c r="N131" s="61"/>
      <c r="O131" s="61"/>
      <c r="P131" s="61"/>
      <c r="Q131" s="46"/>
      <c r="R131" s="46"/>
    </row>
    <row r="132" spans="1:19" x14ac:dyDescent="0.25">
      <c r="C132" s="61"/>
      <c r="D132" s="61"/>
      <c r="E132" s="61"/>
      <c r="F132" s="61"/>
      <c r="G132" s="61"/>
      <c r="H132" s="61"/>
      <c r="I132" s="61"/>
      <c r="J132" s="61"/>
      <c r="K132" s="61"/>
      <c r="L132" s="61"/>
      <c r="M132" s="61"/>
      <c r="N132" s="61"/>
      <c r="O132" s="61"/>
      <c r="P132" s="61"/>
      <c r="Q132" s="46"/>
      <c r="R132" s="46"/>
    </row>
    <row r="133" spans="1:19" x14ac:dyDescent="0.25">
      <c r="A133" t="s">
        <v>109</v>
      </c>
      <c r="C133" s="61"/>
      <c r="D133" s="61"/>
      <c r="E133" s="61"/>
      <c r="F133" s="61"/>
      <c r="G133" s="61">
        <f t="shared" ref="G133:P133" si="27">$C$131*$B$17*G$102</f>
        <v>1293943.7986816121</v>
      </c>
      <c r="H133" s="61">
        <f t="shared" si="27"/>
        <v>1349583.3820249215</v>
      </c>
      <c r="I133" s="61">
        <f t="shared" si="27"/>
        <v>1407615.4674519929</v>
      </c>
      <c r="J133" s="61">
        <f t="shared" si="27"/>
        <v>1468142.9325524285</v>
      </c>
      <c r="K133" s="61">
        <f t="shared" si="27"/>
        <v>1531273.0786521828</v>
      </c>
      <c r="L133" s="61">
        <f t="shared" si="27"/>
        <v>1597117.8210342268</v>
      </c>
      <c r="M133" s="61">
        <f t="shared" si="27"/>
        <v>1665793.8873386984</v>
      </c>
      <c r="N133" s="61">
        <f t="shared" si="27"/>
        <v>1737423.0244942622</v>
      </c>
      <c r="O133" s="61">
        <f t="shared" si="27"/>
        <v>1812132.2145475151</v>
      </c>
      <c r="P133" s="61">
        <f t="shared" si="27"/>
        <v>1890053.8997730582</v>
      </c>
      <c r="Q133" s="61"/>
      <c r="R133" s="46"/>
    </row>
    <row r="134" spans="1:19" x14ac:dyDescent="0.25">
      <c r="A134" t="s">
        <v>110</v>
      </c>
      <c r="C134" s="61"/>
      <c r="D134" s="61"/>
      <c r="E134" s="61"/>
      <c r="F134" s="61"/>
      <c r="G134" s="61">
        <f t="shared" ref="G134:P134" si="28">G133/(1+$B$20)^G26</f>
        <v>734218.46116248728</v>
      </c>
      <c r="H134" s="61">
        <f t="shared" si="28"/>
        <v>610482.98389068409</v>
      </c>
      <c r="I134" s="61">
        <f t="shared" si="28"/>
        <v>568512.27874819946</v>
      </c>
      <c r="J134" s="61">
        <f t="shared" si="28"/>
        <v>529427.05958426069</v>
      </c>
      <c r="K134" s="61">
        <f t="shared" si="28"/>
        <v>493028.94923784269</v>
      </c>
      <c r="L134" s="61">
        <f t="shared" si="28"/>
        <v>459133.20897774096</v>
      </c>
      <c r="M134" s="61">
        <f t="shared" si="28"/>
        <v>427567.80086052127</v>
      </c>
      <c r="N134" s="61">
        <f t="shared" si="28"/>
        <v>398172.51455136033</v>
      </c>
      <c r="O134" s="61">
        <f t="shared" si="28"/>
        <v>370798.15417595423</v>
      </c>
      <c r="P134" s="61">
        <f t="shared" si="28"/>
        <v>345305.78107635735</v>
      </c>
      <c r="Q134" s="46"/>
      <c r="R134" s="46"/>
    </row>
    <row r="135" spans="1:19" x14ac:dyDescent="0.25">
      <c r="A135" t="s">
        <v>109</v>
      </c>
      <c r="C135" s="61"/>
      <c r="D135" s="61"/>
      <c r="E135" s="61"/>
      <c r="F135" s="61"/>
      <c r="G135" s="61"/>
      <c r="H135" s="61">
        <f t="shared" ref="H135:Q135" si="29">$D$131*$B$17*H$102</f>
        <v>1349583.3820249215</v>
      </c>
      <c r="I135" s="61">
        <f t="shared" si="29"/>
        <v>1407615.4674519929</v>
      </c>
      <c r="J135" s="61">
        <f t="shared" si="29"/>
        <v>1468142.9325524285</v>
      </c>
      <c r="K135" s="61">
        <f t="shared" si="29"/>
        <v>1531273.0786521828</v>
      </c>
      <c r="L135" s="61">
        <f t="shared" si="29"/>
        <v>1597117.8210342268</v>
      </c>
      <c r="M135" s="61">
        <f t="shared" si="29"/>
        <v>1665793.8873386984</v>
      </c>
      <c r="N135" s="61">
        <f t="shared" si="29"/>
        <v>1737423.0244942622</v>
      </c>
      <c r="O135" s="61">
        <f t="shared" si="29"/>
        <v>1812132.2145475151</v>
      </c>
      <c r="P135" s="61">
        <f t="shared" si="29"/>
        <v>1890053.8997730582</v>
      </c>
      <c r="Q135" s="61">
        <f t="shared" si="29"/>
        <v>1971326.2174632996</v>
      </c>
      <c r="R135" s="46"/>
    </row>
    <row r="136" spans="1:19" x14ac:dyDescent="0.25">
      <c r="A136" t="s">
        <v>110</v>
      </c>
      <c r="C136" s="61"/>
      <c r="D136" s="61"/>
      <c r="E136" s="61"/>
      <c r="F136" s="61"/>
      <c r="G136" s="61"/>
      <c r="H136" s="61">
        <f t="shared" ref="H136:Q136" si="30">H135/(1+$B$20)^H$26</f>
        <v>610482.98389068409</v>
      </c>
      <c r="I136" s="61">
        <f t="shared" si="30"/>
        <v>568512.27874819946</v>
      </c>
      <c r="J136" s="61">
        <f t="shared" si="30"/>
        <v>529427.05958426069</v>
      </c>
      <c r="K136" s="61">
        <f t="shared" si="30"/>
        <v>493028.94923784269</v>
      </c>
      <c r="L136" s="61">
        <f t="shared" si="30"/>
        <v>459133.20897774096</v>
      </c>
      <c r="M136" s="61">
        <f t="shared" si="30"/>
        <v>427567.80086052127</v>
      </c>
      <c r="N136" s="61">
        <f t="shared" si="30"/>
        <v>398172.51455136033</v>
      </c>
      <c r="O136" s="61">
        <f t="shared" si="30"/>
        <v>370798.15417595423</v>
      </c>
      <c r="P136" s="61">
        <f t="shared" si="30"/>
        <v>345305.78107635735</v>
      </c>
      <c r="Q136" s="61">
        <f t="shared" si="30"/>
        <v>321566.00862735772</v>
      </c>
      <c r="R136" s="46"/>
    </row>
    <row r="137" spans="1:19" x14ac:dyDescent="0.25">
      <c r="A137" t="s">
        <v>98</v>
      </c>
      <c r="C137" s="61"/>
      <c r="D137" s="61"/>
      <c r="E137" s="61"/>
      <c r="F137" s="61"/>
      <c r="G137" s="61"/>
      <c r="H137" s="61"/>
      <c r="I137" s="61">
        <f t="shared" ref="I137:R137" si="31">$E$131*$B$17*I$102</f>
        <v>1407615.4674519929</v>
      </c>
      <c r="J137" s="61">
        <f t="shared" si="31"/>
        <v>1468142.9325524285</v>
      </c>
      <c r="K137" s="61">
        <f t="shared" si="31"/>
        <v>1531273.0786521828</v>
      </c>
      <c r="L137" s="61">
        <f t="shared" si="31"/>
        <v>1597117.8210342268</v>
      </c>
      <c r="M137" s="61">
        <f t="shared" si="31"/>
        <v>1665793.8873386984</v>
      </c>
      <c r="N137" s="61">
        <f t="shared" si="31"/>
        <v>1737423.0244942622</v>
      </c>
      <c r="O137" s="61">
        <f t="shared" si="31"/>
        <v>1812132.2145475151</v>
      </c>
      <c r="P137" s="61">
        <f t="shared" si="31"/>
        <v>1890053.8997730582</v>
      </c>
      <c r="Q137" s="61">
        <f t="shared" si="31"/>
        <v>1971326.2174632996</v>
      </c>
      <c r="R137" s="61">
        <f t="shared" si="31"/>
        <v>2056093.2448142213</v>
      </c>
    </row>
    <row r="138" spans="1:19" x14ac:dyDescent="0.25">
      <c r="A138" t="s">
        <v>99</v>
      </c>
      <c r="C138" s="61"/>
      <c r="D138" s="61"/>
      <c r="E138" s="61"/>
      <c r="F138" s="61"/>
      <c r="G138" s="61"/>
      <c r="H138" s="61"/>
      <c r="I138" s="61">
        <f t="shared" ref="I138:R138" si="32">I137/(1+$B$20)^I$26</f>
        <v>568512.27874819946</v>
      </c>
      <c r="J138" s="61">
        <f t="shared" si="32"/>
        <v>529427.05958426069</v>
      </c>
      <c r="K138" s="61">
        <f t="shared" si="32"/>
        <v>493028.94923784269</v>
      </c>
      <c r="L138" s="61">
        <f t="shared" si="32"/>
        <v>459133.20897774096</v>
      </c>
      <c r="M138" s="61">
        <f t="shared" si="32"/>
        <v>427567.80086052127</v>
      </c>
      <c r="N138" s="61">
        <f t="shared" si="32"/>
        <v>398172.51455136033</v>
      </c>
      <c r="O138" s="61">
        <f t="shared" si="32"/>
        <v>370798.15417595423</v>
      </c>
      <c r="P138" s="61">
        <f t="shared" si="32"/>
        <v>345305.78107635735</v>
      </c>
      <c r="Q138" s="61">
        <f t="shared" si="32"/>
        <v>321566.00862735772</v>
      </c>
      <c r="R138" s="61">
        <f t="shared" si="32"/>
        <v>299458.3455342268</v>
      </c>
    </row>
    <row r="139" spans="1:19" x14ac:dyDescent="0.25">
      <c r="A139" t="s">
        <v>100</v>
      </c>
      <c r="C139" s="61"/>
      <c r="D139" s="61"/>
      <c r="E139" s="61"/>
      <c r="F139" s="61"/>
      <c r="G139" s="61"/>
      <c r="H139" s="61"/>
      <c r="I139" s="61"/>
      <c r="J139" s="61">
        <f t="shared" ref="J139:S139" si="33">$F$131*$B$17*J$102</f>
        <v>1468142.9325524285</v>
      </c>
      <c r="K139" s="61">
        <f t="shared" si="33"/>
        <v>1531273.0786521828</v>
      </c>
      <c r="L139" s="61">
        <f t="shared" si="33"/>
        <v>1597117.8210342268</v>
      </c>
      <c r="M139" s="61">
        <f t="shared" si="33"/>
        <v>1665793.8873386984</v>
      </c>
      <c r="N139" s="61">
        <f t="shared" si="33"/>
        <v>1737423.0244942622</v>
      </c>
      <c r="O139" s="61">
        <f t="shared" si="33"/>
        <v>1812132.2145475151</v>
      </c>
      <c r="P139" s="61">
        <f t="shared" si="33"/>
        <v>1890053.8997730582</v>
      </c>
      <c r="Q139" s="61">
        <f t="shared" si="33"/>
        <v>1971326.2174632996</v>
      </c>
      <c r="R139" s="61">
        <f t="shared" si="33"/>
        <v>2056093.2448142213</v>
      </c>
      <c r="S139" s="61">
        <f t="shared" si="33"/>
        <v>2144505.2543412326</v>
      </c>
    </row>
    <row r="140" spans="1:19" x14ac:dyDescent="0.25">
      <c r="A140" t="s">
        <v>101</v>
      </c>
      <c r="C140" s="61"/>
      <c r="D140" s="61"/>
      <c r="E140" s="61"/>
      <c r="F140" s="61"/>
      <c r="G140" s="61"/>
      <c r="H140" s="61"/>
      <c r="I140" s="61"/>
      <c r="J140" s="61">
        <f t="shared" ref="J140:S140" si="34">J139/(1+$B$20)^J$26</f>
        <v>529427.05958426069</v>
      </c>
      <c r="K140" s="61">
        <f t="shared" si="34"/>
        <v>493028.94923784269</v>
      </c>
      <c r="L140" s="61">
        <f t="shared" si="34"/>
        <v>459133.20897774096</v>
      </c>
      <c r="M140" s="61">
        <f t="shared" si="34"/>
        <v>427567.80086052127</v>
      </c>
      <c r="N140" s="61">
        <f t="shared" si="34"/>
        <v>398172.51455136033</v>
      </c>
      <c r="O140" s="61">
        <f t="shared" si="34"/>
        <v>370798.15417595423</v>
      </c>
      <c r="P140" s="61">
        <f t="shared" si="34"/>
        <v>345305.78107635735</v>
      </c>
      <c r="Q140" s="61">
        <f t="shared" si="34"/>
        <v>321566.00862735772</v>
      </c>
      <c r="R140" s="61">
        <f t="shared" si="34"/>
        <v>299458.3455342268</v>
      </c>
      <c r="S140" s="61">
        <f t="shared" si="34"/>
        <v>278870.58427874866</v>
      </c>
    </row>
    <row r="141" spans="1:19" x14ac:dyDescent="0.25">
      <c r="A141" t="s">
        <v>102</v>
      </c>
      <c r="C141" s="61"/>
      <c r="D141" s="61"/>
      <c r="E141" s="61"/>
      <c r="F141" s="61"/>
      <c r="G141" s="61"/>
      <c r="H141" s="61"/>
      <c r="I141" s="61"/>
      <c r="J141" s="61"/>
      <c r="K141" s="61"/>
      <c r="L141" s="61"/>
      <c r="M141" s="61"/>
      <c r="N141" s="61"/>
      <c r="O141" s="61"/>
      <c r="P141" s="61"/>
      <c r="Q141" s="46"/>
      <c r="R141" s="46"/>
    </row>
    <row r="142" spans="1:19" x14ac:dyDescent="0.25">
      <c r="A142" t="s">
        <v>103</v>
      </c>
      <c r="C142" s="61"/>
      <c r="D142" s="61"/>
      <c r="E142" s="61"/>
      <c r="F142" s="61"/>
      <c r="G142" s="61"/>
      <c r="H142" s="61"/>
      <c r="I142" s="61"/>
      <c r="J142" s="61"/>
      <c r="K142" s="61"/>
      <c r="L142" s="61"/>
      <c r="M142" s="61"/>
      <c r="N142" s="61"/>
      <c r="O142" s="61"/>
      <c r="P142" s="61"/>
      <c r="Q142" s="46"/>
      <c r="R142" s="46"/>
    </row>
    <row r="143" spans="1:19" x14ac:dyDescent="0.25">
      <c r="C143" s="61"/>
      <c r="D143" s="61"/>
      <c r="E143" s="61"/>
      <c r="F143" s="61"/>
      <c r="G143" s="61"/>
      <c r="H143" s="61"/>
      <c r="I143" s="61"/>
      <c r="J143" s="61"/>
      <c r="K143" s="61"/>
      <c r="L143" s="61"/>
      <c r="M143" s="61"/>
      <c r="N143" s="61"/>
      <c r="O143" s="61"/>
      <c r="P143" s="61"/>
      <c r="Q143" s="46"/>
      <c r="R143" s="46"/>
    </row>
    <row r="144" spans="1:19" x14ac:dyDescent="0.25">
      <c r="A144" s="63" t="s">
        <v>111</v>
      </c>
      <c r="B144" s="64"/>
      <c r="C144" s="65">
        <f>SUM(G134:P134)</f>
        <v>4936647.1922654081</v>
      </c>
      <c r="D144" s="65">
        <f>SUM(H136:Q136)</f>
        <v>4523994.739730279</v>
      </c>
      <c r="E144" s="65">
        <f>SUM(I138:R138)</f>
        <v>4212970.1013738215</v>
      </c>
      <c r="F144" s="65">
        <f>SUM(J140:S140)</f>
        <v>3923328.406904371</v>
      </c>
      <c r="G144" s="61"/>
      <c r="H144" s="61"/>
      <c r="I144" s="61"/>
      <c r="J144" s="61"/>
      <c r="K144" s="61"/>
      <c r="L144" s="61"/>
      <c r="M144" s="61"/>
      <c r="N144" s="61"/>
      <c r="O144" s="61"/>
      <c r="P144" s="61"/>
      <c r="Q144" s="46"/>
      <c r="R144" s="46"/>
    </row>
    <row r="145" spans="1:24" x14ac:dyDescent="0.25">
      <c r="C145" s="61"/>
      <c r="D145" s="61"/>
      <c r="E145" s="61"/>
      <c r="F145" s="61"/>
      <c r="G145" s="61"/>
      <c r="H145" s="61"/>
      <c r="I145" s="61"/>
      <c r="J145" s="61"/>
      <c r="K145" s="61"/>
      <c r="L145" s="61"/>
      <c r="M145" s="61"/>
      <c r="N145" s="61"/>
      <c r="O145" s="61"/>
      <c r="P145" s="61"/>
      <c r="Q145" s="46"/>
      <c r="R145" s="46"/>
    </row>
    <row r="146" spans="1:24" x14ac:dyDescent="0.25">
      <c r="C146" s="61"/>
      <c r="D146" s="61"/>
      <c r="E146" s="61"/>
      <c r="F146" s="61"/>
      <c r="G146" s="61"/>
      <c r="H146" s="61"/>
      <c r="I146" s="61"/>
      <c r="J146" s="61"/>
      <c r="K146" s="61"/>
      <c r="L146" s="61"/>
      <c r="M146" s="61"/>
      <c r="N146" s="61"/>
      <c r="O146" s="61"/>
      <c r="P146" s="61"/>
      <c r="Q146" s="46"/>
      <c r="R146" s="46"/>
    </row>
    <row r="147" spans="1:24" x14ac:dyDescent="0.25">
      <c r="A147" s="162" t="s">
        <v>112</v>
      </c>
      <c r="B147" s="162"/>
      <c r="C147" s="162"/>
      <c r="D147" s="162"/>
      <c r="E147" s="162"/>
      <c r="F147" s="162"/>
      <c r="G147" s="61"/>
      <c r="H147" s="61"/>
      <c r="I147" s="61"/>
      <c r="J147" s="61"/>
      <c r="K147" s="61"/>
      <c r="L147" s="61"/>
      <c r="M147" s="61"/>
      <c r="N147" s="61"/>
      <c r="O147" s="61"/>
      <c r="P147" s="61"/>
      <c r="Q147" s="46"/>
      <c r="R147" s="46"/>
    </row>
    <row r="148" spans="1:24" x14ac:dyDescent="0.25">
      <c r="A148" s="162"/>
      <c r="B148" s="162"/>
      <c r="C148" s="162"/>
      <c r="D148" s="162"/>
      <c r="E148" s="162"/>
      <c r="F148" s="162"/>
      <c r="G148" s="61"/>
      <c r="H148" s="61"/>
      <c r="I148" s="61"/>
      <c r="J148" s="61"/>
      <c r="K148" s="61"/>
      <c r="L148" s="61"/>
      <c r="M148" s="61"/>
      <c r="N148" s="61"/>
      <c r="O148" s="61"/>
      <c r="P148" s="61"/>
      <c r="Q148" s="46"/>
      <c r="R148" s="46"/>
    </row>
    <row r="149" spans="1:24" x14ac:dyDescent="0.25">
      <c r="C149" s="61"/>
      <c r="D149" s="61"/>
      <c r="E149" s="61"/>
      <c r="F149" s="61"/>
      <c r="G149" s="61"/>
      <c r="H149" s="61"/>
      <c r="I149" s="61"/>
      <c r="J149" s="61"/>
      <c r="K149" s="61"/>
      <c r="L149" s="61"/>
      <c r="M149" s="61"/>
      <c r="N149" s="61"/>
      <c r="O149" s="61"/>
      <c r="P149" s="61"/>
      <c r="Q149" s="46"/>
      <c r="R149" s="46"/>
    </row>
    <row r="150" spans="1:24" outlineLevel="1" x14ac:dyDescent="0.25">
      <c r="A150" t="s">
        <v>49</v>
      </c>
      <c r="B150">
        <f>C11</f>
        <v>9093</v>
      </c>
      <c r="C150" s="47">
        <f>B150*(1+$B$13)</f>
        <v>9138.4649999999983</v>
      </c>
      <c r="D150" s="47">
        <f t="shared" ref="D150:F150" si="35">C150*(1+$B$13)</f>
        <v>9184.1573249999965</v>
      </c>
      <c r="E150" s="47">
        <f t="shared" si="35"/>
        <v>9230.0781116249964</v>
      </c>
      <c r="F150" s="47">
        <f t="shared" si="35"/>
        <v>9276.2285021831212</v>
      </c>
      <c r="G150" s="47"/>
      <c r="H150" s="47"/>
      <c r="I150" s="47"/>
      <c r="J150" s="47"/>
      <c r="K150" s="47"/>
      <c r="L150" s="47"/>
      <c r="M150" s="47"/>
      <c r="N150" s="47"/>
      <c r="O150" s="47"/>
      <c r="P150" s="47"/>
      <c r="Q150" s="61"/>
      <c r="R150" s="61"/>
      <c r="S150" s="61"/>
      <c r="T150" s="61"/>
      <c r="U150" s="61"/>
      <c r="V150" s="61"/>
      <c r="W150" s="61"/>
      <c r="X150" s="61"/>
    </row>
    <row r="151" spans="1:24" outlineLevel="1" x14ac:dyDescent="0.25">
      <c r="A151" t="s">
        <v>113</v>
      </c>
      <c r="B151"/>
      <c r="C151">
        <f t="shared" ref="C151:F151" si="36">C150*$B$21</f>
        <v>3472.6166999999996</v>
      </c>
      <c r="D151">
        <f t="shared" si="36"/>
        <v>3489.9797834999986</v>
      </c>
      <c r="E151">
        <f t="shared" si="36"/>
        <v>3507.4296824174985</v>
      </c>
      <c r="F151">
        <f t="shared" si="36"/>
        <v>3524.9668308295859</v>
      </c>
      <c r="Q151" s="46"/>
      <c r="R151" s="46"/>
    </row>
    <row r="152" spans="1:24" outlineLevel="1" x14ac:dyDescent="0.25">
      <c r="A152" t="s">
        <v>114</v>
      </c>
      <c r="B152" s="49"/>
      <c r="C152" s="49">
        <f>C151*C28*$B$22</f>
        <v>10865817.654299999</v>
      </c>
      <c r="D152" s="49">
        <f>D151*D28*$B$22</f>
        <v>11389713.052502068</v>
      </c>
      <c r="E152" s="49">
        <f>E151*E28*$B$22</f>
        <v>11938868.067328457</v>
      </c>
      <c r="F152" s="49">
        <f>F151*F28*$B$22</f>
        <v>12514500.591194697</v>
      </c>
      <c r="G152" s="49"/>
      <c r="H152" s="49"/>
      <c r="I152" s="49"/>
      <c r="J152" s="49"/>
      <c r="K152" s="49"/>
      <c r="L152" s="49"/>
      <c r="M152" s="49"/>
      <c r="N152" s="49"/>
      <c r="O152" s="49"/>
      <c r="P152" s="49"/>
      <c r="Q152" s="46"/>
      <c r="R152" s="46"/>
    </row>
    <row r="153" spans="1:24" outlineLevel="1" x14ac:dyDescent="0.25">
      <c r="A153" t="s">
        <v>115</v>
      </c>
      <c r="B153"/>
      <c r="C153">
        <f t="shared" ref="C153:F153" si="37">C150*$C$21</f>
        <v>3993.5092049999989</v>
      </c>
      <c r="D153">
        <f t="shared" si="37"/>
        <v>4013.4767510249981</v>
      </c>
      <c r="E153">
        <f t="shared" si="37"/>
        <v>4033.5441347801229</v>
      </c>
      <c r="F153">
        <f t="shared" si="37"/>
        <v>4053.7118554540234</v>
      </c>
      <c r="Q153" s="46"/>
      <c r="R153" s="46"/>
    </row>
    <row r="154" spans="1:24" outlineLevel="1" x14ac:dyDescent="0.25">
      <c r="A154" t="s">
        <v>116</v>
      </c>
      <c r="B154" s="49"/>
      <c r="C154" s="49">
        <f>C153*C28*$B$22</f>
        <v>12495690.302444996</v>
      </c>
      <c r="D154" s="49">
        <f>D153*D28*$B$22</f>
        <v>13098170.010377379</v>
      </c>
      <c r="E154" s="49">
        <f>E153*E28*$B$22</f>
        <v>13729698.277427724</v>
      </c>
      <c r="F154" s="49">
        <f>F153*F28*$B$22</f>
        <v>14391675.679873897</v>
      </c>
      <c r="G154" s="49"/>
      <c r="H154" s="49"/>
      <c r="I154" s="49"/>
      <c r="J154" s="49"/>
      <c r="K154" s="49"/>
      <c r="L154" s="49"/>
      <c r="M154" s="49"/>
      <c r="N154" s="49"/>
      <c r="O154" s="49"/>
      <c r="P154" s="49"/>
      <c r="Q154" s="46"/>
      <c r="R154" s="46"/>
    </row>
    <row r="155" spans="1:24" x14ac:dyDescent="0.25">
      <c r="A155" s="66" t="s">
        <v>112</v>
      </c>
      <c r="B155" s="67"/>
      <c r="C155" s="67">
        <f t="shared" ref="C155:F155" si="38">C154-C152</f>
        <v>1629872.6481449977</v>
      </c>
      <c r="D155" s="67">
        <f t="shared" si="38"/>
        <v>1708456.9578753114</v>
      </c>
      <c r="E155" s="67">
        <f t="shared" si="38"/>
        <v>1790830.2100992668</v>
      </c>
      <c r="F155" s="67">
        <f t="shared" si="38"/>
        <v>1877175.0886792</v>
      </c>
      <c r="G155" s="49"/>
      <c r="H155" s="49"/>
      <c r="I155" s="49"/>
      <c r="J155" s="49"/>
      <c r="K155" s="49"/>
      <c r="L155" s="49"/>
      <c r="M155" s="49"/>
      <c r="N155" s="49"/>
      <c r="O155" s="49"/>
      <c r="P155" s="49"/>
      <c r="Q155" s="46"/>
      <c r="R155" s="46"/>
    </row>
    <row r="156" spans="1:24" x14ac:dyDescent="0.25">
      <c r="C156" s="61"/>
      <c r="D156" s="61"/>
      <c r="E156" s="61"/>
      <c r="F156" s="61"/>
      <c r="G156" s="61"/>
      <c r="H156" s="61"/>
      <c r="I156" s="61"/>
      <c r="J156" s="61"/>
      <c r="K156" s="61"/>
      <c r="L156" s="61"/>
      <c r="M156" s="61"/>
      <c r="N156" s="61"/>
      <c r="O156" s="61"/>
      <c r="P156" s="61"/>
      <c r="Q156" s="46"/>
      <c r="R156" s="46"/>
    </row>
    <row r="157" spans="1:24" hidden="1" x14ac:dyDescent="0.25">
      <c r="C157" s="61"/>
      <c r="D157" s="61"/>
      <c r="E157" s="61"/>
      <c r="F157" s="61"/>
      <c r="G157" s="61"/>
      <c r="H157" s="61"/>
      <c r="I157" s="61"/>
      <c r="J157" s="61"/>
      <c r="K157" s="61"/>
      <c r="L157" s="61"/>
      <c r="M157" s="61"/>
      <c r="N157" s="61"/>
      <c r="O157" s="61"/>
      <c r="P157" s="61"/>
      <c r="Q157" s="46"/>
      <c r="R157" s="46"/>
    </row>
    <row r="158" spans="1:24" hidden="1" x14ac:dyDescent="0.25">
      <c r="C158" s="61"/>
      <c r="D158" s="61"/>
      <c r="E158" s="61"/>
      <c r="F158" s="61"/>
      <c r="G158" s="61"/>
      <c r="H158" s="61"/>
      <c r="I158" s="61"/>
      <c r="J158" s="61"/>
      <c r="K158" s="61"/>
      <c r="L158" s="61"/>
      <c r="M158" s="61"/>
      <c r="N158" s="61"/>
      <c r="O158" s="61"/>
      <c r="P158" s="61"/>
      <c r="Q158" s="46"/>
      <c r="R158" s="46"/>
    </row>
    <row r="159" spans="1:24" hidden="1" x14ac:dyDescent="0.25">
      <c r="C159" s="61"/>
      <c r="D159" s="61"/>
      <c r="E159" s="61"/>
      <c r="F159" s="61"/>
      <c r="G159" s="61"/>
      <c r="H159" s="61"/>
      <c r="I159" s="61"/>
      <c r="J159" s="61"/>
      <c r="K159" s="61"/>
      <c r="L159" s="61"/>
      <c r="M159" s="61"/>
      <c r="N159" s="61"/>
      <c r="O159" s="61"/>
      <c r="P159" s="61"/>
      <c r="Q159" s="46"/>
      <c r="R159" s="46"/>
    </row>
    <row r="160" spans="1:24" hidden="1" x14ac:dyDescent="0.25">
      <c r="C160" s="61"/>
      <c r="D160" s="61"/>
      <c r="E160" s="61"/>
      <c r="F160" s="61"/>
      <c r="G160" s="61"/>
      <c r="H160" s="61"/>
      <c r="I160" s="61"/>
      <c r="J160" s="61"/>
      <c r="K160" s="61"/>
      <c r="L160" s="61"/>
      <c r="M160" s="61"/>
      <c r="N160" s="61"/>
      <c r="O160" s="61"/>
      <c r="P160" s="61"/>
      <c r="Q160" s="46"/>
      <c r="R160" s="46"/>
    </row>
    <row r="161" spans="1:18" hidden="1" x14ac:dyDescent="0.25">
      <c r="C161" s="61"/>
      <c r="D161" s="61"/>
      <c r="E161" s="61"/>
      <c r="F161" s="61"/>
      <c r="G161" s="61"/>
      <c r="H161" s="61"/>
      <c r="I161" s="61"/>
      <c r="J161" s="61"/>
      <c r="K161" s="61"/>
      <c r="L161" s="61"/>
      <c r="M161" s="61"/>
      <c r="N161" s="61"/>
      <c r="O161" s="61"/>
      <c r="P161" s="61"/>
      <c r="Q161" s="46"/>
      <c r="R161" s="46"/>
    </row>
    <row r="162" spans="1:18" hidden="1" x14ac:dyDescent="0.25">
      <c r="C162" s="61"/>
      <c r="D162" s="61"/>
      <c r="E162" s="61"/>
      <c r="F162" s="61"/>
      <c r="G162" s="61"/>
      <c r="H162" s="61"/>
      <c r="I162" s="61"/>
      <c r="J162" s="61"/>
      <c r="K162" s="61"/>
      <c r="L162" s="61"/>
      <c r="M162" s="61"/>
      <c r="N162" s="61"/>
      <c r="O162" s="61"/>
      <c r="P162" s="61"/>
      <c r="Q162" s="46"/>
      <c r="R162" s="46"/>
    </row>
    <row r="163" spans="1:18" hidden="1" x14ac:dyDescent="0.25">
      <c r="C163" s="61"/>
      <c r="D163" s="61"/>
      <c r="E163" s="61"/>
      <c r="F163" s="61"/>
      <c r="G163" s="61"/>
      <c r="H163" s="61"/>
      <c r="I163" s="61"/>
      <c r="J163" s="61"/>
      <c r="K163" s="61"/>
      <c r="L163" s="61"/>
      <c r="M163" s="61"/>
      <c r="N163" s="61"/>
      <c r="O163" s="61"/>
      <c r="P163" s="61"/>
      <c r="Q163" s="46"/>
      <c r="R163" s="46"/>
    </row>
    <row r="164" spans="1:18" hidden="1" x14ac:dyDescent="0.25">
      <c r="C164" s="61"/>
      <c r="D164" s="61"/>
      <c r="E164" s="61"/>
      <c r="F164" s="61"/>
      <c r="G164" s="61"/>
      <c r="H164" s="61"/>
      <c r="I164" s="61"/>
      <c r="J164" s="61"/>
      <c r="K164" s="61"/>
      <c r="L164" s="61"/>
      <c r="M164" s="61"/>
      <c r="N164" s="61"/>
      <c r="O164" s="61"/>
      <c r="P164" s="61"/>
      <c r="Q164" s="46"/>
      <c r="R164" s="46"/>
    </row>
    <row r="165" spans="1:18" hidden="1" x14ac:dyDescent="0.25">
      <c r="C165" s="61"/>
      <c r="D165" s="61"/>
      <c r="E165" s="61"/>
      <c r="F165" s="61"/>
      <c r="G165" s="61"/>
      <c r="H165" s="61"/>
      <c r="I165" s="61"/>
      <c r="J165" s="61"/>
      <c r="K165" s="61"/>
      <c r="L165" s="61"/>
      <c r="M165" s="61"/>
      <c r="N165" s="61"/>
      <c r="O165" s="61"/>
      <c r="P165" s="61"/>
      <c r="Q165" s="46"/>
      <c r="R165" s="46"/>
    </row>
    <row r="166" spans="1:18" hidden="1" x14ac:dyDescent="0.25">
      <c r="C166" s="61"/>
      <c r="D166" s="61"/>
      <c r="E166" s="61"/>
      <c r="F166" s="61"/>
      <c r="G166" s="61"/>
      <c r="H166" s="61"/>
      <c r="I166" s="61"/>
      <c r="J166" s="61"/>
      <c r="K166" s="61"/>
      <c r="L166" s="61"/>
      <c r="M166" s="61"/>
      <c r="N166" s="61"/>
      <c r="O166" s="61"/>
      <c r="P166" s="61"/>
      <c r="Q166" s="46"/>
      <c r="R166" s="46"/>
    </row>
    <row r="167" spans="1:18" hidden="1" x14ac:dyDescent="0.25">
      <c r="C167" s="61"/>
      <c r="D167" s="61"/>
      <c r="E167" s="61"/>
      <c r="F167" s="61"/>
      <c r="G167" s="61"/>
      <c r="H167" s="61"/>
      <c r="I167" s="61"/>
      <c r="J167" s="61"/>
      <c r="K167" s="61"/>
      <c r="L167" s="61"/>
      <c r="M167" s="61"/>
      <c r="N167" s="61"/>
      <c r="O167" s="61"/>
      <c r="P167" s="61"/>
      <c r="Q167" s="46"/>
      <c r="R167" s="46"/>
    </row>
    <row r="168" spans="1:18" ht="15.6" hidden="1" customHeight="1" x14ac:dyDescent="0.25">
      <c r="C168" s="61"/>
      <c r="D168" s="61"/>
      <c r="E168" s="61"/>
      <c r="F168" s="61"/>
      <c r="G168" s="61"/>
      <c r="H168" s="61"/>
      <c r="I168" s="61"/>
      <c r="J168" s="61"/>
      <c r="K168" s="61"/>
      <c r="L168" s="61"/>
      <c r="M168" s="61"/>
      <c r="N168" s="61"/>
      <c r="O168" s="61"/>
      <c r="P168" s="61"/>
      <c r="Q168" s="46"/>
      <c r="R168" s="46"/>
    </row>
    <row r="169" spans="1:18" hidden="1" x14ac:dyDescent="0.25">
      <c r="C169" s="61"/>
      <c r="D169" s="61"/>
      <c r="E169" s="61"/>
      <c r="F169" s="61"/>
      <c r="G169" s="61"/>
      <c r="H169" s="61"/>
      <c r="I169" s="61"/>
      <c r="J169" s="61"/>
      <c r="K169" s="61"/>
      <c r="L169" s="61"/>
      <c r="M169" s="61"/>
      <c r="N169" s="61"/>
      <c r="O169" s="61"/>
      <c r="P169" s="61"/>
      <c r="Q169" s="46"/>
      <c r="R169" s="46"/>
    </row>
    <row r="170" spans="1:18" hidden="1" x14ac:dyDescent="0.25">
      <c r="C170" s="61"/>
      <c r="D170" s="61"/>
      <c r="E170" s="61"/>
      <c r="F170" s="61"/>
      <c r="G170" s="61"/>
      <c r="H170" s="61"/>
      <c r="I170" s="61"/>
      <c r="J170" s="61"/>
      <c r="K170" s="61"/>
      <c r="L170" s="61"/>
      <c r="M170" s="61"/>
      <c r="N170" s="61"/>
      <c r="O170" s="61"/>
      <c r="P170" s="61"/>
      <c r="Q170" s="46"/>
      <c r="R170" s="46"/>
    </row>
    <row r="171" spans="1:18" hidden="1" x14ac:dyDescent="0.25">
      <c r="C171" s="61"/>
      <c r="D171" s="61"/>
      <c r="E171" s="61"/>
      <c r="F171" s="61"/>
      <c r="G171" s="61"/>
      <c r="H171" s="61"/>
      <c r="I171" s="61"/>
      <c r="J171" s="61"/>
      <c r="K171" s="61"/>
      <c r="L171" s="61"/>
      <c r="M171" s="61"/>
      <c r="N171" s="61"/>
      <c r="O171" s="61"/>
      <c r="P171" s="61"/>
      <c r="Q171" s="46"/>
      <c r="R171" s="46"/>
    </row>
    <row r="172" spans="1:18" hidden="1" x14ac:dyDescent="0.25">
      <c r="C172" s="61"/>
      <c r="D172" s="61"/>
      <c r="E172" s="61"/>
      <c r="F172" s="61"/>
      <c r="G172" s="61"/>
      <c r="H172" s="61"/>
      <c r="I172" s="61"/>
      <c r="J172" s="61"/>
      <c r="K172" s="61"/>
      <c r="L172" s="61"/>
      <c r="M172" s="61"/>
      <c r="N172" s="61"/>
      <c r="O172" s="61"/>
      <c r="P172" s="61"/>
      <c r="Q172" s="46"/>
      <c r="R172" s="46"/>
    </row>
    <row r="173" spans="1:18" hidden="1" x14ac:dyDescent="0.25">
      <c r="C173" s="61"/>
      <c r="D173" s="61"/>
      <c r="E173" s="61"/>
      <c r="F173" s="61"/>
      <c r="G173" s="61"/>
      <c r="H173" s="61"/>
      <c r="I173" s="61"/>
      <c r="J173" s="61"/>
      <c r="K173" s="61"/>
      <c r="L173" s="61"/>
      <c r="M173" s="61"/>
      <c r="N173" s="61"/>
      <c r="O173" s="61"/>
      <c r="P173" s="61"/>
      <c r="Q173" s="46"/>
      <c r="R173" s="46"/>
    </row>
    <row r="174" spans="1:18" hidden="1" x14ac:dyDescent="0.25">
      <c r="C174" s="61"/>
      <c r="D174" s="61"/>
      <c r="E174" s="61"/>
      <c r="F174" s="61"/>
      <c r="G174" s="61"/>
      <c r="H174" s="61"/>
      <c r="I174" s="61"/>
      <c r="J174" s="61"/>
      <c r="K174" s="61"/>
      <c r="L174" s="61"/>
      <c r="M174" s="61"/>
      <c r="N174" s="61"/>
      <c r="O174" s="61"/>
      <c r="P174" s="61"/>
      <c r="Q174" s="46"/>
      <c r="R174" s="46"/>
    </row>
    <row r="175" spans="1:18" x14ac:dyDescent="0.25">
      <c r="C175" s="61"/>
      <c r="D175" s="61"/>
      <c r="E175" s="61"/>
      <c r="F175" s="61"/>
      <c r="G175" s="61"/>
      <c r="H175" s="61"/>
      <c r="I175" s="61"/>
      <c r="J175" s="61"/>
      <c r="K175" s="61"/>
      <c r="L175" s="61"/>
      <c r="M175" s="61"/>
      <c r="N175" s="61"/>
      <c r="O175" s="61"/>
      <c r="P175" s="61"/>
      <c r="Q175" s="46"/>
      <c r="R175" s="46"/>
    </row>
    <row r="176" spans="1:18" x14ac:dyDescent="0.25">
      <c r="A176" s="157" t="s">
        <v>117</v>
      </c>
      <c r="B176" s="157"/>
      <c r="C176" s="157"/>
      <c r="D176" s="157"/>
      <c r="E176" s="157"/>
      <c r="F176" s="157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6"/>
      <c r="R176" s="46"/>
    </row>
    <row r="177" spans="1:18" x14ac:dyDescent="0.25">
      <c r="A177" s="157"/>
      <c r="B177" s="157"/>
      <c r="C177" s="157"/>
      <c r="D177" s="157"/>
      <c r="E177" s="157"/>
      <c r="F177" s="157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6"/>
      <c r="R177" s="46"/>
    </row>
    <row r="178" spans="1:18" hidden="1" x14ac:dyDescent="0.25">
      <c r="B178" s="40" t="s">
        <v>118</v>
      </c>
      <c r="C178" s="48" t="s">
        <v>119</v>
      </c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6"/>
      <c r="R178" s="46"/>
    </row>
    <row r="179" spans="1:18" ht="15.75" hidden="1" x14ac:dyDescent="0.25">
      <c r="A179" s="68" t="s">
        <v>120</v>
      </c>
      <c r="B179" s="40">
        <v>3527189.4828571398</v>
      </c>
      <c r="C179" s="52">
        <f>B179*B19</f>
        <v>705437.89657142805</v>
      </c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6"/>
      <c r="R179" s="46"/>
    </row>
    <row r="180" spans="1:18" hidden="1" x14ac:dyDescent="0.25">
      <c r="A180" t="s">
        <v>121</v>
      </c>
      <c r="B180" s="40">
        <v>808.84000248971347</v>
      </c>
      <c r="C180" s="52" t="e">
        <f>B180*#REF!</f>
        <v>#REF!</v>
      </c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6"/>
      <c r="R180" s="46"/>
    </row>
    <row r="181" spans="1:18" hidden="1" x14ac:dyDescent="0.25">
      <c r="B181" s="42">
        <v>0.45</v>
      </c>
      <c r="C181" s="43">
        <v>0.5</v>
      </c>
      <c r="D181" s="43">
        <v>0.55000000000000004</v>
      </c>
      <c r="E181" s="43">
        <v>0.6</v>
      </c>
      <c r="F181" s="43">
        <v>0.6</v>
      </c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6"/>
      <c r="R181" s="46"/>
    </row>
    <row r="182" spans="1:18" hidden="1" x14ac:dyDescent="0.25">
      <c r="A182" t="s">
        <v>122</v>
      </c>
      <c r="B182" s="69">
        <f>C179</f>
        <v>705437.89657142805</v>
      </c>
      <c r="C182" s="48">
        <f>B182*(1+$B$14)</f>
        <v>735771.72612399946</v>
      </c>
      <c r="D182" s="69">
        <f>C182*(1+$B$14)</f>
        <v>767409.91034733143</v>
      </c>
      <c r="E182" s="48">
        <f t="shared" ref="E182:F182" si="39">D182*(1+$B$14)</f>
        <v>800408.53649226658</v>
      </c>
      <c r="F182" s="48">
        <f t="shared" si="39"/>
        <v>834826.10356143396</v>
      </c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6"/>
      <c r="R182" s="46"/>
    </row>
    <row r="183" spans="1:18" x14ac:dyDescent="0.25">
      <c r="A183" t="s">
        <v>123</v>
      </c>
      <c r="B183" s="49">
        <f>B181*B182</f>
        <v>317447.05345714261</v>
      </c>
      <c r="C183" s="49">
        <f t="shared" ref="C183:F183" si="40">C181*C182</f>
        <v>367885.86306199973</v>
      </c>
      <c r="D183" s="49">
        <f t="shared" si="40"/>
        <v>422075.45069103234</v>
      </c>
      <c r="E183" s="49">
        <f t="shared" si="40"/>
        <v>480245.12189535995</v>
      </c>
      <c r="F183" s="49">
        <f t="shared" si="40"/>
        <v>500895.66213686037</v>
      </c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6"/>
      <c r="R183" s="46"/>
    </row>
    <row r="184" spans="1:18" x14ac:dyDescent="0.25"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6"/>
      <c r="R184" s="46"/>
    </row>
    <row r="185" spans="1:18" hidden="1" x14ac:dyDescent="0.25"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6"/>
      <c r="R185" s="46"/>
    </row>
    <row r="186" spans="1:18" hidden="1" x14ac:dyDescent="0.25"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6"/>
      <c r="R186" s="46"/>
    </row>
    <row r="187" spans="1:18" hidden="1" x14ac:dyDescent="0.25">
      <c r="N187" s="46"/>
      <c r="O187" s="46"/>
      <c r="P187" s="46"/>
      <c r="Q187" s="46"/>
      <c r="R187" s="46"/>
    </row>
    <row r="188" spans="1:18" hidden="1" x14ac:dyDescent="0.25">
      <c r="N188" s="46"/>
      <c r="O188" s="46"/>
      <c r="P188" s="46"/>
      <c r="Q188" s="46"/>
      <c r="R188" s="46"/>
    </row>
    <row r="189" spans="1:18" x14ac:dyDescent="0.25">
      <c r="N189" s="46"/>
      <c r="O189" s="46"/>
      <c r="P189" s="46"/>
      <c r="Q189" s="46"/>
      <c r="R189" s="46"/>
    </row>
    <row r="190" spans="1:18" ht="18.75" x14ac:dyDescent="0.3">
      <c r="A190" s="70" t="s">
        <v>124</v>
      </c>
      <c r="B190" s="71"/>
      <c r="C190" s="72"/>
      <c r="D190" s="71"/>
      <c r="E190"/>
    </row>
    <row r="191" spans="1:18" ht="15.75" x14ac:dyDescent="0.25">
      <c r="A191" s="71"/>
      <c r="B191" s="71"/>
      <c r="C191" s="72"/>
      <c r="D191" s="71"/>
      <c r="E191"/>
    </row>
    <row r="192" spans="1:18" ht="15.75" x14ac:dyDescent="0.25">
      <c r="A192" s="71"/>
      <c r="B192" s="71"/>
      <c r="C192" s="72"/>
      <c r="D192" s="71"/>
      <c r="E192"/>
    </row>
    <row r="193" spans="1:17" s="15" customFormat="1" ht="18.75" x14ac:dyDescent="0.3">
      <c r="A193" s="73" t="s">
        <v>125</v>
      </c>
      <c r="B193" s="74">
        <f>B25</f>
        <v>2021</v>
      </c>
      <c r="C193" s="74">
        <f>C25</f>
        <v>2022</v>
      </c>
      <c r="D193" s="74">
        <f>D25</f>
        <v>2023</v>
      </c>
      <c r="E193" s="74">
        <f>E25</f>
        <v>2024</v>
      </c>
      <c r="F193" s="74">
        <f>F25</f>
        <v>2025</v>
      </c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</row>
    <row r="194" spans="1:17" ht="55.9" customHeight="1" x14ac:dyDescent="0.25">
      <c r="A194" s="75" t="str">
        <f>A67</f>
        <v>Beneficio por menores costos para el sistema penitenciario para personas que cuentan con diagnostico RNR</v>
      </c>
      <c r="B194" s="75">
        <f t="shared" ref="B194:F194" si="41">B67</f>
        <v>3410888.4510892052</v>
      </c>
      <c r="C194" s="75">
        <f t="shared" si="41"/>
        <v>6185064.6346891709</v>
      </c>
      <c r="D194" s="75">
        <f t="shared" si="41"/>
        <v>5592126.3355898149</v>
      </c>
      <c r="E194" s="75">
        <f t="shared" si="41"/>
        <v>5039952.5445535369</v>
      </c>
      <c r="F194" s="75">
        <f t="shared" si="41"/>
        <v>4693455.8071154803</v>
      </c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</row>
    <row r="195" spans="1:17" ht="31.15" customHeight="1" x14ac:dyDescent="0.25">
      <c r="A195" s="76" t="str">
        <f>A94</f>
        <v>Beneficio por menores costos para el sistema penitenciario para PPLs tratados</v>
      </c>
      <c r="B195" s="76">
        <f t="shared" ref="B195:F195" si="42">B94</f>
        <v>0</v>
      </c>
      <c r="C195" s="76">
        <f t="shared" si="42"/>
        <v>8814799.2468090001</v>
      </c>
      <c r="D195" s="76">
        <f t="shared" si="42"/>
        <v>8069019.2107038181</v>
      </c>
      <c r="E195" s="76">
        <f t="shared" si="42"/>
        <v>7374511.5520808697</v>
      </c>
      <c r="F195" s="76">
        <f t="shared" si="42"/>
        <v>6867513.8828753084</v>
      </c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</row>
    <row r="196" spans="1:17" x14ac:dyDescent="0.25">
      <c r="A196" s="77" t="str">
        <f>A127</f>
        <v>Beneficios por aumento de empleabilidad de post-penados tratados</v>
      </c>
      <c r="B196" s="78"/>
      <c r="C196" s="78">
        <f>C127</f>
        <v>6978891.1200180613</v>
      </c>
      <c r="D196" s="78">
        <f>D127</f>
        <v>6395528.2778925067</v>
      </c>
      <c r="E196" s="78">
        <f>E127</f>
        <v>5955835.7087873966</v>
      </c>
      <c r="F196" s="78">
        <f>F127</f>
        <v>5546372.0038082618</v>
      </c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</row>
    <row r="197" spans="1:17" ht="24.6" customHeight="1" x14ac:dyDescent="0.25">
      <c r="A197" s="79" t="str">
        <f>A144</f>
        <v>Beneficios por aumento de empleabilidad post penados con diagnostico RNR</v>
      </c>
      <c r="B197" s="79">
        <f t="shared" ref="B197:F197" si="43">B144</f>
        <v>0</v>
      </c>
      <c r="C197" s="79">
        <f t="shared" si="43"/>
        <v>4936647.1922654081</v>
      </c>
      <c r="D197" s="79">
        <f t="shared" si="43"/>
        <v>4523994.739730279</v>
      </c>
      <c r="E197" s="79">
        <f t="shared" si="43"/>
        <v>4212970.1013738215</v>
      </c>
      <c r="F197" s="79">
        <f t="shared" si="43"/>
        <v>3923328.406904371</v>
      </c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</row>
    <row r="198" spans="1:17" x14ac:dyDescent="0.25">
      <c r="A198" s="80" t="str">
        <f>A155</f>
        <v>Beneficios por aumento de penas alternativas para sentencias menores a 4 años</v>
      </c>
      <c r="B198" s="80"/>
      <c r="C198" s="80">
        <f t="shared" ref="C198:F198" si="44">C155</f>
        <v>1629872.6481449977</v>
      </c>
      <c r="D198" s="80">
        <f t="shared" si="44"/>
        <v>1708456.9578753114</v>
      </c>
      <c r="E198" s="80">
        <f t="shared" si="44"/>
        <v>1790830.2100992668</v>
      </c>
      <c r="F198" s="80">
        <f t="shared" si="44"/>
        <v>1877175.0886792</v>
      </c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</row>
    <row r="199" spans="1:17" x14ac:dyDescent="0.25">
      <c r="A199" s="81" t="str">
        <f>A183</f>
        <v>Ahorros estimados por Videoconferencias</v>
      </c>
      <c r="B199" s="82">
        <f>B183</f>
        <v>317447.05345714261</v>
      </c>
      <c r="C199" s="82">
        <f t="shared" ref="C199:F199" si="45">C183</f>
        <v>367885.86306199973</v>
      </c>
      <c r="D199" s="82">
        <f t="shared" si="45"/>
        <v>422075.45069103234</v>
      </c>
      <c r="E199" s="82">
        <f t="shared" si="45"/>
        <v>480245.12189535995</v>
      </c>
      <c r="F199" s="82">
        <f t="shared" si="45"/>
        <v>500895.66213686037</v>
      </c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</row>
    <row r="200" spans="1:17" x14ac:dyDescent="0.25">
      <c r="A200" s="83" t="s">
        <v>126</v>
      </c>
      <c r="B200" s="84">
        <f>SUM(B194:B199)</f>
        <v>3728335.504546348</v>
      </c>
      <c r="C200" s="84">
        <f t="shared" ref="C200:F200" si="46">SUM(C194:C199)</f>
        <v>28913160.704988632</v>
      </c>
      <c r="D200" s="84">
        <f t="shared" si="46"/>
        <v>26711200.972482763</v>
      </c>
      <c r="E200" s="84">
        <f t="shared" si="46"/>
        <v>24854345.238790255</v>
      </c>
      <c r="F200" s="84">
        <f t="shared" si="46"/>
        <v>23408740.85151948</v>
      </c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</row>
    <row r="201" spans="1:17" x14ac:dyDescent="0.25">
      <c r="A201" s="40"/>
      <c r="E201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</row>
    <row r="202" spans="1:17" x14ac:dyDescent="0.25">
      <c r="B202"/>
      <c r="D202"/>
      <c r="E202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</row>
    <row r="203" spans="1:17" x14ac:dyDescent="0.25">
      <c r="A203" s="85"/>
      <c r="B203" s="85"/>
      <c r="C203" s="86"/>
      <c r="D203" s="85"/>
      <c r="E203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</row>
    <row r="204" spans="1:17" x14ac:dyDescent="0.25">
      <c r="B204"/>
      <c r="D204"/>
      <c r="E204"/>
    </row>
    <row r="205" spans="1:17" x14ac:dyDescent="0.25">
      <c r="B205"/>
      <c r="D205"/>
      <c r="E205"/>
    </row>
    <row r="206" spans="1:17" x14ac:dyDescent="0.25">
      <c r="B206"/>
      <c r="D206"/>
      <c r="E206"/>
    </row>
    <row r="207" spans="1:17" x14ac:dyDescent="0.25">
      <c r="B207"/>
      <c r="D207"/>
      <c r="E207"/>
    </row>
    <row r="208" spans="1:17" x14ac:dyDescent="0.25">
      <c r="B208"/>
      <c r="D208"/>
      <c r="E208"/>
    </row>
    <row r="209" spans="2:5" x14ac:dyDescent="0.25">
      <c r="B209"/>
      <c r="D209"/>
      <c r="E209"/>
    </row>
    <row r="210" spans="2:5" x14ac:dyDescent="0.25">
      <c r="B210"/>
      <c r="D210"/>
      <c r="E210"/>
    </row>
    <row r="211" spans="2:5" x14ac:dyDescent="0.25">
      <c r="B211"/>
      <c r="D211"/>
      <c r="E211"/>
    </row>
    <row r="212" spans="2:5" x14ac:dyDescent="0.25">
      <c r="B212"/>
      <c r="D212"/>
      <c r="E212"/>
    </row>
    <row r="213" spans="2:5" x14ac:dyDescent="0.25">
      <c r="B213"/>
      <c r="D213"/>
      <c r="E213"/>
    </row>
    <row r="214" spans="2:5" x14ac:dyDescent="0.25">
      <c r="B214"/>
      <c r="D214"/>
      <c r="E214"/>
    </row>
    <row r="215" spans="2:5" x14ac:dyDescent="0.25">
      <c r="B215"/>
      <c r="D215"/>
      <c r="E215"/>
    </row>
    <row r="216" spans="2:5" x14ac:dyDescent="0.25">
      <c r="B216"/>
      <c r="D216"/>
      <c r="E216"/>
    </row>
    <row r="217" spans="2:5" x14ac:dyDescent="0.25">
      <c r="B217"/>
      <c r="D217"/>
      <c r="E217"/>
    </row>
    <row r="218" spans="2:5" x14ac:dyDescent="0.25">
      <c r="B218"/>
      <c r="D218"/>
      <c r="E218"/>
    </row>
    <row r="219" spans="2:5" x14ac:dyDescent="0.25">
      <c r="B219"/>
      <c r="D219"/>
      <c r="E219"/>
    </row>
    <row r="220" spans="2:5" x14ac:dyDescent="0.25">
      <c r="B220"/>
      <c r="D220"/>
      <c r="E220"/>
    </row>
    <row r="221" spans="2:5" x14ac:dyDescent="0.25">
      <c r="B221"/>
      <c r="D221"/>
      <c r="E221"/>
    </row>
    <row r="222" spans="2:5" x14ac:dyDescent="0.25">
      <c r="B222"/>
      <c r="D222"/>
      <c r="E222"/>
    </row>
    <row r="223" spans="2:5" x14ac:dyDescent="0.25">
      <c r="B223"/>
      <c r="D223"/>
      <c r="E223"/>
    </row>
    <row r="224" spans="2:5" x14ac:dyDescent="0.25">
      <c r="B224"/>
      <c r="D224"/>
      <c r="E224"/>
    </row>
    <row r="225" spans="2:5" x14ac:dyDescent="0.25">
      <c r="B225"/>
      <c r="D225"/>
      <c r="E225"/>
    </row>
  </sheetData>
  <mergeCells count="6">
    <mergeCell ref="A176:F177"/>
    <mergeCell ref="A36:F37"/>
    <mergeCell ref="A69:F70"/>
    <mergeCell ref="A98:F99"/>
    <mergeCell ref="A129:F130"/>
    <mergeCell ref="A147:F14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C40066-70AA-4515-BCC7-C5CA0256DE05}">
  <sheetPr codeName="Hoja6"/>
  <dimension ref="A1:H57"/>
  <sheetViews>
    <sheetView zoomScale="80" zoomScaleNormal="80" zoomScalePageLayoutView="75" workbookViewId="0">
      <selection sqref="A1:D2"/>
    </sheetView>
  </sheetViews>
  <sheetFormatPr baseColWidth="10" defaultColWidth="9.140625" defaultRowHeight="15" x14ac:dyDescent="0.25"/>
  <cols>
    <col min="1" max="1" width="46.140625" customWidth="1"/>
    <col min="2" max="2" width="26.28515625" style="87" customWidth="1"/>
    <col min="3" max="3" width="17.42578125" style="87" customWidth="1"/>
    <col min="4" max="4" width="17.5703125" style="87" customWidth="1"/>
    <col min="5" max="5" width="17.140625" style="87" customWidth="1"/>
    <col min="6" max="6" width="17.42578125" style="87" customWidth="1"/>
    <col min="7" max="10" width="15.140625" customWidth="1"/>
  </cols>
  <sheetData>
    <row r="1" spans="1:6" x14ac:dyDescent="0.25">
      <c r="A1" s="163" t="s">
        <v>127</v>
      </c>
      <c r="B1" s="163"/>
      <c r="C1" s="163"/>
      <c r="D1" s="163"/>
    </row>
    <row r="2" spans="1:6" x14ac:dyDescent="0.25">
      <c r="A2" s="163"/>
      <c r="B2" s="163"/>
      <c r="C2" s="163"/>
      <c r="D2" s="163"/>
    </row>
    <row r="3" spans="1:6" ht="7.9" customHeight="1" x14ac:dyDescent="0.25"/>
    <row r="4" spans="1:6" ht="7.9" customHeight="1" x14ac:dyDescent="0.25"/>
    <row r="5" spans="1:6" ht="15" customHeight="1" x14ac:dyDescent="0.25">
      <c r="A5" t="s">
        <v>128</v>
      </c>
      <c r="B5" s="38">
        <v>0.12</v>
      </c>
    </row>
    <row r="6" spans="1:6" ht="15" customHeight="1" x14ac:dyDescent="0.25">
      <c r="A6" t="s">
        <v>129</v>
      </c>
      <c r="B6" s="88">
        <v>102000000</v>
      </c>
      <c r="C6" s="88"/>
    </row>
    <row r="7" spans="1:6" ht="19.149999999999999" customHeight="1" x14ac:dyDescent="0.25"/>
    <row r="8" spans="1:6" ht="9.4" customHeight="1" x14ac:dyDescent="0.25">
      <c r="B8" s="38"/>
    </row>
    <row r="9" spans="1:6" ht="21" customHeight="1" x14ac:dyDescent="0.3">
      <c r="A9" s="89" t="s">
        <v>130</v>
      </c>
      <c r="B9" s="90"/>
      <c r="C9" s="90"/>
      <c r="D9" s="90"/>
      <c r="E9" s="90"/>
      <c r="F9" s="90"/>
    </row>
    <row r="10" spans="1:6" ht="15" customHeight="1" x14ac:dyDescent="0.25">
      <c r="B10" s="91">
        <v>2015</v>
      </c>
      <c r="C10" s="91">
        <v>2016</v>
      </c>
      <c r="D10" s="91">
        <v>2017</v>
      </c>
      <c r="E10" s="91">
        <v>2018</v>
      </c>
      <c r="F10" s="91">
        <v>2019</v>
      </c>
    </row>
    <row r="11" spans="1:6" ht="15" customHeight="1" x14ac:dyDescent="0.25">
      <c r="A11" s="92" t="s">
        <v>131</v>
      </c>
      <c r="B11" s="93">
        <v>1</v>
      </c>
      <c r="C11" s="93">
        <v>2</v>
      </c>
      <c r="D11" s="93">
        <v>3</v>
      </c>
      <c r="E11" s="93">
        <v>4</v>
      </c>
      <c r="F11" s="93">
        <v>5</v>
      </c>
    </row>
    <row r="12" spans="1:6" ht="45" x14ac:dyDescent="0.25">
      <c r="A12" s="94" t="str">
        <f>'[1]Beneficios Base'!A194</f>
        <v>Beneficio por menores costos para el sistema penitenciario para personas que cuentan con diagnostico RNR</v>
      </c>
      <c r="B12" s="94">
        <f>'Beneficios Base'!B194</f>
        <v>3979369.8596040718</v>
      </c>
      <c r="C12" s="94">
        <f>'Beneficios Base'!C194</f>
        <v>7215908.7404707</v>
      </c>
      <c r="D12" s="94">
        <f>'Beneficios Base'!D194</f>
        <v>6524147.3915214539</v>
      </c>
      <c r="E12" s="94">
        <f>'Beneficios Base'!E194</f>
        <v>5879944.6353124604</v>
      </c>
      <c r="F12" s="94">
        <f>'Beneficios Base'!F194</f>
        <v>5475698.4416347295</v>
      </c>
    </row>
    <row r="13" spans="1:6" ht="30" x14ac:dyDescent="0.25">
      <c r="A13" s="94" t="str">
        <f>'[1]Beneficios Base'!A195</f>
        <v>Beneficio por menores costos para el sistema penitenciario para PPLs tratados</v>
      </c>
      <c r="B13" s="94">
        <f>'Beneficios Base'!B195</f>
        <v>0</v>
      </c>
      <c r="C13" s="94">
        <f>'Beneficios Base'!C195</f>
        <v>9832200.3999321032</v>
      </c>
      <c r="D13" s="94">
        <f>'Beneficios Base'!D195</f>
        <v>8981533.3875779435</v>
      </c>
      <c r="E13" s="94">
        <f>'Beneficios Base'!E195</f>
        <v>8189349.7323231343</v>
      </c>
      <c r="F13" s="94">
        <f>'Beneficios Base'!F195</f>
        <v>7626331.9382259175</v>
      </c>
    </row>
    <row r="14" spans="1:6" ht="30" x14ac:dyDescent="0.25">
      <c r="A14" s="94" t="str">
        <f>'[1]Beneficios Base'!A196</f>
        <v>Beneficios por aumento de empleabilidad de post-penados tratados</v>
      </c>
      <c r="B14" s="94">
        <f>'Beneficios Base'!B196</f>
        <v>0</v>
      </c>
      <c r="C14" s="94">
        <f>'Beneficios Base'!C196</f>
        <v>7933897.2732836921</v>
      </c>
      <c r="D14" s="94">
        <f>'Beneficios Base'!D196</f>
        <v>7270705.8317093765</v>
      </c>
      <c r="E14" s="94">
        <f>'Beneficios Base'!E196</f>
        <v>6770844.8057793565</v>
      </c>
      <c r="F14" s="94">
        <f>'Beneficios Base'!F196</f>
        <v>6305349.2253820254</v>
      </c>
    </row>
    <row r="15" spans="1:6" ht="60" customHeight="1" x14ac:dyDescent="0.25">
      <c r="A15" s="94" t="str">
        <f>'[1]Beneficios Base'!A197</f>
        <v>Beneficios por aumento de empleabilidad post penados con diagnostico RNR</v>
      </c>
      <c r="B15" s="94">
        <f>'Beneficios Base'!B197</f>
        <v>0</v>
      </c>
      <c r="C15" s="94">
        <f>'Beneficios Base'!C197</f>
        <v>4936647.1922654081</v>
      </c>
      <c r="D15" s="94">
        <f>'Beneficios Base'!D197</f>
        <v>4523994.739730279</v>
      </c>
      <c r="E15" s="94">
        <f>'Beneficios Base'!E197</f>
        <v>4212970.1013738215</v>
      </c>
      <c r="F15" s="94">
        <f>'Beneficios Base'!F197</f>
        <v>3923328.406904371</v>
      </c>
    </row>
    <row r="16" spans="1:6" ht="34.15" customHeight="1" x14ac:dyDescent="0.25">
      <c r="A16" s="94" t="str">
        <f>'[1]Beneficios Base'!A198</f>
        <v>Beneficios por aumento de penas alternativas para sentencias menores a 4 años</v>
      </c>
      <c r="B16" s="94">
        <f>'Beneficios Base'!B198</f>
        <v>0</v>
      </c>
      <c r="C16" s="94">
        <f>'Beneficios Base'!C198</f>
        <v>1629872.6481449977</v>
      </c>
      <c r="D16" s="94">
        <f>'Beneficios Base'!D198</f>
        <v>1708456.9578753114</v>
      </c>
      <c r="E16" s="94">
        <f>'Beneficios Base'!E198</f>
        <v>1790830.2100992668</v>
      </c>
      <c r="F16" s="94">
        <f>'Beneficios Base'!F198</f>
        <v>1877175.0886792</v>
      </c>
    </row>
    <row r="17" spans="1:6" ht="47.45" customHeight="1" x14ac:dyDescent="0.25">
      <c r="A17" s="94" t="str">
        <f>'[1]Beneficios Base'!A199</f>
        <v>Ahorros estimados por Videoconferencias</v>
      </c>
      <c r="B17" s="94">
        <f>'Beneficios Base'!B199</f>
        <v>317447.05345714261</v>
      </c>
      <c r="C17" s="94">
        <f>'Beneficios Base'!C199</f>
        <v>367885.86306199973</v>
      </c>
      <c r="D17" s="94">
        <f>'Beneficios Base'!D199</f>
        <v>422075.45069103234</v>
      </c>
      <c r="E17" s="94">
        <f>'Beneficios Base'!E199</f>
        <v>480245.12189535995</v>
      </c>
      <c r="F17" s="94">
        <f>'Beneficios Base'!F199</f>
        <v>500895.66213686037</v>
      </c>
    </row>
    <row r="18" spans="1:6" ht="15" customHeight="1" x14ac:dyDescent="0.25">
      <c r="A18" s="6" t="s">
        <v>132</v>
      </c>
      <c r="B18" s="95">
        <f>SUM(B12:B17)</f>
        <v>4296816.9130612146</v>
      </c>
      <c r="C18" s="95">
        <f>SUM(C12:C17)</f>
        <v>31916412.117158893</v>
      </c>
      <c r="D18" s="95">
        <f>SUM(D12:D17)</f>
        <v>29430913.759105399</v>
      </c>
      <c r="E18" s="95">
        <f>SUM(E12:E17)</f>
        <v>27324184.606783401</v>
      </c>
      <c r="F18" s="95">
        <f>SUM(F12:F17)</f>
        <v>25708778.762963101</v>
      </c>
    </row>
    <row r="19" spans="1:6" ht="15" customHeight="1" x14ac:dyDescent="0.25">
      <c r="A19" s="6" t="s">
        <v>133</v>
      </c>
      <c r="B19" s="95">
        <f>B18/(1+$B$5)^B11</f>
        <v>3836443.6723760841</v>
      </c>
      <c r="C19" s="95">
        <f>C18/(1+$B$5)^C11</f>
        <v>25443568.333194267</v>
      </c>
      <c r="D19" s="95">
        <f>D18/(1+$B$5)^D11</f>
        <v>20948343.088831164</v>
      </c>
      <c r="E19" s="95">
        <f>E18/(1+$B$5)^E11</f>
        <v>17365013.295281854</v>
      </c>
      <c r="F19" s="95">
        <f>F18/(1+$B$5)^F11</f>
        <v>14587851.497833252</v>
      </c>
    </row>
    <row r="20" spans="1:6" ht="15" customHeight="1" x14ac:dyDescent="0.25">
      <c r="A20" s="6" t="s">
        <v>134</v>
      </c>
      <c r="B20" s="96">
        <f>NPV(B5,B18:F18)</f>
        <v>82181219.887516618</v>
      </c>
    </row>
    <row r="21" spans="1:6" ht="15" hidden="1" customHeight="1" x14ac:dyDescent="0.25">
      <c r="A21" s="97"/>
      <c r="B21" s="95">
        <f>SUM(B19:F19)</f>
        <v>82181219.887516618</v>
      </c>
    </row>
    <row r="22" spans="1:6" ht="15" customHeight="1" x14ac:dyDescent="0.25">
      <c r="B22" s="98"/>
    </row>
    <row r="23" spans="1:6" ht="15" customHeight="1" x14ac:dyDescent="0.25">
      <c r="A23" s="99" t="s">
        <v>135</v>
      </c>
      <c r="B23" s="100"/>
      <c r="C23" s="100"/>
      <c r="D23" s="100"/>
      <c r="E23" s="100"/>
      <c r="F23" s="100"/>
    </row>
    <row r="24" spans="1:6" ht="15" customHeight="1" x14ac:dyDescent="0.25">
      <c r="A24" s="6" t="s">
        <v>136</v>
      </c>
      <c r="B24" s="101">
        <f>Costos!C16</f>
        <v>17494955</v>
      </c>
      <c r="C24" s="101">
        <f>Costos!D16</f>
        <v>36019025</v>
      </c>
      <c r="D24" s="101">
        <f>Costos!E16</f>
        <v>24698760</v>
      </c>
      <c r="E24" s="101">
        <f>Costos!F16</f>
        <v>16465840</v>
      </c>
      <c r="F24" s="101">
        <f>Costos!G16</f>
        <v>8232920</v>
      </c>
    </row>
    <row r="25" spans="1:6" x14ac:dyDescent="0.25">
      <c r="A25" s="6" t="s">
        <v>137</v>
      </c>
      <c r="B25" s="102">
        <f>B18-B24</f>
        <v>-13198138.086938785</v>
      </c>
      <c r="C25" s="102">
        <f t="shared" ref="C25:F25" si="0">C18-C24</f>
        <v>-4102612.8828411065</v>
      </c>
      <c r="D25" s="102">
        <f t="shared" si="0"/>
        <v>4732153.7591053993</v>
      </c>
      <c r="E25" s="102">
        <f t="shared" si="0"/>
        <v>10858344.606783401</v>
      </c>
      <c r="F25" s="102">
        <f t="shared" si="0"/>
        <v>17475858.762963101</v>
      </c>
    </row>
    <row r="26" spans="1:6" x14ac:dyDescent="0.25">
      <c r="A26" s="6" t="s">
        <v>138</v>
      </c>
      <c r="B26" s="102">
        <f>B24/(1+$B$5)^B11</f>
        <v>15620495.535714284</v>
      </c>
      <c r="C26" s="103">
        <f>C24/(1+$B$5)^C11</f>
        <v>28714146.205357138</v>
      </c>
      <c r="D26" s="103">
        <f>D24/(1+$B$5)^D11</f>
        <v>17580089.51348396</v>
      </c>
      <c r="E26" s="103">
        <f>E24/(1+$B$5)^E11</f>
        <v>10464338.996121405</v>
      </c>
      <c r="F26" s="103">
        <f>F24/(1+$B$5)^F11</f>
        <v>4671579.9089827696</v>
      </c>
    </row>
    <row r="27" spans="1:6" x14ac:dyDescent="0.25">
      <c r="A27" s="6" t="s">
        <v>139</v>
      </c>
      <c r="B27" s="104">
        <f>SUM(B26:F26)</f>
        <v>77050650.15965955</v>
      </c>
      <c r="C27" s="105"/>
      <c r="D27" s="46"/>
      <c r="E27" s="46"/>
      <c r="F27" s="46"/>
    </row>
    <row r="28" spans="1:6" x14ac:dyDescent="0.25">
      <c r="A28" s="106" t="s">
        <v>140</v>
      </c>
      <c r="B28" s="107">
        <f>B19-B26</f>
        <v>-11784051.863338199</v>
      </c>
      <c r="C28" s="107">
        <f t="shared" ref="C28:F28" si="1">C19-C26</f>
        <v>-3270577.8721628711</v>
      </c>
      <c r="D28" s="107">
        <f t="shared" si="1"/>
        <v>3368253.5753472038</v>
      </c>
      <c r="E28" s="107">
        <f t="shared" si="1"/>
        <v>6900674.2991604488</v>
      </c>
      <c r="F28" s="107">
        <f t="shared" si="1"/>
        <v>9916271.5888504833</v>
      </c>
    </row>
    <row r="29" spans="1:6" x14ac:dyDescent="0.25">
      <c r="A29" s="108" t="s">
        <v>141</v>
      </c>
      <c r="B29" s="109">
        <f>NPV(B5,B25:F25)</f>
        <v>5130569.7278570607</v>
      </c>
    </row>
    <row r="30" spans="1:6" x14ac:dyDescent="0.25">
      <c r="A30" s="108" t="s">
        <v>142</v>
      </c>
      <c r="B30" s="110">
        <f>SUM(B28:F28)</f>
        <v>5130569.7278570663</v>
      </c>
      <c r="D30" s="101"/>
    </row>
    <row r="31" spans="1:6" x14ac:dyDescent="0.25">
      <c r="A31" s="108" t="s">
        <v>143</v>
      </c>
      <c r="B31" s="110">
        <f>B20/B27</f>
        <v>1.0665869751549899</v>
      </c>
    </row>
    <row r="32" spans="1:6" x14ac:dyDescent="0.25">
      <c r="A32" s="108" t="s">
        <v>144</v>
      </c>
      <c r="B32" s="111">
        <f>IRR(B25:F25)</f>
        <v>0.23156196132137397</v>
      </c>
    </row>
    <row r="34" spans="1:6" ht="19.899999999999999" customHeight="1" x14ac:dyDescent="0.3">
      <c r="A34" s="112" t="s">
        <v>145</v>
      </c>
      <c r="B34" s="113"/>
      <c r="C34" s="113"/>
      <c r="D34" s="113"/>
      <c r="E34" s="113"/>
      <c r="F34" s="113"/>
    </row>
    <row r="35" spans="1:6" ht="15" customHeight="1" x14ac:dyDescent="0.25">
      <c r="B35" s="91">
        <v>2015</v>
      </c>
      <c r="C35" s="91">
        <v>2016</v>
      </c>
      <c r="D35" s="91">
        <v>2017</v>
      </c>
      <c r="E35" s="91">
        <v>2018</v>
      </c>
      <c r="F35" s="91">
        <v>2019</v>
      </c>
    </row>
    <row r="36" spans="1:6" ht="15" customHeight="1" x14ac:dyDescent="0.25">
      <c r="A36" s="114" t="s">
        <v>131</v>
      </c>
      <c r="B36" s="115">
        <v>1</v>
      </c>
      <c r="C36" s="115">
        <v>2</v>
      </c>
      <c r="D36" s="115">
        <v>3</v>
      </c>
      <c r="E36" s="115">
        <v>4</v>
      </c>
      <c r="F36" s="115">
        <v>5</v>
      </c>
    </row>
    <row r="37" spans="1:6" ht="42.6" customHeight="1" x14ac:dyDescent="0.25">
      <c r="A37" s="94" t="str">
        <f>'[1]Beneficios conservador'!A194</f>
        <v>Beneficio por menores costos para el sistema penitenciario para personas que cuentan con diagnostico RNR</v>
      </c>
      <c r="B37" s="94">
        <f>'Beneficios conservador'!B194</f>
        <v>3410888.4510892052</v>
      </c>
      <c r="C37" s="94">
        <f>'Beneficios conservador'!C194</f>
        <v>6185064.6346891709</v>
      </c>
      <c r="D37" s="94">
        <f>'Beneficios conservador'!D194</f>
        <v>5592126.3355898149</v>
      </c>
      <c r="E37" s="94">
        <f>'Beneficios conservador'!E194</f>
        <v>5039952.5445535369</v>
      </c>
      <c r="F37" s="94">
        <f>'Beneficios conservador'!F194</f>
        <v>4693455.8071154803</v>
      </c>
    </row>
    <row r="38" spans="1:6" ht="30" x14ac:dyDescent="0.25">
      <c r="A38" s="94" t="str">
        <f>'[1]Beneficios conservador'!A195</f>
        <v>Beneficio por menores costos para el sistema penitenciario para PPLs tratados</v>
      </c>
      <c r="B38" s="94">
        <f>'Beneficios conservador'!B195</f>
        <v>0</v>
      </c>
      <c r="C38" s="94">
        <f>'Beneficios conservador'!C195</f>
        <v>8814799.2468090001</v>
      </c>
      <c r="D38" s="94">
        <f>'Beneficios conservador'!D195</f>
        <v>8069019.2107038181</v>
      </c>
      <c r="E38" s="94">
        <f>'Beneficios conservador'!E195</f>
        <v>7374511.5520808697</v>
      </c>
      <c r="F38" s="94">
        <f>'Beneficios conservador'!F195</f>
        <v>6867513.8828753084</v>
      </c>
    </row>
    <row r="39" spans="1:6" ht="30" x14ac:dyDescent="0.25">
      <c r="A39" s="94" t="str">
        <f>'[1]Beneficios conservador'!A196</f>
        <v>Beneficios por aumento de empleabilidad de post-penados tratados</v>
      </c>
      <c r="B39" s="94">
        <f>'Beneficios conservador'!B196</f>
        <v>0</v>
      </c>
      <c r="C39" s="94">
        <f>'Beneficios conservador'!C196</f>
        <v>6978891.1200180613</v>
      </c>
      <c r="D39" s="94">
        <f>'Beneficios conservador'!D196</f>
        <v>6395528.2778925067</v>
      </c>
      <c r="E39" s="94">
        <f>'Beneficios conservador'!E196</f>
        <v>5955835.7087873966</v>
      </c>
      <c r="F39" s="94">
        <f>'Beneficios conservador'!F196</f>
        <v>5546372.0038082618</v>
      </c>
    </row>
    <row r="40" spans="1:6" ht="30" x14ac:dyDescent="0.25">
      <c r="A40" s="94" t="str">
        <f>'[1]Beneficios conservador'!A197</f>
        <v>Beneficios por aumento de empleabilidad post penados con diagnostico RNR</v>
      </c>
      <c r="B40" s="94">
        <f>'Beneficios conservador'!B197</f>
        <v>0</v>
      </c>
      <c r="C40" s="94">
        <f>'Beneficios conservador'!C197</f>
        <v>4936647.1922654081</v>
      </c>
      <c r="D40" s="94">
        <f>'Beneficios conservador'!D197</f>
        <v>4523994.739730279</v>
      </c>
      <c r="E40" s="94">
        <f>'Beneficios conservador'!E197</f>
        <v>4212970.1013738215</v>
      </c>
      <c r="F40" s="94">
        <f>'Beneficios conservador'!F197</f>
        <v>3923328.406904371</v>
      </c>
    </row>
    <row r="41" spans="1:6" ht="30" x14ac:dyDescent="0.25">
      <c r="A41" s="94" t="str">
        <f>'[1]Beneficios conservador'!A198</f>
        <v>Beneficios por aumento de penas alternativas para sentencias menores a 4 años</v>
      </c>
      <c r="B41" s="94">
        <f>'Beneficios conservador'!B198</f>
        <v>0</v>
      </c>
      <c r="C41" s="94">
        <f>'Beneficios conservador'!C198</f>
        <v>1629872.6481449977</v>
      </c>
      <c r="D41" s="94">
        <f>'Beneficios conservador'!D198</f>
        <v>1708456.9578753114</v>
      </c>
      <c r="E41" s="94">
        <f>'Beneficios conservador'!E198</f>
        <v>1790830.2100992668</v>
      </c>
      <c r="F41" s="94">
        <f>'Beneficios conservador'!F198</f>
        <v>1877175.0886792</v>
      </c>
    </row>
    <row r="42" spans="1:6" x14ac:dyDescent="0.25">
      <c r="A42" s="94" t="str">
        <f>'[1]Beneficios conservador'!A199</f>
        <v>Ahorros estimados por Videoconferencias</v>
      </c>
      <c r="B42" s="94">
        <f>'Beneficios conservador'!B199</f>
        <v>317447.05345714261</v>
      </c>
      <c r="C42" s="94">
        <f>'Beneficios conservador'!C199</f>
        <v>367885.86306199973</v>
      </c>
      <c r="D42" s="94">
        <f>'Beneficios conservador'!D199</f>
        <v>422075.45069103234</v>
      </c>
      <c r="E42" s="94">
        <f>'Beneficios conservador'!E199</f>
        <v>480245.12189535995</v>
      </c>
      <c r="F42" s="94">
        <f>'Beneficios conservador'!F199</f>
        <v>500895.66213686037</v>
      </c>
    </row>
    <row r="43" spans="1:6" ht="15" customHeight="1" x14ac:dyDescent="0.25">
      <c r="A43" s="6" t="s">
        <v>132</v>
      </c>
      <c r="B43" s="95">
        <f>SUM(B37:B42)</f>
        <v>3728335.504546348</v>
      </c>
      <c r="C43" s="95">
        <f t="shared" ref="C43:F43" si="2">SUM(C37:C42)</f>
        <v>28913160.704988632</v>
      </c>
      <c r="D43" s="95">
        <f t="shared" si="2"/>
        <v>26711200.972482763</v>
      </c>
      <c r="E43" s="95">
        <f t="shared" si="2"/>
        <v>24854345.238790255</v>
      </c>
      <c r="F43" s="95">
        <f t="shared" si="2"/>
        <v>23408740.85151948</v>
      </c>
    </row>
    <row r="44" spans="1:6" ht="15" customHeight="1" x14ac:dyDescent="0.25">
      <c r="A44" s="6" t="s">
        <v>133</v>
      </c>
      <c r="B44" s="95">
        <f t="shared" ref="B44:F44" si="3">B43/(1+$B$5)^B36</f>
        <v>3328870.9862020961</v>
      </c>
      <c r="C44" s="95">
        <f t="shared" si="3"/>
        <v>23049394.694665678</v>
      </c>
      <c r="D44" s="95">
        <f t="shared" si="3"/>
        <v>19012505.247587603</v>
      </c>
      <c r="E44" s="95">
        <f t="shared" si="3"/>
        <v>15795385.726166248</v>
      </c>
      <c r="F44" s="95">
        <f t="shared" si="3"/>
        <v>13282748.217709225</v>
      </c>
    </row>
    <row r="45" spans="1:6" ht="15" customHeight="1" x14ac:dyDescent="0.25">
      <c r="A45" s="6" t="s">
        <v>134</v>
      </c>
      <c r="B45" s="96">
        <f>NPV(B5,B43:F43)</f>
        <v>74468904.872330859</v>
      </c>
    </row>
    <row r="46" spans="1:6" ht="15" hidden="1" customHeight="1" x14ac:dyDescent="0.25">
      <c r="A46" s="97"/>
      <c r="B46" s="116">
        <f>SUM(B44:F44)</f>
        <v>74468904.872330844</v>
      </c>
    </row>
    <row r="47" spans="1:6" ht="15" customHeight="1" x14ac:dyDescent="0.25"/>
    <row r="48" spans="1:6" ht="15" customHeight="1" x14ac:dyDescent="0.25">
      <c r="A48" s="117" t="s">
        <v>135</v>
      </c>
      <c r="B48" s="118"/>
      <c r="C48" s="118"/>
      <c r="D48" s="118"/>
      <c r="E48" s="118"/>
      <c r="F48" s="118"/>
    </row>
    <row r="49" spans="1:8" ht="15" customHeight="1" x14ac:dyDescent="0.25">
      <c r="A49" s="6" t="s">
        <v>136</v>
      </c>
      <c r="B49" s="149">
        <v>20400000</v>
      </c>
      <c r="C49" s="149">
        <v>20400000</v>
      </c>
      <c r="D49" s="149">
        <v>20400000</v>
      </c>
      <c r="E49" s="149">
        <v>20400000</v>
      </c>
      <c r="F49" s="149">
        <v>20400000</v>
      </c>
    </row>
    <row r="50" spans="1:8" x14ac:dyDescent="0.25">
      <c r="A50" s="6" t="s">
        <v>137</v>
      </c>
      <c r="B50" s="103">
        <f t="shared" ref="B50:F50" si="4">B43-B49</f>
        <v>-16671664.495453652</v>
      </c>
      <c r="C50" s="103">
        <f t="shared" si="4"/>
        <v>8513160.7049886324</v>
      </c>
      <c r="D50" s="103">
        <f t="shared" si="4"/>
        <v>6311200.9724827632</v>
      </c>
      <c r="E50" s="103">
        <f t="shared" si="4"/>
        <v>4454345.238790255</v>
      </c>
      <c r="F50" s="103">
        <f t="shared" si="4"/>
        <v>3008740.8515194803</v>
      </c>
      <c r="H50" s="149"/>
    </row>
    <row r="51" spans="1:8" x14ac:dyDescent="0.25">
      <c r="A51" s="6" t="s">
        <v>138</v>
      </c>
      <c r="B51" s="103">
        <f>B49/(1+$B$5)^B36</f>
        <v>18214285.714285713</v>
      </c>
      <c r="C51" s="103">
        <f>C49/(1+$B$5)^C36</f>
        <v>16262755.102040814</v>
      </c>
      <c r="D51" s="103">
        <f>D49/(1+$B$5)^D36</f>
        <v>14520317.055393582</v>
      </c>
      <c r="E51" s="103">
        <f>E49/(1+$B$5)^E36</f>
        <v>12964568.799458556</v>
      </c>
      <c r="F51" s="103">
        <f>F49/(1+$B$5)^F36</f>
        <v>11575507.856659424</v>
      </c>
    </row>
    <row r="52" spans="1:8" x14ac:dyDescent="0.25">
      <c r="A52" s="6" t="s">
        <v>139</v>
      </c>
      <c r="B52" s="119">
        <f>SUM(B51:F51)</f>
        <v>73537434.527838096</v>
      </c>
      <c r="C52" s="105"/>
      <c r="D52" s="46"/>
      <c r="E52" s="46"/>
      <c r="F52" s="46"/>
    </row>
    <row r="53" spans="1:8" x14ac:dyDescent="0.25">
      <c r="A53" s="120" t="s">
        <v>140</v>
      </c>
      <c r="B53" s="121">
        <f>B44-B51</f>
        <v>-14885414.728083616</v>
      </c>
      <c r="C53" s="121">
        <f t="shared" ref="C53:F53" si="5">C44-C51</f>
        <v>6786639.5926248636</v>
      </c>
      <c r="D53" s="121">
        <f t="shared" si="5"/>
        <v>4492188.1921940204</v>
      </c>
      <c r="E53" s="121">
        <f t="shared" si="5"/>
        <v>2830816.9267076924</v>
      </c>
      <c r="F53" s="121">
        <f t="shared" si="5"/>
        <v>1707240.3610498011</v>
      </c>
    </row>
    <row r="54" spans="1:8" x14ac:dyDescent="0.25">
      <c r="A54" s="122" t="s">
        <v>141</v>
      </c>
      <c r="B54" s="123">
        <f>NPV(B5,B50:F50)</f>
        <v>931470.34449275956</v>
      </c>
    </row>
    <row r="55" spans="1:8" x14ac:dyDescent="0.25">
      <c r="A55" s="122" t="s">
        <v>142</v>
      </c>
      <c r="B55" s="124">
        <f>SUM(B53:F53)</f>
        <v>931470.34449276142</v>
      </c>
    </row>
    <row r="56" spans="1:8" x14ac:dyDescent="0.25">
      <c r="A56" s="122" t="s">
        <v>143</v>
      </c>
      <c r="B56" s="124">
        <f>B45/B52</f>
        <v>1.0126666146361163</v>
      </c>
    </row>
    <row r="57" spans="1:8" x14ac:dyDescent="0.25">
      <c r="A57" s="122" t="s">
        <v>144</v>
      </c>
      <c r="B57" s="125">
        <f>IRR(B50:F50)</f>
        <v>0.15541469665709862</v>
      </c>
    </row>
  </sheetData>
  <mergeCells count="1">
    <mergeCell ref="A1:D2"/>
  </mergeCells>
  <pageMargins left="0.7" right="0.7" top="0.75" bottom="0.75" header="0.3" footer="0.3"/>
  <pageSetup orientation="portrait" horizontalDpi="4294967292" verticalDpi="429496729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48F7B5B973A77C459360DA580E470BD3" ma:contentTypeVersion="5681" ma:contentTypeDescription="A content type to manage public (operations) IDB documents" ma:contentTypeScope="" ma:versionID="02461f9006706e09192cae56fe7b361e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88175d51e1797af223cc37070fea6728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Record_x0020_Number xmlns="cdc7663a-08f0-4737-9e8c-148ce897a09c" xsi:nil="true"/>
    <Key_x0020_Document xmlns="cdc7663a-08f0-4737-9e8c-148ce897a09c">false</Key_x0020_Document>
    <Division_x0020_or_x0020_Unit xmlns="cdc7663a-08f0-4737-9e8c-148ce897a09c">IFD/ICS</Division_x0020_or_x0020_Unit>
    <_dlc_DocId xmlns="cdc7663a-08f0-4737-9e8c-148ce897a09c">EZSHARE-1952643763-26</_dlc_DocId>
    <Document_x0020_Author xmlns="cdc7663a-08f0-4737-9e8c-148ce897a09c">Rojas Gonzalez Sonia Amalia</Document_x0020_Author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</TermName>
          <TermId xmlns="http://schemas.microsoft.com/office/infopath/2007/PartnerControls">7deb27ec-6837-4974-9aa8-6cfbac841ef8</TermId>
        </TermInfo>
      </Terms>
    </ic46d7e087fd4a108fb86518ca413cc6>
    <TaxCatchAll xmlns="cdc7663a-08f0-4737-9e8c-148ce897a09c">
      <Value>33</Value>
      <Value>13</Value>
      <Value>52</Value>
      <Value>30</Value>
      <Value>1</Value>
      <Value>51</Value>
    </TaxCatchAll>
    <Fiscal_x0020_Year_x0020_IDB xmlns="cdc7663a-08f0-4737-9e8c-148ce897a09c">2020</Fiscal_x0020_Year_x0020_IDB>
    <Operation_x0020_Type xmlns="cdc7663a-08f0-4737-9e8c-148ce897a09c">LON</Operation_x0020_Type>
    <b26cdb1da78c4bb4b1c1bac2f6ac5911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Loan Proposal</TermName>
          <TermId xmlns="http://schemas.microsoft.com/office/infopath/2007/PartnerControls">6ee86b6f-6e46-485b-8bfb-87a1f44622ac</TermId>
        </TermInfo>
      </Terms>
    </b26cdb1da78c4bb4b1c1bac2f6ac5911>
    <Project_x0020_Number xmlns="cdc7663a-08f0-4737-9e8c-148ce897a09c">BR-L1545</Project_x0020_Number>
    <Package_x0020_Code xmlns="cdc7663a-08f0-4737-9e8c-148ce897a09c" xsi:nil="true"/>
    <Migration_x0020_Info xmlns="cdc7663a-08f0-4737-9e8c-148ce897a09c" xsi:nil="true"/>
    <Related_x0020_SisCor_x0020_Number xmlns="cdc7663a-08f0-4737-9e8c-148ce897a09c" xsi:nil="true"/>
    <Approval_x0020_Number xmlns="cdc7663a-08f0-4737-9e8c-148ce897a09c" xsi:nil="true"/>
    <Business_x0020_Area xmlns="cdc7663a-08f0-4737-9e8c-148ce897a09c" xsi:nil="true"/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 Planning and Design</TermName>
          <TermId xmlns="http://schemas.microsoft.com/office/infopath/2007/PartnerControls">29ca0c72-1fc4-435f-a09c-28585cb5eac9</TermId>
        </TermInfo>
      </Terms>
    </e46fe2894295491da65140ffd2369f49>
    <SISCOR_x0020_Number xmlns="cdc7663a-08f0-4737-9e8c-148ce897a09c" xsi:nil="true"/>
    <Access_x0020_to_x0020_Information_x00a0_Policy xmlns="cdc7663a-08f0-4737-9e8c-148ce897a09c">Public</Access_x0020_to_x0020_Information_x00a0_Policy>
    <Identifier xmlns="cdc7663a-08f0-4737-9e8c-148ce897a09c" xsi:nil="true"/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IS-SEC</TermName>
          <TermId xmlns="http://schemas.microsoft.com/office/infopath/2007/PartnerControls">954fe912-dcd8-47cc-a622-637d228b7304</TermId>
        </TermInfo>
      </Terms>
    </b2ec7cfb18674cb8803df6b262e8b107>
    <Document_x0020_Language_x0020_IDB xmlns="cdc7663a-08f0-4737-9e8c-148ce897a09c">Spanish</Document_x0020_Language_x0020_IDB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IS</TermName>
          <TermId xmlns="http://schemas.microsoft.com/office/infopath/2007/PartnerControls">3f908695-d5b5-49f6-941f-76876b39564f</TermId>
        </TermInfo>
      </Terms>
    </nddeef1749674d76abdbe4b239a70bc6>
    <_dlc_DocIdUrl xmlns="cdc7663a-08f0-4737-9e8c-148ce897a09c">
      <Url>https://idbg.sharepoint.com/teams/EZ-BR-LON/BR-L1545/_layouts/15/DocIdRedir.aspx?ID=EZSHARE-1952643763-26</Url>
      <Description>EZSHARE-1952643763-26</Description>
    </_dlc_DocIdUrl>
    <Phase xmlns="cdc7663a-08f0-4737-9e8c-148ce897a09c" xsi:nil="true"/>
    <Other_x0020_Author xmlns="cdc7663a-08f0-4737-9e8c-148ce897a09c" xsi:nil="true"/>
    <IDBDocs_x0020_Number xmlns="cdc7663a-08f0-4737-9e8c-148ce897a09c" xsi:nil="true"/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675D50EC-BA2E-42BE-8EA8-0B074C8165C7}"/>
</file>

<file path=customXml/itemProps2.xml><?xml version="1.0" encoding="utf-8"?>
<ds:datastoreItem xmlns:ds="http://schemas.openxmlformats.org/officeDocument/2006/customXml" ds:itemID="{050E91AB-CFED-438B-B530-7D4C7940C019}"/>
</file>

<file path=customXml/itemProps3.xml><?xml version="1.0" encoding="utf-8"?>
<ds:datastoreItem xmlns:ds="http://schemas.openxmlformats.org/officeDocument/2006/customXml" ds:itemID="{C1F64D68-5E08-465C-85AD-0741D2E5E3EC}"/>
</file>

<file path=customXml/itemProps4.xml><?xml version="1.0" encoding="utf-8"?>
<ds:datastoreItem xmlns:ds="http://schemas.openxmlformats.org/officeDocument/2006/customXml" ds:itemID="{BC349540-0BC1-4E1D-A5B1-16A8A74D72F8}"/>
</file>

<file path=customXml/itemProps5.xml><?xml version="1.0" encoding="utf-8"?>
<ds:datastoreItem xmlns:ds="http://schemas.openxmlformats.org/officeDocument/2006/customXml" ds:itemID="{F39F9580-1580-4408-984A-53B59185C950}"/>
</file>

<file path=customXml/itemProps6.xml><?xml version="1.0" encoding="utf-8"?>
<ds:datastoreItem xmlns:ds="http://schemas.openxmlformats.org/officeDocument/2006/customXml" ds:itemID="{5B76CDDB-2895-4942-B1C0-58AFCEEB7BB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Portada </vt:lpstr>
      <vt:lpstr>Resumen</vt:lpstr>
      <vt:lpstr>Costos</vt:lpstr>
      <vt:lpstr>Beneficios Base</vt:lpstr>
      <vt:lpstr>Beneficios conservador</vt:lpstr>
      <vt:lpstr>Cálculos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 Victoria Dulce</dc:creator>
  <cp:keywords/>
  <cp:lastModifiedBy>Olga Victoria Dulce</cp:lastModifiedBy>
  <dcterms:created xsi:type="dcterms:W3CDTF">2020-07-07T04:58:54Z</dcterms:created>
  <dcterms:modified xsi:type="dcterms:W3CDTF">2020-07-14T16:39:42Z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>13;#Loan Proposal|6ee86b6f-6e46-485b-8bfb-87a1f44622ac</vt:lpwstr>
  </property>
  <property fmtid="{D5CDD505-2E9C-101B-9397-08002B2CF9AE}" pid="6" name="Sub-Sector">
    <vt:lpwstr>52;#IS-SEC|954fe912-dcd8-47cc-a622-637d228b7304</vt:lpwstr>
  </property>
  <property fmtid="{D5CDD505-2E9C-101B-9397-08002B2CF9AE}" pid="7" name="Country">
    <vt:lpwstr>30;#BR|7deb27ec-6837-4974-9aa8-6cfbac841ef8</vt:lpwstr>
  </property>
  <property fmtid="{D5CDD505-2E9C-101B-9397-08002B2CF9AE}" pid="8" name="_dlc_DocIdItemGuid">
    <vt:lpwstr>cf8ea012-c629-4942-a116-ecd4c44219a0</vt:lpwstr>
  </property>
  <property fmtid="{D5CDD505-2E9C-101B-9397-08002B2CF9AE}" pid="9" name="Fund IDB">
    <vt:lpwstr>33;#ORC|c028a4b2-ad8b-4cf4-9cac-a2ae6a778e23</vt:lpwstr>
  </property>
  <property fmtid="{D5CDD505-2E9C-101B-9397-08002B2CF9AE}" pid="10" name="Sector IDB">
    <vt:lpwstr>51;#IS|3f908695-d5b5-49f6-941f-76876b39564f</vt:lpwstr>
  </property>
  <property fmtid="{D5CDD505-2E9C-101B-9397-08002B2CF9AE}" pid="11" name="Function Operations IDB">
    <vt:lpwstr>1;#Project Preparation Planning and Design|29ca0c72-1fc4-435f-a09c-28585cb5eac9</vt:lpwstr>
  </property>
  <property fmtid="{D5CDD505-2E9C-101B-9397-08002B2CF9AE}" pid="12" name="ContentTypeId">
    <vt:lpwstr>0x0101001A458A224826124E8B45B1D613300CFC0048F7B5B973A77C459360DA580E470BD3</vt:lpwstr>
  </property>
</Properties>
</file>