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https://idbg.sharepoint.com/teams/EZ-AR-CON/AR-O0008/15 LifeCycle Milestones/"/>
    </mc:Choice>
  </mc:AlternateContent>
  <xr:revisionPtr revIDLastSave="0" documentId="102_{F9430D50-F127-4751-A1CD-109B61D9A61C}" xr6:coauthVersionLast="37" xr6:coauthVersionMax="37" xr10:uidLastSave="{00000000-0000-0000-0000-000000000000}"/>
  <bookViews>
    <workbookView xWindow="0" yWindow="0" windowWidth="28800" windowHeight="12240"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2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3" i="18" l="1"/>
  <c r="C38" i="6"/>
  <c r="C38" i="9"/>
  <c r="B38" i="9"/>
  <c r="C9" i="6"/>
  <c r="C11" i="19"/>
  <c r="C9" i="19"/>
  <c r="C11" i="18"/>
  <c r="C11" i="9"/>
  <c r="C11" i="6"/>
  <c r="C9" i="18"/>
  <c r="B3" i="6"/>
  <c r="B3" i="19"/>
  <c r="B3" i="18"/>
  <c r="B3" i="9"/>
  <c r="B9" i="6"/>
  <c r="D15" i="5"/>
  <c r="F15" i="5"/>
  <c r="G15" i="5"/>
  <c r="C33" i="19"/>
  <c r="B33" i="19"/>
  <c r="B26" i="19"/>
  <c r="B25" i="19"/>
  <c r="B24" i="19"/>
  <c r="C10" i="19"/>
  <c r="B10" i="19"/>
  <c r="B9" i="19"/>
  <c r="B33" i="18"/>
  <c r="B27" i="18"/>
  <c r="B26" i="18"/>
  <c r="B25" i="18"/>
  <c r="B24" i="18"/>
  <c r="B23" i="18"/>
  <c r="C10" i="18"/>
  <c r="B10" i="18"/>
  <c r="B9" i="18"/>
  <c r="B8" i="18"/>
  <c r="B10" i="6"/>
  <c r="C10" i="9"/>
  <c r="C10" i="6"/>
  <c r="F22" i="7"/>
  <c r="G22" i="7" s="1"/>
  <c r="H19" i="7" s="1"/>
  <c r="D18" i="5"/>
  <c r="F18" i="5"/>
  <c r="G18" i="5"/>
  <c r="F40" i="7"/>
  <c r="G21" i="7"/>
  <c r="F23" i="7" s="1"/>
  <c r="G23" i="7" s="1"/>
  <c r="G20" i="7"/>
  <c r="E72" i="14"/>
  <c r="F72" i="14"/>
  <c r="G72" i="14"/>
  <c r="H72" i="14"/>
  <c r="D72" i="14"/>
  <c r="E71" i="14"/>
  <c r="I71" i="14"/>
  <c r="D71" i="14"/>
  <c r="E70" i="14"/>
  <c r="F70" i="14"/>
  <c r="G70" i="14"/>
  <c r="D70" i="14"/>
  <c r="E69" i="14"/>
  <c r="F69" i="14"/>
  <c r="G69" i="14"/>
  <c r="D69" i="14"/>
  <c r="E68" i="14"/>
  <c r="D68" i="14"/>
  <c r="E63" i="14"/>
  <c r="I63" i="14"/>
  <c r="D63" i="14"/>
  <c r="E60" i="14"/>
  <c r="F60" i="14"/>
  <c r="G60" i="14"/>
  <c r="D60" i="14"/>
  <c r="F63" i="14"/>
  <c r="G63" i="14"/>
  <c r="F11" i="5"/>
  <c r="G11" i="5"/>
  <c r="G89" i="7"/>
  <c r="G91" i="7"/>
  <c r="G82" i="7"/>
  <c r="G75" i="7"/>
  <c r="G70" i="7"/>
  <c r="G71" i="7"/>
  <c r="G72" i="7"/>
  <c r="G73" i="7"/>
  <c r="G74" i="7"/>
  <c r="G32" i="7"/>
  <c r="I77" i="5"/>
  <c r="F77" i="5"/>
  <c r="G77" i="5"/>
  <c r="H77" i="5"/>
  <c r="I76" i="5"/>
  <c r="F76" i="5"/>
  <c r="G76" i="5"/>
  <c r="I75" i="5"/>
  <c r="F75" i="5"/>
  <c r="G75" i="5"/>
  <c r="I74" i="5"/>
  <c r="F74" i="5"/>
  <c r="G74" i="5"/>
  <c r="J74" i="5"/>
  <c r="I73" i="5"/>
  <c r="F73" i="5"/>
  <c r="G73" i="5"/>
  <c r="H73" i="5"/>
  <c r="I68" i="5"/>
  <c r="F68" i="5"/>
  <c r="G68" i="5"/>
  <c r="J68" i="5"/>
  <c r="I65" i="5"/>
  <c r="F65" i="5"/>
  <c r="G65" i="5"/>
  <c r="H65" i="5"/>
  <c r="G58" i="7"/>
  <c r="G57" i="7"/>
  <c r="J77" i="5"/>
  <c r="J73" i="5"/>
  <c r="G94" i="7"/>
  <c r="G90" i="7"/>
  <c r="G93" i="7"/>
  <c r="G92" i="7"/>
  <c r="G88" i="7"/>
  <c r="G87" i="7"/>
  <c r="G84" i="7"/>
  <c r="G86" i="7"/>
  <c r="G85" i="7"/>
  <c r="G13" i="7"/>
  <c r="G14" i="7"/>
  <c r="G15" i="7"/>
  <c r="G16" i="7"/>
  <c r="G17" i="7"/>
  <c r="G18" i="7"/>
  <c r="G26" i="7"/>
  <c r="G25" i="7"/>
  <c r="G31" i="7"/>
  <c r="G33" i="7"/>
  <c r="G35" i="7"/>
  <c r="G36" i="7"/>
  <c r="G37" i="7"/>
  <c r="G42" i="7"/>
  <c r="G43" i="7"/>
  <c r="G44" i="7"/>
  <c r="G45" i="7"/>
  <c r="G46" i="7"/>
  <c r="G49" i="7"/>
  <c r="G50" i="7"/>
  <c r="G51" i="7"/>
  <c r="G52" i="7"/>
  <c r="G53" i="7"/>
  <c r="G56" i="7"/>
  <c r="G59" i="7"/>
  <c r="G60" i="7"/>
  <c r="G77" i="7"/>
  <c r="G76" i="7"/>
  <c r="G78" i="7"/>
  <c r="G79" i="7"/>
  <c r="G80" i="7"/>
  <c r="D44" i="14"/>
  <c r="E44" i="14"/>
  <c r="F44" i="14"/>
  <c r="G44" i="14"/>
  <c r="H44" i="14"/>
  <c r="D45" i="14"/>
  <c r="E45" i="14"/>
  <c r="F45" i="14"/>
  <c r="G45" i="14"/>
  <c r="D46" i="14"/>
  <c r="E46" i="14"/>
  <c r="I46" i="14"/>
  <c r="D47" i="14"/>
  <c r="E47" i="14"/>
  <c r="I47" i="14"/>
  <c r="F47" i="14"/>
  <c r="G47" i="14"/>
  <c r="D48" i="14"/>
  <c r="E48" i="14"/>
  <c r="I48" i="14"/>
  <c r="F48" i="14"/>
  <c r="G48" i="14"/>
  <c r="D49" i="14"/>
  <c r="E49" i="14"/>
  <c r="I49" i="14"/>
  <c r="D50" i="14"/>
  <c r="E50" i="14"/>
  <c r="D51" i="14"/>
  <c r="E51" i="14"/>
  <c r="F51" i="14"/>
  <c r="G51" i="14"/>
  <c r="H51" i="14"/>
  <c r="D52" i="14"/>
  <c r="E52" i="14"/>
  <c r="I52" i="14"/>
  <c r="D53" i="14"/>
  <c r="E53" i="14"/>
  <c r="F53" i="14"/>
  <c r="G53" i="14"/>
  <c r="H53" i="14"/>
  <c r="D54" i="14"/>
  <c r="E54" i="14"/>
  <c r="D55" i="14"/>
  <c r="E55" i="14"/>
  <c r="F55" i="14"/>
  <c r="G55" i="14"/>
  <c r="J55" i="14"/>
  <c r="D56" i="14"/>
  <c r="E56" i="14"/>
  <c r="F56" i="14"/>
  <c r="D57" i="14"/>
  <c r="E57" i="14"/>
  <c r="I57" i="14"/>
  <c r="D58" i="14"/>
  <c r="E58" i="14"/>
  <c r="I58" i="14"/>
  <c r="D59" i="14"/>
  <c r="E59" i="14"/>
  <c r="I59" i="14"/>
  <c r="D61" i="14"/>
  <c r="E61" i="14"/>
  <c r="I61" i="14"/>
  <c r="D62" i="14"/>
  <c r="E62" i="14"/>
  <c r="D64" i="14"/>
  <c r="E64" i="14"/>
  <c r="I64" i="14"/>
  <c r="D65" i="14"/>
  <c r="E65" i="14"/>
  <c r="D66" i="14"/>
  <c r="E66" i="14"/>
  <c r="I66" i="14"/>
  <c r="D67" i="14"/>
  <c r="E67" i="14"/>
  <c r="F67" i="14"/>
  <c r="G67" i="14"/>
  <c r="D73" i="14"/>
  <c r="E73" i="14"/>
  <c r="I49" i="5"/>
  <c r="I50" i="5"/>
  <c r="I51" i="5"/>
  <c r="I52" i="5"/>
  <c r="I53" i="5"/>
  <c r="I54" i="5"/>
  <c r="I55" i="5"/>
  <c r="I56" i="5"/>
  <c r="I57" i="5"/>
  <c r="I58" i="5"/>
  <c r="I59" i="5"/>
  <c r="I60" i="5"/>
  <c r="I61" i="5"/>
  <c r="I62" i="5"/>
  <c r="I63" i="5"/>
  <c r="I64" i="5"/>
  <c r="I66" i="5"/>
  <c r="I67" i="5"/>
  <c r="I69" i="5"/>
  <c r="I70" i="5"/>
  <c r="I71" i="5"/>
  <c r="I72" i="5"/>
  <c r="I78" i="5"/>
  <c r="F78" i="5"/>
  <c r="G78" i="5"/>
  <c r="J78" i="5"/>
  <c r="F49" i="5"/>
  <c r="G49" i="5"/>
  <c r="F50" i="5"/>
  <c r="G50" i="5"/>
  <c r="J50" i="5"/>
  <c r="F51" i="5"/>
  <c r="G51" i="5"/>
  <c r="H51" i="5"/>
  <c r="F52" i="5"/>
  <c r="G52" i="5"/>
  <c r="F53" i="5"/>
  <c r="G53" i="5"/>
  <c r="H53" i="5"/>
  <c r="F54" i="5"/>
  <c r="G54" i="5"/>
  <c r="F55" i="5"/>
  <c r="G55" i="5"/>
  <c r="H55" i="5"/>
  <c r="F56" i="5"/>
  <c r="G56" i="5"/>
  <c r="H56" i="5"/>
  <c r="F57" i="5"/>
  <c r="G57" i="5"/>
  <c r="F58" i="5"/>
  <c r="G58" i="5"/>
  <c r="F59" i="5"/>
  <c r="G59" i="5"/>
  <c r="F60" i="5"/>
  <c r="G60" i="5"/>
  <c r="F61" i="5"/>
  <c r="G61" i="5"/>
  <c r="H61" i="5"/>
  <c r="F62" i="5"/>
  <c r="G62" i="5"/>
  <c r="J62" i="5"/>
  <c r="F63" i="5"/>
  <c r="G63" i="5"/>
  <c r="H63" i="5"/>
  <c r="F64" i="5"/>
  <c r="G64" i="5"/>
  <c r="H64" i="5"/>
  <c r="F66" i="5"/>
  <c r="G66" i="5"/>
  <c r="J66" i="5"/>
  <c r="F67" i="5"/>
  <c r="G67" i="5"/>
  <c r="H67" i="5"/>
  <c r="F69" i="5"/>
  <c r="G69" i="5"/>
  <c r="F70" i="5"/>
  <c r="G70" i="5"/>
  <c r="F71" i="5"/>
  <c r="G71" i="5"/>
  <c r="H71" i="5"/>
  <c r="F72" i="5"/>
  <c r="G72" i="5"/>
  <c r="H72" i="5"/>
  <c r="D11" i="14"/>
  <c r="F11" i="14"/>
  <c r="G11" i="14"/>
  <c r="H11" i="14"/>
  <c r="D12" i="14"/>
  <c r="F12" i="14"/>
  <c r="G12" i="14"/>
  <c r="D13" i="14"/>
  <c r="F13" i="14"/>
  <c r="G13" i="14"/>
  <c r="I13" i="14"/>
  <c r="D17" i="14"/>
  <c r="F17" i="14"/>
  <c r="G17" i="14"/>
  <c r="D19" i="14"/>
  <c r="F19" i="14"/>
  <c r="G19" i="14"/>
  <c r="J19" i="14"/>
  <c r="E19" i="14"/>
  <c r="I19" i="14"/>
  <c r="D20" i="14"/>
  <c r="F20" i="14"/>
  <c r="G20" i="14"/>
  <c r="E20" i="14"/>
  <c r="I20" i="14"/>
  <c r="D21" i="14"/>
  <c r="E21" i="14"/>
  <c r="F21" i="14"/>
  <c r="G21" i="14"/>
  <c r="D22" i="14"/>
  <c r="E22" i="14"/>
  <c r="I22" i="14"/>
  <c r="D23" i="14"/>
  <c r="E23" i="14"/>
  <c r="F23" i="14"/>
  <c r="G23" i="14"/>
  <c r="D24" i="14"/>
  <c r="F24" i="14"/>
  <c r="G24" i="14"/>
  <c r="E24" i="14"/>
  <c r="I24" i="14"/>
  <c r="D25" i="14"/>
  <c r="F25" i="14"/>
  <c r="G25" i="14"/>
  <c r="E25" i="14"/>
  <c r="I25" i="14"/>
  <c r="D26" i="14"/>
  <c r="E26" i="14"/>
  <c r="I26" i="14"/>
  <c r="D27" i="14"/>
  <c r="E27" i="14"/>
  <c r="I27" i="14"/>
  <c r="D28" i="14"/>
  <c r="E28" i="14"/>
  <c r="F28" i="14"/>
  <c r="G28" i="14"/>
  <c r="H28" i="14"/>
  <c r="D29" i="14"/>
  <c r="E29" i="14"/>
  <c r="F29" i="14"/>
  <c r="G29" i="14"/>
  <c r="H29" i="14"/>
  <c r="D30" i="14"/>
  <c r="E30" i="14"/>
  <c r="D31" i="14"/>
  <c r="E31" i="14"/>
  <c r="D32" i="14"/>
  <c r="E32" i="14"/>
  <c r="I32" i="14"/>
  <c r="D33" i="14"/>
  <c r="E33" i="14"/>
  <c r="F33" i="14"/>
  <c r="G33" i="14"/>
  <c r="D34" i="14"/>
  <c r="E34" i="14"/>
  <c r="F34" i="14"/>
  <c r="G34" i="14"/>
  <c r="H34" i="14"/>
  <c r="D35" i="14"/>
  <c r="E35" i="14"/>
  <c r="F35" i="14"/>
  <c r="G35" i="14"/>
  <c r="D36" i="14"/>
  <c r="E36" i="14"/>
  <c r="F36" i="14"/>
  <c r="G36" i="14"/>
  <c r="D37" i="14"/>
  <c r="E37" i="14"/>
  <c r="F37" i="14"/>
  <c r="G37" i="14"/>
  <c r="H37" i="14"/>
  <c r="D38" i="14"/>
  <c r="E38" i="14"/>
  <c r="I38" i="14"/>
  <c r="D39" i="14"/>
  <c r="E39" i="14"/>
  <c r="I39" i="14"/>
  <c r="D40" i="14"/>
  <c r="E40" i="14"/>
  <c r="F40" i="14"/>
  <c r="G40" i="14"/>
  <c r="H40" i="14"/>
  <c r="D41" i="14"/>
  <c r="E41" i="14"/>
  <c r="I41" i="14"/>
  <c r="D42" i="14"/>
  <c r="E42" i="14"/>
  <c r="I42" i="14"/>
  <c r="D43" i="14"/>
  <c r="E43" i="14"/>
  <c r="F47" i="5"/>
  <c r="G47" i="5"/>
  <c r="F46" i="5"/>
  <c r="G46" i="5"/>
  <c r="H46" i="5"/>
  <c r="F45" i="5"/>
  <c r="G45" i="5"/>
  <c r="H45" i="5"/>
  <c r="F44" i="5"/>
  <c r="G44" i="5"/>
  <c r="F43" i="5"/>
  <c r="G43" i="5"/>
  <c r="H43" i="5"/>
  <c r="F42" i="5"/>
  <c r="G42" i="5"/>
  <c r="F41" i="5"/>
  <c r="G41" i="5"/>
  <c r="J41" i="5"/>
  <c r="F40" i="5"/>
  <c r="G40" i="5"/>
  <c r="J40" i="5"/>
  <c r="F39" i="5"/>
  <c r="G39" i="5"/>
  <c r="H39" i="5"/>
  <c r="F38" i="5"/>
  <c r="G38" i="5"/>
  <c r="H38" i="5"/>
  <c r="F37" i="5"/>
  <c r="G37" i="5"/>
  <c r="F36" i="5"/>
  <c r="G36" i="5"/>
  <c r="J36" i="5"/>
  <c r="F35" i="5"/>
  <c r="G35" i="5"/>
  <c r="F34" i="5"/>
  <c r="G34" i="5"/>
  <c r="H34" i="5"/>
  <c r="F33" i="5"/>
  <c r="G33" i="5"/>
  <c r="H33" i="5"/>
  <c r="F32" i="5"/>
  <c r="G32" i="5"/>
  <c r="H32" i="5"/>
  <c r="F31" i="5"/>
  <c r="G31" i="5"/>
  <c r="I31" i="5"/>
  <c r="F30" i="5"/>
  <c r="G30" i="5"/>
  <c r="H30" i="5"/>
  <c r="F27" i="5"/>
  <c r="G27" i="5"/>
  <c r="H27" i="5"/>
  <c r="F26" i="5"/>
  <c r="G26" i="5"/>
  <c r="F25" i="5"/>
  <c r="G25" i="5"/>
  <c r="H25" i="5"/>
  <c r="I25" i="5"/>
  <c r="B8" i="6"/>
  <c r="B8" i="9"/>
  <c r="F12" i="5"/>
  <c r="G12" i="5"/>
  <c r="H12" i="5"/>
  <c r="F13" i="5"/>
  <c r="G13" i="5"/>
  <c r="F21" i="5"/>
  <c r="G21" i="5"/>
  <c r="H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B30" i="18"/>
  <c r="D15" i="15"/>
  <c r="E15" i="15"/>
  <c r="F15" i="15"/>
  <c r="D16" i="15"/>
  <c r="E16" i="15"/>
  <c r="D17" i="15"/>
  <c r="D18" i="15"/>
  <c r="E18" i="15"/>
  <c r="D19" i="15"/>
  <c r="E19" i="15"/>
  <c r="D21" i="15"/>
  <c r="E21" i="15"/>
  <c r="D22" i="15"/>
  <c r="E22" i="15"/>
  <c r="F22" i="15"/>
  <c r="G22" i="15"/>
  <c r="D23" i="15"/>
  <c r="E23" i="15"/>
  <c r="F23" i="15"/>
  <c r="G23" i="15"/>
  <c r="D25" i="15"/>
  <c r="D26" i="15"/>
  <c r="D29" i="15"/>
  <c r="D31" i="15"/>
  <c r="D32" i="15"/>
  <c r="E32" i="15"/>
  <c r="F32" i="15"/>
  <c r="D33" i="15"/>
  <c r="E33" i="15"/>
  <c r="F33" i="15"/>
  <c r="D34" i="15"/>
  <c r="D35" i="15"/>
  <c r="D36" i="15"/>
  <c r="D37" i="15"/>
  <c r="D38" i="15"/>
  <c r="D39" i="15"/>
  <c r="E30" i="11"/>
  <c r="I30" i="11"/>
  <c r="E28" i="11"/>
  <c r="F28" i="11"/>
  <c r="G28" i="11"/>
  <c r="E24" i="11"/>
  <c r="E20" i="11"/>
  <c r="B28" i="6"/>
  <c r="B28" i="9"/>
  <c r="K46" i="15"/>
  <c r="K45" i="15"/>
  <c r="K41" i="15"/>
  <c r="K39" i="15"/>
  <c r="K40" i="15"/>
  <c r="B10" i="9"/>
  <c r="B9" i="9"/>
  <c r="F32" i="11"/>
  <c r="G32" i="11"/>
  <c r="I32" i="11"/>
  <c r="F33" i="11"/>
  <c r="G33" i="11"/>
  <c r="F21" i="11"/>
  <c r="G21" i="11"/>
  <c r="F22" i="11"/>
  <c r="F23" i="11"/>
  <c r="F15" i="11"/>
  <c r="G15" i="11"/>
  <c r="F16" i="11"/>
  <c r="F17" i="11"/>
  <c r="G17" i="11"/>
  <c r="F18" i="11"/>
  <c r="G18" i="11"/>
  <c r="H18" i="11"/>
  <c r="I18" i="11"/>
  <c r="F19" i="11"/>
  <c r="G19" i="11"/>
  <c r="H19" i="11"/>
  <c r="I19" i="11"/>
  <c r="L42" i="11"/>
  <c r="L41" i="11"/>
  <c r="L37" i="11"/>
  <c r="L36" i="11"/>
  <c r="B32" i="6"/>
  <c r="B32" i="9"/>
  <c r="B29" i="6"/>
  <c r="B31" i="9"/>
  <c r="B30" i="9"/>
  <c r="B29" i="9"/>
  <c r="B31" i="6"/>
  <c r="B30" i="6"/>
  <c r="B38" i="6"/>
  <c r="H40" i="5"/>
  <c r="H28" i="5"/>
  <c r="J28" i="5"/>
  <c r="H33" i="15"/>
  <c r="H32" i="15"/>
  <c r="I33" i="11"/>
  <c r="D28" i="15"/>
  <c r="H28" i="15"/>
  <c r="F27" i="14"/>
  <c r="G27" i="14"/>
  <c r="J27" i="14"/>
  <c r="I33" i="14"/>
  <c r="I67" i="14"/>
  <c r="H62" i="5"/>
  <c r="F18" i="15"/>
  <c r="G18" i="15"/>
  <c r="J45" i="5"/>
  <c r="G22" i="11"/>
  <c r="F30" i="11"/>
  <c r="G30" i="11"/>
  <c r="H30" i="11"/>
  <c r="J25" i="5"/>
  <c r="H47" i="5"/>
  <c r="J47" i="5"/>
  <c r="J32" i="5"/>
  <c r="J51" i="5"/>
  <c r="H49" i="5"/>
  <c r="J49" i="5"/>
  <c r="H66" i="5"/>
  <c r="I21" i="14"/>
  <c r="J30" i="5"/>
  <c r="F42" i="14"/>
  <c r="G42" i="14"/>
  <c r="H42" i="14"/>
  <c r="I44" i="14"/>
  <c r="I23" i="14"/>
  <c r="F32" i="14"/>
  <c r="G32" i="14"/>
  <c r="H32" i="14"/>
  <c r="F61" i="14"/>
  <c r="G61" i="14"/>
  <c r="I53" i="14"/>
  <c r="I37" i="14"/>
  <c r="I28" i="14"/>
  <c r="I40" i="14"/>
  <c r="J40" i="14"/>
  <c r="I51" i="14"/>
  <c r="I45" i="14"/>
  <c r="F39" i="14"/>
  <c r="G39" i="14"/>
  <c r="H39" i="14"/>
  <c r="F52" i="14"/>
  <c r="G52" i="14"/>
  <c r="H52" i="14"/>
  <c r="H21" i="14"/>
  <c r="J21" i="14"/>
  <c r="G56" i="14"/>
  <c r="H56" i="14"/>
  <c r="I11" i="14"/>
  <c r="F62" i="14"/>
  <c r="G62" i="14"/>
  <c r="J62" i="14"/>
  <c r="I62" i="14"/>
  <c r="I54" i="14"/>
  <c r="F54" i="14"/>
  <c r="G54" i="14"/>
  <c r="F49" i="14"/>
  <c r="G49" i="14"/>
  <c r="J49" i="14"/>
  <c r="H12" i="14"/>
  <c r="I12" i="14"/>
  <c r="H19" i="14"/>
  <c r="F30" i="14"/>
  <c r="G30" i="14"/>
  <c r="H30" i="14"/>
  <c r="I30" i="14"/>
  <c r="F57" i="14"/>
  <c r="G57" i="14"/>
  <c r="I29" i="14"/>
  <c r="H67" i="14"/>
  <c r="J67" i="14"/>
  <c r="H49" i="14"/>
  <c r="H29" i="5"/>
  <c r="J29" i="5"/>
  <c r="H37" i="5"/>
  <c r="J37" i="5"/>
  <c r="H36" i="14"/>
  <c r="J36" i="14"/>
  <c r="J42" i="5"/>
  <c r="H42" i="5"/>
  <c r="J35" i="14"/>
  <c r="H35" i="14"/>
  <c r="H33" i="14"/>
  <c r="J33" i="14"/>
  <c r="H23" i="14"/>
  <c r="J23" i="14"/>
  <c r="H54" i="5"/>
  <c r="J54" i="5"/>
  <c r="J57" i="5"/>
  <c r="H57" i="5"/>
  <c r="H45" i="14"/>
  <c r="J45" i="14"/>
  <c r="J55" i="5"/>
  <c r="F38" i="14"/>
  <c r="G38" i="14"/>
  <c r="J34" i="5"/>
  <c r="H41" i="5"/>
  <c r="I69" i="14"/>
  <c r="F71" i="14"/>
  <c r="G71" i="14"/>
  <c r="J42" i="14"/>
  <c r="L39" i="11"/>
  <c r="I70" i="14"/>
  <c r="H13" i="14"/>
  <c r="I35" i="14"/>
  <c r="F41" i="14"/>
  <c r="G41" i="14"/>
  <c r="J41" i="14"/>
  <c r="J72" i="5"/>
  <c r="H55" i="14"/>
  <c r="F64" i="14"/>
  <c r="G64" i="14"/>
  <c r="H64" i="14"/>
  <c r="I34" i="14"/>
  <c r="I36" i="14"/>
  <c r="H50" i="5"/>
  <c r="H78" i="5"/>
  <c r="F59" i="14"/>
  <c r="G59" i="14"/>
  <c r="J59" i="14"/>
  <c r="E28" i="15"/>
  <c r="F28" i="15"/>
  <c r="D24" i="15"/>
  <c r="E24" i="15"/>
  <c r="F24" i="15"/>
  <c r="F24" i="11"/>
  <c r="G24" i="11"/>
  <c r="H24" i="11"/>
  <c r="I24" i="11"/>
  <c r="H23" i="15"/>
  <c r="G23" i="11"/>
  <c r="H23" i="11"/>
  <c r="I23" i="11"/>
  <c r="H22" i="15"/>
  <c r="H18" i="15"/>
  <c r="H17" i="11"/>
  <c r="I17" i="11"/>
  <c r="B35" i="6"/>
  <c r="G15" i="15"/>
  <c r="H15" i="15"/>
  <c r="B27" i="19"/>
  <c r="B23" i="19"/>
  <c r="G83" i="7"/>
  <c r="G55" i="7"/>
  <c r="B25" i="9"/>
  <c r="G48" i="7"/>
  <c r="G34" i="7"/>
  <c r="G30" i="7"/>
  <c r="G24" i="7"/>
  <c r="B17" i="6" s="1"/>
  <c r="G12" i="7"/>
  <c r="B15" i="18"/>
  <c r="I60" i="14"/>
  <c r="D16" i="14"/>
  <c r="F16" i="14"/>
  <c r="G16" i="14"/>
  <c r="H16" i="14"/>
  <c r="D15" i="14"/>
  <c r="F15" i="14"/>
  <c r="G15" i="14"/>
  <c r="J38" i="14"/>
  <c r="H38" i="14"/>
  <c r="J69" i="5"/>
  <c r="H69" i="5"/>
  <c r="H11" i="5"/>
  <c r="I11" i="5"/>
  <c r="H18" i="5"/>
  <c r="I18" i="5"/>
  <c r="H26" i="5"/>
  <c r="J26" i="5"/>
  <c r="H24" i="5"/>
  <c r="J24" i="5"/>
  <c r="J35" i="5"/>
  <c r="H35" i="5"/>
  <c r="J47" i="14"/>
  <c r="H47" i="14"/>
  <c r="J71" i="14"/>
  <c r="H71" i="14"/>
  <c r="J20" i="14"/>
  <c r="H20" i="14"/>
  <c r="J48" i="14"/>
  <c r="H48" i="14"/>
  <c r="H57" i="14"/>
  <c r="J57" i="14"/>
  <c r="F19" i="15"/>
  <c r="G19" i="15"/>
  <c r="H19" i="15"/>
  <c r="H59" i="5"/>
  <c r="J59" i="5"/>
  <c r="H75" i="5"/>
  <c r="J75" i="5"/>
  <c r="J52" i="14"/>
  <c r="H59" i="14"/>
  <c r="I21" i="5"/>
  <c r="J53" i="5"/>
  <c r="J61" i="5"/>
  <c r="J65" i="5"/>
  <c r="J37" i="14"/>
  <c r="J71" i="5"/>
  <c r="H36" i="5"/>
  <c r="H32" i="11"/>
  <c r="J72" i="14"/>
  <c r="F20" i="11"/>
  <c r="F66" i="14"/>
  <c r="G66" i="14"/>
  <c r="J51" i="14"/>
  <c r="J34" i="14"/>
  <c r="J53" i="14"/>
  <c r="I55" i="14"/>
  <c r="F46" i="14"/>
  <c r="G46" i="14"/>
  <c r="J46" i="14"/>
  <c r="H33" i="11"/>
  <c r="I28" i="11"/>
  <c r="J28" i="11"/>
  <c r="K28" i="11"/>
  <c r="M28" i="11"/>
  <c r="C31" i="18"/>
  <c r="I12" i="5"/>
  <c r="J30" i="14"/>
  <c r="J44" i="14"/>
  <c r="J39" i="5"/>
  <c r="J27" i="5"/>
  <c r="D20" i="15"/>
  <c r="H15" i="11"/>
  <c r="I15" i="11"/>
  <c r="J64" i="5"/>
  <c r="J43" i="5"/>
  <c r="K43" i="15"/>
  <c r="H74" i="5"/>
  <c r="I72" i="14"/>
  <c r="H61" i="14"/>
  <c r="J61" i="14"/>
  <c r="H15" i="14"/>
  <c r="H24" i="14"/>
  <c r="J24" i="14"/>
  <c r="J54" i="14"/>
  <c r="H54" i="14"/>
  <c r="J25" i="14"/>
  <c r="H25" i="14"/>
  <c r="H17" i="14"/>
  <c r="I17" i="14"/>
  <c r="I31" i="14"/>
  <c r="F31" i="14"/>
  <c r="G31" i="14"/>
  <c r="I68" i="14"/>
  <c r="F68" i="14"/>
  <c r="G68" i="14"/>
  <c r="H15" i="5"/>
  <c r="I15" i="5"/>
  <c r="J29" i="14"/>
  <c r="J28" i="14"/>
  <c r="I56" i="14"/>
  <c r="J38" i="5"/>
  <c r="J56" i="5"/>
  <c r="H58" i="5"/>
  <c r="J58" i="5"/>
  <c r="H52" i="5"/>
  <c r="J52" i="5"/>
  <c r="I73" i="14"/>
  <c r="F73" i="14"/>
  <c r="G73" i="14"/>
  <c r="J33" i="5"/>
  <c r="G16" i="11"/>
  <c r="H16" i="11"/>
  <c r="I16" i="11"/>
  <c r="H22" i="11"/>
  <c r="I22" i="11"/>
  <c r="F21" i="15"/>
  <c r="G21" i="15"/>
  <c r="H21" i="15"/>
  <c r="E17" i="15"/>
  <c r="F14" i="11"/>
  <c r="D14" i="15"/>
  <c r="H13" i="5"/>
  <c r="I13" i="5"/>
  <c r="H60" i="5"/>
  <c r="J60" i="5"/>
  <c r="G41" i="7"/>
  <c r="H60" i="14"/>
  <c r="J60" i="14"/>
  <c r="I50" i="14"/>
  <c r="F50" i="14"/>
  <c r="G50" i="14"/>
  <c r="J76" i="5"/>
  <c r="H76" i="5"/>
  <c r="J56" i="14"/>
  <c r="J46" i="5"/>
  <c r="H31" i="5"/>
  <c r="J31" i="5"/>
  <c r="H44" i="5"/>
  <c r="J44" i="5"/>
  <c r="H70" i="5"/>
  <c r="J70" i="5"/>
  <c r="J32" i="14"/>
  <c r="H27" i="14"/>
  <c r="G28" i="15"/>
  <c r="H62" i="14"/>
  <c r="J64" i="14"/>
  <c r="J39" i="14"/>
  <c r="F22" i="14"/>
  <c r="G22" i="14"/>
  <c r="J23" i="5"/>
  <c r="J67" i="5"/>
  <c r="J63" i="5"/>
  <c r="E13" i="11"/>
  <c r="H21" i="11"/>
  <c r="I21" i="11"/>
  <c r="H28" i="11"/>
  <c r="G32" i="15"/>
  <c r="F16" i="15"/>
  <c r="G16" i="15"/>
  <c r="H16" i="15"/>
  <c r="I43" i="14"/>
  <c r="F43" i="14"/>
  <c r="G43" i="14"/>
  <c r="F26" i="14"/>
  <c r="G26" i="14"/>
  <c r="I65" i="14"/>
  <c r="F65" i="14"/>
  <c r="G65" i="14"/>
  <c r="F58" i="14"/>
  <c r="G58" i="14"/>
  <c r="H63" i="14"/>
  <c r="J63" i="14"/>
  <c r="H70" i="14"/>
  <c r="J70" i="14"/>
  <c r="H69" i="14"/>
  <c r="J69" i="14"/>
  <c r="D30" i="15"/>
  <c r="E27" i="11"/>
  <c r="G33" i="15"/>
  <c r="H68" i="5"/>
  <c r="G69" i="7"/>
  <c r="G62" i="7"/>
  <c r="G61" i="7"/>
  <c r="B8" i="19"/>
  <c r="I15" i="14"/>
  <c r="H41" i="14"/>
  <c r="C36" i="6"/>
  <c r="G24" i="15"/>
  <c r="H24" i="15"/>
  <c r="B20" i="19"/>
  <c r="B25" i="6"/>
  <c r="B20" i="18"/>
  <c r="B17" i="18"/>
  <c r="B15" i="9"/>
  <c r="B15" i="6"/>
  <c r="B15" i="19"/>
  <c r="I16" i="14"/>
  <c r="J11" i="14"/>
  <c r="B6" i="9"/>
  <c r="H66" i="14"/>
  <c r="J66" i="14"/>
  <c r="H46" i="14"/>
  <c r="J11" i="5"/>
  <c r="B6" i="18"/>
  <c r="E20" i="15"/>
  <c r="F20" i="15"/>
  <c r="G20" i="15"/>
  <c r="H20" i="15"/>
  <c r="G20" i="11"/>
  <c r="H20" i="11"/>
  <c r="I20" i="11"/>
  <c r="J20" i="11"/>
  <c r="L28" i="11"/>
  <c r="B36" i="6"/>
  <c r="D27" i="15"/>
  <c r="B36" i="9"/>
  <c r="B31" i="18"/>
  <c r="B31" i="19"/>
  <c r="J58" i="14"/>
  <c r="H58" i="14"/>
  <c r="H43" i="14"/>
  <c r="J43" i="14"/>
  <c r="H41" i="7"/>
  <c r="G38" i="7"/>
  <c r="B21" i="19"/>
  <c r="B26" i="6"/>
  <c r="G54" i="7"/>
  <c r="B26" i="9"/>
  <c r="B21" i="18"/>
  <c r="E30" i="15"/>
  <c r="H30" i="15"/>
  <c r="I28" i="15"/>
  <c r="J65" i="14"/>
  <c r="H65" i="14"/>
  <c r="J50" i="14"/>
  <c r="H50" i="14"/>
  <c r="H68" i="14"/>
  <c r="J68" i="14"/>
  <c r="G14" i="11"/>
  <c r="H14" i="11"/>
  <c r="I14" i="11"/>
  <c r="J14" i="11"/>
  <c r="K14" i="11"/>
  <c r="K48" i="5"/>
  <c r="B6" i="19"/>
  <c r="K22" i="5"/>
  <c r="J73" i="14"/>
  <c r="H73" i="14"/>
  <c r="J26" i="14"/>
  <c r="H26" i="14"/>
  <c r="B30" i="19"/>
  <c r="D13" i="15"/>
  <c r="B35" i="9"/>
  <c r="E12" i="11"/>
  <c r="D12" i="15"/>
  <c r="J22" i="14"/>
  <c r="H22" i="14"/>
  <c r="E14" i="15"/>
  <c r="F17" i="15"/>
  <c r="G17" i="15"/>
  <c r="H17" i="15"/>
  <c r="J31" i="14"/>
  <c r="H31" i="14"/>
  <c r="I20" i="15"/>
  <c r="J20" i="15"/>
  <c r="K20" i="11"/>
  <c r="L20" i="11"/>
  <c r="B6" i="6"/>
  <c r="K18" i="14"/>
  <c r="B7" i="9"/>
  <c r="L14" i="11"/>
  <c r="M14" i="11"/>
  <c r="F30" i="15"/>
  <c r="G30" i="15"/>
  <c r="F14" i="15"/>
  <c r="G14" i="15"/>
  <c r="H14" i="15"/>
  <c r="I14" i="15"/>
  <c r="J14" i="15"/>
  <c r="J28" i="15"/>
  <c r="L28" i="15"/>
  <c r="B19" i="19"/>
  <c r="E19" i="19"/>
  <c r="B19" i="18"/>
  <c r="E19" i="18"/>
  <c r="B24" i="6"/>
  <c r="E24" i="6"/>
  <c r="B24" i="9"/>
  <c r="E24" i="9"/>
  <c r="B22" i="6"/>
  <c r="B19" i="6"/>
  <c r="B21" i="6"/>
  <c r="B20" i="9"/>
  <c r="B20" i="6"/>
  <c r="B23" i="9"/>
  <c r="B22" i="9"/>
  <c r="B21" i="9"/>
  <c r="B23" i="6"/>
  <c r="B19" i="9"/>
  <c r="B7" i="18"/>
  <c r="B5" i="18"/>
  <c r="B7" i="6"/>
  <c r="B18" i="6"/>
  <c r="E18" i="6"/>
  <c r="B18" i="9"/>
  <c r="E18" i="9"/>
  <c r="B7" i="19"/>
  <c r="K20" i="15"/>
  <c r="L20" i="15"/>
  <c r="M20" i="11"/>
  <c r="N14" i="11"/>
  <c r="C30" i="18"/>
  <c r="K14" i="15"/>
  <c r="L14" i="15"/>
  <c r="B5" i="6"/>
  <c r="B5" i="19"/>
  <c r="K28" i="15"/>
  <c r="C36" i="9"/>
  <c r="C31" i="19"/>
  <c r="M14" i="15"/>
  <c r="C30" i="19"/>
  <c r="C35" i="6"/>
  <c r="B5" i="9"/>
  <c r="C35" i="9"/>
  <c r="H23" i="7" l="1"/>
  <c r="G19" i="7" s="1"/>
  <c r="B17" i="9"/>
  <c r="B17" i="19"/>
  <c r="B16" i="6"/>
  <c r="B16" i="19"/>
  <c r="B16" i="9"/>
  <c r="B16" i="18"/>
  <c r="G11" i="7"/>
  <c r="B14" i="19" l="1"/>
  <c r="B14" i="6"/>
  <c r="B14" i="18"/>
  <c r="B14" i="9"/>
  <c r="E14" i="19" l="1"/>
  <c r="E11" i="19" s="1"/>
  <c r="E12" i="19" s="1"/>
  <c r="C13" i="19"/>
  <c r="E14" i="9"/>
  <c r="E11" i="9" s="1"/>
  <c r="E12" i="9" s="1"/>
  <c r="B13" i="9"/>
  <c r="C13" i="18"/>
  <c r="E14" i="18"/>
  <c r="E11" i="18" s="1"/>
  <c r="E12" i="18" s="1"/>
  <c r="E14" i="6"/>
  <c r="E11" i="6" s="1"/>
  <c r="E12" i="6" s="1"/>
  <c r="B13" i="6"/>
  <c r="C12" i="18" l="1"/>
  <c r="C12" i="6"/>
  <c r="C12" i="9"/>
  <c r="C12" i="19"/>
</calcChain>
</file>

<file path=xl/sharedStrings.xml><?xml version="1.0" encoding="utf-8"?>
<sst xmlns="http://schemas.openxmlformats.org/spreadsheetml/2006/main" count="665" uniqueCount="446">
  <si>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</si>
  <si>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</si>
  <si>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</si>
  <si>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</si>
  <si>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</si>
  <si>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</si>
  <si>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</si>
  <si>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</si>
  <si>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</si>
  <si>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</si>
  <si>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</si>
  <si>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</si>
  <si>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</si>
  <si>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</si>
  <si>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</si>
  <si>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</si>
  <si>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</si>
  <si>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</si>
  <si>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</si>
  <si>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</si>
  <si>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</si>
  <si>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</si>
  <si>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</si>
  <si>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</si>
  <si>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</si>
  <si>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</si>
  <si>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</si>
  <si>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</si>
  <si>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</si>
  <si>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</si>
  <si>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</si>
  <si>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</si>
  <si>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</si>
  <si>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</si>
  <si>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</si>
  <si>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</si>
  <si>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</si>
  <si>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</si>
  <si>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</si>
  <si>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</si>
  <si>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</si>
  <si>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</si>
  <si>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</si>
  <si>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</si>
  <si>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</si>
  <si>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La operación está alineada con el objetivo estratégico de "fomento de soluciones ambientalmente sostenibles y el apoyo a la gestión de riesgos de desastres naturales por efectos del cambio climático".</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</si>
  <si>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</si>
  <si>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</si>
  <si>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</si>
  <si>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</si>
  <si>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</si>
  <si>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</si>
  <si>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</si>
  <si>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</si>
  <si>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</si>
  <si>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</si>
  <si>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</si>
  <si>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</si>
  <si>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</si>
  <si>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</si>
  <si>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</si>
  <si>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</si>
  <si>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</si>
  <si>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</si>
  <si>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</si>
  <si>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</si>
  <si>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</si>
  <si>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</si>
  <si>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</si>
  <si>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</si>
  <si>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</si>
  <si>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</si>
  <si>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</si>
  <si>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</si>
  <si>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</si>
  <si>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</si>
  <si>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</si>
  <si>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</si>
  <si>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</si>
  <si>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</si>
  <si>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</si>
  <si>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</si>
  <si>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</si>
  <si>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</si>
  <si>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</si>
  <si>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</si>
  <si>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</si>
  <si>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</si>
  <si>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</si>
  <si>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</si>
  <si>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</si>
  <si>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</si>
  <si>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</si>
  <si>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</si>
  <si>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</si>
  <si>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</si>
  <si>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</si>
  <si>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</si>
  <si>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</si>
  <si>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Como parte de las actividades contempladas en el PGIRDN , se priorizará la identificación y promoción de las mujeres líderes en los organismos encargados de gestionar los riesgos de desastres, así como el fortalecimiento de su rol en el proceso de toma de decisiones en esta temática. Ver POD, par. 1.31.</t>
  </si>
  <si>
    <t>Yes</t>
  </si>
  <si>
    <t>Diversity</t>
  </si>
  <si>
    <t>Climate Change and Environmental Sustainability</t>
  </si>
  <si>
    <t>Climate Change</t>
  </si>
  <si>
    <t>Incremento de la cobertura financiera ex ante disponible para el país en caso de la ocurrencia de un desastre natural severo o catastrófico. Ver POD, par. 1.31.</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</si>
  <si>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</si>
  <si>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</si>
  <si>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</si>
  <si>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</si>
  <si>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</si>
  <si>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</si>
  <si>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</si>
  <si>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</si>
  <si>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</si>
  <si>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</si>
  <si>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</si>
  <si>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</si>
  <si>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</si>
  <si>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</si>
  <si>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</si>
  <si>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</si>
  <si>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</si>
  <si>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</si>
  <si>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</si>
  <si>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</si>
  <si>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</si>
  <si>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</si>
  <si>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</si>
  <si>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</si>
  <si>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</si>
  <si>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</si>
  <si>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</si>
  <si>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</si>
  <si>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</si>
  <si>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</si>
  <si>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</si>
  <si>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</si>
  <si>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</si>
  <si>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</si>
  <si>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</si>
  <si>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</si>
  <si>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</si>
  <si>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</si>
  <si>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</si>
  <si>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</si>
  <si>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</si>
  <si>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</si>
  <si>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</si>
  <si>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</si>
  <si>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</si>
  <si>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</si>
  <si>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</si>
  <si>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</si>
  <si>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 xml:space="preserve">La operación contribuirá a mejorar la gestión del riesgo de desastres de Argentina, particularmente en el manejo de los riesgos financieros mediante una cobertura financiera ex ante para cubrir gastos extraordinarios durante emergencias por desastres naturales severos o catastróficos.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</si>
  <si>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</si>
  <si>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</si>
  <si>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</si>
  <si>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</si>
  <si>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</si>
  <si>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</si>
  <si>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</si>
  <si>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</si>
  <si>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</si>
  <si>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</si>
  <si>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</si>
  <si>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</si>
  <si>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</si>
  <si>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</si>
  <si>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</si>
  <si>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</si>
  <si>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GN-2780-1</t>
  </si>
  <si>
    <t>The Country Strategy (CS or CSU) objective to which the project is aligned has been identified</t>
  </si>
  <si>
    <t>The operation is aligned with the strategic objective of "fostering of environmentally sustainable solutions and support for climate change-related disaster risk management."</t>
  </si>
  <si>
    <t>Country Program Results Matrix</t>
  </si>
  <si>
    <t>The project is included in the CPD of the corresponding year</t>
  </si>
  <si>
    <t>GN-2915-2</t>
  </si>
  <si>
    <t>If the intervention is not aligned with the Country Strategy Results Matrix or Country Program</t>
  </si>
  <si>
    <t xml:space="preserve"> Provide justification of the relevance of this project to current country development challenges</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</si>
  <si>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</si>
  <si>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</si>
  <si>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</si>
  <si>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</si>
  <si>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</si>
  <si>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</si>
  <si>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</si>
  <si>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</si>
  <si>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</si>
  <si>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</si>
  <si>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</si>
  <si>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</si>
  <si>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</si>
  <si>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</si>
  <si>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</si>
  <si>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</si>
  <si>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</si>
  <si>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</si>
  <si>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</si>
  <si>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</si>
  <si>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</si>
  <si>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</si>
  <si>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</si>
  <si>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</si>
  <si>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</si>
  <si>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</si>
  <si>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</si>
  <si>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</si>
  <si>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</si>
  <si>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</si>
  <si>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</si>
  <si>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</si>
  <si>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</si>
  <si>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</si>
  <si>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</si>
  <si>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</si>
  <si>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</si>
  <si>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</si>
  <si>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</si>
  <si>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</si>
  <si>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</si>
  <si>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</si>
  <si>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</si>
  <si>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</si>
  <si>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</si>
  <si>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</si>
  <si>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</si>
  <si>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</si>
  <si>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</si>
  <si>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</si>
  <si>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</si>
  <si>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</si>
  <si>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</si>
  <si>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</si>
  <si>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</si>
  <si>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</si>
  <si>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</si>
  <si>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</si>
  <si>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</si>
  <si>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</si>
  <si>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</si>
  <si>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</si>
  <si>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</si>
  <si>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</si>
  <si>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</si>
  <si>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</si>
  <si>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</si>
  <si>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</si>
  <si>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</si>
  <si>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</si>
  <si>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</si>
  <si>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</si>
  <si>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</si>
  <si>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</si>
  <si>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</si>
  <si>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</si>
  <si>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</si>
  <si>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</si>
  <si>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</si>
  <si>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Fill in referenced paragraph in the POD</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</si>
  <si>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</si>
  <si>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</si>
  <si>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</si>
  <si>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</si>
  <si>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</si>
  <si>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</si>
  <si>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</si>
  <si>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</si>
  <si>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</si>
  <si>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</si>
  <si>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</si>
  <si>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Ver POD, par. 1.1 to 1.20</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</si>
  <si>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</si>
  <si>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</si>
  <si>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</si>
  <si>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</si>
  <si>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</si>
  <si>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</si>
  <si>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</si>
  <si>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Ver POD, par. 1.21 to 1.25</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</si>
  <si>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</si>
  <si>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</si>
  <si>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</si>
  <si>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</si>
  <si>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</si>
  <si>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</si>
  <si>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En línea con el objetivo de la operación, los resultados esperados son: (i) una gestión mejorada de los riesgos financieros vinculados a los desastres naturales severos o catastróficos mediante una cobertura contingente más amplia, estable y eficiente para la atención de los gastos públicos ocasionados por emergencias; y (ii) una política nacional efectiva para la gestión integral del riesgo de desastres naturales, que incorpore consideraciones de género. 1.34 Para verificar las mejoras en la gestión de riesgo financiero del país, los siguientes indicadores serán monitoreados: (i) el aumento en la cobertura financiera ex ante disponible para el país; (ii) el cambio en el diferencial entre el costo financiero de este préstamo y el de bono soberano de Argentina a largo plazo; y (iii) la rapidez en el acceso a los recursos en caso de ocurrir un evento elegible. Asimismo, la efectividad de la política nacional para la gestión del riesgo de desastres será monitoreada a través de la ejecución satisfactoria del PGIRDN, al igual que las cuestiones de género abordadas en el programa. Ver Matriz de Resutaldos</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</si>
  <si>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</si>
  <si>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</si>
  <si>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</si>
  <si>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</si>
  <si>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</si>
  <si>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</si>
  <si>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</si>
  <si>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</si>
  <si>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</si>
  <si>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</si>
  <si>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</si>
  <si>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</si>
  <si>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</si>
  <si>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</si>
  <si>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No</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</si>
  <si>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</si>
  <si>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</si>
  <si>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</si>
  <si>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</si>
  <si>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</si>
  <si>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</si>
  <si>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</si>
  <si>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</si>
  <si>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 xml:space="preserve">Ver Costo Eficacia </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</si>
  <si>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</si>
  <si>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</si>
  <si>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</si>
  <si>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</si>
  <si>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</si>
  <si>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</si>
  <si>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</si>
  <si>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Ver Plan de Monitoreo y Evaluación</t>
  </si>
  <si>
    <t>Total project costs are grouped by each expected output</t>
  </si>
  <si>
    <t>El programa tiene un solo producto y es la disponibilidad de cobertura financiera por el monto total del préstamo (US$300 millones).</t>
  </si>
  <si>
    <t>All annual output targets are supported by corresponding annual costs</t>
  </si>
  <si>
    <t>The sum of the total costs for all outputs, plus other costs if applicable, is equivalent to the total project amount (including counterpart funding)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</si>
  <si>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</si>
  <si>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</si>
  <si>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</si>
  <si>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</si>
  <si>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</si>
  <si>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</si>
  <si>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</si>
  <si>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</si>
  <si>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</si>
  <si>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</si>
  <si>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</si>
  <si>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</si>
  <si>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</si>
  <si>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</si>
  <si>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</si>
  <si>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</si>
  <si>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</si>
  <si>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</si>
  <si>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</si>
  <si>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</si>
  <si>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</si>
  <si>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</si>
  <si>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</si>
  <si>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</si>
  <si>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</si>
  <si>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</si>
  <si>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</si>
  <si>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</si>
  <si>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</si>
  <si>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</si>
  <si>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</si>
  <si>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</si>
  <si>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</si>
  <si>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</si>
  <si>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</si>
  <si>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</si>
  <si>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</si>
  <si>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</si>
  <si>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</si>
  <si>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Low</t>
  </si>
  <si>
    <t>Environmental and Social Category</t>
  </si>
  <si>
    <t>Specify Environmental and Social Category: A, B, C, B.13</t>
  </si>
  <si>
    <t>B.13</t>
  </si>
  <si>
    <t xml:space="preserve">Risk Matrix </t>
  </si>
  <si>
    <t>Identified risks have been rated for magnitude</t>
  </si>
  <si>
    <t xml:space="preserve">Ver POD, par. 2.10; Anexo III, par. 3.4 y 3.5; Apéndice I - matriz de riesgos </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</si>
  <si>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</si>
  <si>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</si>
  <si>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</si>
  <si>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</si>
  <si>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</si>
  <si>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</si>
  <si>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</si>
  <si>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</si>
  <si>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</si>
  <si>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</si>
  <si>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</si>
  <si>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Oficina Nacional de Presupuesto del Ministerio de Hacienda.</t>
  </si>
  <si>
    <t xml:space="preserve">         Treasury</t>
  </si>
  <si>
    <t>Secretaría de Finanzas del Ministerio de Hacienda.</t>
  </si>
  <si>
    <t xml:space="preserve">         Accounting and Reporting</t>
  </si>
  <si>
    <t>Direcció n General de Administración del Ministerio de Hacienda.</t>
  </si>
  <si>
    <t xml:space="preserve">         External Control</t>
  </si>
  <si>
    <t>Auditoría General de la Nación</t>
  </si>
  <si>
    <t xml:space="preserve">         Internal Audit</t>
  </si>
  <si>
    <t>Unidad de Auditoría Interna del Ministerio de Hacienda.</t>
  </si>
  <si>
    <r>
      <t xml:space="preserve">    </t>
    </r>
    <r>
      <rPr>
        <b/>
        <i/>
        <sz val="11"/>
        <rFont val="Arial"/>
        <family val="2"/>
      </rPr>
      <t xml:space="preserve"> Procurement</t>
    </r>
  </si>
  <si>
    <t xml:space="preserve">        Information System</t>
  </si>
  <si>
    <t>El prestario aplicará sus propias reglas y regulaciones sobre gastos fiscales extraordinarios para la adquisición de bienes y servicios durante emergencias causadas por desastres naturales severos o catastróficos.</t>
  </si>
  <si>
    <t>Price Comparison</t>
  </si>
  <si>
    <t>Régimen de Contrataciones del Estado Nacional (Decreto Delegado No. 1023/2001) y Reglamento para la Adquisición, Enajenación y Contratación de Bienes y Servicios del Estado Nacional (Decreto No. 436/2000).</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</si>
  <si>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</si>
  <si>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</si>
  <si>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</si>
  <si>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</si>
  <si>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</si>
  <si>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</si>
  <si>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</si>
  <si>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</si>
  <si>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</si>
  <si>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</si>
  <si>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</si>
  <si>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</si>
  <si>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</si>
  <si>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</si>
  <si>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</si>
  <si>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</si>
  <si>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</si>
  <si>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</si>
  <si>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</si>
  <si>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</si>
  <si>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</si>
  <si>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</si>
  <si>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</si>
  <si>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</si>
  <si>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</si>
  <si>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</si>
  <si>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</si>
  <si>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</si>
  <si>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</si>
  <si>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</si>
  <si>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</si>
  <si>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</si>
  <si>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</si>
  <si>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</si>
  <si>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</si>
  <si>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</si>
  <si>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</si>
  <si>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A</t>
  </si>
  <si>
    <t>Medium</t>
  </si>
  <si>
    <t>B</t>
  </si>
  <si>
    <t>High</t>
  </si>
  <si>
    <t>C</t>
  </si>
  <si>
    <t>Estructura</t>
  </si>
  <si>
    <t>Titulo principal</t>
  </si>
  <si>
    <t>Titulo secundario</t>
  </si>
  <si>
    <t>Total</t>
  </si>
  <si>
    <t>Subtotal 1</t>
  </si>
  <si>
    <t>Subtotal 2</t>
  </si>
  <si>
    <t>Agregados</t>
  </si>
  <si>
    <t>There are no studies with internal validity that establish a causal relatinoship between contingent loans and the reduced impact of natural disasters</t>
  </si>
  <si>
    <t xml:space="preserve">not all outcome indicators are SMART. The indicators whose related activities will be defined anually are by definition not Specific. </t>
  </si>
  <si>
    <t xml:space="preserve">I leave yes, but really need to start thinking on indicators that capture the impact of this type of instrument on reducing the overall vulnerability to natural disasters. Particularly when you associate these with the PGIRND. Regarding PGRND, it's not clear that the indicators included are for outcomes. But even if they where, there are no outputs associated to them. </t>
  </si>
  <si>
    <t>The objective of the program is to help cushion the potential impact that severe or catastrophic natural disasters could have on the country's public finances through an increase in the availability, stability and efficiency of contingent financing for the attention of the emergencies caused by floods and earthquakes. The diagnosis clearly identifies, based on empirical evidence, the country's vulnerability to floods and earthquakes and the country's need to improve its financial management of disaster risk and strengthen its fiscal resilience.
The logic of the proposed intervention is clear. Not all outcome indicators are specific enough to meet SMART criteria.
The program has a cost-effectiveness analysis and a monitoring and evaluation plan in accordance with the DEM Guidelines. The evaluation seeks to compare ex post the ex ante financial provision against the non-provision of coverage (cost for the country to borrow at the time of the disaster), when the disaster occurs.</t>
  </si>
  <si>
    <t>El objetivo del programa es ayudar a amortiguar el impacto potencial que los desastres naturales severos o catastróficos podrían llegar a tener sobre las finanzas públicas del país a través de un aumento en la disponibilidad, la estabilidad y la eficiencia del financiamiento contingente para la atención de las emergencias ocasionadas por inundaciones y terremotos. El diagnóstico identifica claramente, con base en evidencia empírica, la vulnerabilidad del país a inundaciones y terremotos y la necesidad del país de mejorar su gestión financiera del riesgo de desastres y fortalecer su resiliencia fiscal. 
La lógica de la intervención propuesta es clara. No todos los indicadores de resultado son lo suficientemente específicos para cumplir con criterios SMART.
El programa cuenta con un análisis de costo-efectividad y un plan de monitoreo y evaluación de acuerdo con las Guías del DEM. A través de la evaluación se busca comparar ex post la disposición de cobertura financiera ex ante frente a la no disposición de cobertura (costo para el país de endeudarse al momento del desastre), ante la ocurrencia de un desastre.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</si>
</sst>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1"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79">
    <xf numFmtId="0" fontId="0" fillId="0" borderId="0" xfId="0"/>
    <xf numFmtId="165" fontId="11"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4" xfId="0" applyFont="1" applyFill="1" applyBorder="1" applyAlignment="1" applyProtection="1">
      <alignment horizontal="left" vertical="center" wrapText="1"/>
      <protection locked="0"/>
    </xf>
    <xf numFmtId="0" fontId="7" fillId="0" borderId="4" xfId="0" applyFont="1" applyBorder="1" applyAlignment="1" applyProtection="1">
      <alignment horizontal="center" vertical="top" wrapText="1"/>
      <protection locked="0"/>
    </xf>
    <xf numFmtId="0" fontId="12" fillId="0" borderId="4" xfId="8" applyFont="1" applyFill="1" applyBorder="1" applyAlignment="1" applyProtection="1">
      <alignment horizontal="left" vertical="center" wrapText="1"/>
      <protection locked="0"/>
    </xf>
    <xf numFmtId="0" fontId="3" fillId="0" borderId="4" xfId="8" applyFont="1" applyFill="1" applyBorder="1" applyAlignment="1" applyProtection="1">
      <alignment vertical="center"/>
      <protection locked="0"/>
    </xf>
    <xf numFmtId="0" fontId="3" fillId="0" borderId="4" xfId="8" applyFont="1" applyBorder="1" applyAlignment="1" applyProtection="1">
      <alignment vertical="center" wrapText="1"/>
      <protection locked="0"/>
    </xf>
    <xf numFmtId="0" fontId="3" fillId="0" borderId="4" xfId="8" applyFont="1" applyBorder="1" applyAlignment="1" applyProtection="1">
      <alignment horizontal="left" vertical="center" wrapText="1"/>
      <protection locked="0"/>
    </xf>
    <xf numFmtId="0" fontId="12" fillId="0" borderId="4" xfId="8" applyFont="1" applyFill="1" applyBorder="1" applyAlignment="1" applyProtection="1">
      <alignment vertical="center"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2" fillId="0" borderId="49" xfId="0" applyFont="1" applyFill="1" applyBorder="1" applyAlignment="1">
      <alignment vertical="center" wrapText="1"/>
    </xf>
    <xf numFmtId="0" fontId="7" fillId="0" borderId="29" xfId="0" applyFont="1" applyBorder="1" applyAlignment="1" applyProtection="1">
      <alignment horizontal="center" vertical="center"/>
      <protection locked="0"/>
    </xf>
    <xf numFmtId="0" fontId="3" fillId="0" borderId="33" xfId="0" applyFont="1" applyBorder="1" applyAlignment="1" applyProtection="1">
      <alignment vertical="center"/>
      <protection locked="0"/>
    </xf>
    <xf numFmtId="0" fontId="3" fillId="0" borderId="5" xfId="0" applyFont="1" applyBorder="1" applyAlignment="1" applyProtection="1">
      <alignment horizontal="left" vertical="center"/>
      <protection locked="0"/>
    </xf>
    <xf numFmtId="0" fontId="7" fillId="10" borderId="11" xfId="0" applyFont="1" applyFill="1" applyBorder="1" applyAlignment="1" applyProtection="1">
      <alignment horizontal="center" vertical="center" wrapText="1"/>
      <protection locked="0"/>
    </xf>
    <xf numFmtId="0" fontId="11" fillId="0" borderId="0" xfId="0" applyFont="1" applyBorder="1" applyAlignment="1">
      <alignment horizontal="center" vertical="center" wrapText="1"/>
    </xf>
    <xf numFmtId="0" fontId="12" fillId="0" borderId="0" xfId="0" applyFont="1" applyAlignment="1">
      <alignment wrapText="1"/>
    </xf>
    <xf numFmtId="0" fontId="22" fillId="19" borderId="30" xfId="0" applyFont="1" applyFill="1" applyBorder="1" applyAlignment="1">
      <alignment horizontal="right" vertical="center" wrapText="1"/>
    </xf>
    <xf numFmtId="0" fontId="22" fillId="19" borderId="19" xfId="0" applyFont="1" applyFill="1" applyBorder="1" applyAlignment="1">
      <alignment horizontal="center" vertical="center" wrapText="1"/>
    </xf>
    <xf numFmtId="0" fontId="22" fillId="19" borderId="19" xfId="0" applyFont="1" applyFill="1" applyBorder="1" applyAlignment="1">
      <alignment vertical="center" wrapText="1"/>
    </xf>
    <xf numFmtId="0" fontId="22" fillId="19" borderId="31" xfId="0" applyFont="1" applyFill="1" applyBorder="1" applyAlignment="1">
      <alignment vertical="center" wrapText="1"/>
    </xf>
    <xf numFmtId="0" fontId="11" fillId="21" borderId="10" xfId="0" applyFont="1" applyFill="1" applyBorder="1" applyAlignment="1">
      <alignment vertical="center" wrapText="1"/>
    </xf>
    <xf numFmtId="0" fontId="39" fillId="0" borderId="10" xfId="0" applyFont="1" applyFill="1" applyBorder="1" applyAlignment="1">
      <alignment vertical="center" wrapText="1"/>
    </xf>
    <xf numFmtId="0" fontId="39" fillId="0" borderId="4" xfId="0" applyNumberFormat="1" applyFont="1" applyFill="1" applyBorder="1" applyAlignment="1" applyProtection="1">
      <alignment horizontal="center" vertical="center" wrapText="1"/>
      <protection hidden="1"/>
    </xf>
    <xf numFmtId="0" fontId="11" fillId="0" borderId="10" xfId="0" applyFont="1" applyFill="1" applyBorder="1" applyAlignment="1">
      <alignment horizontal="left" vertical="center" wrapText="1" indent="1"/>
    </xf>
    <xf numFmtId="165" fontId="11" fillId="0" borderId="4" xfId="0" applyNumberFormat="1" applyFont="1" applyFill="1" applyBorder="1" applyAlignment="1" applyProtection="1">
      <alignment horizontal="right" vertical="center" wrapText="1"/>
      <protection locked="0"/>
    </xf>
    <xf numFmtId="0" fontId="38"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2" fillId="25" borderId="30" xfId="0" applyNumberFormat="1" applyFont="1" applyFill="1" applyBorder="1" applyAlignment="1" applyProtection="1">
      <alignment horizontal="center" vertical="center" wrapText="1"/>
      <protection hidden="1"/>
    </xf>
    <xf numFmtId="0" fontId="38"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39"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39"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1" fontId="11" fillId="0" borderId="4" xfId="0" applyNumberFormat="1" applyFont="1" applyFill="1" applyBorder="1" applyAlignment="1" applyProtection="1">
      <alignment horizontal="left" vertical="center" wrapText="1"/>
    </xf>
    <xf numFmtId="1" fontId="11" fillId="0" borderId="11" xfId="0" applyNumberFormat="1" applyFont="1" applyFill="1" applyBorder="1" applyAlignment="1" applyProtection="1">
      <alignment horizontal="left" vertical="center" wrapText="1"/>
    </xf>
    <xf numFmtId="0" fontId="38" fillId="9" borderId="10" xfId="0" applyFont="1" applyFill="1" applyBorder="1" applyAlignment="1">
      <alignment horizontal="left" vertical="center" wrapText="1"/>
    </xf>
    <xf numFmtId="0" fontId="38" fillId="9" borderId="4" xfId="0" applyFont="1" applyFill="1" applyBorder="1" applyAlignment="1">
      <alignment horizontal="left" vertical="center" wrapText="1"/>
    </xf>
    <xf numFmtId="0" fontId="38" fillId="9" borderId="11" xfId="0" applyFont="1" applyFill="1" applyBorder="1" applyAlignment="1">
      <alignment horizontal="left"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9" fontId="39" fillId="0" borderId="4" xfId="0" applyNumberFormat="1" applyFont="1" applyFill="1" applyBorder="1" applyAlignment="1" applyProtection="1">
      <alignment horizontal="left" vertical="center" wrapText="1"/>
      <protection locked="0" hidden="1"/>
    </xf>
    <xf numFmtId="9" fontId="39" fillId="0" borderId="11" xfId="0" applyNumberFormat="1" applyFont="1" applyFill="1" applyBorder="1" applyAlignment="1" applyProtection="1">
      <alignment horizontal="left" vertical="center" wrapText="1"/>
      <protection locked="0" hidden="1"/>
    </xf>
    <xf numFmtId="9" fontId="39" fillId="0" borderId="4" xfId="0" applyNumberFormat="1" applyFont="1" applyFill="1" applyBorder="1" applyAlignment="1" applyProtection="1">
      <alignment horizontal="left" vertical="center" wrapText="1"/>
      <protection hidden="1"/>
    </xf>
    <xf numFmtId="9" fontId="39"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locked="0" hidden="1"/>
    </xf>
    <xf numFmtId="9" fontId="39" fillId="0" borderId="28" xfId="0" applyNumberFormat="1" applyFont="1" applyFill="1" applyBorder="1" applyAlignment="1" applyProtection="1">
      <alignment horizontal="left" vertical="center" wrapText="1"/>
      <protection locked="0" hidden="1"/>
    </xf>
    <xf numFmtId="0" fontId="24" fillId="0" borderId="0" xfId="0" applyFont="1" applyAlignment="1" applyProtection="1">
      <alignment vertical="top" wrapText="1"/>
      <protection locked="0"/>
    </xf>
    <xf numFmtId="0" fontId="12" fillId="0" borderId="0" xfId="0" applyFont="1" applyAlignment="1" applyProtection="1">
      <alignment wrapText="1"/>
      <protection locked="0"/>
    </xf>
    <xf numFmtId="1" fontId="11" fillId="0" borderId="30" xfId="0" applyNumberFormat="1" applyFont="1" applyFill="1" applyBorder="1" applyAlignment="1" applyProtection="1">
      <alignment horizontal="center" vertical="center" wrapText="1"/>
      <protection locked="0" hidden="1"/>
    </xf>
    <xf numFmtId="1" fontId="11" fillId="0" borderId="28" xfId="0" applyNumberFormat="1" applyFont="1" applyFill="1" applyBorder="1" applyAlignment="1" applyProtection="1">
      <alignment horizontal="center" vertical="center" wrapText="1"/>
      <protection locked="0" hidden="1"/>
    </xf>
    <xf numFmtId="0" fontId="12" fillId="0" borderId="0" xfId="0" applyFont="1" applyFill="1" applyBorder="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3" fillId="0" borderId="4" xfId="0" applyNumberFormat="1" applyFont="1" applyFill="1" applyBorder="1" applyAlignment="1" applyProtection="1">
      <alignment horizontal="center" vertical="center" wrapText="1"/>
      <protection hidden="1"/>
    </xf>
    <xf numFmtId="165" fontId="23" fillId="0" borderId="11" xfId="0" applyNumberFormat="1" applyFont="1" applyFill="1" applyBorder="1" applyAlignment="1" applyProtection="1">
      <alignment horizontal="center" vertical="center" wrapText="1"/>
      <protection hidden="1"/>
    </xf>
    <xf numFmtId="1" fontId="39" fillId="0" borderId="4" xfId="0" applyNumberFormat="1" applyFont="1" applyFill="1" applyBorder="1" applyAlignment="1" applyProtection="1">
      <alignment horizontal="center" vertical="center" wrapText="1"/>
      <protection locked="0"/>
    </xf>
    <xf numFmtId="1" fontId="39" fillId="0" borderId="11" xfId="0" applyNumberFormat="1" applyFont="1" applyFill="1" applyBorder="1" applyAlignment="1" applyProtection="1">
      <alignment horizontal="center" vertical="center" wrapText="1"/>
      <protection locked="0"/>
    </xf>
    <xf numFmtId="165" fontId="11" fillId="0" borderId="4" xfId="0" applyNumberFormat="1"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hidden="1"/>
    </xf>
    <xf numFmtId="0" fontId="22" fillId="19" borderId="48" xfId="0" applyFont="1" applyFill="1" applyBorder="1" applyAlignment="1">
      <alignment horizontal="center" vertical="center" wrapText="1"/>
    </xf>
    <xf numFmtId="0" fontId="22" fillId="19" borderId="46" xfId="0" applyFont="1" applyFill="1" applyBorder="1" applyAlignment="1">
      <alignment horizontal="center" vertical="center" wrapText="1"/>
    </xf>
    <xf numFmtId="0" fontId="22" fillId="19" borderId="47" xfId="0" applyFont="1" applyFill="1" applyBorder="1" applyAlignment="1">
      <alignment horizontal="center" vertical="center" wrapText="1"/>
    </xf>
    <xf numFmtId="165" fontId="39" fillId="0" borderId="30" xfId="0" applyNumberFormat="1" applyFont="1" applyFill="1" applyBorder="1" applyAlignment="1" applyProtection="1">
      <alignment horizontal="left" vertical="center" wrapText="1"/>
      <protection hidden="1"/>
    </xf>
    <xf numFmtId="165" fontId="39" fillId="0" borderId="19" xfId="0" applyNumberFormat="1" applyFont="1" applyFill="1" applyBorder="1" applyAlignment="1" applyProtection="1">
      <alignment horizontal="left" vertical="center" wrapText="1"/>
      <protection hidden="1"/>
    </xf>
    <xf numFmtId="165" fontId="39" fillId="0" borderId="28" xfId="0" applyNumberFormat="1" applyFont="1" applyFill="1" applyBorder="1" applyAlignment="1" applyProtection="1">
      <alignment horizontal="left" vertical="center" wrapText="1"/>
      <protection hidden="1"/>
    </xf>
    <xf numFmtId="0" fontId="38" fillId="9" borderId="40" xfId="0" applyFont="1" applyFill="1" applyBorder="1" applyAlignment="1">
      <alignment horizontal="left" vertical="center" wrapText="1"/>
    </xf>
    <xf numFmtId="0" fontId="38" fillId="9" borderId="39" xfId="0" applyFont="1" applyFill="1" applyBorder="1" applyAlignment="1">
      <alignment horizontal="left" vertical="center" wrapText="1"/>
    </xf>
    <xf numFmtId="0" fontId="38" fillId="9" borderId="41" xfId="0" applyFont="1" applyFill="1" applyBorder="1" applyAlignment="1">
      <alignment horizontal="left" vertical="center" wrapText="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hidden="1"/>
    </xf>
    <xf numFmtId="9" fontId="39"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24" fillId="0" borderId="0" xfId="0" applyFont="1" applyFill="1" applyAlignment="1" applyProtection="1">
      <alignment vertical="top" wrapText="1"/>
      <protection locked="0"/>
    </xf>
    <xf numFmtId="0" fontId="12" fillId="0" borderId="0" xfId="0" applyFont="1" applyFill="1" applyAlignment="1" applyProtection="1">
      <alignment wrapText="1"/>
      <protection locked="0"/>
    </xf>
    <xf numFmtId="0" fontId="40" fillId="9" borderId="10" xfId="0" applyFont="1" applyFill="1" applyBorder="1" applyAlignment="1">
      <alignment horizontal="left" vertical="center" wrapText="1"/>
    </xf>
    <xf numFmtId="0" fontId="40" fillId="9" borderId="4" xfId="0" applyFont="1" applyFill="1" applyBorder="1" applyAlignment="1">
      <alignment horizontal="left" vertical="center" wrapText="1"/>
    </xf>
    <xf numFmtId="0" fontId="40"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E41"/>
  <sheetViews>
    <sheetView zoomScale="80" zoomScaleNormal="80" zoomScalePageLayoutView="75" workbookViewId="0">
      <selection activeCell="A9" sqref="A9"/>
    </sheetView>
  </sheetViews>
  <sheetFormatPr defaultColWidth="9.140625" defaultRowHeight="12.75" x14ac:dyDescent="0.2"/>
  <cols>
    <col min="1" max="1" width="84.5703125" style="83" customWidth="1"/>
    <col min="2" max="2" width="24.7109375" style="83" customWidth="1"/>
    <col min="3" max="3" width="29.42578125" style="83" customWidth="1"/>
    <col min="4" max="4" width="29.140625" style="83" customWidth="1"/>
    <col min="5" max="5" width="8.28515625" style="83" hidden="1" customWidth="1"/>
    <col min="6" max="16384" width="9.140625" style="83"/>
  </cols>
  <sheetData>
    <row r="1" spans="1:5" ht="13.5" customHeight="1" thickBot="1" x14ac:dyDescent="0.25">
      <c r="A1" s="370"/>
      <c r="B1" s="370"/>
      <c r="C1" s="370"/>
      <c r="D1" s="371"/>
      <c r="E1" s="359"/>
    </row>
    <row r="2" spans="1:5" ht="25.5" customHeight="1" x14ac:dyDescent="0.2">
      <c r="A2" s="427" t="s">
        <v>0</v>
      </c>
      <c r="B2" s="428"/>
      <c r="C2" s="428"/>
      <c r="D2" s="429"/>
      <c r="E2" s="359"/>
    </row>
    <row r="3" spans="1:5" ht="18" customHeight="1" x14ac:dyDescent="0.2">
      <c r="A3" s="372" t="s">
        <v>1</v>
      </c>
      <c r="B3" s="373" t="str">
        <f>IF(ISBLANK('DEM (Strategic Priorities)'!C7),"",'DEM (Strategic Priorities)'!C7)</f>
        <v/>
      </c>
      <c r="C3" s="374"/>
      <c r="D3" s="375"/>
      <c r="E3" s="359"/>
    </row>
    <row r="4" spans="1:5" ht="15" customHeight="1" x14ac:dyDescent="0.2">
      <c r="A4" s="433" t="s">
        <v>2</v>
      </c>
      <c r="B4" s="434"/>
      <c r="C4" s="434"/>
      <c r="D4" s="435"/>
      <c r="E4" s="359"/>
    </row>
    <row r="5" spans="1:5" ht="18" customHeight="1" x14ac:dyDescent="0.2">
      <c r="A5" s="376" t="s">
        <v>3</v>
      </c>
      <c r="B5" s="405" t="str">
        <f>IF(OR(B6&lt;&gt;"",B7&lt;&gt;""),"Yes","No")</f>
        <v>Yes</v>
      </c>
      <c r="C5" s="405"/>
      <c r="D5" s="406"/>
      <c r="E5" s="359"/>
    </row>
    <row r="6" spans="1:5" ht="120" customHeight="1" x14ac:dyDescent="0.2">
      <c r="A6" s="377" t="s">
        <v>4</v>
      </c>
      <c r="B6" s="430" t="str">
        <f>'DEM (Strategic Priorities)'!J11</f>
        <v xml:space="preserve">-Gender Equality and Diversity
-Climate Change and Environmental Sustainability
</v>
      </c>
      <c r="C6" s="431"/>
      <c r="D6" s="432"/>
      <c r="E6" s="359"/>
    </row>
    <row r="7" spans="1:5" ht="120" customHeight="1" x14ac:dyDescent="0.2">
      <c r="A7" s="31" t="s">
        <v>5</v>
      </c>
      <c r="B7" s="430" t="str">
        <f>'DEM (Strategic Priorities)'!K22</f>
        <v xml:space="preserve">-Countries that have improved disaster risk management (#)*
</v>
      </c>
      <c r="C7" s="431"/>
      <c r="D7" s="432"/>
      <c r="E7" s="359"/>
    </row>
    <row r="8" spans="1:5" ht="15" customHeight="1" x14ac:dyDescent="0.2">
      <c r="A8" s="376" t="s">
        <v>6</v>
      </c>
      <c r="B8" s="405" t="str">
        <f>IF(OR('DEM (Strategic Priorities)'!$D$82="Yes",'DEM (Strategic Priorities)'!D85="Yes"),"Yes","No")</f>
        <v>Yes</v>
      </c>
      <c r="C8" s="405"/>
      <c r="D8" s="406"/>
      <c r="E8" s="359"/>
    </row>
    <row r="9" spans="1:5" ht="60" customHeight="1" x14ac:dyDescent="0.2">
      <c r="A9" s="31" t="s">
        <v>7</v>
      </c>
      <c r="B9" s="378" t="str">
        <f>IF('DEM (Strategic Priorities)'!D82="Yes",'DEM (Strategic Priorities)'!C82,"")</f>
        <v>GN-2780-1</v>
      </c>
      <c r="C9" s="407" t="str">
        <f>IF('DEM (Strategic Priorities)'!D82="Yes",'DEM (Strategic Priorities)'!C83,"")</f>
        <v>The operation is aligned with the strategic objective of "fostering of environmentally sustainable solutions and support for climate change-related disaster risk management."</v>
      </c>
      <c r="D9" s="408"/>
      <c r="E9" s="359"/>
    </row>
    <row r="10" spans="1:5" ht="60" customHeight="1" x14ac:dyDescent="0.2">
      <c r="A10" s="31" t="s">
        <v>8</v>
      </c>
      <c r="B10" s="378" t="str">
        <f>IF('DEM (Strategic Priorities)'!D85="Yes",'DEM (Strategic Priorities)'!C85," ")</f>
        <v>GN-2915-2</v>
      </c>
      <c r="C10" s="409" t="str">
        <f>IF('DEM (Strategic Priorities)'!D85="Yes","The intervention is included in the 2018 Operational Program.","The intervention is not included in the 2018 Operational Program.")</f>
        <v>The intervention is included in the 2018 Operational Program.</v>
      </c>
      <c r="D10" s="410"/>
      <c r="E10" s="359"/>
    </row>
    <row r="11" spans="1:5" ht="60" customHeight="1" x14ac:dyDescent="0.2">
      <c r="A11" s="379" t="s">
        <v>9</v>
      </c>
      <c r="B11" s="380"/>
      <c r="C11" s="411" t="str">
        <f>IF('DEM (Strategic Priorities)'!D87="Yes",'DEM (Strategic Priorities)'!C87,"")</f>
        <v/>
      </c>
      <c r="D11" s="412"/>
      <c r="E11" s="359">
        <f>SUM(E14+E18+E24)</f>
        <v>3</v>
      </c>
    </row>
    <row r="12" spans="1:5" ht="25.5" customHeight="1" x14ac:dyDescent="0.2">
      <c r="A12" s="381" t="s">
        <v>10</v>
      </c>
      <c r="B12" s="382"/>
      <c r="C12" s="383" t="str">
        <f>IF(AND(E12=1,B13&gt;=6.95),"Evaluable",IF(AND(E12=1,B13&gt;=5),"Partially Evaluable","Not Evaluable"))</f>
        <v>Evaluable</v>
      </c>
      <c r="D12" s="382"/>
      <c r="E12" s="238">
        <f>IF(E11&gt;=3,1,0)</f>
        <v>1</v>
      </c>
    </row>
    <row r="13" spans="1:5" ht="15" hidden="1" x14ac:dyDescent="0.2">
      <c r="A13" s="384"/>
      <c r="B13" s="385">
        <f>AVERAGE(B14,B18,B24)</f>
        <v>8.621833333333333</v>
      </c>
      <c r="C13" s="386"/>
      <c r="D13" s="387">
        <v>10</v>
      </c>
      <c r="E13" s="359"/>
    </row>
    <row r="14" spans="1:5" ht="15" customHeight="1" x14ac:dyDescent="0.2">
      <c r="A14" s="376" t="s">
        <v>11</v>
      </c>
      <c r="B14" s="395">
        <f>'DEM (Evaluability)'!G11</f>
        <v>7.4154999999999998</v>
      </c>
      <c r="C14" s="396"/>
      <c r="D14" s="397"/>
      <c r="E14" s="359">
        <f>IF(B14&gt;=5,1,0)</f>
        <v>1</v>
      </c>
    </row>
    <row r="15" spans="1:5" ht="15" customHeight="1" x14ac:dyDescent="0.2">
      <c r="A15" s="31" t="s">
        <v>12</v>
      </c>
      <c r="B15" s="1">
        <f>'DEM (Evaluability)'!G12</f>
        <v>3</v>
      </c>
      <c r="C15" s="393"/>
      <c r="D15" s="394"/>
      <c r="E15" s="359"/>
    </row>
    <row r="16" spans="1:5" ht="15" customHeight="1" x14ac:dyDescent="0.2">
      <c r="A16" s="31" t="s">
        <v>13</v>
      </c>
      <c r="B16" s="1">
        <f>'DEM (Evaluability)'!G19</f>
        <v>1.72</v>
      </c>
      <c r="C16" s="393"/>
      <c r="D16" s="394"/>
      <c r="E16" s="359"/>
    </row>
    <row r="17" spans="1:5" ht="15" customHeight="1" x14ac:dyDescent="0.2">
      <c r="A17" s="31" t="s">
        <v>14</v>
      </c>
      <c r="B17" s="1">
        <f>'DEM (Evaluability)'!G24</f>
        <v>2.6955</v>
      </c>
      <c r="C17" s="393"/>
      <c r="D17" s="394"/>
      <c r="E17" s="359"/>
    </row>
    <row r="18" spans="1:5" ht="15" customHeight="1" x14ac:dyDescent="0.2">
      <c r="A18" s="376" t="s">
        <v>15</v>
      </c>
      <c r="B18" s="395">
        <f>'DEM (Evaluability)'!G38</f>
        <v>10</v>
      </c>
      <c r="C18" s="396"/>
      <c r="D18" s="397"/>
      <c r="E18" s="359">
        <f>IF(B18&gt;=5,1,0)</f>
        <v>1</v>
      </c>
    </row>
    <row r="19" spans="1:5" ht="15" x14ac:dyDescent="0.2">
      <c r="A19" s="31" t="s">
        <v>16</v>
      </c>
      <c r="B19" s="1">
        <f>IF('DEM (Evaluability)'!H41=1,'DEM (Evaluability)'!G42,IF('DEM (Evaluability)'!H41=2,'DEM (Evaluability)'!G49,0))</f>
        <v>2.15</v>
      </c>
      <c r="C19" s="393"/>
      <c r="D19" s="394"/>
      <c r="E19" s="359"/>
    </row>
    <row r="20" spans="1:5" ht="15" customHeight="1" x14ac:dyDescent="0.2">
      <c r="A20" s="31" t="s">
        <v>17</v>
      </c>
      <c r="B20" s="1">
        <f>IF('DEM (Evaluability)'!H41=1,'DEM (Evaluability)'!G43,IF('DEM (Evaluability)'!H41=2,'DEM (Evaluability)'!G50,0))</f>
        <v>3.3</v>
      </c>
      <c r="C20" s="393"/>
      <c r="D20" s="394"/>
      <c r="E20" s="359"/>
    </row>
    <row r="21" spans="1:5" ht="15" customHeight="1" x14ac:dyDescent="0.2">
      <c r="A21" s="31" t="s">
        <v>18</v>
      </c>
      <c r="B21" s="1">
        <f>IF('DEM (Evaluability)'!H41=1,'DEM (Evaluability)'!G44,IF('DEM (Evaluability)'!H41=2,'DEM (Evaluability)'!G51,0))</f>
        <v>1</v>
      </c>
      <c r="C21" s="393"/>
      <c r="D21" s="394"/>
      <c r="E21" s="359"/>
    </row>
    <row r="22" spans="1:5" ht="15" customHeight="1" x14ac:dyDescent="0.2">
      <c r="A22" s="31" t="s">
        <v>19</v>
      </c>
      <c r="B22" s="1">
        <f>IF('DEM (Evaluability)'!H41=1,'DEM (Evaluability)'!G45,IF('DEM (Evaluability)'!H41=2,'DEM (Evaluability)'!G52,0))</f>
        <v>2.15</v>
      </c>
      <c r="C22" s="393"/>
      <c r="D22" s="394"/>
      <c r="E22" s="359"/>
    </row>
    <row r="23" spans="1:5" ht="15" customHeight="1" x14ac:dyDescent="0.2">
      <c r="A23" s="31" t="s">
        <v>20</v>
      </c>
      <c r="B23" s="1">
        <f>IF('DEM (Evaluability)'!H41=1,'DEM (Evaluability)'!G46,IF('DEM (Evaluability)'!H41=2,'DEM (Evaluability)'!G53,0))</f>
        <v>1.4</v>
      </c>
      <c r="C23" s="393"/>
      <c r="D23" s="394"/>
      <c r="E23" s="359"/>
    </row>
    <row r="24" spans="1:5" ht="15" customHeight="1" x14ac:dyDescent="0.2">
      <c r="A24" s="376" t="s">
        <v>21</v>
      </c>
      <c r="B24" s="395">
        <f>'DEM (Evaluability)'!G54</f>
        <v>8.4499999999999993</v>
      </c>
      <c r="C24" s="396"/>
      <c r="D24" s="397"/>
      <c r="E24" s="359">
        <f>IF(B24&gt;=5,1,0)</f>
        <v>1</v>
      </c>
    </row>
    <row r="25" spans="1:5" ht="15" customHeight="1" x14ac:dyDescent="0.2">
      <c r="A25" s="31" t="s">
        <v>22</v>
      </c>
      <c r="B25" s="1">
        <f>'DEM (Evaluability)'!G55</f>
        <v>2.5</v>
      </c>
      <c r="C25" s="393"/>
      <c r="D25" s="394"/>
      <c r="E25" s="359"/>
    </row>
    <row r="26" spans="1:5" ht="15" customHeight="1" x14ac:dyDescent="0.2">
      <c r="A26" s="31" t="s">
        <v>23</v>
      </c>
      <c r="B26" s="1">
        <f>'DEM (Evaluability)'!G61</f>
        <v>5.95</v>
      </c>
      <c r="C26" s="393"/>
      <c r="D26" s="394"/>
      <c r="E26" s="359"/>
    </row>
    <row r="27" spans="1:5" ht="15" customHeight="1" x14ac:dyDescent="0.2">
      <c r="A27" s="402" t="s">
        <v>24</v>
      </c>
      <c r="B27" s="403"/>
      <c r="C27" s="403"/>
      <c r="D27" s="404"/>
      <c r="E27" s="359"/>
    </row>
    <row r="28" spans="1:5" ht="15" customHeight="1" x14ac:dyDescent="0.2">
      <c r="A28" s="388" t="s">
        <v>25</v>
      </c>
      <c r="B28" s="418" t="str">
        <f>IF('DEM ( Risk)'!D12&lt;&gt;"",'DEM ( Risk)'!D12,"Specify risk rate on risk tab")</f>
        <v>Low</v>
      </c>
      <c r="C28" s="418"/>
      <c r="D28" s="419"/>
      <c r="E28" s="359"/>
    </row>
    <row r="29" spans="1:5" ht="15" customHeight="1" x14ac:dyDescent="0.2">
      <c r="A29" s="52" t="s">
        <v>26</v>
      </c>
      <c r="B29" s="420" t="str">
        <f>IF(AND('DEM ( Risk)'!D15="yes", 'DEM ( Risk)'!D16="yes"), "Yes", "")</f>
        <v>Yes</v>
      </c>
      <c r="C29" s="420"/>
      <c r="D29" s="421"/>
      <c r="E29" s="359"/>
    </row>
    <row r="30" spans="1:5" ht="15" customHeight="1" x14ac:dyDescent="0.2">
      <c r="A30" s="52" t="s">
        <v>27</v>
      </c>
      <c r="B30" s="424" t="str">
        <f>IF('DEM ( Risk)'!D18="yes", "Yes", "")</f>
        <v>Yes</v>
      </c>
      <c r="C30" s="425"/>
      <c r="D30" s="426"/>
      <c r="E30" s="359"/>
    </row>
    <row r="31" spans="1:5" ht="15" customHeight="1" x14ac:dyDescent="0.2">
      <c r="A31" s="52" t="s">
        <v>28</v>
      </c>
      <c r="B31" s="424" t="str">
        <f>IF('DEM ( Risk)'!D19="yes", "Yes", "")</f>
        <v>Yes</v>
      </c>
      <c r="C31" s="425"/>
      <c r="D31" s="426"/>
      <c r="E31" s="359"/>
    </row>
    <row r="32" spans="1:5" ht="15" customHeight="1" x14ac:dyDescent="0.2">
      <c r="A32" s="388" t="s">
        <v>29</v>
      </c>
      <c r="B32" s="418" t="str">
        <f>IF('DEM ( Risk)'!D13&lt;&gt;"",'DEM ( Risk)'!D13,"Specify risk classification on risk tab")</f>
        <v>B.13</v>
      </c>
      <c r="C32" s="418"/>
      <c r="D32" s="419"/>
      <c r="E32" s="359"/>
    </row>
    <row r="33" spans="1:4" ht="15" customHeight="1" x14ac:dyDescent="0.2">
      <c r="A33" s="402" t="s">
        <v>30</v>
      </c>
      <c r="B33" s="403"/>
      <c r="C33" s="403"/>
      <c r="D33" s="404"/>
    </row>
    <row r="34" spans="1:4" ht="15" customHeight="1" x14ac:dyDescent="0.2">
      <c r="A34" s="31" t="s">
        <v>31</v>
      </c>
      <c r="B34" s="389"/>
      <c r="C34" s="422"/>
      <c r="D34" s="423"/>
    </row>
    <row r="35" spans="1:4" ht="97.5" customHeight="1" x14ac:dyDescent="0.2">
      <c r="A35" s="390" t="s">
        <v>32</v>
      </c>
      <c r="B35" s="391" t="str">
        <f>IF('DEM (Additionality)'!E14="Yes","Yes","")</f>
        <v>Yes</v>
      </c>
      <c r="C35" s="398" t="str">
        <f>'DEM (Additionality)'!N14</f>
        <v>Financial Management: Budget, Treasury, Accounting and Reporting, External Control, Internal Audit.
Procurement: Information System, Price Comparison, Contracting Individual Consultant, National Public Bidding.</v>
      </c>
      <c r="D35" s="399"/>
    </row>
    <row r="36" spans="1:4" ht="70.150000000000006" customHeight="1" x14ac:dyDescent="0.2">
      <c r="A36" s="390" t="s">
        <v>33</v>
      </c>
      <c r="B36" s="391" t="str">
        <f>IF('DEM (Additionality)'!E27="yes", "Yes","")</f>
        <v/>
      </c>
      <c r="C36" s="398" t="str">
        <f>'DEM (Additionality)'!M28</f>
        <v/>
      </c>
      <c r="D36" s="399"/>
    </row>
    <row r="37" spans="1:4" ht="44.25" customHeight="1" x14ac:dyDescent="0.2">
      <c r="A37" s="31" t="s">
        <v>34</v>
      </c>
      <c r="B37" s="389"/>
      <c r="C37" s="400"/>
      <c r="D37" s="401"/>
    </row>
    <row r="38" spans="1:4" ht="80.45" customHeight="1" x14ac:dyDescent="0.2">
      <c r="A38" s="31" t="s">
        <v>35</v>
      </c>
      <c r="B38" s="391" t="str">
        <f>IF('DEM (Additionality)'!E35="yes", "Yes","")</f>
        <v/>
      </c>
      <c r="C38" s="415" t="str">
        <f>IF('DEM (Additionality)'!E35="Yes",'DEM (Additionality)'!C35,"")</f>
        <v/>
      </c>
      <c r="D38" s="416"/>
    </row>
    <row r="39" spans="1:4" s="153" customFormat="1" ht="25.5" customHeight="1" x14ac:dyDescent="0.2">
      <c r="A39" s="417" t="s">
        <v>36</v>
      </c>
      <c r="B39" s="417"/>
      <c r="C39" s="417"/>
      <c r="D39" s="417"/>
    </row>
    <row r="40" spans="1:4" ht="13.5" customHeight="1" x14ac:dyDescent="0.2">
      <c r="A40" s="417"/>
      <c r="B40" s="417"/>
      <c r="C40" s="417"/>
      <c r="D40" s="417"/>
    </row>
    <row r="41" spans="1:4" ht="175.5" customHeight="1" x14ac:dyDescent="0.2">
      <c r="A41" s="413" t="s">
        <v>444</v>
      </c>
      <c r="B41" s="414"/>
      <c r="C41" s="414"/>
      <c r="D41" s="414"/>
    </row>
  </sheetData>
  <sheetProtection algorithmName="SHA-512" hashValue="ud99n7sPH/WhreJUEQWaN2t/7SIDC4N2AqEx0aNxCIWg+z1W6xKrhs/7YWuDQ0LXV5zcivG7b1AY7rOUs2dI/w==" saltValue="Qstk4ELTP6gdWXaAZwjgzQ=="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50" orientation="portrait" r:id="rId1"/>
  <headerFooter>
    <oddHeader>&amp;RAnnex I - AR-O0008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x14ac:dyDescent="0.2">
      <c r="B2" s="526" t="s">
        <v>178</v>
      </c>
      <c r="C2" s="526"/>
      <c r="D2" s="526"/>
    </row>
    <row r="3" spans="1:13" ht="18.75" thickBot="1" x14ac:dyDescent="0.25">
      <c r="B3" s="527" t="s">
        <v>353</v>
      </c>
      <c r="C3" s="578"/>
      <c r="D3" s="578"/>
    </row>
    <row r="4" spans="1:13" ht="18" x14ac:dyDescent="0.2">
      <c r="A4" s="569" t="s">
        <v>79</v>
      </c>
      <c r="B4" s="570"/>
      <c r="C4" s="570"/>
      <c r="D4" s="570"/>
      <c r="E4" s="47"/>
    </row>
    <row r="5" spans="1:13" ht="23.25" customHeight="1" x14ac:dyDescent="0.2">
      <c r="A5" s="24"/>
      <c r="B5" s="572" t="s">
        <v>354</v>
      </c>
      <c r="C5" s="572"/>
      <c r="D5" s="572"/>
      <c r="E5" s="48"/>
    </row>
    <row r="6" spans="1:13" ht="31.5" customHeight="1" x14ac:dyDescent="0.2">
      <c r="A6" s="25">
        <v>1</v>
      </c>
      <c r="B6" s="541" t="s">
        <v>180</v>
      </c>
      <c r="C6" s="541"/>
      <c r="D6" s="541"/>
      <c r="E6" s="48"/>
    </row>
    <row r="7" spans="1:13" ht="30.75" customHeight="1" thickBot="1" x14ac:dyDescent="0.25">
      <c r="A7" s="26">
        <v>2</v>
      </c>
      <c r="B7" s="566" t="s">
        <v>403</v>
      </c>
      <c r="C7" s="566"/>
      <c r="D7" s="566"/>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577" t="s">
        <v>371</v>
      </c>
      <c r="C9" s="577"/>
      <c r="D9" s="577"/>
      <c r="E9" s="44"/>
      <c r="F9" s="45"/>
      <c r="G9" s="45"/>
      <c r="H9" s="44"/>
      <c r="I9" s="44"/>
      <c r="J9" s="44"/>
      <c r="K9" s="44"/>
      <c r="L9" s="44"/>
    </row>
    <row r="10" spans="1:13" s="30" customFormat="1" ht="15.75" customHeight="1" x14ac:dyDescent="0.2">
      <c r="A10" s="29"/>
      <c r="B10" s="35" t="s">
        <v>83</v>
      </c>
      <c r="C10" s="36" t="s">
        <v>84</v>
      </c>
      <c r="D10" s="37" t="s">
        <v>85</v>
      </c>
      <c r="E10" s="50"/>
      <c r="F10" s="51"/>
      <c r="G10" s="51"/>
      <c r="H10" s="50"/>
      <c r="I10" s="50"/>
      <c r="J10" s="50"/>
      <c r="K10" s="50"/>
      <c r="L10" s="50"/>
    </row>
    <row r="11" spans="1:13" s="30" customFormat="1" ht="15.75" thickBot="1" x14ac:dyDescent="0.25">
      <c r="A11" s="29"/>
      <c r="B11" s="58" t="s">
        <v>373</v>
      </c>
      <c r="C11" s="59"/>
      <c r="D11" s="60"/>
      <c r="E11" s="50"/>
      <c r="F11" s="51"/>
      <c r="G11" s="51"/>
      <c r="H11" s="50"/>
      <c r="I11" s="50"/>
      <c r="J11" s="50"/>
      <c r="K11" s="50"/>
      <c r="L11" s="50"/>
    </row>
    <row r="12" spans="1:13" s="30" customFormat="1" ht="14.25" x14ac:dyDescent="0.2">
      <c r="A12" s="29"/>
      <c r="B12" s="15" t="s">
        <v>374</v>
      </c>
      <c r="C12" s="74"/>
      <c r="D12" s="62" t="str">
        <f>'DEM (Additionality)'!E12</f>
        <v>Yes</v>
      </c>
      <c r="E12" s="50"/>
      <c r="F12" s="51"/>
      <c r="G12" s="51"/>
      <c r="H12" s="50"/>
      <c r="I12" s="50"/>
      <c r="J12" s="50"/>
      <c r="K12" s="50"/>
      <c r="L12" s="50"/>
    </row>
    <row r="13" spans="1:13" s="30" customFormat="1" ht="14.25" x14ac:dyDescent="0.2">
      <c r="A13" s="29"/>
      <c r="B13" s="61" t="s">
        <v>404</v>
      </c>
      <c r="C13" s="55"/>
      <c r="D13" s="78" t="str">
        <f>'DEM (Additionality)'!E13</f>
        <v>Yes</v>
      </c>
      <c r="E13" s="50"/>
      <c r="F13" s="51"/>
      <c r="G13" s="51"/>
      <c r="H13" s="50"/>
      <c r="I13" s="50"/>
      <c r="J13" s="50"/>
      <c r="K13" s="50"/>
      <c r="L13" s="50"/>
    </row>
    <row r="14" spans="1:13" s="30" customFormat="1" ht="14.25" x14ac:dyDescent="0.2">
      <c r="A14" s="29"/>
      <c r="B14" s="9" t="s">
        <v>405</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Controles externos, Auditoría interna, </v>
      </c>
      <c r="J14" s="50">
        <f>LEN(I14)</f>
        <v>126</v>
      </c>
      <c r="K14" s="50" t="str">
        <f>LEFT(I14,(J14-2))</f>
        <v>Administración financiera: Presupuesto, Tesorería, Contabilidad y emisión de informes, Controles externos, Auditoría interna</v>
      </c>
      <c r="L14" s="50" t="str">
        <f>IF(J14=0,"",CONCATENATE(K14,"."))</f>
        <v>Administración financiera: Presupuesto, Tesorería, Contabilidad y emisión de informes, Controles externos, Auditoría interna.</v>
      </c>
      <c r="M14" s="30" t="str">
        <f>CONCATENATE(L14,CHAR(10),CHAR(10),L20)</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row>
    <row r="15" spans="1:13" s="30" customFormat="1" ht="14.25" x14ac:dyDescent="0.2">
      <c r="A15" s="29"/>
      <c r="B15" s="77" t="s">
        <v>406</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407</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x14ac:dyDescent="0.2">
      <c r="A17" s="29"/>
      <c r="B17" s="77" t="s">
        <v>408</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x14ac:dyDescent="0.2">
      <c r="A18" s="29"/>
      <c r="B18" s="77" t="s">
        <v>409</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4.25" x14ac:dyDescent="0.2">
      <c r="A19" s="29"/>
      <c r="B19" s="77" t="s">
        <v>410</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4.25" x14ac:dyDescent="0.2">
      <c r="A20" s="29"/>
      <c r="B20" s="9" t="s">
        <v>411</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Contratación de consultor individual, Licitación pública nacional, </v>
      </c>
      <c r="J20" s="50">
        <f>LEN(I20)</f>
        <v>157</v>
      </c>
      <c r="K20" s="50" t="str">
        <f t="shared" ref="K20" si="4">LEFT(I20,(J20-2))</f>
        <v>Adquisiciones y contrataciones: Sistema de información, Método de comparación de precios, Contratación de consultor individual, Licitación pública nacional</v>
      </c>
      <c r="L20" s="50" t="str">
        <f t="shared" ref="L20:L28" si="5">IF(J20=0,"",CONCATENATE(K20,"."))</f>
        <v>Adquisiciones y contrataciones: Sistema de información, Método de comparación de precios, Contratación de consultor individual, Licitación pública nacional.</v>
      </c>
    </row>
    <row r="21" spans="1:12" s="30" customFormat="1" ht="14.25" x14ac:dyDescent="0.2">
      <c r="A21" s="29"/>
      <c r="B21" s="77" t="s">
        <v>412</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x14ac:dyDescent="0.2">
      <c r="A22" s="29"/>
      <c r="B22" s="77" t="s">
        <v>413</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x14ac:dyDescent="0.2">
      <c r="A23" s="29"/>
      <c r="B23" s="77" t="s">
        <v>414</v>
      </c>
      <c r="C23" s="40"/>
      <c r="D23" s="79" t="str">
        <f>'DEM (Additionality)'!E23</f>
        <v>Yes</v>
      </c>
      <c r="E23" s="50" t="str">
        <f t="shared" si="6"/>
        <v xml:space="preserve">         Contratación de consultor individual</v>
      </c>
      <c r="F23" s="51">
        <f t="shared" si="1"/>
        <v>45</v>
      </c>
      <c r="G23" s="51" t="str">
        <f t="shared" si="7"/>
        <v>Contratación de consultor individual</v>
      </c>
      <c r="H23" s="50" t="str">
        <f t="shared" si="3"/>
        <v xml:space="preserve">Contratación de consultor individual, </v>
      </c>
      <c r="I23" s="50"/>
      <c r="J23" s="50"/>
      <c r="K23" s="50"/>
      <c r="L23" s="50"/>
    </row>
    <row r="24" spans="1:12" s="30" customFormat="1" ht="15" x14ac:dyDescent="0.2">
      <c r="A24" s="29"/>
      <c r="B24" s="77" t="s">
        <v>415</v>
      </c>
      <c r="C24" s="32"/>
      <c r="D24" s="32" t="str">
        <f>'DEM (Additionality)'!E24</f>
        <v>Yes</v>
      </c>
      <c r="E24" s="50" t="str">
        <f t="shared" si="6"/>
        <v xml:space="preserve">         Licitación pública nacional</v>
      </c>
      <c r="F24" s="51">
        <f t="shared" si="1"/>
        <v>36</v>
      </c>
      <c r="G24" s="51" t="str">
        <f t="shared" si="7"/>
        <v>Licitación pública nacional</v>
      </c>
      <c r="H24" s="50" t="str">
        <f t="shared" si="3"/>
        <v xml:space="preserve">Licitación pública nacional, </v>
      </c>
      <c r="I24" s="50"/>
      <c r="J24" s="50"/>
      <c r="K24" s="50"/>
      <c r="L24" s="50"/>
    </row>
    <row r="25" spans="1:12" s="30" customFormat="1" ht="14.25" x14ac:dyDescent="0.2">
      <c r="A25" s="29"/>
      <c r="B25" s="77" t="s">
        <v>416</v>
      </c>
      <c r="C25" s="40"/>
      <c r="D25" s="79" t="str">
        <f>'DEM (Additionality)'!E25</f>
        <v>Yes</v>
      </c>
      <c r="E25" s="50"/>
      <c r="F25" s="51"/>
      <c r="G25" s="51"/>
      <c r="H25" s="50"/>
      <c r="I25" s="50"/>
      <c r="J25" s="50"/>
      <c r="K25" s="50"/>
      <c r="L25" s="50"/>
    </row>
    <row r="26" spans="1:12" s="30" customFormat="1" ht="14.25" x14ac:dyDescent="0.2">
      <c r="A26" s="29"/>
      <c r="B26" s="77" t="s">
        <v>417</v>
      </c>
      <c r="C26" s="40"/>
      <c r="D26" s="79" t="str">
        <f>'DEM (Additionality)'!E26</f>
        <v>Yes</v>
      </c>
      <c r="E26" s="50"/>
      <c r="F26" s="51"/>
      <c r="G26" s="51"/>
      <c r="H26" s="50"/>
      <c r="I26" s="50"/>
      <c r="J26" s="50"/>
      <c r="K26" s="50"/>
      <c r="L26" s="50"/>
    </row>
    <row r="27" spans="1:12" s="30" customFormat="1" ht="14.25" x14ac:dyDescent="0.2">
      <c r="A27" s="29"/>
      <c r="B27" s="61" t="s">
        <v>396</v>
      </c>
      <c r="C27" s="55"/>
      <c r="D27" s="78" t="str">
        <f>'DEM (Additionality)'!E27</f>
        <v/>
      </c>
      <c r="E27" s="50"/>
      <c r="F27" s="51"/>
      <c r="G27" s="51"/>
      <c r="H27" s="50"/>
      <c r="I27" s="50"/>
      <c r="J27" s="50"/>
      <c r="K27" s="50"/>
      <c r="L27" s="50"/>
    </row>
    <row r="28" spans="1:12" s="30" customFormat="1" ht="14.25" x14ac:dyDescent="0.2">
      <c r="A28" s="29"/>
      <c r="B28" s="10" t="s">
        <v>418</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5" x14ac:dyDescent="0.2">
      <c r="A29" s="29"/>
      <c r="B29" s="27" t="s">
        <v>398</v>
      </c>
      <c r="C29" s="39"/>
      <c r="D29" s="80" t="str">
        <f>'DEM (Additionality)'!E29</f>
        <v>No</v>
      </c>
      <c r="E29" s="50"/>
      <c r="F29" s="51"/>
      <c r="G29" s="51"/>
      <c r="H29" s="50"/>
      <c r="I29" s="50"/>
      <c r="J29" s="50"/>
      <c r="K29" s="50"/>
      <c r="L29" s="50"/>
    </row>
    <row r="30" spans="1:12" s="30" customFormat="1" ht="14.25" x14ac:dyDescent="0.2">
      <c r="A30" s="29"/>
      <c r="B30" s="10" t="s">
        <v>419</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5" x14ac:dyDescent="0.2">
      <c r="A31" s="29"/>
      <c r="B31" s="27" t="s">
        <v>398</v>
      </c>
      <c r="C31" s="39"/>
      <c r="D31" s="80" t="str">
        <f>'DEM (Additionality)'!E31</f>
        <v>No</v>
      </c>
      <c r="E31" s="50"/>
      <c r="F31" s="51"/>
      <c r="G31" s="51"/>
      <c r="H31" s="50"/>
      <c r="I31" s="50"/>
      <c r="J31" s="50"/>
      <c r="K31" s="50"/>
      <c r="L31" s="50"/>
    </row>
    <row r="32" spans="1:12" s="30" customFormat="1" ht="14.25" x14ac:dyDescent="0.2">
      <c r="A32" s="29"/>
      <c r="B32" s="10" t="s">
        <v>420</v>
      </c>
      <c r="C32" s="9"/>
      <c r="D32" s="63" t="str">
        <f>'DEM (Additionality)'!E32</f>
        <v>No</v>
      </c>
      <c r="E32" s="50" t="str">
        <f t="shared" si="8"/>
        <v/>
      </c>
      <c r="F32" s="51">
        <f t="shared" si="1"/>
        <v>0</v>
      </c>
      <c r="G32" s="51" t="e">
        <f>RIGHT(E32,(F32-5))</f>
        <v>#VALUE!</v>
      </c>
      <c r="H32" s="50" t="str">
        <f t="shared" si="3"/>
        <v/>
      </c>
      <c r="I32" s="50"/>
      <c r="J32" s="50"/>
      <c r="K32" s="50"/>
      <c r="L32" s="50"/>
    </row>
    <row r="33" spans="1:12" s="30" customFormat="1" ht="14.25" x14ac:dyDescent="0.2">
      <c r="A33" s="29"/>
      <c r="B33" s="10" t="s">
        <v>421</v>
      </c>
      <c r="C33" s="9"/>
      <c r="D33" s="63" t="str">
        <f>'DEM (Additionality)'!E33</f>
        <v>No</v>
      </c>
      <c r="E33" s="50" t="str">
        <f t="shared" si="8"/>
        <v/>
      </c>
      <c r="F33" s="51">
        <f t="shared" si="1"/>
        <v>0</v>
      </c>
      <c r="G33" s="51" t="e">
        <f>RIGHT(E33,(F33-5))</f>
        <v>#VALUE!</v>
      </c>
      <c r="H33" s="50" t="str">
        <f t="shared" si="3"/>
        <v/>
      </c>
      <c r="I33" s="50"/>
      <c r="J33" s="50"/>
      <c r="K33" s="50"/>
      <c r="L33" s="50"/>
    </row>
    <row r="34" spans="1:12" s="30" customFormat="1" ht="30" x14ac:dyDescent="0.2">
      <c r="A34" s="29"/>
      <c r="B34" s="31" t="s">
        <v>422</v>
      </c>
      <c r="C34" s="39"/>
      <c r="D34" s="80">
        <f>'DEM (Additionality)'!E34</f>
        <v>0</v>
      </c>
      <c r="E34" s="50"/>
      <c r="F34" s="51"/>
      <c r="G34" s="51"/>
      <c r="H34" s="50"/>
      <c r="I34" s="50"/>
      <c r="J34" s="50"/>
      <c r="K34" s="50"/>
      <c r="L34" s="50"/>
    </row>
    <row r="35" spans="1:12" s="30" customFormat="1" ht="15" x14ac:dyDescent="0.2">
      <c r="A35" s="29"/>
      <c r="B35" s="52" t="s">
        <v>98</v>
      </c>
      <c r="C35" s="39" t="s">
        <v>423</v>
      </c>
      <c r="D35" s="80" t="e">
        <f>'DEM (Additionality)'!#REF!</f>
        <v>#REF!</v>
      </c>
      <c r="E35" s="50"/>
      <c r="F35" s="51"/>
      <c r="G35" s="51"/>
      <c r="H35" s="50"/>
      <c r="I35" s="50"/>
      <c r="J35" s="50"/>
      <c r="K35" s="50"/>
      <c r="L35" s="50"/>
    </row>
    <row r="36" spans="1:12" s="30" customFormat="1" ht="15" x14ac:dyDescent="0.2">
      <c r="A36" s="29"/>
      <c r="B36" s="52" t="s">
        <v>424</v>
      </c>
      <c r="C36" s="39" t="s">
        <v>423</v>
      </c>
      <c r="D36" s="80" t="e">
        <f>'DEM (Additionality)'!#REF!</f>
        <v>#REF!</v>
      </c>
      <c r="E36" s="50"/>
      <c r="F36" s="51"/>
      <c r="G36" s="51"/>
      <c r="H36" s="50"/>
      <c r="I36" s="50"/>
      <c r="J36" s="50"/>
      <c r="K36" s="50"/>
      <c r="L36" s="50"/>
    </row>
    <row r="37" spans="1:12" s="30" customFormat="1" ht="15" x14ac:dyDescent="0.2">
      <c r="A37" s="29"/>
      <c r="B37" s="52" t="s">
        <v>425</v>
      </c>
      <c r="C37" s="39" t="s">
        <v>423</v>
      </c>
      <c r="D37" s="80" t="e">
        <f>'DEM (Additionality)'!#REF!</f>
        <v>#REF!</v>
      </c>
      <c r="E37" s="50"/>
      <c r="F37" s="51"/>
      <c r="G37" s="51"/>
      <c r="H37" s="50"/>
      <c r="I37" s="50"/>
      <c r="J37" s="50"/>
      <c r="K37" s="50"/>
      <c r="L37" s="50"/>
    </row>
    <row r="38" spans="1:12" s="30" customFormat="1" ht="45" x14ac:dyDescent="0.2">
      <c r="A38" s="29"/>
      <c r="B38" s="31" t="s">
        <v>35</v>
      </c>
      <c r="C38" s="39" t="s">
        <v>426</v>
      </c>
      <c r="D38" s="80" t="str">
        <f>'DEM (Additionality)'!E35</f>
        <v>No</v>
      </c>
      <c r="E38" s="50"/>
      <c r="F38" s="51"/>
      <c r="G38" s="51"/>
      <c r="H38" s="50"/>
      <c r="I38" s="50"/>
      <c r="J38" s="50"/>
      <c r="K38" s="50"/>
      <c r="L38" s="50"/>
    </row>
    <row r="39" spans="1:12" s="30" customFormat="1" ht="109.5" customHeight="1" thickBot="1" x14ac:dyDescent="0.25">
      <c r="A39" s="29"/>
      <c r="B39" s="53" t="s">
        <v>427</v>
      </c>
      <c r="C39" s="54" t="s">
        <v>428</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6" t="s">
        <v>100</v>
      </c>
      <c r="B2" s="56" t="s">
        <v>360</v>
      </c>
      <c r="C2" s="56" t="s">
        <v>429</v>
      </c>
    </row>
    <row r="3" spans="1:3" x14ac:dyDescent="0.2">
      <c r="A3" s="56" t="s">
        <v>299</v>
      </c>
      <c r="B3" s="56" t="s">
        <v>430</v>
      </c>
      <c r="C3" s="56" t="s">
        <v>431</v>
      </c>
    </row>
    <row r="4" spans="1:3" x14ac:dyDescent="0.2">
      <c r="B4" s="56" t="s">
        <v>432</v>
      </c>
      <c r="C4" s="56" t="s">
        <v>433</v>
      </c>
    </row>
    <row r="5" spans="1:3" x14ac:dyDescent="0.2">
      <c r="B5" s="56"/>
      <c r="C5" s="56" t="s">
        <v>363</v>
      </c>
    </row>
    <row r="6" spans="1:3" x14ac:dyDescent="0.2">
      <c r="B6" s="56"/>
    </row>
    <row r="7" spans="1:3" x14ac:dyDescent="0.2">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434</v>
      </c>
    </row>
    <row r="2" spans="1:2" ht="13.5" thickBot="1" x14ac:dyDescent="0.25"/>
    <row r="3" spans="1:2" ht="15" x14ac:dyDescent="0.2">
      <c r="A3" t="s">
        <v>435</v>
      </c>
      <c r="B3" s="35"/>
    </row>
    <row r="4" spans="1:2" ht="15" x14ac:dyDescent="0.2">
      <c r="A4" t="s">
        <v>436</v>
      </c>
      <c r="B4" s="57"/>
    </row>
    <row r="6" spans="1:2" x14ac:dyDescent="0.2">
      <c r="A6" t="s">
        <v>437</v>
      </c>
      <c r="B6" s="71"/>
    </row>
    <row r="7" spans="1:2" x14ac:dyDescent="0.2">
      <c r="A7" t="s">
        <v>438</v>
      </c>
      <c r="B7" s="55"/>
    </row>
    <row r="8" spans="1:2" x14ac:dyDescent="0.2">
      <c r="A8" t="s">
        <v>439</v>
      </c>
      <c r="B8" s="9"/>
    </row>
    <row r="10" spans="1:2" ht="15" x14ac:dyDescent="0.2">
      <c r="A10" t="s">
        <v>440</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F42"/>
  <sheetViews>
    <sheetView tabSelected="1" topLeftCell="A5" zoomScale="80" zoomScaleNormal="80" zoomScalePageLayoutView="80" workbookViewId="0">
      <selection activeCell="B14" sqref="B14:D14"/>
    </sheetView>
  </sheetViews>
  <sheetFormatPr defaultColWidth="9.140625" defaultRowHeight="12.75" x14ac:dyDescent="0.2"/>
  <cols>
    <col min="1" max="1" width="82.42578125" style="83" customWidth="1"/>
    <col min="2" max="2" width="24.7109375" style="83" customWidth="1"/>
    <col min="3" max="3" width="29.85546875" style="83" customWidth="1"/>
    <col min="4" max="4" width="29.7109375" style="83" customWidth="1"/>
    <col min="5" max="5" width="9.28515625" style="83" hidden="1" customWidth="1"/>
    <col min="6" max="6" width="11.5703125" style="83" customWidth="1"/>
    <col min="7" max="16384" width="9.140625" style="83"/>
  </cols>
  <sheetData>
    <row r="1" spans="1:6" ht="13.5" customHeight="1" thickBot="1" x14ac:dyDescent="0.25">
      <c r="A1" s="82"/>
      <c r="B1" s="82"/>
      <c r="C1" s="82"/>
      <c r="D1" s="359"/>
      <c r="E1" s="359"/>
      <c r="F1" s="359"/>
    </row>
    <row r="2" spans="1:6" ht="25.5" customHeight="1" x14ac:dyDescent="0.2">
      <c r="A2" s="427" t="s">
        <v>37</v>
      </c>
      <c r="B2" s="428"/>
      <c r="C2" s="428"/>
      <c r="D2" s="429"/>
      <c r="E2" s="359"/>
      <c r="F2" s="359"/>
    </row>
    <row r="3" spans="1:6" ht="18" customHeight="1" x14ac:dyDescent="0.2">
      <c r="A3" s="372" t="s">
        <v>38</v>
      </c>
      <c r="B3" s="373" t="str">
        <f>IF(ISBLANK('DEM (Strategic Priorities)'!C7),"",'DEM (Strategic Priorities)'!C7)</f>
        <v/>
      </c>
      <c r="C3" s="374"/>
      <c r="D3" s="375"/>
      <c r="E3" s="359"/>
      <c r="F3" s="359"/>
    </row>
    <row r="4" spans="1:6" ht="19.5" customHeight="1" x14ac:dyDescent="0.2">
      <c r="A4" s="433" t="s">
        <v>39</v>
      </c>
      <c r="B4" s="434"/>
      <c r="C4" s="434"/>
      <c r="D4" s="435"/>
      <c r="E4" s="359"/>
      <c r="F4" s="359"/>
    </row>
    <row r="5" spans="1:6" ht="15" customHeight="1" x14ac:dyDescent="0.2">
      <c r="A5" s="376" t="s">
        <v>40</v>
      </c>
      <c r="B5" s="405" t="str">
        <f>IF('Summary (I, II, III) '!B5:D5="Yes","Sí","No")</f>
        <v>Sí</v>
      </c>
      <c r="C5" s="405"/>
      <c r="D5" s="406"/>
      <c r="E5" s="359"/>
      <c r="F5" s="359"/>
    </row>
    <row r="6" spans="1:6" ht="120" customHeight="1" x14ac:dyDescent="0.2">
      <c r="A6" s="377" t="s">
        <v>41</v>
      </c>
      <c r="B6" s="438" t="str">
        <f>'Prioridades Estrategicas'!J11</f>
        <v xml:space="preserve">-Equidad de Género y Diversidad
-Cambio Climático y Sostenibilidad Ambiental
</v>
      </c>
      <c r="C6" s="438"/>
      <c r="D6" s="439"/>
      <c r="E6" s="359"/>
      <c r="F6" s="94"/>
    </row>
    <row r="7" spans="1:6" ht="120" customHeight="1" x14ac:dyDescent="0.2">
      <c r="A7" s="31" t="s">
        <v>42</v>
      </c>
      <c r="B7" s="438" t="str">
        <f>'Prioridades Estrategicas'!K18</f>
        <v xml:space="preserve">-Países que han mejorado la gestión del riesgo de desastres (#)*
</v>
      </c>
      <c r="C7" s="438"/>
      <c r="D7" s="439"/>
      <c r="E7" s="359"/>
      <c r="F7" s="359"/>
    </row>
    <row r="8" spans="1:6" ht="15" customHeight="1" x14ac:dyDescent="0.2">
      <c r="A8" s="376" t="s">
        <v>43</v>
      </c>
      <c r="B8" s="405" t="str">
        <f>IF('Summary (I, II, III) '!B8:D8="Yes","Sí","No")</f>
        <v>Sí</v>
      </c>
      <c r="C8" s="405"/>
      <c r="D8" s="406"/>
      <c r="E8" s="359"/>
      <c r="F8" s="359"/>
    </row>
    <row r="9" spans="1:6" ht="78" customHeight="1" x14ac:dyDescent="0.2">
      <c r="A9" s="31" t="s">
        <v>44</v>
      </c>
      <c r="B9" s="378" t="str">
        <f>IF('DEM (Strategic Priorities)'!D82="Yes",'DEM (Strategic Priorities)'!C82,"")</f>
        <v>GN-2780-1</v>
      </c>
      <c r="C9" s="411" t="s">
        <v>45</v>
      </c>
      <c r="D9" s="412"/>
      <c r="E9" s="359"/>
      <c r="F9" s="359"/>
    </row>
    <row r="10" spans="1:6" ht="60" customHeight="1" x14ac:dyDescent="0.2">
      <c r="A10" s="31" t="s">
        <v>46</v>
      </c>
      <c r="B10" s="378" t="str">
        <f>IF('DEM (Strategic Priorities)'!D85="Yes",'DEM (Strategic Priorities)'!C85,"")</f>
        <v>GN-2915-2</v>
      </c>
      <c r="C10" s="440" t="str">
        <f>IF('DEM (Strategic Priorities)'!D85="Yes","La intervención está incluida en el Programa de Operaciones de 2018.","La intervención no está incluida en el Programa de Operaciones de 2018.")</f>
        <v>La intervención está incluida en el Programa de Operaciones de 2018.</v>
      </c>
      <c r="D10" s="441"/>
      <c r="E10" s="359"/>
      <c r="F10" s="359"/>
    </row>
    <row r="11" spans="1:6" ht="60" customHeight="1" x14ac:dyDescent="0.2">
      <c r="A11" s="31" t="s">
        <v>47</v>
      </c>
      <c r="B11" s="380"/>
      <c r="C11" s="407" t="str">
        <f>IF('DEM (Strategic Priorities)'!D87="Yes",'DEM (Strategic Priorities)'!C87,"")</f>
        <v/>
      </c>
      <c r="D11" s="408"/>
      <c r="E11" s="359">
        <f>E14+E18+E24</f>
        <v>3</v>
      </c>
      <c r="F11" s="359"/>
    </row>
    <row r="12" spans="1:6" s="233" customFormat="1" ht="21" customHeight="1" x14ac:dyDescent="0.2">
      <c r="A12" s="381" t="s">
        <v>10</v>
      </c>
      <c r="B12" s="382"/>
      <c r="C12" s="383" t="str">
        <f>IF(AND(E12=1,B13&gt;=6.95),"Evaluable",IF(AND(E12=1,B13&gt;=5),"Parcialmente Evaluable","No Evaluable"))</f>
        <v>Evaluable</v>
      </c>
      <c r="D12" s="382"/>
      <c r="E12" s="238">
        <f>IF(E11&gt;=3,1,0)</f>
        <v>1</v>
      </c>
      <c r="F12" s="359"/>
    </row>
    <row r="13" spans="1:6" s="233" customFormat="1" ht="14.25" hidden="1" customHeight="1" x14ac:dyDescent="0.2">
      <c r="A13" s="384"/>
      <c r="B13" s="385">
        <f>AVERAGE(B14,B18,B24)</f>
        <v>8.621833333333333</v>
      </c>
      <c r="C13" s="386"/>
      <c r="D13" s="387">
        <v>10</v>
      </c>
      <c r="E13" s="359"/>
      <c r="F13" s="359"/>
    </row>
    <row r="14" spans="1:6" ht="15" customHeight="1" x14ac:dyDescent="0.2">
      <c r="A14" s="376" t="s">
        <v>48</v>
      </c>
      <c r="B14" s="395">
        <f>'DEM (Evaluability)'!G11</f>
        <v>7.4154999999999998</v>
      </c>
      <c r="C14" s="396"/>
      <c r="D14" s="397"/>
      <c r="E14" s="359">
        <f>IF(B14&gt;=5,1,0)</f>
        <v>1</v>
      </c>
      <c r="F14" s="359"/>
    </row>
    <row r="15" spans="1:6" ht="15" customHeight="1" x14ac:dyDescent="0.2">
      <c r="A15" s="31" t="s">
        <v>49</v>
      </c>
      <c r="B15" s="1">
        <f>'DEM (Evaluability)'!G12</f>
        <v>3</v>
      </c>
      <c r="C15" s="393"/>
      <c r="D15" s="394"/>
      <c r="E15" s="96"/>
      <c r="F15" s="359"/>
    </row>
    <row r="16" spans="1:6" ht="15" customHeight="1" x14ac:dyDescent="0.2">
      <c r="A16" s="31" t="s">
        <v>50</v>
      </c>
      <c r="B16" s="1">
        <f>'DEM (Evaluability)'!G19</f>
        <v>1.72</v>
      </c>
      <c r="C16" s="393"/>
      <c r="D16" s="394"/>
      <c r="E16" s="96"/>
      <c r="F16" s="359"/>
    </row>
    <row r="17" spans="1:5" ht="15" customHeight="1" x14ac:dyDescent="0.2">
      <c r="A17" s="31" t="s">
        <v>51</v>
      </c>
      <c r="B17" s="1">
        <f>'DEM (Evaluability)'!G24</f>
        <v>2.6955</v>
      </c>
      <c r="C17" s="393"/>
      <c r="D17" s="394"/>
      <c r="E17" s="96"/>
    </row>
    <row r="18" spans="1:5" ht="15" customHeight="1" x14ac:dyDescent="0.2">
      <c r="A18" s="376" t="s">
        <v>52</v>
      </c>
      <c r="B18" s="395">
        <f>'DEM (Evaluability)'!G38</f>
        <v>10</v>
      </c>
      <c r="C18" s="396"/>
      <c r="D18" s="397"/>
      <c r="E18" s="359">
        <f>IF(B18&gt;=5,1,0)</f>
        <v>1</v>
      </c>
    </row>
    <row r="19" spans="1:5" ht="30" x14ac:dyDescent="0.2">
      <c r="A19" s="31" t="s">
        <v>53</v>
      </c>
      <c r="B19" s="1">
        <f>IF('DEM (Evaluability)'!H41=1,'DEM (Evaluability)'!G42,IF('DEM (Evaluability)'!H41=2,'DEM (Evaluability)'!G49,0))</f>
        <v>2.15</v>
      </c>
      <c r="C19" s="393"/>
      <c r="D19" s="394"/>
      <c r="E19" s="359"/>
    </row>
    <row r="20" spans="1:5" ht="15" customHeight="1" x14ac:dyDescent="0.2">
      <c r="A20" s="31" t="s">
        <v>54</v>
      </c>
      <c r="B20" s="1">
        <f>IF('DEM (Evaluability)'!H41=1,'DEM (Evaluability)'!G43,IF('DEM (Evaluability)'!H41=2,('DEM (Evaluability)'!G50)))</f>
        <v>3.3</v>
      </c>
      <c r="C20" s="393"/>
      <c r="D20" s="394"/>
      <c r="E20" s="359"/>
    </row>
    <row r="21" spans="1:5" ht="15" customHeight="1" x14ac:dyDescent="0.2">
      <c r="A21" s="31" t="s">
        <v>55</v>
      </c>
      <c r="B21" s="1">
        <f>IF('DEM (Evaluability)'!H41=1,'DEM (Evaluability)'!G44,IF('DEM (Evaluability)'!H41=2,'DEM (Evaluability)'!G51))</f>
        <v>1</v>
      </c>
      <c r="C21" s="393"/>
      <c r="D21" s="394"/>
      <c r="E21" s="359"/>
    </row>
    <row r="22" spans="1:5" ht="15" customHeight="1" x14ac:dyDescent="0.2">
      <c r="A22" s="31" t="s">
        <v>56</v>
      </c>
      <c r="B22" s="1">
        <f>IF('DEM (Evaluability)'!H41=1,'DEM (Evaluability)'!G45,IF('DEM (Evaluability)'!H41=2,'DEM (Evaluability)'!G52))</f>
        <v>2.15</v>
      </c>
      <c r="C22" s="393"/>
      <c r="D22" s="394"/>
      <c r="E22" s="359"/>
    </row>
    <row r="23" spans="1:5" ht="15" customHeight="1" x14ac:dyDescent="0.2">
      <c r="A23" s="31" t="s">
        <v>57</v>
      </c>
      <c r="B23" s="1">
        <f>IF('DEM (Evaluability)'!H41=1,'DEM (Evaluability)'!G46,IF('DEM (Evaluability)'!H41=2,'DEM (Evaluability)'!G53))</f>
        <v>1.4</v>
      </c>
      <c r="C23" s="393"/>
      <c r="D23" s="394"/>
      <c r="E23" s="359"/>
    </row>
    <row r="24" spans="1:5" ht="15" customHeight="1" x14ac:dyDescent="0.2">
      <c r="A24" s="376" t="s">
        <v>58</v>
      </c>
      <c r="B24" s="395">
        <f>'DEM (Evaluability)'!G54</f>
        <v>8.4499999999999993</v>
      </c>
      <c r="C24" s="396"/>
      <c r="D24" s="397"/>
      <c r="E24" s="359">
        <f>IF(B24&gt;=5,1,0)</f>
        <v>1</v>
      </c>
    </row>
    <row r="25" spans="1:5" ht="15" customHeight="1" x14ac:dyDescent="0.2">
      <c r="A25" s="31" t="s">
        <v>59</v>
      </c>
      <c r="B25" s="1">
        <f>'DEM (Evaluability)'!G55</f>
        <v>2.5</v>
      </c>
      <c r="C25" s="393"/>
      <c r="D25" s="394"/>
      <c r="E25" s="359"/>
    </row>
    <row r="26" spans="1:5" ht="15" customHeight="1" x14ac:dyDescent="0.2">
      <c r="A26" s="31" t="s">
        <v>60</v>
      </c>
      <c r="B26" s="1">
        <f>'DEM (Evaluability)'!G61</f>
        <v>5.95</v>
      </c>
      <c r="C26" s="393"/>
      <c r="D26" s="394"/>
      <c r="E26" s="359"/>
    </row>
    <row r="27" spans="1:5" ht="19.5" customHeight="1" x14ac:dyDescent="0.2">
      <c r="A27" s="402" t="s">
        <v>61</v>
      </c>
      <c r="B27" s="403"/>
      <c r="C27" s="403"/>
      <c r="D27" s="404"/>
      <c r="E27" s="359"/>
    </row>
    <row r="28" spans="1:5" ht="15" customHeight="1" x14ac:dyDescent="0.2">
      <c r="A28" s="388" t="s">
        <v>62</v>
      </c>
      <c r="B28" s="418" t="str">
        <f>IF('Summary (I, II, III) '!B28:D28="LOW","Bajo",IF('Summary (I, II, III) '!B28:D28="MEDIUM","Medio",IF('Summary (I, II, III) '!B28:D28="HIGH","Alto","Specify risk rate on risk tab")))</f>
        <v>Bajo</v>
      </c>
      <c r="C28" s="418"/>
      <c r="D28" s="419"/>
      <c r="E28" s="359"/>
    </row>
    <row r="29" spans="1:5" ht="15" x14ac:dyDescent="0.2">
      <c r="A29" s="52" t="s">
        <v>63</v>
      </c>
      <c r="B29" s="424" t="str">
        <f>IF(AND('DEM ( Risk)'!D15="yes", 'DEM ( Risk)'!D16="yes"), "Sí", "")</f>
        <v>Sí</v>
      </c>
      <c r="C29" s="436"/>
      <c r="D29" s="437"/>
      <c r="E29" s="359"/>
    </row>
    <row r="30" spans="1:5" ht="30" x14ac:dyDescent="0.2">
      <c r="A30" s="52" t="s">
        <v>64</v>
      </c>
      <c r="B30" s="424" t="str">
        <f>IF('DEM ( Risk)'!D18="yes", "Sí", "")</f>
        <v>Sí</v>
      </c>
      <c r="C30" s="436"/>
      <c r="D30" s="437"/>
      <c r="E30" s="359"/>
    </row>
    <row r="31" spans="1:5" ht="30" x14ac:dyDescent="0.2">
      <c r="A31" s="52" t="s">
        <v>65</v>
      </c>
      <c r="B31" s="424" t="str">
        <f>IF('DEM ( Risk)'!D19="yes", "Sí", "")</f>
        <v>Sí</v>
      </c>
      <c r="C31" s="436"/>
      <c r="D31" s="437"/>
      <c r="E31" s="359"/>
    </row>
    <row r="32" spans="1:5" ht="15" customHeight="1" x14ac:dyDescent="0.2">
      <c r="A32" s="388" t="s">
        <v>66</v>
      </c>
      <c r="B32" s="418" t="str">
        <f>'Summary (I, II, III) '!B32:D32</f>
        <v>B.13</v>
      </c>
      <c r="C32" s="418"/>
      <c r="D32" s="419"/>
      <c r="E32" s="359"/>
    </row>
    <row r="33" spans="1:4" ht="19.5" customHeight="1" x14ac:dyDescent="0.2">
      <c r="A33" s="451" t="s">
        <v>67</v>
      </c>
      <c r="B33" s="452"/>
      <c r="C33" s="452"/>
      <c r="D33" s="453"/>
    </row>
    <row r="34" spans="1:4" ht="15.75" customHeight="1" x14ac:dyDescent="0.2">
      <c r="A34" s="31" t="s">
        <v>68</v>
      </c>
      <c r="B34" s="389"/>
      <c r="C34" s="443"/>
      <c r="D34" s="444"/>
    </row>
    <row r="35" spans="1:4" ht="122.25" customHeight="1" x14ac:dyDescent="0.2">
      <c r="A35" s="390" t="s">
        <v>69</v>
      </c>
      <c r="B35" s="391" t="str">
        <f>IF('DEM (Additionality)'!E13="yes", "Sí", "")</f>
        <v>Sí</v>
      </c>
      <c r="C35" s="454" t="str">
        <f>Adicionalidad!M14</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c r="D35" s="455"/>
    </row>
    <row r="36" spans="1:4" ht="48.75" customHeight="1" x14ac:dyDescent="0.2">
      <c r="A36" s="390" t="s">
        <v>70</v>
      </c>
      <c r="B36" s="391" t="str">
        <f>IF('DEM (Additionality)'!E27="yes", "Sí", "")</f>
        <v/>
      </c>
      <c r="C36" s="445" t="str">
        <f>Adicionalidad!L28</f>
        <v/>
      </c>
      <c r="D36" s="446"/>
    </row>
    <row r="37" spans="1:4" ht="44.25" customHeight="1" x14ac:dyDescent="0.2">
      <c r="A37" s="31" t="s">
        <v>71</v>
      </c>
      <c r="B37" s="389"/>
      <c r="C37" s="445"/>
      <c r="D37" s="446"/>
    </row>
    <row r="38" spans="1:4" ht="80.45" customHeight="1" thickBot="1" x14ac:dyDescent="0.25">
      <c r="A38" s="31" t="s">
        <v>72</v>
      </c>
      <c r="B38" s="391" t="str">
        <f>IF('DEM (Additionality)'!E35="yes", "Sí", "")</f>
        <v/>
      </c>
      <c r="C38" s="447" t="str">
        <f>IF('DEM (Additionality)'!E35="Yes",'DEM (Additionality)'!C35,"")</f>
        <v/>
      </c>
      <c r="D38" s="448"/>
    </row>
    <row r="39" spans="1:4" s="153" customFormat="1" ht="24.75" customHeight="1" x14ac:dyDescent="0.2">
      <c r="A39" s="456" t="s">
        <v>73</v>
      </c>
      <c r="B39" s="456"/>
      <c r="C39" s="456"/>
      <c r="D39" s="456"/>
    </row>
    <row r="40" spans="1:4" ht="14.25" x14ac:dyDescent="0.2">
      <c r="A40" s="28"/>
      <c r="B40" s="392"/>
      <c r="C40" s="392"/>
      <c r="D40" s="371"/>
    </row>
    <row r="41" spans="1:4" ht="174" customHeight="1" x14ac:dyDescent="0.2">
      <c r="A41" s="449" t="s">
        <v>445</v>
      </c>
      <c r="B41" s="450"/>
      <c r="C41" s="450"/>
      <c r="D41" s="450"/>
    </row>
    <row r="42" spans="1:4" x14ac:dyDescent="0.2">
      <c r="A42" s="442"/>
      <c r="B42" s="442"/>
      <c r="C42" s="442"/>
      <c r="D42" s="442"/>
    </row>
  </sheetData>
  <sheetProtection algorithmName="SHA-512" hashValue="Rp4CuWwtQtnq1P6A3Rt6ztuYCBghcUWKpScObQUXzMIfX5FDujQ0gS+Ci/JjPB6xWVas6jJG+Ucp3Bs00CoZrw==" saltValue="TFaFbXaS3/k6LalZg+YPg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8" orientation="portrait" r:id="rId1"/>
  <headerFooter>
    <oddHeader>&amp;RAnexo I - AR-O0008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FF00"/>
    <pageSetUpPr fitToPage="1"/>
  </sheetPr>
  <dimension ref="A1:E36"/>
  <sheetViews>
    <sheetView zoomScale="80" zoomScaleNormal="80" zoomScalePageLayoutView="80" workbookViewId="0">
      <selection activeCell="C9" sqref="C9:D9"/>
    </sheetView>
  </sheetViews>
  <sheetFormatPr defaultColWidth="9.140625" defaultRowHeight="12.75" x14ac:dyDescent="0.2"/>
  <cols>
    <col min="1" max="1" width="84.5703125" style="237" customWidth="1"/>
    <col min="2" max="2" width="24.7109375" style="237" customWidth="1"/>
    <col min="3" max="3" width="29.42578125" style="237" customWidth="1"/>
    <col min="4" max="4" width="29.140625" style="237" customWidth="1"/>
    <col min="5" max="5" width="5.85546875" style="237" hidden="1" customWidth="1"/>
    <col min="6" max="16384" width="9.140625" style="237"/>
  </cols>
  <sheetData>
    <row r="1" spans="1:5" ht="13.5" customHeight="1" thickBot="1" x14ac:dyDescent="0.25">
      <c r="A1" s="82"/>
      <c r="B1" s="82"/>
      <c r="C1" s="82"/>
      <c r="D1" s="359"/>
      <c r="E1" s="359"/>
    </row>
    <row r="2" spans="1:5" ht="25.5" customHeight="1" x14ac:dyDescent="0.2">
      <c r="A2" s="495" t="s">
        <v>0</v>
      </c>
      <c r="B2" s="496"/>
      <c r="C2" s="496"/>
      <c r="D2" s="497"/>
      <c r="E2" s="359"/>
    </row>
    <row r="3" spans="1:5" ht="18" customHeight="1" x14ac:dyDescent="0.2">
      <c r="A3" s="340" t="s">
        <v>1</v>
      </c>
      <c r="B3" s="343" t="str">
        <f>IF(ISBLANK('DEM (Strategic Priorities)'!C7),"",'DEM (Strategic Priorities)'!C7)</f>
        <v/>
      </c>
      <c r="C3" s="341"/>
      <c r="D3" s="342"/>
      <c r="E3" s="359"/>
    </row>
    <row r="4" spans="1:5" ht="15" customHeight="1" x14ac:dyDescent="0.2">
      <c r="A4" s="498" t="s">
        <v>2</v>
      </c>
      <c r="B4" s="499"/>
      <c r="C4" s="499"/>
      <c r="D4" s="500"/>
      <c r="E4" s="359"/>
    </row>
    <row r="5" spans="1:5" ht="18" customHeight="1" x14ac:dyDescent="0.2">
      <c r="A5" s="84" t="s">
        <v>3</v>
      </c>
      <c r="B5" s="484" t="str">
        <f>IF(OR(B6&lt;&gt;"",B7&lt;&gt;""),"Yes","No")</f>
        <v>Yes</v>
      </c>
      <c r="C5" s="484"/>
      <c r="D5" s="485"/>
      <c r="E5" s="359"/>
    </row>
    <row r="6" spans="1:5" ht="120" customHeight="1" x14ac:dyDescent="0.2">
      <c r="A6" s="85" t="s">
        <v>4</v>
      </c>
      <c r="B6" s="492" t="str">
        <f>'DEM (Strategic Priorities)'!J11</f>
        <v xml:space="preserve">-Gender Equality and Diversity
-Climate Change and Environmental Sustainability
</v>
      </c>
      <c r="C6" s="493"/>
      <c r="D6" s="494"/>
      <c r="E6" s="359"/>
    </row>
    <row r="7" spans="1:5" ht="120" customHeight="1" x14ac:dyDescent="0.2">
      <c r="A7" s="12" t="s">
        <v>5</v>
      </c>
      <c r="B7" s="492" t="str">
        <f>'DEM (Strategic Priorities)'!K22</f>
        <v xml:space="preserve">-Countries that have improved disaster risk management (#)*
</v>
      </c>
      <c r="C7" s="493"/>
      <c r="D7" s="494"/>
      <c r="E7" s="359"/>
    </row>
    <row r="8" spans="1:5" ht="15" customHeight="1" x14ac:dyDescent="0.2">
      <c r="A8" s="84" t="s">
        <v>6</v>
      </c>
      <c r="B8" s="484" t="str">
        <f>IF(OR('DEM (Strategic Priorities)'!$D$82="Yes",'DEM (Strategic Priorities)'!D85="Yes"),"Yes","No")</f>
        <v>Yes</v>
      </c>
      <c r="C8" s="484"/>
      <c r="D8" s="485"/>
      <c r="E8" s="359"/>
    </row>
    <row r="9" spans="1:5" ht="60" customHeight="1" x14ac:dyDescent="0.2">
      <c r="A9" s="12" t="s">
        <v>7</v>
      </c>
      <c r="B9" s="95" t="str">
        <f>IF('DEM (Strategic Priorities)'!D82="Yes",'DEM (Strategic Priorities)'!C82,"")</f>
        <v>GN-2780-1</v>
      </c>
      <c r="C9" s="486" t="str">
        <f>IF('DEM (Strategic Priorities)'!D82="Yes",'DEM (Strategic Priorities)'!C83,"")</f>
        <v>The operation is aligned with the strategic objective of "fostering of environmentally sustainable solutions and support for climate change-related disaster risk management."</v>
      </c>
      <c r="D9" s="487"/>
      <c r="E9" s="359"/>
    </row>
    <row r="10" spans="1:5" ht="60" customHeight="1" x14ac:dyDescent="0.2">
      <c r="A10" s="12" t="s">
        <v>8</v>
      </c>
      <c r="B10" s="95" t="str">
        <f>IF('DEM (Strategic Priorities)'!D85="Yes",'DEM (Strategic Priorities)'!C85," ")</f>
        <v>GN-2915-2</v>
      </c>
      <c r="C10" s="488" t="str">
        <f>IF('DEM (Strategic Priorities)'!D85="Yes","The intervention is included in the 2018 Operational Program.","The intervention is not included in the 2018 Operational Program.")</f>
        <v>The intervention is included in the 2018 Operational Program.</v>
      </c>
      <c r="D10" s="489"/>
      <c r="E10" s="359"/>
    </row>
    <row r="11" spans="1:5" ht="60" customHeight="1" x14ac:dyDescent="0.2">
      <c r="A11" s="174" t="s">
        <v>9</v>
      </c>
      <c r="B11" s="86"/>
      <c r="C11" s="490" t="str">
        <f>IF('DEM (Strategic Priorities)'!D87="Yes",'DEM (Strategic Priorities)'!C87,"")</f>
        <v/>
      </c>
      <c r="D11" s="491"/>
      <c r="E11" s="359">
        <f>SUM(E14+E19)</f>
        <v>2</v>
      </c>
    </row>
    <row r="12" spans="1:5" ht="15.75" x14ac:dyDescent="0.2">
      <c r="A12" s="220" t="s">
        <v>10</v>
      </c>
      <c r="B12" s="234"/>
      <c r="C12" s="328" t="str">
        <f>IF(AND(E12=1,C13&gt;=6.95),"Evaluable",IF(AND(E12=1,C13&gt;=5),"Partially Evaluable","Not Evaluable"))</f>
        <v>Evaluable</v>
      </c>
      <c r="D12" s="234"/>
      <c r="E12" s="238">
        <f>IF(E11&gt;=2,1,0)</f>
        <v>1</v>
      </c>
    </row>
    <row r="13" spans="1:5" hidden="1" x14ac:dyDescent="0.2">
      <c r="A13" s="221"/>
      <c r="B13" s="236"/>
      <c r="C13" s="235">
        <f>AVERAGE(B14,B19)</f>
        <v>7.9327499999999995</v>
      </c>
      <c r="D13" s="222">
        <v>10</v>
      </c>
      <c r="E13" s="359"/>
    </row>
    <row r="14" spans="1:5" ht="15" customHeight="1" x14ac:dyDescent="0.2">
      <c r="A14" s="84" t="s">
        <v>11</v>
      </c>
      <c r="B14" s="471">
        <f>'DEM (Evaluability)'!G11</f>
        <v>7.4154999999999998</v>
      </c>
      <c r="C14" s="472"/>
      <c r="D14" s="473"/>
      <c r="E14" s="359">
        <f>IF(B14&gt;=5,1,0)</f>
        <v>1</v>
      </c>
    </row>
    <row r="15" spans="1:5" ht="15" customHeight="1" x14ac:dyDescent="0.2">
      <c r="A15" s="12" t="s">
        <v>12</v>
      </c>
      <c r="B15" s="474">
        <f>'DEM (Evaluability)'!G12</f>
        <v>3</v>
      </c>
      <c r="C15" s="475"/>
      <c r="D15" s="476"/>
      <c r="E15" s="359"/>
    </row>
    <row r="16" spans="1:5" ht="15" customHeight="1" x14ac:dyDescent="0.2">
      <c r="A16" s="12" t="s">
        <v>13</v>
      </c>
      <c r="B16" s="474">
        <f>'DEM (Evaluability)'!G19</f>
        <v>1.72</v>
      </c>
      <c r="C16" s="475"/>
      <c r="D16" s="476"/>
      <c r="E16" s="359"/>
    </row>
    <row r="17" spans="1:5" ht="15" customHeight="1" x14ac:dyDescent="0.2">
      <c r="A17" s="12" t="s">
        <v>14</v>
      </c>
      <c r="B17" s="474">
        <f>'DEM (Evaluability)'!G24</f>
        <v>2.6955</v>
      </c>
      <c r="C17" s="475"/>
      <c r="D17" s="476"/>
      <c r="E17" s="359"/>
    </row>
    <row r="18" spans="1:5" ht="15" customHeight="1" x14ac:dyDescent="0.2">
      <c r="A18" s="84" t="s">
        <v>15</v>
      </c>
      <c r="B18" s="471" t="s">
        <v>74</v>
      </c>
      <c r="C18" s="472"/>
      <c r="D18" s="473"/>
      <c r="E18" s="359"/>
    </row>
    <row r="19" spans="1:5" ht="15" customHeight="1" x14ac:dyDescent="0.2">
      <c r="A19" s="84" t="s">
        <v>21</v>
      </c>
      <c r="B19" s="471">
        <f>'DEM (Evaluability)'!G54</f>
        <v>8.4499999999999993</v>
      </c>
      <c r="C19" s="472"/>
      <c r="D19" s="473"/>
      <c r="E19" s="359">
        <f>IF(B19&gt;=5,1,0)</f>
        <v>1</v>
      </c>
    </row>
    <row r="20" spans="1:5" ht="15" customHeight="1" x14ac:dyDescent="0.2">
      <c r="A20" s="12" t="s">
        <v>22</v>
      </c>
      <c r="B20" s="474">
        <f>'DEM (Evaluability)'!G55</f>
        <v>2.5</v>
      </c>
      <c r="C20" s="475"/>
      <c r="D20" s="476"/>
      <c r="E20" s="359"/>
    </row>
    <row r="21" spans="1:5" ht="15" customHeight="1" x14ac:dyDescent="0.2">
      <c r="A21" s="12" t="s">
        <v>23</v>
      </c>
      <c r="B21" s="474">
        <f>'DEM (Evaluability)'!G61</f>
        <v>5.95</v>
      </c>
      <c r="C21" s="475"/>
      <c r="D21" s="476"/>
      <c r="E21" s="359"/>
    </row>
    <row r="22" spans="1:5" ht="15" customHeight="1" x14ac:dyDescent="0.2">
      <c r="A22" s="468" t="s">
        <v>24</v>
      </c>
      <c r="B22" s="469"/>
      <c r="C22" s="469"/>
      <c r="D22" s="470"/>
      <c r="E22" s="359"/>
    </row>
    <row r="23" spans="1:5" ht="15" customHeight="1" x14ac:dyDescent="0.2">
      <c r="A23" s="87" t="s">
        <v>25</v>
      </c>
      <c r="B23" s="477" t="str">
        <f>IF('DEM ( Risk)'!D12&lt;&gt;"",'DEM ( Risk)'!D12,"Specify risk rate on risk tab")</f>
        <v>Low</v>
      </c>
      <c r="C23" s="477"/>
      <c r="D23" s="478"/>
      <c r="E23" s="359"/>
    </row>
    <row r="24" spans="1:5" ht="15" customHeight="1" x14ac:dyDescent="0.2">
      <c r="A24" s="88" t="s">
        <v>26</v>
      </c>
      <c r="B24" s="479" t="str">
        <f>IF(AND('DEM ( Risk)'!D15="yes", 'DEM ( Risk)'!D16="yes"), "Yes", "")</f>
        <v>Yes</v>
      </c>
      <c r="C24" s="479"/>
      <c r="D24" s="480"/>
      <c r="E24" s="359"/>
    </row>
    <row r="25" spans="1:5" ht="15" customHeight="1" x14ac:dyDescent="0.2">
      <c r="A25" s="88" t="s">
        <v>27</v>
      </c>
      <c r="B25" s="481" t="str">
        <f>IF('DEM ( Risk)'!D18="yes", "Yes", "")</f>
        <v>Yes</v>
      </c>
      <c r="C25" s="482"/>
      <c r="D25" s="483"/>
      <c r="E25" s="359"/>
    </row>
    <row r="26" spans="1:5" ht="15" customHeight="1" x14ac:dyDescent="0.2">
      <c r="A26" s="88" t="s">
        <v>28</v>
      </c>
      <c r="B26" s="481" t="str">
        <f>IF('DEM ( Risk)'!D19="yes", "Yes", "")</f>
        <v>Yes</v>
      </c>
      <c r="C26" s="482"/>
      <c r="D26" s="483"/>
      <c r="E26" s="359"/>
    </row>
    <row r="27" spans="1:5" ht="15" customHeight="1" x14ac:dyDescent="0.2">
      <c r="A27" s="87" t="s">
        <v>29</v>
      </c>
      <c r="B27" s="477" t="str">
        <f>IF('DEM ( Risk)'!D13&lt;&gt;"",'DEM ( Risk)'!D13,"Specify risk classification on risk tab")</f>
        <v>B.13</v>
      </c>
      <c r="C27" s="477"/>
      <c r="D27" s="478"/>
      <c r="E27" s="359"/>
    </row>
    <row r="28" spans="1:5" ht="15" customHeight="1" x14ac:dyDescent="0.2">
      <c r="A28" s="468" t="s">
        <v>30</v>
      </c>
      <c r="B28" s="469"/>
      <c r="C28" s="469"/>
      <c r="D28" s="470"/>
      <c r="E28" s="359"/>
    </row>
    <row r="29" spans="1:5" ht="15" customHeight="1" x14ac:dyDescent="0.2">
      <c r="A29" s="12" t="s">
        <v>31</v>
      </c>
      <c r="B29" s="89"/>
      <c r="C29" s="460"/>
      <c r="D29" s="461"/>
      <c r="E29" s="359"/>
    </row>
    <row r="30" spans="1:5" ht="70.150000000000006" customHeight="1" x14ac:dyDescent="0.2">
      <c r="A30" s="90" t="s">
        <v>32</v>
      </c>
      <c r="B30" s="223" t="str">
        <f>IF('DEM (Additionality)'!E14="Yes","Yes","")</f>
        <v>Yes</v>
      </c>
      <c r="C30" s="462" t="str">
        <f>'DEM (Additionality)'!N14</f>
        <v>Financial Management: Budget, Treasury, Accounting and Reporting, External Control, Internal Audit.
Procurement: Information System, Price Comparison, Contracting Individual Consultant, National Public Bidding.</v>
      </c>
      <c r="D30" s="463"/>
      <c r="E30" s="359"/>
    </row>
    <row r="31" spans="1:5" ht="70.150000000000006" customHeight="1" x14ac:dyDescent="0.2">
      <c r="A31" s="90" t="s">
        <v>33</v>
      </c>
      <c r="B31" s="223" t="str">
        <f>IF('DEM (Additionality)'!E27="yes", "Yes","")</f>
        <v/>
      </c>
      <c r="C31" s="462" t="str">
        <f>'DEM (Additionality)'!M28</f>
        <v/>
      </c>
      <c r="D31" s="463"/>
      <c r="E31" s="359"/>
    </row>
    <row r="32" spans="1:5" ht="44.25" customHeight="1" x14ac:dyDescent="0.2">
      <c r="A32" s="12" t="s">
        <v>34</v>
      </c>
      <c r="B32" s="89"/>
      <c r="C32" s="464"/>
      <c r="D32" s="465"/>
      <c r="E32" s="359"/>
    </row>
    <row r="33" spans="1:4" ht="80.45" customHeight="1" x14ac:dyDescent="0.2">
      <c r="A33" s="12" t="s">
        <v>35</v>
      </c>
      <c r="B33" s="223" t="str">
        <f>IF('DEM (Additionality)'!E35="yes", "Yes","")</f>
        <v/>
      </c>
      <c r="C33" s="466" t="str">
        <f>IF('DEM (Additionality)'!E35="Yes",'DEM (Additionality)'!C35,"")</f>
        <v/>
      </c>
      <c r="D33" s="467"/>
    </row>
    <row r="34" spans="1:4" ht="25.5" customHeight="1" x14ac:dyDescent="0.2">
      <c r="A34" s="457" t="s">
        <v>36</v>
      </c>
      <c r="B34" s="457"/>
      <c r="C34" s="457"/>
      <c r="D34" s="457"/>
    </row>
    <row r="35" spans="1:4" ht="13.5" customHeight="1" x14ac:dyDescent="0.2">
      <c r="A35" s="457"/>
      <c r="B35" s="457"/>
      <c r="C35" s="457"/>
      <c r="D35" s="457"/>
    </row>
    <row r="36" spans="1:4" ht="300" customHeight="1" x14ac:dyDescent="0.2">
      <c r="A36" s="458" t="s">
        <v>75</v>
      </c>
      <c r="B36" s="459"/>
      <c r="C36" s="459"/>
      <c r="D36" s="459"/>
    </row>
  </sheetData>
  <sheetProtection algorithmName="SHA-512" hashValue="WBtclwKVP0in6BdSDcN4v7PunKc0rPkBOgXVd1TE2Q6v3qZY9ypK6p5jcBnLhIcqFNRSdwhAyineigASSiUZ0Q==" saltValue="KCbJLzzp5TnYMlWsUlxrVQ=="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FF00"/>
    <pageSetUpPr fitToPage="1"/>
  </sheetPr>
  <dimension ref="A1:F37"/>
  <sheetViews>
    <sheetView zoomScale="80" zoomScaleNormal="80" zoomScalePageLayoutView="80" workbookViewId="0">
      <selection activeCell="J10" sqref="J10"/>
    </sheetView>
  </sheetViews>
  <sheetFormatPr defaultColWidth="9.140625" defaultRowHeight="12.75" x14ac:dyDescent="0.2"/>
  <cols>
    <col min="1" max="1" width="82.42578125" style="237" customWidth="1"/>
    <col min="2" max="2" width="24.7109375" style="237" customWidth="1"/>
    <col min="3" max="3" width="29.85546875" style="237" customWidth="1"/>
    <col min="4" max="4" width="29.7109375" style="237" customWidth="1"/>
    <col min="5" max="5" width="4.85546875" style="237" hidden="1" customWidth="1"/>
    <col min="6" max="6" width="11.5703125" style="237" customWidth="1"/>
    <col min="7" max="16384" width="9.140625" style="237"/>
  </cols>
  <sheetData>
    <row r="1" spans="1:6" ht="13.5" customHeight="1" thickBot="1" x14ac:dyDescent="0.25">
      <c r="A1" s="82"/>
      <c r="B1" s="82"/>
      <c r="C1" s="82"/>
      <c r="D1" s="359"/>
      <c r="E1" s="359"/>
      <c r="F1" s="359"/>
    </row>
    <row r="2" spans="1:6" ht="25.5" customHeight="1" x14ac:dyDescent="0.2">
      <c r="A2" s="521" t="s">
        <v>37</v>
      </c>
      <c r="B2" s="522"/>
      <c r="C2" s="522"/>
      <c r="D2" s="523"/>
      <c r="E2" s="359"/>
      <c r="F2" s="359"/>
    </row>
    <row r="3" spans="1:6" ht="18" customHeight="1" x14ac:dyDescent="0.2">
      <c r="A3" s="340" t="s">
        <v>38</v>
      </c>
      <c r="B3" s="343" t="str">
        <f>IF(ISBLANK('DEM (Strategic Priorities)'!C7),"",'DEM (Strategic Priorities)'!C7)</f>
        <v/>
      </c>
      <c r="C3" s="341"/>
      <c r="D3" s="342"/>
      <c r="E3" s="359"/>
      <c r="F3" s="359"/>
    </row>
    <row r="4" spans="1:6" ht="19.5" customHeight="1" x14ac:dyDescent="0.2">
      <c r="A4" s="468" t="s">
        <v>39</v>
      </c>
      <c r="B4" s="469"/>
      <c r="C4" s="469"/>
      <c r="D4" s="470"/>
      <c r="E4" s="359"/>
      <c r="F4" s="359"/>
    </row>
    <row r="5" spans="1:6" ht="15" customHeight="1" x14ac:dyDescent="0.2">
      <c r="A5" s="84" t="s">
        <v>40</v>
      </c>
      <c r="B5" s="484" t="str">
        <f>IF('Summary (I, II, III) '!B5:D5="Yes","Sí","No")</f>
        <v>Sí</v>
      </c>
      <c r="C5" s="484"/>
      <c r="D5" s="485"/>
      <c r="E5" s="359"/>
      <c r="F5" s="359"/>
    </row>
    <row r="6" spans="1:6" ht="120" customHeight="1" x14ac:dyDescent="0.2">
      <c r="A6" s="85" t="s">
        <v>41</v>
      </c>
      <c r="B6" s="519" t="str">
        <f>'Prioridades Estrategicas'!J11</f>
        <v xml:space="preserve">-Equidad de Género y Diversidad
-Cambio Climático y Sostenibilidad Ambiental
</v>
      </c>
      <c r="C6" s="519"/>
      <c r="D6" s="520"/>
      <c r="E6" s="359"/>
      <c r="F6" s="94"/>
    </row>
    <row r="7" spans="1:6" ht="120" customHeight="1" x14ac:dyDescent="0.2">
      <c r="A7" s="12" t="s">
        <v>42</v>
      </c>
      <c r="B7" s="519" t="str">
        <f>'Prioridades Estrategicas'!K18</f>
        <v xml:space="preserve">-Países que han mejorado la gestión del riesgo de desastres (#)*
</v>
      </c>
      <c r="C7" s="519"/>
      <c r="D7" s="520"/>
      <c r="E7" s="359"/>
      <c r="F7" s="359"/>
    </row>
    <row r="8" spans="1:6" ht="15" customHeight="1" x14ac:dyDescent="0.2">
      <c r="A8" s="84" t="s">
        <v>43</v>
      </c>
      <c r="B8" s="484" t="str">
        <f>IF('Summary (I, II, III) '!B8:D8="Yes","Sí","No")</f>
        <v>Sí</v>
      </c>
      <c r="C8" s="484"/>
      <c r="D8" s="485"/>
      <c r="E8" s="359"/>
      <c r="F8" s="359"/>
    </row>
    <row r="9" spans="1:6" ht="60" customHeight="1" x14ac:dyDescent="0.2">
      <c r="A9" s="12" t="s">
        <v>44</v>
      </c>
      <c r="B9" s="95" t="str">
        <f>IF('DEM (Strategic Priorities)'!D82="Yes",'DEM (Strategic Priorities)'!C82,"")</f>
        <v>GN-2780-1</v>
      </c>
      <c r="C9" s="490" t="str">
        <f>IF('DEM (Strategic Priorities)'!D82="Yes",'DEM (Strategic Priorities)'!C83,"")</f>
        <v>The operation is aligned with the strategic objective of "fostering of environmentally sustainable solutions and support for climate change-related disaster risk management."</v>
      </c>
      <c r="D9" s="491"/>
      <c r="E9" s="359"/>
      <c r="F9" s="359"/>
    </row>
    <row r="10" spans="1:6" ht="60" customHeight="1" x14ac:dyDescent="0.2">
      <c r="A10" s="12" t="s">
        <v>46</v>
      </c>
      <c r="B10" s="95" t="str">
        <f>IF('DEM (Strategic Priorities)'!D85="Yes",'DEM (Strategic Priorities)'!C85,"")</f>
        <v>GN-2915-2</v>
      </c>
      <c r="C10" s="517" t="str">
        <f>IF('DEM (Strategic Priorities)'!D85="Yes","La intervención está incluida en el Programa de Operaciones de 2018.","La intervención no está incluida en el Programa de Operaciones de 2018.")</f>
        <v>La intervención está incluida en el Programa de Operaciones de 2018.</v>
      </c>
      <c r="D10" s="518"/>
      <c r="E10" s="359"/>
      <c r="F10" s="359"/>
    </row>
    <row r="11" spans="1:6" ht="60" customHeight="1" x14ac:dyDescent="0.2">
      <c r="A11" s="12" t="s">
        <v>47</v>
      </c>
      <c r="B11" s="86"/>
      <c r="C11" s="486" t="str">
        <f>IF('DEM (Strategic Priorities)'!D87="Yes",'DEM (Strategic Priorities)'!C87,"")</f>
        <v/>
      </c>
      <c r="D11" s="487"/>
      <c r="E11" s="359">
        <f>E14+E18+E19</f>
        <v>2</v>
      </c>
      <c r="F11" s="359"/>
    </row>
    <row r="12" spans="1:6" ht="22.5" customHeight="1" x14ac:dyDescent="0.2">
      <c r="A12" s="220" t="s">
        <v>10</v>
      </c>
      <c r="B12" s="234"/>
      <c r="C12" s="328" t="str">
        <f>IF(AND(E12=1,C13&gt;=6.95),"Evaluable",IF(AND(E12=1,C13&gt;=5),"Parcialmente Evaluable","No Evaluable"))</f>
        <v>Evaluable</v>
      </c>
      <c r="D12" s="234"/>
      <c r="E12" s="238">
        <f>IF(E11&gt;=2,1,0)</f>
        <v>1</v>
      </c>
      <c r="F12" s="359"/>
    </row>
    <row r="13" spans="1:6" ht="14.25" hidden="1" customHeight="1" x14ac:dyDescent="0.2">
      <c r="A13" s="221"/>
      <c r="B13" s="236"/>
      <c r="C13" s="235">
        <f>AVERAGE(B14,B19)</f>
        <v>7.9327499999999995</v>
      </c>
      <c r="D13" s="222">
        <v>10</v>
      </c>
      <c r="E13" s="359"/>
      <c r="F13" s="359"/>
    </row>
    <row r="14" spans="1:6" ht="15" customHeight="1" x14ac:dyDescent="0.2">
      <c r="A14" s="84" t="s">
        <v>48</v>
      </c>
      <c r="B14" s="471">
        <f>'DEM (Evaluability)'!G11</f>
        <v>7.4154999999999998</v>
      </c>
      <c r="C14" s="472"/>
      <c r="D14" s="473"/>
      <c r="E14" s="359">
        <f>IF(B14&gt;=5,1,0)</f>
        <v>1</v>
      </c>
      <c r="F14" s="359"/>
    </row>
    <row r="15" spans="1:6" ht="15" customHeight="1" x14ac:dyDescent="0.2">
      <c r="A15" s="12" t="s">
        <v>49</v>
      </c>
      <c r="B15" s="474">
        <f>'DEM (Evaluability)'!G12</f>
        <v>3</v>
      </c>
      <c r="C15" s="475"/>
      <c r="D15" s="476"/>
      <c r="E15" s="96"/>
      <c r="F15" s="359"/>
    </row>
    <row r="16" spans="1:6" ht="15" customHeight="1" x14ac:dyDescent="0.2">
      <c r="A16" s="12" t="s">
        <v>50</v>
      </c>
      <c r="B16" s="474">
        <f>'DEM (Evaluability)'!G19</f>
        <v>1.72</v>
      </c>
      <c r="C16" s="475"/>
      <c r="D16" s="476"/>
      <c r="E16" s="96"/>
      <c r="F16" s="359"/>
    </row>
    <row r="17" spans="1:5" ht="15" customHeight="1" x14ac:dyDescent="0.2">
      <c r="A17" s="12" t="s">
        <v>51</v>
      </c>
      <c r="B17" s="474">
        <f>'DEM (Evaluability)'!G24</f>
        <v>2.6955</v>
      </c>
      <c r="C17" s="475"/>
      <c r="D17" s="476"/>
      <c r="E17" s="96"/>
    </row>
    <row r="18" spans="1:5" ht="15" customHeight="1" x14ac:dyDescent="0.2">
      <c r="A18" s="84" t="s">
        <v>52</v>
      </c>
      <c r="B18" s="471" t="s">
        <v>74</v>
      </c>
      <c r="C18" s="472"/>
      <c r="D18" s="473"/>
      <c r="E18" s="359"/>
    </row>
    <row r="19" spans="1:5" ht="15" customHeight="1" x14ac:dyDescent="0.2">
      <c r="A19" s="84" t="s">
        <v>58</v>
      </c>
      <c r="B19" s="471">
        <f>'DEM (Evaluability)'!G54</f>
        <v>8.4499999999999993</v>
      </c>
      <c r="C19" s="472"/>
      <c r="D19" s="473"/>
      <c r="E19" s="359">
        <f>IF(B19&gt;=5,1,0)</f>
        <v>1</v>
      </c>
    </row>
    <row r="20" spans="1:5" ht="15" customHeight="1" x14ac:dyDescent="0.2">
      <c r="A20" s="12" t="s">
        <v>59</v>
      </c>
      <c r="B20" s="474">
        <f>'DEM (Evaluability)'!G55</f>
        <v>2.5</v>
      </c>
      <c r="C20" s="475"/>
      <c r="D20" s="476"/>
      <c r="E20" s="359"/>
    </row>
    <row r="21" spans="1:5" ht="15" customHeight="1" x14ac:dyDescent="0.2">
      <c r="A21" s="12" t="s">
        <v>60</v>
      </c>
      <c r="B21" s="474">
        <f>'DEM (Evaluability)'!G61</f>
        <v>5.95</v>
      </c>
      <c r="C21" s="475"/>
      <c r="D21" s="476"/>
      <c r="E21" s="359"/>
    </row>
    <row r="22" spans="1:5" ht="19.5" customHeight="1" x14ac:dyDescent="0.2">
      <c r="A22" s="468" t="s">
        <v>61</v>
      </c>
      <c r="B22" s="469"/>
      <c r="C22" s="469"/>
      <c r="D22" s="470"/>
      <c r="E22" s="359"/>
    </row>
    <row r="23" spans="1:5" ht="15" customHeight="1" x14ac:dyDescent="0.2">
      <c r="A23" s="87" t="s">
        <v>62</v>
      </c>
      <c r="B23" s="477" t="str">
        <f>IF('Summary (I, II, III) '!B28:D28="LOW","Bajo",IF('Summary (I, II, III) '!B28:D28="MEDIUM","Medio",IF('Summary (I, II, III) '!B28:D28="HIGH","Alto","Specify risk rate on risk tab")))</f>
        <v>Bajo</v>
      </c>
      <c r="C23" s="477"/>
      <c r="D23" s="478"/>
      <c r="E23" s="359"/>
    </row>
    <row r="24" spans="1:5" x14ac:dyDescent="0.2">
      <c r="A24" s="88" t="s">
        <v>63</v>
      </c>
      <c r="B24" s="481" t="str">
        <f>IF(AND('DEM ( Risk)'!D15="yes", 'DEM ( Risk)'!D16="yes"), "Sí", "")</f>
        <v>Sí</v>
      </c>
      <c r="C24" s="515"/>
      <c r="D24" s="516"/>
      <c r="E24" s="359"/>
    </row>
    <row r="25" spans="1:5" x14ac:dyDescent="0.2">
      <c r="A25" s="88" t="s">
        <v>64</v>
      </c>
      <c r="B25" s="481" t="str">
        <f>IF('DEM ( Risk)'!D18="yes", "Sí", "")</f>
        <v>Sí</v>
      </c>
      <c r="C25" s="515"/>
      <c r="D25" s="516"/>
      <c r="E25" s="359"/>
    </row>
    <row r="26" spans="1:5" ht="25.5" x14ac:dyDescent="0.2">
      <c r="A26" s="88" t="s">
        <v>65</v>
      </c>
      <c r="B26" s="481" t="str">
        <f>IF('DEM ( Risk)'!D19="yes", "Sí", "")</f>
        <v>Sí</v>
      </c>
      <c r="C26" s="515"/>
      <c r="D26" s="516"/>
      <c r="E26" s="359"/>
    </row>
    <row r="27" spans="1:5" ht="15" customHeight="1" x14ac:dyDescent="0.2">
      <c r="A27" s="87" t="s">
        <v>66</v>
      </c>
      <c r="B27" s="477" t="str">
        <f>'Summary (I, II, III) '!B32:D32</f>
        <v>B.13</v>
      </c>
      <c r="C27" s="477"/>
      <c r="D27" s="478"/>
      <c r="E27" s="359"/>
    </row>
    <row r="28" spans="1:5" ht="19.5" customHeight="1" x14ac:dyDescent="0.2">
      <c r="A28" s="512" t="s">
        <v>67</v>
      </c>
      <c r="B28" s="513"/>
      <c r="C28" s="513"/>
      <c r="D28" s="514"/>
      <c r="E28" s="359"/>
    </row>
    <row r="29" spans="1:5" ht="15.75" customHeight="1" x14ac:dyDescent="0.2">
      <c r="A29" s="12" t="s">
        <v>68</v>
      </c>
      <c r="B29" s="89"/>
      <c r="C29" s="503"/>
      <c r="D29" s="504"/>
      <c r="E29" s="359"/>
    </row>
    <row r="30" spans="1:5" ht="70.900000000000006" customHeight="1" x14ac:dyDescent="0.2">
      <c r="A30" s="90" t="s">
        <v>69</v>
      </c>
      <c r="B30" s="223" t="str">
        <f>IF('DEM (Additionality)'!E13="yes", "Sí", "")</f>
        <v>Sí</v>
      </c>
      <c r="C30" s="505" t="str">
        <f>Adicionalidad!M14</f>
        <v>Administración financiera: Presupuesto, Tesorería, Contabilidad y emisión de informes, Controles externos, Auditoría interna.
Adquisiciones y contrataciones: Sistema de información, Método de comparación de precios, Contratación de consultor individual, Licitación pública nacional.</v>
      </c>
      <c r="D30" s="506"/>
      <c r="E30" s="359"/>
    </row>
    <row r="31" spans="1:5" ht="70.900000000000006" customHeight="1" x14ac:dyDescent="0.2">
      <c r="A31" s="90" t="s">
        <v>70</v>
      </c>
      <c r="B31" s="223" t="str">
        <f>IF('DEM (Additionality)'!E27="yes", "Sí", "")</f>
        <v/>
      </c>
      <c r="C31" s="507" t="str">
        <f>Adicionalidad!L28</f>
        <v/>
      </c>
      <c r="D31" s="508"/>
      <c r="E31" s="359"/>
    </row>
    <row r="32" spans="1:5" ht="44.25" customHeight="1" x14ac:dyDescent="0.2">
      <c r="A32" s="12" t="s">
        <v>71</v>
      </c>
      <c r="B32" s="89"/>
      <c r="C32" s="507"/>
      <c r="D32" s="508"/>
      <c r="E32" s="359"/>
    </row>
    <row r="33" spans="1:4" ht="80.45" customHeight="1" thickBot="1" x14ac:dyDescent="0.25">
      <c r="A33" s="12" t="s">
        <v>72</v>
      </c>
      <c r="B33" s="223" t="str">
        <f>IF('DEM (Additionality)'!E35="yes", "Sí", "")</f>
        <v/>
      </c>
      <c r="C33" s="509" t="str">
        <f>IF('DEM (Additionality)'!E35="Yes",'DEM (Additionality)'!C35,"")</f>
        <v/>
      </c>
      <c r="D33" s="510"/>
    </row>
    <row r="34" spans="1:4" ht="24.75" customHeight="1" x14ac:dyDescent="0.2">
      <c r="A34" s="511" t="s">
        <v>73</v>
      </c>
      <c r="B34" s="511"/>
      <c r="C34" s="511"/>
      <c r="D34" s="511"/>
    </row>
    <row r="35" spans="1:4" x14ac:dyDescent="0.2">
      <c r="A35" s="92"/>
      <c r="B35" s="93"/>
      <c r="C35" s="93"/>
      <c r="D35" s="359"/>
    </row>
    <row r="36" spans="1:4" ht="300" customHeight="1" x14ac:dyDescent="0.2">
      <c r="A36" s="501" t="s">
        <v>76</v>
      </c>
      <c r="B36" s="502"/>
      <c r="C36" s="502"/>
      <c r="D36" s="502"/>
    </row>
    <row r="37" spans="1:4" x14ac:dyDescent="0.2">
      <c r="A37" s="442"/>
      <c r="B37" s="442"/>
      <c r="C37" s="442"/>
      <c r="D37" s="442"/>
    </row>
  </sheetData>
  <sheetProtection algorithmName="SHA-512" hashValue="DTSVCpruL5Sr2Y722nu4r40sofSom2CF0+Qmx1ASYV2aA2GAVxcARfB/vs3hMYgMez7e06KHakSwc5Ndla88HQ==" saltValue="qkIl6/ATBO2dCZIVRMlnag=="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56" zoomScale="78" zoomScaleNormal="78" workbookViewId="0">
      <selection activeCell="C73" sqref="C73"/>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97" hidden="1" customWidth="1"/>
    <col min="7" max="7" width="10.5703125" style="98" hidden="1" customWidth="1"/>
    <col min="8" max="8" width="10.85546875" style="98" hidden="1" customWidth="1"/>
    <col min="9" max="9" width="10" style="98" hidden="1" customWidth="1"/>
    <col min="10" max="10" width="20.140625" style="98" hidden="1" customWidth="1"/>
    <col min="11" max="11" width="8.7109375" style="98" hidden="1" customWidth="1"/>
    <col min="12" max="12" width="51.28515625" style="305" customWidth="1"/>
    <col min="13" max="13" width="52.140625" style="305" customWidth="1"/>
    <col min="14" max="14" width="28.7109375" style="305" customWidth="1"/>
    <col min="15" max="18" width="9.140625" style="45"/>
    <col min="19" max="16384" width="9.140625" style="2"/>
  </cols>
  <sheetData>
    <row r="2" spans="1:18" ht="18" x14ac:dyDescent="0.2">
      <c r="B2" s="526" t="s">
        <v>77</v>
      </c>
      <c r="C2" s="526"/>
      <c r="D2" s="526"/>
      <c r="E2" s="360"/>
    </row>
    <row r="3" spans="1:18" ht="20.25" customHeight="1" thickBot="1" x14ac:dyDescent="0.25">
      <c r="B3" s="527" t="s">
        <v>78</v>
      </c>
      <c r="C3" s="527"/>
      <c r="D3" s="527"/>
      <c r="E3" s="361"/>
    </row>
    <row r="4" spans="1:18" ht="18" x14ac:dyDescent="0.2">
      <c r="A4" s="528" t="s">
        <v>79</v>
      </c>
      <c r="B4" s="529"/>
      <c r="C4" s="529"/>
      <c r="D4" s="529"/>
      <c r="E4" s="530"/>
    </row>
    <row r="5" spans="1:18" ht="34.5" customHeight="1" x14ac:dyDescent="0.2">
      <c r="A5" s="20"/>
      <c r="B5" s="531" t="s">
        <v>80</v>
      </c>
      <c r="C5" s="531"/>
      <c r="D5" s="531"/>
      <c r="E5" s="532"/>
    </row>
    <row r="6" spans="1:18" ht="162.75" customHeight="1" thickBot="1" x14ac:dyDescent="0.25">
      <c r="A6" s="26"/>
      <c r="B6" s="533" t="s">
        <v>81</v>
      </c>
      <c r="C6" s="533"/>
      <c r="D6" s="533"/>
      <c r="E6" s="534"/>
    </row>
    <row r="7" spans="1:18" ht="27" customHeight="1" thickBot="1" x14ac:dyDescent="0.25">
      <c r="B7" s="345" t="s">
        <v>82</v>
      </c>
      <c r="C7" s="344"/>
      <c r="D7" s="299"/>
      <c r="E7" s="299"/>
    </row>
    <row r="8" spans="1:18" ht="15" x14ac:dyDescent="0.2">
      <c r="B8" s="35" t="s">
        <v>83</v>
      </c>
      <c r="C8" s="362" t="s">
        <v>84</v>
      </c>
      <c r="D8" s="362" t="s">
        <v>85</v>
      </c>
      <c r="E8" s="362" t="s">
        <v>85</v>
      </c>
      <c r="F8" s="211"/>
      <c r="G8" s="212"/>
      <c r="H8" s="212"/>
      <c r="I8" s="212"/>
      <c r="J8" s="212"/>
      <c r="K8" s="215"/>
      <c r="L8" s="524" t="s">
        <v>86</v>
      </c>
      <c r="M8" s="525"/>
      <c r="N8" s="525"/>
    </row>
    <row r="9" spans="1:18" s="5" customFormat="1" ht="15.75" customHeight="1" x14ac:dyDescent="0.2">
      <c r="B9" s="99" t="s">
        <v>87</v>
      </c>
      <c r="C9" s="175"/>
      <c r="D9" s="175"/>
      <c r="E9" s="175"/>
      <c r="F9" s="209"/>
      <c r="G9" s="209"/>
      <c r="H9" s="209"/>
      <c r="I9" s="209"/>
      <c r="J9" s="209"/>
      <c r="K9" s="216"/>
      <c r="L9" s="326" t="s">
        <v>88</v>
      </c>
      <c r="M9" s="327" t="s">
        <v>89</v>
      </c>
      <c r="N9" s="327" t="s">
        <v>90</v>
      </c>
      <c r="O9" s="44"/>
      <c r="P9" s="44"/>
      <c r="Q9" s="44"/>
      <c r="R9" s="44"/>
    </row>
    <row r="10" spans="1:18" s="5" customFormat="1" ht="15.75" customHeight="1" x14ac:dyDescent="0.2">
      <c r="B10" s="16" t="s">
        <v>91</v>
      </c>
      <c r="C10" s="55"/>
      <c r="D10" s="73" t="s">
        <v>92</v>
      </c>
      <c r="E10" s="73"/>
      <c r="F10" s="210"/>
      <c r="G10" s="210"/>
      <c r="H10" s="210"/>
      <c r="I10" s="210"/>
      <c r="J10" s="210"/>
      <c r="K10" s="217"/>
      <c r="L10" s="330"/>
      <c r="M10" s="331"/>
      <c r="N10" s="331"/>
      <c r="O10" s="44"/>
      <c r="P10" s="44"/>
      <c r="Q10" s="44"/>
      <c r="R10" s="44"/>
    </row>
    <row r="11" spans="1:18" s="5" customFormat="1" x14ac:dyDescent="0.2">
      <c r="B11" s="10" t="s">
        <v>93</v>
      </c>
      <c r="C11" s="172"/>
      <c r="D11" s="171"/>
      <c r="E11" s="173"/>
      <c r="F11" s="210">
        <f>IF(D11="Yes",1,0)</f>
        <v>0</v>
      </c>
      <c r="G11" s="210" t="str">
        <f>IF(F11&lt;&gt;0,B11,"")</f>
        <v/>
      </c>
      <c r="H11" s="210" t="str">
        <f>IF(G11&lt;&gt;"","-","")</f>
        <v/>
      </c>
      <c r="I11" s="210" t="str">
        <f>IF(G11&lt;&gt;"",CONCATENATE(H11,G11,CHAR(10)),"")</f>
        <v/>
      </c>
      <c r="J11" s="210" t="str">
        <f>CONCATENATE(I11,I12,I13,I15,I18,I21)</f>
        <v xml:space="preserve">-Gender Equality and Diversity
-Climate Change and Environmental Sustainability
</v>
      </c>
      <c r="K11" s="217"/>
      <c r="L11" s="308"/>
      <c r="M11" s="309"/>
      <c r="N11" s="309"/>
      <c r="O11" s="44"/>
      <c r="P11" s="44"/>
      <c r="Q11" s="44"/>
      <c r="R11" s="44"/>
    </row>
    <row r="12" spans="1:18" s="5" customFormat="1" outlineLevel="1" x14ac:dyDescent="0.2">
      <c r="B12" s="10" t="s">
        <v>94</v>
      </c>
      <c r="C12" s="172"/>
      <c r="D12" s="171"/>
      <c r="E12" s="173"/>
      <c r="F12" s="210">
        <f t="shared" ref="F12:F13" si="0">IF(D12="Yes",1,0)</f>
        <v>0</v>
      </c>
      <c r="G12" s="210" t="str">
        <f>IF(F12&lt;&gt;0,B12,"")</f>
        <v/>
      </c>
      <c r="H12" s="210" t="str">
        <f>IF(G12&lt;&gt;"","-","")</f>
        <v/>
      </c>
      <c r="I12" s="210" t="str">
        <f>IF(G12&lt;&gt;"",CONCATENATE(H12,G12,CHAR(10)),"")</f>
        <v/>
      </c>
      <c r="J12" s="210"/>
      <c r="K12" s="217"/>
      <c r="L12" s="308"/>
      <c r="M12" s="309"/>
      <c r="N12" s="309"/>
      <c r="O12" s="44"/>
      <c r="P12" s="44"/>
      <c r="Q12" s="44"/>
      <c r="R12" s="44"/>
    </row>
    <row r="13" spans="1:18" s="5" customFormat="1" x14ac:dyDescent="0.2">
      <c r="B13" s="10" t="s">
        <v>95</v>
      </c>
      <c r="C13" s="172"/>
      <c r="D13" s="171"/>
      <c r="E13" s="173"/>
      <c r="F13" s="210">
        <f t="shared" si="0"/>
        <v>0</v>
      </c>
      <c r="G13" s="210" t="str">
        <f>IF(F13&lt;&gt;0,B13,"")</f>
        <v/>
      </c>
      <c r="H13" s="210" t="str">
        <f>IF(G13&lt;&gt;"","-","")</f>
        <v/>
      </c>
      <c r="I13" s="210" t="str">
        <f>IF(G13&lt;&gt;"",CONCATENATE(H13,G13,CHAR(10)),"")</f>
        <v/>
      </c>
      <c r="J13" s="210"/>
      <c r="K13" s="217"/>
      <c r="L13" s="308"/>
      <c r="M13" s="309"/>
      <c r="N13" s="309"/>
      <c r="O13" s="44"/>
      <c r="P13" s="44"/>
      <c r="Q13" s="44"/>
      <c r="R13" s="44"/>
    </row>
    <row r="14" spans="1:18" s="5" customFormat="1" ht="15.75" customHeight="1" x14ac:dyDescent="0.2">
      <c r="B14" s="16" t="s">
        <v>96</v>
      </c>
      <c r="C14" s="55"/>
      <c r="D14" s="73" t="s">
        <v>92</v>
      </c>
      <c r="E14" s="73"/>
      <c r="F14" s="210"/>
      <c r="G14" s="210"/>
      <c r="H14" s="210"/>
      <c r="I14" s="210"/>
      <c r="J14" s="210"/>
      <c r="K14" s="217"/>
      <c r="L14" s="330"/>
      <c r="M14" s="331"/>
      <c r="N14" s="331"/>
      <c r="O14" s="44"/>
      <c r="P14" s="44"/>
      <c r="Q14" s="44"/>
      <c r="R14" s="44"/>
    </row>
    <row r="15" spans="1:18" s="5" customFormat="1" ht="15.75" customHeight="1" x14ac:dyDescent="0.2">
      <c r="B15" s="10" t="s">
        <v>97</v>
      </c>
      <c r="C15" s="9"/>
      <c r="D15" s="224" t="str">
        <f>IF(OR(D16="Yes",D17="Yes"),"Yes","")</f>
        <v>Yes</v>
      </c>
      <c r="E15" s="173"/>
      <c r="F15" s="210">
        <f t="shared" ref="F15" si="1">IF(D15="Yes",1,0)</f>
        <v>1</v>
      </c>
      <c r="G15" s="210" t="str">
        <f t="shared" ref="G15" si="2">IF(F15&lt;&gt;0,B15,"")</f>
        <v>Gender Equality and Diversity</v>
      </c>
      <c r="H15" s="210" t="str">
        <f t="shared" ref="H15" si="3">IF(G15&lt;&gt;"","-","")</f>
        <v>-</v>
      </c>
      <c r="I15" s="210" t="str">
        <f t="shared" ref="I15" si="4">IF(G15&lt;&gt;"",CONCATENATE(H15,G15,CHAR(10)),"")</f>
        <v xml:space="preserve">-Gender Equality and Diversity
</v>
      </c>
      <c r="J15" s="210"/>
      <c r="K15" s="217"/>
      <c r="L15" s="308"/>
      <c r="M15" s="309"/>
      <c r="N15" s="309"/>
      <c r="O15" s="44"/>
      <c r="P15" s="44"/>
      <c r="Q15" s="44"/>
      <c r="R15" s="44"/>
    </row>
    <row r="16" spans="1:18" s="5" customFormat="1" ht="119.25" customHeight="1" x14ac:dyDescent="0.2">
      <c r="B16" s="12" t="s">
        <v>98</v>
      </c>
      <c r="C16" s="352" t="s">
        <v>99</v>
      </c>
      <c r="D16" s="168" t="s">
        <v>100</v>
      </c>
      <c r="E16" s="173"/>
      <c r="F16" s="210"/>
      <c r="G16" s="210"/>
      <c r="H16" s="210"/>
      <c r="I16" s="210"/>
      <c r="J16" s="210"/>
      <c r="K16" s="217"/>
      <c r="L16" s="308"/>
      <c r="M16" s="309"/>
      <c r="N16" s="309"/>
      <c r="O16" s="44"/>
      <c r="P16" s="44"/>
      <c r="Q16" s="44"/>
      <c r="R16" s="44"/>
    </row>
    <row r="17" spans="2:18" s="5" customFormat="1" x14ac:dyDescent="0.2">
      <c r="B17" s="12" t="s">
        <v>101</v>
      </c>
      <c r="C17" s="43"/>
      <c r="D17" s="168"/>
      <c r="E17" s="173"/>
      <c r="F17" s="210"/>
      <c r="G17" s="210"/>
      <c r="H17" s="210"/>
      <c r="I17" s="210"/>
      <c r="J17" s="210"/>
      <c r="K17" s="217"/>
      <c r="L17" s="308"/>
      <c r="M17" s="309"/>
      <c r="N17" s="309"/>
      <c r="O17" s="44"/>
      <c r="P17" s="44"/>
      <c r="Q17" s="44"/>
      <c r="R17" s="44"/>
    </row>
    <row r="18" spans="2:18" s="5" customFormat="1" ht="15.75" customHeight="1" x14ac:dyDescent="0.2">
      <c r="B18" s="10" t="s">
        <v>102</v>
      </c>
      <c r="C18" s="9"/>
      <c r="D18" s="224" t="str">
        <f>IF(OR(D19="Yes",D20="Yes"),"Yes","")</f>
        <v>Yes</v>
      </c>
      <c r="E18" s="173"/>
      <c r="F18" s="210">
        <f t="shared" ref="F18:F21" si="5">IF(D18="Yes",1,0)</f>
        <v>1</v>
      </c>
      <c r="G18" s="210" t="str">
        <f t="shared" ref="G18:G21" si="6">IF(F18&lt;&gt;0,B18,"")</f>
        <v>Climate Change and Environmental Sustainability</v>
      </c>
      <c r="H18" s="210" t="str">
        <f t="shared" ref="H18:H21" si="7">IF(G18&lt;&gt;"","-","")</f>
        <v>-</v>
      </c>
      <c r="I18" s="210" t="str">
        <f t="shared" ref="I18:I21" si="8">IF(G18&lt;&gt;"",CONCATENATE(H18,G18,CHAR(10)),"")</f>
        <v xml:space="preserve">-Climate Change and Environmental Sustainability
</v>
      </c>
      <c r="J18" s="210"/>
      <c r="K18" s="217"/>
      <c r="L18" s="308"/>
      <c r="M18" s="309"/>
      <c r="N18" s="309"/>
      <c r="O18" s="44"/>
      <c r="P18" s="44"/>
      <c r="Q18" s="44"/>
      <c r="R18" s="44"/>
    </row>
    <row r="19" spans="2:18" s="5" customFormat="1" ht="63.75" x14ac:dyDescent="0.2">
      <c r="B19" s="12" t="s">
        <v>103</v>
      </c>
      <c r="C19" s="352" t="s">
        <v>104</v>
      </c>
      <c r="D19" s="168" t="s">
        <v>100</v>
      </c>
      <c r="E19" s="173"/>
      <c r="F19" s="210"/>
      <c r="G19" s="210"/>
      <c r="H19" s="210"/>
      <c r="I19" s="210"/>
      <c r="J19" s="210"/>
      <c r="K19" s="217"/>
      <c r="L19" s="308"/>
      <c r="M19" s="309"/>
      <c r="N19" s="309"/>
      <c r="O19" s="44"/>
      <c r="P19" s="44"/>
      <c r="Q19" s="44"/>
      <c r="R19" s="44"/>
    </row>
    <row r="20" spans="2:18" s="5" customFormat="1" x14ac:dyDescent="0.2">
      <c r="B20" s="12" t="s">
        <v>105</v>
      </c>
      <c r="C20" s="43"/>
      <c r="D20" s="168"/>
      <c r="E20" s="173"/>
      <c r="F20" s="210"/>
      <c r="G20" s="210"/>
      <c r="H20" s="210"/>
      <c r="I20" s="210"/>
      <c r="J20" s="210"/>
      <c r="K20" s="217"/>
      <c r="L20" s="308"/>
      <c r="M20" s="309"/>
      <c r="N20" s="309"/>
      <c r="O20" s="44"/>
      <c r="P20" s="44"/>
      <c r="Q20" s="44"/>
      <c r="R20" s="44"/>
    </row>
    <row r="21" spans="2:18" s="5" customFormat="1" outlineLevel="1" x14ac:dyDescent="0.2">
      <c r="B21" s="10" t="s">
        <v>106</v>
      </c>
      <c r="C21" s="172"/>
      <c r="D21" s="171"/>
      <c r="E21" s="173"/>
      <c r="F21" s="210">
        <f t="shared" si="5"/>
        <v>0</v>
      </c>
      <c r="G21" s="210" t="str">
        <f t="shared" si="6"/>
        <v/>
      </c>
      <c r="H21" s="210" t="str">
        <f t="shared" si="7"/>
        <v/>
      </c>
      <c r="I21" s="210" t="str">
        <f t="shared" si="8"/>
        <v/>
      </c>
      <c r="J21" s="210"/>
      <c r="K21" s="217"/>
      <c r="L21" s="308"/>
      <c r="M21" s="309"/>
      <c r="N21" s="309"/>
      <c r="O21" s="44"/>
      <c r="P21" s="44"/>
      <c r="Q21" s="44"/>
      <c r="R21" s="44"/>
    </row>
    <row r="22" spans="2:18" s="5" customFormat="1" ht="15.75" customHeight="1" x14ac:dyDescent="0.2">
      <c r="B22" s="16" t="s">
        <v>107</v>
      </c>
      <c r="C22" s="72"/>
      <c r="D22" s="73" t="s">
        <v>108</v>
      </c>
      <c r="E22" s="73" t="s">
        <v>109</v>
      </c>
      <c r="F22" s="210"/>
      <c r="G22" s="210"/>
      <c r="H22" s="210"/>
      <c r="I22" s="210"/>
      <c r="J22" s="210"/>
      <c r="K22" s="217" t="str">
        <f>CONCATENATE(J23,J24,J25,J26,J27,J28,J29,J30,J31,J32,J33,J34,J35,J36,J37,J38,J39,J40,J41,J42,J43,J44,J45,J46,J47,J48,J49,J50,J51,J52,J53,J54,J55,J56,J57,J58,J59,J60,J61,J62,J63,J64,J65,J66,J67,J68,J69,J70,J71,J72,J73,J74,J75,J76,J77,J78)</f>
        <v xml:space="preserve">-Countries that have improved disaster risk management (#)*
</v>
      </c>
      <c r="L22" s="330"/>
      <c r="M22" s="331"/>
      <c r="N22" s="331"/>
      <c r="O22" s="44"/>
      <c r="P22" s="44"/>
      <c r="Q22" s="44"/>
      <c r="R22" s="44"/>
    </row>
    <row r="23" spans="2:18" s="5" customFormat="1" outlineLevel="1" x14ac:dyDescent="0.2">
      <c r="B23" s="12" t="s">
        <v>110</v>
      </c>
      <c r="C23" s="43"/>
      <c r="D23" s="43"/>
      <c r="E23" s="137"/>
      <c r="F23" s="210">
        <f t="shared" ref="F23:F29" si="9">IF(D23="Yes",1,0)</f>
        <v>0</v>
      </c>
      <c r="G23" s="210" t="str">
        <f>IF(F23=1,B23,"")</f>
        <v/>
      </c>
      <c r="H23" s="210" t="str">
        <f t="shared" ref="H23:H78" si="10">IF(G23&lt;&gt;"","-","")</f>
        <v/>
      </c>
      <c r="I23" s="210" t="str">
        <f>IF(E23="Yes","*","")</f>
        <v/>
      </c>
      <c r="J23" s="210" t="str">
        <f t="shared" ref="J23:J26" si="11">IF(G23&lt;&gt;"",CONCATENATE(H23,G23,I23,CHAR(10)),"")</f>
        <v/>
      </c>
      <c r="K23" s="217"/>
      <c r="L23" s="308"/>
      <c r="M23" s="309"/>
      <c r="N23" s="309"/>
      <c r="O23" s="44"/>
      <c r="P23" s="44"/>
      <c r="Q23" s="44"/>
      <c r="R23" s="44"/>
    </row>
    <row r="24" spans="2:18" s="5" customFormat="1" outlineLevel="1" x14ac:dyDescent="0.2">
      <c r="B24" s="12" t="s">
        <v>111</v>
      </c>
      <c r="C24" s="43"/>
      <c r="D24" s="43"/>
      <c r="E24" s="137"/>
      <c r="F24" s="210">
        <f t="shared" si="9"/>
        <v>0</v>
      </c>
      <c r="G24" s="210" t="str">
        <f t="shared" ref="G24:G78" si="12">IF(F24=1,B24,"")</f>
        <v/>
      </c>
      <c r="H24" s="210" t="str">
        <f t="shared" si="10"/>
        <v/>
      </c>
      <c r="I24" s="210" t="str">
        <f t="shared" ref="I24:I78" si="13">IF(E24="Yes","*","")</f>
        <v/>
      </c>
      <c r="J24" s="210" t="str">
        <f t="shared" si="11"/>
        <v/>
      </c>
      <c r="K24" s="217"/>
      <c r="L24" s="308"/>
      <c r="M24" s="309"/>
      <c r="N24" s="309"/>
      <c r="O24" s="44"/>
      <c r="P24" s="44"/>
      <c r="Q24" s="44"/>
      <c r="R24" s="44"/>
    </row>
    <row r="25" spans="2:18" s="5" customFormat="1" outlineLevel="1" x14ac:dyDescent="0.2">
      <c r="B25" s="12" t="s">
        <v>112</v>
      </c>
      <c r="C25" s="43"/>
      <c r="D25" s="137"/>
      <c r="E25" s="43"/>
      <c r="F25" s="210">
        <f>IF(E25="Yes",1,0)</f>
        <v>0</v>
      </c>
      <c r="G25" s="210" t="str">
        <f t="shared" si="12"/>
        <v/>
      </c>
      <c r="H25" s="210" t="str">
        <f t="shared" si="10"/>
        <v/>
      </c>
      <c r="I25" s="210" t="str">
        <f t="shared" si="13"/>
        <v/>
      </c>
      <c r="J25" s="210" t="str">
        <f t="shared" si="11"/>
        <v/>
      </c>
      <c r="K25" s="217"/>
      <c r="L25" s="308"/>
      <c r="M25" s="309"/>
      <c r="N25" s="309"/>
      <c r="O25" s="44"/>
      <c r="P25" s="44"/>
      <c r="Q25" s="44"/>
      <c r="R25" s="44"/>
    </row>
    <row r="26" spans="2:18" s="5" customFormat="1" outlineLevel="1" x14ac:dyDescent="0.2">
      <c r="B26" s="12" t="s">
        <v>113</v>
      </c>
      <c r="C26" s="43"/>
      <c r="D26" s="137"/>
      <c r="E26" s="43"/>
      <c r="F26" s="210">
        <f t="shared" ref="F26:F27" si="14">IF(E26="Yes",1,0)</f>
        <v>0</v>
      </c>
      <c r="G26" s="210" t="str">
        <f t="shared" si="12"/>
        <v/>
      </c>
      <c r="H26" s="210" t="str">
        <f t="shared" si="10"/>
        <v/>
      </c>
      <c r="I26" s="210" t="str">
        <f t="shared" si="13"/>
        <v/>
      </c>
      <c r="J26" s="210" t="str">
        <f t="shared" si="11"/>
        <v/>
      </c>
      <c r="K26" s="217"/>
      <c r="L26" s="308"/>
      <c r="M26" s="309"/>
      <c r="N26" s="309"/>
      <c r="O26" s="44"/>
      <c r="P26" s="44"/>
      <c r="Q26" s="44"/>
      <c r="R26" s="44"/>
    </row>
    <row r="27" spans="2:18" s="5" customFormat="1" outlineLevel="1" x14ac:dyDescent="0.2">
      <c r="B27" s="12" t="s">
        <v>114</v>
      </c>
      <c r="C27" s="43"/>
      <c r="D27" s="137"/>
      <c r="E27" s="43"/>
      <c r="F27" s="210">
        <f t="shared" si="14"/>
        <v>0</v>
      </c>
      <c r="G27" s="210" t="str">
        <f t="shared" si="12"/>
        <v/>
      </c>
      <c r="H27" s="210" t="str">
        <f t="shared" si="10"/>
        <v/>
      </c>
      <c r="I27" s="210" t="str">
        <f t="shared" si="13"/>
        <v/>
      </c>
      <c r="J27" s="210" t="str">
        <f>IF(G27&lt;&gt;"",CONCATENATE(H27,G27,I27,CHAR(10)),"")</f>
        <v/>
      </c>
      <c r="K27" s="217"/>
      <c r="L27" s="308"/>
      <c r="M27" s="309"/>
      <c r="N27" s="309"/>
      <c r="O27" s="44"/>
      <c r="P27" s="44"/>
      <c r="Q27" s="44"/>
      <c r="R27" s="44"/>
    </row>
    <row r="28" spans="2:18" s="5" customFormat="1" outlineLevel="1" x14ac:dyDescent="0.2">
      <c r="B28" s="12" t="s">
        <v>115</v>
      </c>
      <c r="C28" s="43"/>
      <c r="D28" s="43"/>
      <c r="E28" s="137"/>
      <c r="F28" s="210">
        <f t="shared" si="9"/>
        <v>0</v>
      </c>
      <c r="G28" s="210" t="str">
        <f t="shared" si="12"/>
        <v/>
      </c>
      <c r="H28" s="210" t="str">
        <f t="shared" si="10"/>
        <v/>
      </c>
      <c r="I28" s="210" t="str">
        <f t="shared" si="13"/>
        <v/>
      </c>
      <c r="J28" s="210" t="str">
        <f t="shared" ref="J28:J78" si="15">IF(G28&lt;&gt;"",CONCATENATE(H28,G28,I28,CHAR(10)),"")</f>
        <v/>
      </c>
      <c r="K28" s="217"/>
      <c r="L28" s="308"/>
      <c r="M28" s="309"/>
      <c r="N28" s="309"/>
      <c r="O28" s="44"/>
      <c r="P28" s="44"/>
      <c r="Q28" s="44"/>
      <c r="R28" s="44"/>
    </row>
    <row r="29" spans="2:18" s="5" customFormat="1" outlineLevel="1" x14ac:dyDescent="0.2">
      <c r="B29" s="12" t="s">
        <v>116</v>
      </c>
      <c r="C29" s="43"/>
      <c r="D29" s="43"/>
      <c r="E29" s="137"/>
      <c r="F29" s="210">
        <f t="shared" si="9"/>
        <v>0</v>
      </c>
      <c r="G29" s="210" t="str">
        <f t="shared" si="12"/>
        <v/>
      </c>
      <c r="H29" s="210" t="str">
        <f t="shared" si="10"/>
        <v/>
      </c>
      <c r="I29" s="210" t="str">
        <f t="shared" si="13"/>
        <v/>
      </c>
      <c r="J29" s="210" t="str">
        <f t="shared" si="15"/>
        <v/>
      </c>
      <c r="K29" s="217"/>
      <c r="L29" s="308"/>
      <c r="M29" s="309"/>
      <c r="N29" s="309"/>
      <c r="O29" s="44"/>
      <c r="P29" s="44"/>
      <c r="Q29" s="44"/>
      <c r="R29" s="44"/>
    </row>
    <row r="30" spans="2:18" s="5" customFormat="1" outlineLevel="1" x14ac:dyDescent="0.2">
      <c r="B30" s="12" t="s">
        <v>117</v>
      </c>
      <c r="C30" s="43"/>
      <c r="D30" s="137"/>
      <c r="E30" s="43"/>
      <c r="F30" s="210">
        <f t="shared" ref="F30:F78" si="16">IF(E30="Yes",1,0)</f>
        <v>0</v>
      </c>
      <c r="G30" s="210" t="str">
        <f t="shared" si="12"/>
        <v/>
      </c>
      <c r="H30" s="210" t="str">
        <f t="shared" si="10"/>
        <v/>
      </c>
      <c r="I30" s="210" t="str">
        <f t="shared" si="13"/>
        <v/>
      </c>
      <c r="J30" s="210" t="str">
        <f t="shared" si="15"/>
        <v/>
      </c>
      <c r="K30" s="217"/>
      <c r="L30" s="308"/>
      <c r="M30" s="309"/>
      <c r="N30" s="309"/>
      <c r="O30" s="44"/>
      <c r="P30" s="44"/>
      <c r="Q30" s="44"/>
      <c r="R30" s="44"/>
    </row>
    <row r="31" spans="2:18" s="5" customFormat="1" outlineLevel="1" x14ac:dyDescent="0.2">
      <c r="B31" s="12" t="s">
        <v>118</v>
      </c>
      <c r="C31" s="43"/>
      <c r="D31" s="137"/>
      <c r="E31" s="43"/>
      <c r="F31" s="210">
        <f t="shared" si="16"/>
        <v>0</v>
      </c>
      <c r="G31" s="210" t="str">
        <f t="shared" si="12"/>
        <v/>
      </c>
      <c r="H31" s="210" t="str">
        <f t="shared" si="10"/>
        <v/>
      </c>
      <c r="I31" s="210" t="str">
        <f t="shared" si="13"/>
        <v/>
      </c>
      <c r="J31" s="210" t="str">
        <f t="shared" si="15"/>
        <v/>
      </c>
      <c r="K31" s="217"/>
      <c r="L31" s="308"/>
      <c r="M31" s="309"/>
      <c r="N31" s="309"/>
      <c r="O31" s="44"/>
      <c r="P31" s="44"/>
      <c r="Q31" s="44"/>
      <c r="R31" s="44"/>
    </row>
    <row r="32" spans="2:18" s="5" customFormat="1" outlineLevel="1" x14ac:dyDescent="0.2">
      <c r="B32" s="12" t="s">
        <v>119</v>
      </c>
      <c r="C32" s="43"/>
      <c r="D32" s="137"/>
      <c r="E32" s="43"/>
      <c r="F32" s="210">
        <f t="shared" si="16"/>
        <v>0</v>
      </c>
      <c r="G32" s="210" t="str">
        <f t="shared" si="12"/>
        <v/>
      </c>
      <c r="H32" s="210" t="str">
        <f t="shared" si="10"/>
        <v/>
      </c>
      <c r="I32" s="210" t="str">
        <f t="shared" si="13"/>
        <v/>
      </c>
      <c r="J32" s="210" t="str">
        <f t="shared" si="15"/>
        <v/>
      </c>
      <c r="K32" s="217"/>
      <c r="L32" s="308"/>
      <c r="M32" s="309"/>
      <c r="N32" s="309"/>
      <c r="O32" s="44"/>
      <c r="P32" s="44"/>
      <c r="Q32" s="44"/>
      <c r="R32" s="44"/>
    </row>
    <row r="33" spans="2:18" s="5" customFormat="1" outlineLevel="1" x14ac:dyDescent="0.2">
      <c r="B33" s="12" t="s">
        <v>120</v>
      </c>
      <c r="C33" s="43"/>
      <c r="D33" s="137"/>
      <c r="E33" s="43"/>
      <c r="F33" s="210">
        <f t="shared" si="16"/>
        <v>0</v>
      </c>
      <c r="G33" s="210" t="str">
        <f t="shared" si="12"/>
        <v/>
      </c>
      <c r="H33" s="210" t="str">
        <f t="shared" si="10"/>
        <v/>
      </c>
      <c r="I33" s="210" t="str">
        <f t="shared" si="13"/>
        <v/>
      </c>
      <c r="J33" s="210" t="str">
        <f t="shared" si="15"/>
        <v/>
      </c>
      <c r="K33" s="217"/>
      <c r="L33" s="308"/>
      <c r="M33" s="309"/>
      <c r="N33" s="309"/>
      <c r="O33" s="44"/>
      <c r="P33" s="44"/>
      <c r="Q33" s="44"/>
      <c r="R33" s="44"/>
    </row>
    <row r="34" spans="2:18" s="5" customFormat="1" outlineLevel="1" x14ac:dyDescent="0.2">
      <c r="B34" s="12" t="s">
        <v>121</v>
      </c>
      <c r="C34" s="43"/>
      <c r="D34" s="137"/>
      <c r="E34" s="43"/>
      <c r="F34" s="210">
        <f t="shared" si="16"/>
        <v>0</v>
      </c>
      <c r="G34" s="210" t="str">
        <f t="shared" si="12"/>
        <v/>
      </c>
      <c r="H34" s="210" t="str">
        <f t="shared" si="10"/>
        <v/>
      </c>
      <c r="I34" s="210" t="str">
        <f t="shared" si="13"/>
        <v/>
      </c>
      <c r="J34" s="210" t="str">
        <f t="shared" si="15"/>
        <v/>
      </c>
      <c r="K34" s="217"/>
      <c r="L34" s="308"/>
      <c r="M34" s="309"/>
      <c r="N34" s="309"/>
      <c r="O34" s="44"/>
      <c r="P34" s="44"/>
      <c r="Q34" s="44"/>
      <c r="R34" s="44"/>
    </row>
    <row r="35" spans="2:18" s="5" customFormat="1" outlineLevel="1" x14ac:dyDescent="0.2">
      <c r="B35" s="12" t="s">
        <v>122</v>
      </c>
      <c r="C35" s="43"/>
      <c r="D35" s="137"/>
      <c r="E35" s="43"/>
      <c r="F35" s="210">
        <f t="shared" si="16"/>
        <v>0</v>
      </c>
      <c r="G35" s="210" t="str">
        <f t="shared" si="12"/>
        <v/>
      </c>
      <c r="H35" s="210" t="str">
        <f t="shared" si="10"/>
        <v/>
      </c>
      <c r="I35" s="210" t="str">
        <f t="shared" si="13"/>
        <v/>
      </c>
      <c r="J35" s="210" t="str">
        <f t="shared" si="15"/>
        <v/>
      </c>
      <c r="K35" s="217"/>
      <c r="L35" s="308"/>
      <c r="M35" s="44"/>
      <c r="N35" s="309"/>
      <c r="O35" s="44"/>
      <c r="P35" s="44"/>
      <c r="Q35" s="44"/>
      <c r="R35" s="44"/>
    </row>
    <row r="36" spans="2:18" s="5" customFormat="1" outlineLevel="1" x14ac:dyDescent="0.2">
      <c r="B36" s="12" t="s">
        <v>123</v>
      </c>
      <c r="C36" s="43"/>
      <c r="D36" s="137"/>
      <c r="E36" s="43"/>
      <c r="F36" s="210">
        <f t="shared" si="16"/>
        <v>0</v>
      </c>
      <c r="G36" s="210" t="str">
        <f t="shared" si="12"/>
        <v/>
      </c>
      <c r="H36" s="210" t="str">
        <f t="shared" si="10"/>
        <v/>
      </c>
      <c r="I36" s="210" t="str">
        <f t="shared" si="13"/>
        <v/>
      </c>
      <c r="J36" s="210" t="str">
        <f t="shared" si="15"/>
        <v/>
      </c>
      <c r="K36" s="217"/>
      <c r="L36" s="308"/>
      <c r="M36" s="309"/>
      <c r="N36" s="309"/>
      <c r="O36" s="44"/>
      <c r="P36" s="44"/>
      <c r="Q36" s="44"/>
      <c r="R36" s="44"/>
    </row>
    <row r="37" spans="2:18" s="5" customFormat="1" outlineLevel="1" x14ac:dyDescent="0.2">
      <c r="B37" s="12" t="s">
        <v>124</v>
      </c>
      <c r="C37" s="43"/>
      <c r="D37" s="137"/>
      <c r="E37" s="43"/>
      <c r="F37" s="210">
        <f t="shared" si="16"/>
        <v>0</v>
      </c>
      <c r="G37" s="210" t="str">
        <f t="shared" si="12"/>
        <v/>
      </c>
      <c r="H37" s="210" t="str">
        <f t="shared" si="10"/>
        <v/>
      </c>
      <c r="I37" s="210" t="str">
        <f t="shared" si="13"/>
        <v/>
      </c>
      <c r="J37" s="210" t="str">
        <f t="shared" si="15"/>
        <v/>
      </c>
      <c r="K37" s="217"/>
      <c r="L37" s="308"/>
      <c r="M37" s="309"/>
      <c r="N37" s="309"/>
      <c r="O37" s="44"/>
      <c r="P37" s="44"/>
      <c r="Q37" s="44"/>
      <c r="R37" s="44"/>
    </row>
    <row r="38" spans="2:18" s="5" customFormat="1" outlineLevel="1" x14ac:dyDescent="0.2">
      <c r="B38" s="12" t="s">
        <v>125</v>
      </c>
      <c r="C38" s="43"/>
      <c r="D38" s="137"/>
      <c r="E38" s="43"/>
      <c r="F38" s="210">
        <f t="shared" si="16"/>
        <v>0</v>
      </c>
      <c r="G38" s="210" t="str">
        <f t="shared" si="12"/>
        <v/>
      </c>
      <c r="H38" s="210" t="str">
        <f t="shared" si="10"/>
        <v/>
      </c>
      <c r="I38" s="210" t="str">
        <f t="shared" si="13"/>
        <v/>
      </c>
      <c r="J38" s="210" t="str">
        <f t="shared" si="15"/>
        <v/>
      </c>
      <c r="K38" s="217"/>
      <c r="L38" s="308"/>
      <c r="M38" s="309"/>
      <c r="N38" s="309"/>
      <c r="O38" s="44"/>
      <c r="P38" s="44"/>
      <c r="Q38" s="44"/>
      <c r="R38" s="44"/>
    </row>
    <row r="39" spans="2:18" s="5" customFormat="1" outlineLevel="1" x14ac:dyDescent="0.2">
      <c r="B39" s="12" t="s">
        <v>126</v>
      </c>
      <c r="C39" s="43"/>
      <c r="D39" s="137"/>
      <c r="E39" s="43"/>
      <c r="F39" s="210">
        <f t="shared" si="16"/>
        <v>0</v>
      </c>
      <c r="G39" s="210" t="str">
        <f t="shared" si="12"/>
        <v/>
      </c>
      <c r="H39" s="210" t="str">
        <f t="shared" si="10"/>
        <v/>
      </c>
      <c r="I39" s="210" t="str">
        <f t="shared" si="13"/>
        <v/>
      </c>
      <c r="J39" s="210" t="str">
        <f t="shared" si="15"/>
        <v/>
      </c>
      <c r="K39" s="217"/>
      <c r="L39" s="308"/>
      <c r="M39" s="309"/>
      <c r="N39" s="309"/>
      <c r="O39" s="44"/>
      <c r="P39" s="44"/>
      <c r="Q39" s="44"/>
      <c r="R39" s="44"/>
    </row>
    <row r="40" spans="2:18" s="5" customFormat="1" outlineLevel="1" x14ac:dyDescent="0.2">
      <c r="B40" s="12" t="s">
        <v>127</v>
      </c>
      <c r="C40" s="43"/>
      <c r="D40" s="137"/>
      <c r="E40" s="43"/>
      <c r="F40" s="210">
        <f t="shared" si="16"/>
        <v>0</v>
      </c>
      <c r="G40" s="210" t="str">
        <f t="shared" si="12"/>
        <v/>
      </c>
      <c r="H40" s="210" t="str">
        <f t="shared" si="10"/>
        <v/>
      </c>
      <c r="I40" s="210" t="str">
        <f t="shared" si="13"/>
        <v/>
      </c>
      <c r="J40" s="210" t="str">
        <f t="shared" si="15"/>
        <v/>
      </c>
      <c r="K40" s="217"/>
      <c r="L40" s="308"/>
      <c r="M40" s="309"/>
      <c r="N40" s="309"/>
      <c r="O40" s="44"/>
      <c r="P40" s="44"/>
      <c r="Q40" s="44"/>
      <c r="R40" s="44"/>
    </row>
    <row r="41" spans="2:18" s="5" customFormat="1" x14ac:dyDescent="0.2">
      <c r="B41" s="12" t="s">
        <v>128</v>
      </c>
      <c r="C41" s="43"/>
      <c r="D41" s="137"/>
      <c r="E41" s="43"/>
      <c r="F41" s="210">
        <f t="shared" si="16"/>
        <v>0</v>
      </c>
      <c r="G41" s="210" t="str">
        <f t="shared" si="12"/>
        <v/>
      </c>
      <c r="H41" s="210" t="str">
        <f t="shared" si="10"/>
        <v/>
      </c>
      <c r="I41" s="210" t="str">
        <f t="shared" si="13"/>
        <v/>
      </c>
      <c r="J41" s="210" t="str">
        <f t="shared" si="15"/>
        <v/>
      </c>
      <c r="K41" s="217"/>
      <c r="L41" s="308"/>
      <c r="M41" s="309"/>
      <c r="N41" s="309"/>
      <c r="O41" s="44"/>
      <c r="P41" s="44"/>
      <c r="Q41" s="44"/>
      <c r="R41" s="44"/>
    </row>
    <row r="42" spans="2:18" s="5" customFormat="1" outlineLevel="1" x14ac:dyDescent="0.2">
      <c r="B42" s="12" t="s">
        <v>129</v>
      </c>
      <c r="C42" s="43"/>
      <c r="D42" s="137"/>
      <c r="E42" s="43"/>
      <c r="F42" s="210">
        <f t="shared" si="16"/>
        <v>0</v>
      </c>
      <c r="G42" s="210" t="str">
        <f t="shared" si="12"/>
        <v/>
      </c>
      <c r="H42" s="210" t="str">
        <f t="shared" si="10"/>
        <v/>
      </c>
      <c r="I42" s="210" t="str">
        <f t="shared" si="13"/>
        <v/>
      </c>
      <c r="J42" s="210" t="str">
        <f t="shared" si="15"/>
        <v/>
      </c>
      <c r="K42" s="217"/>
      <c r="L42" s="308"/>
      <c r="M42" s="309"/>
      <c r="N42" s="309"/>
      <c r="O42" s="44"/>
      <c r="P42" s="44"/>
      <c r="Q42" s="44"/>
      <c r="R42" s="44"/>
    </row>
    <row r="43" spans="2:18" s="5" customFormat="1" outlineLevel="1" x14ac:dyDescent="0.2">
      <c r="B43" s="12" t="s">
        <v>130</v>
      </c>
      <c r="C43" s="43"/>
      <c r="D43" s="137"/>
      <c r="E43" s="43"/>
      <c r="F43" s="210">
        <f t="shared" si="16"/>
        <v>0</v>
      </c>
      <c r="G43" s="210" t="str">
        <f t="shared" si="12"/>
        <v/>
      </c>
      <c r="H43" s="210" t="str">
        <f t="shared" si="10"/>
        <v/>
      </c>
      <c r="I43" s="210" t="str">
        <f t="shared" si="13"/>
        <v/>
      </c>
      <c r="J43" s="210" t="str">
        <f t="shared" si="15"/>
        <v/>
      </c>
      <c r="K43" s="217"/>
      <c r="L43" s="308"/>
      <c r="M43" s="309"/>
      <c r="N43" s="309"/>
      <c r="O43" s="44"/>
      <c r="P43" s="44"/>
      <c r="Q43" s="44"/>
      <c r="R43" s="44"/>
    </row>
    <row r="44" spans="2:18" s="5" customFormat="1" outlineLevel="1" x14ac:dyDescent="0.2">
      <c r="B44" s="12" t="s">
        <v>131</v>
      </c>
      <c r="C44" s="43"/>
      <c r="D44" s="137"/>
      <c r="E44" s="43"/>
      <c r="F44" s="210">
        <f t="shared" si="16"/>
        <v>0</v>
      </c>
      <c r="G44" s="210" t="str">
        <f t="shared" si="12"/>
        <v/>
      </c>
      <c r="H44" s="210" t="str">
        <f t="shared" si="10"/>
        <v/>
      </c>
      <c r="I44" s="210" t="str">
        <f t="shared" si="13"/>
        <v/>
      </c>
      <c r="J44" s="210" t="str">
        <f t="shared" si="15"/>
        <v/>
      </c>
      <c r="K44" s="217"/>
      <c r="L44" s="308"/>
      <c r="M44" s="309"/>
      <c r="N44" s="309"/>
      <c r="O44" s="44"/>
      <c r="P44" s="44"/>
      <c r="Q44" s="44"/>
      <c r="R44" s="44"/>
    </row>
    <row r="45" spans="2:18" s="5" customFormat="1" outlineLevel="1" x14ac:dyDescent="0.2">
      <c r="B45" s="12" t="s">
        <v>132</v>
      </c>
      <c r="C45" s="43"/>
      <c r="D45" s="137"/>
      <c r="E45" s="43"/>
      <c r="F45" s="210">
        <f t="shared" si="16"/>
        <v>0</v>
      </c>
      <c r="G45" s="210" t="str">
        <f t="shared" si="12"/>
        <v/>
      </c>
      <c r="H45" s="210" t="str">
        <f t="shared" si="10"/>
        <v/>
      </c>
      <c r="I45" s="210" t="str">
        <f t="shared" si="13"/>
        <v/>
      </c>
      <c r="J45" s="210" t="str">
        <f t="shared" si="15"/>
        <v/>
      </c>
      <c r="K45" s="217"/>
      <c r="L45" s="308"/>
      <c r="M45" s="309"/>
      <c r="N45" s="309"/>
      <c r="O45" s="44"/>
      <c r="P45" s="44"/>
      <c r="Q45" s="44"/>
      <c r="R45" s="44"/>
    </row>
    <row r="46" spans="2:18" s="5" customFormat="1" outlineLevel="1" x14ac:dyDescent="0.2">
      <c r="B46" s="12" t="s">
        <v>133</v>
      </c>
      <c r="C46" s="43"/>
      <c r="D46" s="137"/>
      <c r="E46" s="43"/>
      <c r="F46" s="210">
        <f t="shared" si="16"/>
        <v>0</v>
      </c>
      <c r="G46" s="210" t="str">
        <f t="shared" si="12"/>
        <v/>
      </c>
      <c r="H46" s="210" t="str">
        <f t="shared" si="10"/>
        <v/>
      </c>
      <c r="I46" s="210" t="str">
        <f t="shared" si="13"/>
        <v/>
      </c>
      <c r="J46" s="210" t="str">
        <f t="shared" si="15"/>
        <v/>
      </c>
      <c r="K46" s="217"/>
      <c r="L46" s="308"/>
      <c r="M46" s="309"/>
      <c r="N46" s="309"/>
      <c r="O46" s="44"/>
      <c r="P46" s="44"/>
      <c r="Q46" s="44"/>
      <c r="R46" s="44"/>
    </row>
    <row r="47" spans="2:18" s="5" customFormat="1" ht="25.5" outlineLevel="1" x14ac:dyDescent="0.2">
      <c r="B47" s="12" t="s">
        <v>134</v>
      </c>
      <c r="C47" s="43"/>
      <c r="D47" s="137"/>
      <c r="E47" s="43"/>
      <c r="F47" s="210">
        <f t="shared" si="16"/>
        <v>0</v>
      </c>
      <c r="G47" s="210" t="str">
        <f t="shared" si="12"/>
        <v/>
      </c>
      <c r="H47" s="210" t="str">
        <f t="shared" si="10"/>
        <v/>
      </c>
      <c r="I47" s="210" t="str">
        <f t="shared" si="13"/>
        <v/>
      </c>
      <c r="J47" s="210" t="str">
        <f t="shared" si="15"/>
        <v/>
      </c>
      <c r="K47" s="217"/>
      <c r="L47" s="308"/>
      <c r="M47" s="309"/>
      <c r="N47" s="309"/>
      <c r="O47" s="44"/>
      <c r="P47" s="44"/>
      <c r="Q47" s="44"/>
      <c r="R47" s="44"/>
    </row>
    <row r="48" spans="2:18" s="5" customFormat="1" outlineLevel="1" x14ac:dyDescent="0.2">
      <c r="B48" s="16" t="s">
        <v>135</v>
      </c>
      <c r="C48" s="72"/>
      <c r="D48" s="73" t="s">
        <v>108</v>
      </c>
      <c r="E48" s="73" t="s">
        <v>109</v>
      </c>
      <c r="F48" s="210"/>
      <c r="G48" s="210"/>
      <c r="H48" s="210"/>
      <c r="I48" s="210"/>
      <c r="J48" s="210"/>
      <c r="K48" s="217" t="str">
        <f>CONCATENATE(J49,J50,J51,J52,J53,J54,J55,J56,J57,J58,J59,J60,J61,J62,J63,J64,J66,J67,J69,J70,J71,J72,J78,J79,J80,J82,J83,J84,J85,J86,J87,J88,J89,J90,J91,J92,J93,J94,J95,J96,J97,J98,J99,J100,J101,J102,J103,J104)</f>
        <v/>
      </c>
      <c r="L48" s="330"/>
      <c r="M48" s="331"/>
      <c r="N48" s="331"/>
      <c r="O48" s="44"/>
      <c r="P48" s="44"/>
      <c r="Q48" s="44"/>
      <c r="R48" s="44"/>
    </row>
    <row r="49" spans="2:18" s="5" customFormat="1" outlineLevel="1" x14ac:dyDescent="0.2">
      <c r="B49" s="12" t="s">
        <v>136</v>
      </c>
      <c r="C49" s="43"/>
      <c r="D49" s="137"/>
      <c r="E49" s="43"/>
      <c r="F49" s="210">
        <f t="shared" si="16"/>
        <v>0</v>
      </c>
      <c r="G49" s="210" t="str">
        <f t="shared" si="12"/>
        <v/>
      </c>
      <c r="H49" s="210" t="str">
        <f t="shared" si="10"/>
        <v/>
      </c>
      <c r="I49" s="210" t="str">
        <f t="shared" si="13"/>
        <v/>
      </c>
      <c r="J49" s="210" t="str">
        <f t="shared" si="15"/>
        <v/>
      </c>
      <c r="K49" s="217"/>
      <c r="L49" s="308"/>
      <c r="M49" s="309"/>
      <c r="N49" s="309"/>
      <c r="O49" s="44"/>
      <c r="P49" s="44"/>
      <c r="Q49" s="44"/>
      <c r="R49" s="44"/>
    </row>
    <row r="50" spans="2:18" s="5" customFormat="1" outlineLevel="1" x14ac:dyDescent="0.2">
      <c r="B50" s="12" t="s">
        <v>137</v>
      </c>
      <c r="C50" s="43"/>
      <c r="D50" s="137"/>
      <c r="E50" s="43"/>
      <c r="F50" s="210">
        <f t="shared" si="16"/>
        <v>0</v>
      </c>
      <c r="G50" s="210" t="str">
        <f t="shared" si="12"/>
        <v/>
      </c>
      <c r="H50" s="210" t="str">
        <f t="shared" si="10"/>
        <v/>
      </c>
      <c r="I50" s="210" t="str">
        <f t="shared" si="13"/>
        <v/>
      </c>
      <c r="J50" s="210" t="str">
        <f t="shared" si="15"/>
        <v/>
      </c>
      <c r="K50" s="217"/>
      <c r="L50" s="308"/>
      <c r="M50" s="309"/>
      <c r="N50" s="309"/>
      <c r="O50" s="44"/>
      <c r="P50" s="44"/>
      <c r="Q50" s="44"/>
      <c r="R50" s="44"/>
    </row>
    <row r="51" spans="2:18" s="5" customFormat="1" outlineLevel="1" x14ac:dyDescent="0.2">
      <c r="B51" s="12" t="s">
        <v>138</v>
      </c>
      <c r="C51" s="43"/>
      <c r="D51" s="137"/>
      <c r="E51" s="43"/>
      <c r="F51" s="210">
        <f t="shared" si="16"/>
        <v>0</v>
      </c>
      <c r="G51" s="210" t="str">
        <f t="shared" si="12"/>
        <v/>
      </c>
      <c r="H51" s="210" t="str">
        <f t="shared" si="10"/>
        <v/>
      </c>
      <c r="I51" s="210" t="str">
        <f t="shared" si="13"/>
        <v/>
      </c>
      <c r="J51" s="210" t="str">
        <f t="shared" si="15"/>
        <v/>
      </c>
      <c r="K51" s="217"/>
      <c r="L51" s="308"/>
      <c r="M51" s="309"/>
      <c r="N51" s="309"/>
      <c r="O51" s="44"/>
      <c r="P51" s="44"/>
      <c r="Q51" s="44"/>
      <c r="R51" s="44"/>
    </row>
    <row r="52" spans="2:18" s="5" customFormat="1" outlineLevel="1" x14ac:dyDescent="0.2">
      <c r="B52" s="12" t="s">
        <v>139</v>
      </c>
      <c r="C52" s="43"/>
      <c r="D52" s="137"/>
      <c r="E52" s="43"/>
      <c r="F52" s="210">
        <f t="shared" si="16"/>
        <v>0</v>
      </c>
      <c r="G52" s="210" t="str">
        <f t="shared" si="12"/>
        <v/>
      </c>
      <c r="H52" s="210" t="str">
        <f t="shared" si="10"/>
        <v/>
      </c>
      <c r="I52" s="210" t="str">
        <f t="shared" si="13"/>
        <v/>
      </c>
      <c r="J52" s="210" t="str">
        <f t="shared" si="15"/>
        <v/>
      </c>
      <c r="K52" s="217"/>
      <c r="L52" s="308"/>
      <c r="M52" s="309"/>
      <c r="N52" s="309"/>
      <c r="O52" s="44"/>
      <c r="P52" s="44"/>
      <c r="Q52" s="44"/>
      <c r="R52" s="44"/>
    </row>
    <row r="53" spans="2:18" s="5" customFormat="1" outlineLevel="1" x14ac:dyDescent="0.2">
      <c r="B53" s="12" t="s">
        <v>140</v>
      </c>
      <c r="C53" s="43"/>
      <c r="D53" s="137"/>
      <c r="E53" s="43"/>
      <c r="F53" s="210">
        <f t="shared" si="16"/>
        <v>0</v>
      </c>
      <c r="G53" s="210" t="str">
        <f t="shared" si="12"/>
        <v/>
      </c>
      <c r="H53" s="210" t="str">
        <f t="shared" si="10"/>
        <v/>
      </c>
      <c r="I53" s="210" t="str">
        <f t="shared" si="13"/>
        <v/>
      </c>
      <c r="J53" s="210" t="str">
        <f t="shared" si="15"/>
        <v/>
      </c>
      <c r="K53" s="217"/>
      <c r="L53" s="308"/>
      <c r="M53" s="309"/>
      <c r="N53" s="309"/>
      <c r="O53" s="44"/>
      <c r="P53" s="44"/>
      <c r="Q53" s="44"/>
      <c r="R53" s="44"/>
    </row>
    <row r="54" spans="2:18" s="5" customFormat="1" outlineLevel="1" x14ac:dyDescent="0.2">
      <c r="B54" s="12" t="s">
        <v>141</v>
      </c>
      <c r="C54" s="43"/>
      <c r="D54" s="137"/>
      <c r="E54" s="43"/>
      <c r="F54" s="210">
        <f t="shared" si="16"/>
        <v>0</v>
      </c>
      <c r="G54" s="210" t="str">
        <f t="shared" si="12"/>
        <v/>
      </c>
      <c r="H54" s="210" t="str">
        <f t="shared" si="10"/>
        <v/>
      </c>
      <c r="I54" s="210" t="str">
        <f t="shared" si="13"/>
        <v/>
      </c>
      <c r="J54" s="210" t="str">
        <f t="shared" si="15"/>
        <v/>
      </c>
      <c r="K54" s="217"/>
      <c r="L54" s="308"/>
      <c r="M54" s="309"/>
      <c r="N54" s="309"/>
      <c r="O54" s="44"/>
      <c r="P54" s="44"/>
      <c r="Q54" s="44"/>
      <c r="R54" s="44"/>
    </row>
    <row r="55" spans="2:18" s="5" customFormat="1" outlineLevel="1" x14ac:dyDescent="0.2">
      <c r="B55" s="12" t="s">
        <v>142</v>
      </c>
      <c r="C55" s="43"/>
      <c r="D55" s="137"/>
      <c r="E55" s="43"/>
      <c r="F55" s="210">
        <f t="shared" si="16"/>
        <v>0</v>
      </c>
      <c r="G55" s="210" t="str">
        <f t="shared" si="12"/>
        <v/>
      </c>
      <c r="H55" s="210" t="str">
        <f t="shared" si="10"/>
        <v/>
      </c>
      <c r="I55" s="210" t="str">
        <f t="shared" si="13"/>
        <v/>
      </c>
      <c r="J55" s="210" t="str">
        <f t="shared" si="15"/>
        <v/>
      </c>
      <c r="K55" s="217"/>
      <c r="L55" s="308"/>
      <c r="M55" s="309"/>
      <c r="N55" s="309"/>
      <c r="O55" s="44"/>
      <c r="P55" s="44"/>
      <c r="Q55" s="44"/>
      <c r="R55" s="44"/>
    </row>
    <row r="56" spans="2:18" s="5" customFormat="1" outlineLevel="1" x14ac:dyDescent="0.2">
      <c r="B56" s="12" t="s">
        <v>143</v>
      </c>
      <c r="C56" s="43"/>
      <c r="D56" s="137"/>
      <c r="E56" s="43"/>
      <c r="F56" s="210">
        <f t="shared" si="16"/>
        <v>0</v>
      </c>
      <c r="G56" s="210" t="str">
        <f t="shared" si="12"/>
        <v/>
      </c>
      <c r="H56" s="210" t="str">
        <f t="shared" si="10"/>
        <v/>
      </c>
      <c r="I56" s="210" t="str">
        <f t="shared" si="13"/>
        <v/>
      </c>
      <c r="J56" s="210" t="str">
        <f t="shared" si="15"/>
        <v/>
      </c>
      <c r="K56" s="217"/>
      <c r="L56" s="308"/>
      <c r="M56" s="309"/>
      <c r="N56" s="309"/>
      <c r="O56" s="44"/>
      <c r="P56" s="44"/>
      <c r="Q56" s="44"/>
      <c r="R56" s="44"/>
    </row>
    <row r="57" spans="2:18" s="5" customFormat="1" outlineLevel="1" x14ac:dyDescent="0.2">
      <c r="B57" s="12" t="s">
        <v>144</v>
      </c>
      <c r="C57" s="43"/>
      <c r="D57" s="137"/>
      <c r="E57" s="43"/>
      <c r="F57" s="210">
        <f t="shared" si="16"/>
        <v>0</v>
      </c>
      <c r="G57" s="210" t="str">
        <f t="shared" si="12"/>
        <v/>
      </c>
      <c r="H57" s="210" t="str">
        <f t="shared" si="10"/>
        <v/>
      </c>
      <c r="I57" s="210" t="str">
        <f t="shared" si="13"/>
        <v/>
      </c>
      <c r="J57" s="210" t="str">
        <f t="shared" si="15"/>
        <v/>
      </c>
      <c r="K57" s="217"/>
      <c r="L57" s="308"/>
      <c r="M57" s="309"/>
      <c r="N57" s="309"/>
      <c r="O57" s="44"/>
      <c r="P57" s="44"/>
      <c r="Q57" s="44"/>
      <c r="R57" s="44"/>
    </row>
    <row r="58" spans="2:18" s="5" customFormat="1" outlineLevel="1" x14ac:dyDescent="0.2">
      <c r="B58" s="12" t="s">
        <v>145</v>
      </c>
      <c r="C58" s="43"/>
      <c r="D58" s="137"/>
      <c r="E58" s="43"/>
      <c r="F58" s="210">
        <f t="shared" si="16"/>
        <v>0</v>
      </c>
      <c r="G58" s="210" t="str">
        <f t="shared" si="12"/>
        <v/>
      </c>
      <c r="H58" s="210" t="str">
        <f t="shared" si="10"/>
        <v/>
      </c>
      <c r="I58" s="210" t="str">
        <f t="shared" si="13"/>
        <v/>
      </c>
      <c r="J58" s="210" t="str">
        <f t="shared" si="15"/>
        <v/>
      </c>
      <c r="K58" s="217"/>
      <c r="L58" s="308"/>
      <c r="M58" s="309"/>
      <c r="N58" s="309"/>
      <c r="O58" s="44"/>
      <c r="P58" s="44"/>
      <c r="Q58" s="44"/>
      <c r="R58" s="44"/>
    </row>
    <row r="59" spans="2:18" s="5" customFormat="1" outlineLevel="1" x14ac:dyDescent="0.2">
      <c r="B59" s="12" t="s">
        <v>146</v>
      </c>
      <c r="C59" s="43"/>
      <c r="D59" s="137"/>
      <c r="E59" s="43"/>
      <c r="F59" s="210">
        <f t="shared" si="16"/>
        <v>0</v>
      </c>
      <c r="G59" s="210" t="str">
        <f t="shared" si="12"/>
        <v/>
      </c>
      <c r="H59" s="210" t="str">
        <f t="shared" si="10"/>
        <v/>
      </c>
      <c r="I59" s="210" t="str">
        <f t="shared" si="13"/>
        <v/>
      </c>
      <c r="J59" s="210" t="str">
        <f t="shared" si="15"/>
        <v/>
      </c>
      <c r="K59" s="217"/>
      <c r="L59" s="308"/>
      <c r="M59" s="309"/>
      <c r="N59" s="309"/>
      <c r="O59" s="44"/>
      <c r="P59" s="44"/>
      <c r="Q59" s="44"/>
      <c r="R59" s="44"/>
    </row>
    <row r="60" spans="2:18" s="5" customFormat="1" outlineLevel="1" x14ac:dyDescent="0.2">
      <c r="B60" s="12" t="s">
        <v>147</v>
      </c>
      <c r="C60" s="43"/>
      <c r="D60" s="137"/>
      <c r="E60" s="43"/>
      <c r="F60" s="210">
        <f t="shared" si="16"/>
        <v>0</v>
      </c>
      <c r="G60" s="210" t="str">
        <f t="shared" si="12"/>
        <v/>
      </c>
      <c r="H60" s="210" t="str">
        <f t="shared" si="10"/>
        <v/>
      </c>
      <c r="I60" s="210" t="str">
        <f t="shared" si="13"/>
        <v/>
      </c>
      <c r="J60" s="210" t="str">
        <f t="shared" si="15"/>
        <v/>
      </c>
      <c r="K60" s="217"/>
      <c r="L60" s="308"/>
      <c r="M60" s="309"/>
      <c r="N60" s="309"/>
      <c r="O60" s="44"/>
      <c r="P60" s="44"/>
      <c r="Q60" s="44"/>
      <c r="R60" s="44"/>
    </row>
    <row r="61" spans="2:18" s="5" customFormat="1" outlineLevel="1" x14ac:dyDescent="0.2">
      <c r="B61" s="12" t="s">
        <v>148</v>
      </c>
      <c r="C61" s="43"/>
      <c r="D61" s="137"/>
      <c r="E61" s="43"/>
      <c r="F61" s="210">
        <f t="shared" si="16"/>
        <v>0</v>
      </c>
      <c r="G61" s="210" t="str">
        <f t="shared" si="12"/>
        <v/>
      </c>
      <c r="H61" s="210" t="str">
        <f t="shared" si="10"/>
        <v/>
      </c>
      <c r="I61" s="210" t="str">
        <f t="shared" si="13"/>
        <v/>
      </c>
      <c r="J61" s="210" t="str">
        <f t="shared" si="15"/>
        <v/>
      </c>
      <c r="K61" s="217"/>
      <c r="L61" s="308"/>
      <c r="M61" s="309"/>
      <c r="N61" s="309"/>
      <c r="O61" s="44"/>
      <c r="P61" s="44"/>
      <c r="Q61" s="44"/>
      <c r="R61" s="44"/>
    </row>
    <row r="62" spans="2:18" s="5" customFormat="1" outlineLevel="1" x14ac:dyDescent="0.2">
      <c r="B62" s="12" t="s">
        <v>149</v>
      </c>
      <c r="C62" s="43"/>
      <c r="D62" s="137"/>
      <c r="E62" s="43"/>
      <c r="F62" s="210">
        <f t="shared" si="16"/>
        <v>0</v>
      </c>
      <c r="G62" s="210" t="str">
        <f t="shared" si="12"/>
        <v/>
      </c>
      <c r="H62" s="210" t="str">
        <f t="shared" si="10"/>
        <v/>
      </c>
      <c r="I62" s="210" t="str">
        <f t="shared" si="13"/>
        <v/>
      </c>
      <c r="J62" s="210" t="str">
        <f t="shared" si="15"/>
        <v/>
      </c>
      <c r="K62" s="217"/>
      <c r="L62" s="308"/>
      <c r="M62" s="309"/>
      <c r="N62" s="309"/>
      <c r="O62" s="44"/>
      <c r="P62" s="44"/>
      <c r="Q62" s="44"/>
      <c r="R62" s="44"/>
    </row>
    <row r="63" spans="2:18" s="5" customFormat="1" outlineLevel="1" x14ac:dyDescent="0.2">
      <c r="B63" s="12" t="s">
        <v>150</v>
      </c>
      <c r="C63" s="43"/>
      <c r="D63" s="137"/>
      <c r="E63" s="43"/>
      <c r="F63" s="210">
        <f t="shared" si="16"/>
        <v>0</v>
      </c>
      <c r="G63" s="210" t="str">
        <f t="shared" si="12"/>
        <v/>
      </c>
      <c r="H63" s="210" t="str">
        <f t="shared" si="10"/>
        <v/>
      </c>
      <c r="I63" s="210" t="str">
        <f t="shared" si="13"/>
        <v/>
      </c>
      <c r="J63" s="210" t="str">
        <f t="shared" si="15"/>
        <v/>
      </c>
      <c r="K63" s="217"/>
      <c r="L63" s="308"/>
      <c r="M63" s="309"/>
      <c r="N63" s="309"/>
      <c r="O63" s="44"/>
      <c r="P63" s="44"/>
      <c r="Q63" s="44"/>
      <c r="R63" s="44"/>
    </row>
    <row r="64" spans="2:18" s="5" customFormat="1" ht="25.5" outlineLevel="1" x14ac:dyDescent="0.2">
      <c r="B64" s="12" t="s">
        <v>151</v>
      </c>
      <c r="C64" s="43"/>
      <c r="D64" s="137"/>
      <c r="E64" s="43"/>
      <c r="F64" s="210">
        <f t="shared" si="16"/>
        <v>0</v>
      </c>
      <c r="G64" s="210" t="str">
        <f t="shared" si="12"/>
        <v/>
      </c>
      <c r="H64" s="210" t="str">
        <f t="shared" si="10"/>
        <v/>
      </c>
      <c r="I64" s="210" t="str">
        <f t="shared" si="13"/>
        <v/>
      </c>
      <c r="J64" s="210" t="str">
        <f t="shared" si="15"/>
        <v/>
      </c>
      <c r="K64" s="217"/>
      <c r="L64" s="308"/>
      <c r="M64" s="309"/>
      <c r="N64" s="309"/>
      <c r="O64" s="44"/>
      <c r="P64" s="44"/>
      <c r="Q64" s="44"/>
      <c r="R64" s="44"/>
    </row>
    <row r="65" spans="2:18" s="5" customFormat="1" ht="102" outlineLevel="1" x14ac:dyDescent="0.2">
      <c r="B65" s="12" t="s">
        <v>152</v>
      </c>
      <c r="C65" s="352" t="s">
        <v>153</v>
      </c>
      <c r="D65" s="137"/>
      <c r="E65" s="43" t="s">
        <v>100</v>
      </c>
      <c r="F65" s="210">
        <f t="shared" ref="F65" si="17">IF(E65="Yes",1,0)</f>
        <v>1</v>
      </c>
      <c r="G65" s="210" t="str">
        <f t="shared" ref="G65" si="18">IF(F65=1,B65,"")</f>
        <v>Countries that have improved disaster risk management (#)</v>
      </c>
      <c r="H65" s="210" t="str">
        <f t="shared" ref="H65" si="19">IF(G65&lt;&gt;"","-","")</f>
        <v>-</v>
      </c>
      <c r="I65" s="210" t="str">
        <f t="shared" ref="I65" si="20">IF(E65="Yes","*","")</f>
        <v>*</v>
      </c>
      <c r="J65" s="210" t="str">
        <f t="shared" ref="J65" si="21">IF(G65&lt;&gt;"",CONCATENATE(H65,G65,I65,CHAR(10)),"")</f>
        <v xml:space="preserve">-Countries that have improved disaster risk management (#)*
</v>
      </c>
      <c r="K65" s="217"/>
      <c r="L65" s="308"/>
      <c r="M65" s="309"/>
      <c r="N65" s="309"/>
      <c r="O65" s="44"/>
      <c r="P65" s="44"/>
      <c r="Q65" s="44"/>
      <c r="R65" s="44"/>
    </row>
    <row r="66" spans="2:18" s="5" customFormat="1" outlineLevel="1" x14ac:dyDescent="0.2">
      <c r="B66" s="12" t="s">
        <v>154</v>
      </c>
      <c r="C66" s="43"/>
      <c r="D66" s="137"/>
      <c r="E66" s="43"/>
      <c r="F66" s="210">
        <f t="shared" si="16"/>
        <v>0</v>
      </c>
      <c r="G66" s="210" t="str">
        <f t="shared" si="12"/>
        <v/>
      </c>
      <c r="H66" s="210" t="str">
        <f t="shared" si="10"/>
        <v/>
      </c>
      <c r="I66" s="210" t="str">
        <f t="shared" si="13"/>
        <v/>
      </c>
      <c r="J66" s="210" t="str">
        <f t="shared" si="15"/>
        <v/>
      </c>
      <c r="K66" s="217"/>
      <c r="L66" s="308"/>
      <c r="M66" s="309"/>
      <c r="N66" s="309"/>
      <c r="O66" s="44"/>
      <c r="P66" s="44"/>
      <c r="Q66" s="44"/>
      <c r="R66" s="44"/>
    </row>
    <row r="67" spans="2:18" s="5" customFormat="1" ht="25.5" outlineLevel="1" x14ac:dyDescent="0.2">
      <c r="B67" s="12" t="s">
        <v>155</v>
      </c>
      <c r="C67" s="43"/>
      <c r="D67" s="137"/>
      <c r="E67" s="43"/>
      <c r="F67" s="210">
        <f t="shared" si="16"/>
        <v>0</v>
      </c>
      <c r="G67" s="210" t="str">
        <f t="shared" si="12"/>
        <v/>
      </c>
      <c r="H67" s="210" t="str">
        <f t="shared" si="10"/>
        <v/>
      </c>
      <c r="I67" s="210" t="str">
        <f t="shared" si="13"/>
        <v/>
      </c>
      <c r="J67" s="210" t="str">
        <f t="shared" si="15"/>
        <v/>
      </c>
      <c r="K67" s="217"/>
      <c r="L67" s="308"/>
      <c r="M67" s="309"/>
      <c r="N67" s="309"/>
      <c r="O67" s="44"/>
      <c r="P67" s="44"/>
      <c r="Q67" s="44"/>
      <c r="R67" s="44"/>
    </row>
    <row r="68" spans="2:18" s="5" customFormat="1" outlineLevel="1" x14ac:dyDescent="0.2">
      <c r="B68" s="12" t="s">
        <v>156</v>
      </c>
      <c r="C68" s="43"/>
      <c r="D68" s="137"/>
      <c r="E68" s="43"/>
      <c r="F68" s="210">
        <f t="shared" ref="F68" si="22">IF(E68="Yes",1,0)</f>
        <v>0</v>
      </c>
      <c r="G68" s="210" t="str">
        <f t="shared" ref="G68" si="23">IF(F68=1,B68,"")</f>
        <v/>
      </c>
      <c r="H68" s="210" t="str">
        <f t="shared" ref="H68" si="24">IF(G68&lt;&gt;"","-","")</f>
        <v/>
      </c>
      <c r="I68" s="210" t="str">
        <f t="shared" ref="I68" si="25">IF(E68="Yes","*","")</f>
        <v/>
      </c>
      <c r="J68" s="210" t="str">
        <f t="shared" ref="J68" si="26">IF(G68&lt;&gt;"",CONCATENATE(H68,G68,I68,CHAR(10)),"")</f>
        <v/>
      </c>
      <c r="K68" s="217"/>
      <c r="L68" s="308"/>
      <c r="M68" s="309"/>
      <c r="N68" s="309"/>
      <c r="O68" s="44"/>
      <c r="P68" s="44"/>
      <c r="Q68" s="44"/>
      <c r="R68" s="44"/>
    </row>
    <row r="69" spans="2:18" s="5" customFormat="1" outlineLevel="1" x14ac:dyDescent="0.2">
      <c r="B69" s="12" t="s">
        <v>157</v>
      </c>
      <c r="C69" s="43"/>
      <c r="D69" s="137"/>
      <c r="E69" s="43"/>
      <c r="F69" s="210">
        <f t="shared" si="16"/>
        <v>0</v>
      </c>
      <c r="G69" s="210" t="str">
        <f t="shared" si="12"/>
        <v/>
      </c>
      <c r="H69" s="210" t="str">
        <f t="shared" si="10"/>
        <v/>
      </c>
      <c r="I69" s="210" t="str">
        <f t="shared" si="13"/>
        <v/>
      </c>
      <c r="J69" s="210" t="str">
        <f t="shared" si="15"/>
        <v/>
      </c>
      <c r="K69" s="217"/>
      <c r="L69" s="308"/>
      <c r="M69" s="309"/>
      <c r="N69" s="309"/>
      <c r="O69" s="44"/>
      <c r="P69" s="44"/>
      <c r="Q69" s="44"/>
      <c r="R69" s="44"/>
    </row>
    <row r="70" spans="2:18" s="5" customFormat="1" outlineLevel="1" x14ac:dyDescent="0.2">
      <c r="B70" s="12" t="s">
        <v>158</v>
      </c>
      <c r="C70" s="43"/>
      <c r="D70" s="137"/>
      <c r="E70" s="43"/>
      <c r="F70" s="210">
        <f t="shared" si="16"/>
        <v>0</v>
      </c>
      <c r="G70" s="210" t="str">
        <f t="shared" si="12"/>
        <v/>
      </c>
      <c r="H70" s="210" t="str">
        <f t="shared" si="10"/>
        <v/>
      </c>
      <c r="I70" s="210" t="str">
        <f t="shared" si="13"/>
        <v/>
      </c>
      <c r="J70" s="210" t="str">
        <f t="shared" si="15"/>
        <v/>
      </c>
      <c r="K70" s="217"/>
      <c r="L70" s="308"/>
      <c r="M70" s="309"/>
      <c r="N70" s="309"/>
      <c r="O70" s="44"/>
      <c r="P70" s="44"/>
      <c r="Q70" s="44"/>
      <c r="R70" s="44"/>
    </row>
    <row r="71" spans="2:18" s="5" customFormat="1" outlineLevel="1" x14ac:dyDescent="0.2">
      <c r="B71" s="12" t="s">
        <v>159</v>
      </c>
      <c r="C71" s="43"/>
      <c r="D71" s="137"/>
      <c r="E71" s="43"/>
      <c r="F71" s="210">
        <f t="shared" si="16"/>
        <v>0</v>
      </c>
      <c r="G71" s="210" t="str">
        <f t="shared" si="12"/>
        <v/>
      </c>
      <c r="H71" s="210" t="str">
        <f t="shared" si="10"/>
        <v/>
      </c>
      <c r="I71" s="210" t="str">
        <f t="shared" si="13"/>
        <v/>
      </c>
      <c r="J71" s="210" t="str">
        <f t="shared" si="15"/>
        <v/>
      </c>
      <c r="K71" s="217"/>
      <c r="L71" s="308"/>
      <c r="M71" s="309"/>
      <c r="N71" s="309"/>
      <c r="O71" s="44"/>
      <c r="P71" s="44"/>
      <c r="Q71" s="44"/>
      <c r="R71" s="44"/>
    </row>
    <row r="72" spans="2:18" s="5" customFormat="1" outlineLevel="1" x14ac:dyDescent="0.2">
      <c r="B72" s="12" t="s">
        <v>160</v>
      </c>
      <c r="C72" s="43"/>
      <c r="D72" s="137"/>
      <c r="E72" s="43"/>
      <c r="F72" s="210">
        <f t="shared" si="16"/>
        <v>0</v>
      </c>
      <c r="G72" s="210" t="str">
        <f t="shared" si="12"/>
        <v/>
      </c>
      <c r="H72" s="210" t="str">
        <f t="shared" si="10"/>
        <v/>
      </c>
      <c r="I72" s="210" t="str">
        <f t="shared" si="13"/>
        <v/>
      </c>
      <c r="J72" s="210" t="str">
        <f t="shared" si="15"/>
        <v/>
      </c>
      <c r="K72" s="217"/>
      <c r="L72" s="308"/>
      <c r="M72" s="309"/>
      <c r="N72" s="309"/>
      <c r="O72" s="44"/>
      <c r="P72" s="44"/>
      <c r="Q72" s="44"/>
      <c r="R72" s="44"/>
    </row>
    <row r="73" spans="2:18" s="5" customFormat="1" outlineLevel="1" x14ac:dyDescent="0.2">
      <c r="B73" s="12" t="s">
        <v>161</v>
      </c>
      <c r="C73" s="43"/>
      <c r="D73" s="137"/>
      <c r="E73" s="43"/>
      <c r="F73" s="210">
        <f t="shared" ref="F73:F77" si="27">IF(E73="Yes",1,0)</f>
        <v>0</v>
      </c>
      <c r="G73" s="210" t="str">
        <f t="shared" ref="G73:G77" si="28">IF(F73=1,B73,"")</f>
        <v/>
      </c>
      <c r="H73" s="210" t="str">
        <f t="shared" ref="H73:H77" si="29">IF(G73&lt;&gt;"","-","")</f>
        <v/>
      </c>
      <c r="I73" s="210" t="str">
        <f t="shared" ref="I73:I77" si="30">IF(E73="Yes","*","")</f>
        <v/>
      </c>
      <c r="J73" s="210" t="str">
        <f t="shared" ref="J73:J77" si="31">IF(G73&lt;&gt;"",CONCATENATE(H73,G73,I73,CHAR(10)),"")</f>
        <v/>
      </c>
      <c r="K73" s="217"/>
      <c r="L73" s="308"/>
      <c r="M73" s="309"/>
      <c r="N73" s="309"/>
      <c r="O73" s="44"/>
      <c r="P73" s="44"/>
      <c r="Q73" s="44"/>
      <c r="R73" s="44"/>
    </row>
    <row r="74" spans="2:18" s="5" customFormat="1" outlineLevel="1" x14ac:dyDescent="0.2">
      <c r="B74" s="12" t="s">
        <v>162</v>
      </c>
      <c r="C74" s="43"/>
      <c r="D74" s="137"/>
      <c r="E74" s="43"/>
      <c r="F74" s="210">
        <f t="shared" si="27"/>
        <v>0</v>
      </c>
      <c r="G74" s="210" t="str">
        <f t="shared" si="28"/>
        <v/>
      </c>
      <c r="H74" s="210" t="str">
        <f t="shared" si="29"/>
        <v/>
      </c>
      <c r="I74" s="210" t="str">
        <f t="shared" si="30"/>
        <v/>
      </c>
      <c r="J74" s="210" t="str">
        <f t="shared" si="31"/>
        <v/>
      </c>
      <c r="K74" s="217"/>
      <c r="L74" s="308"/>
      <c r="M74" s="309"/>
      <c r="N74" s="309"/>
      <c r="O74" s="44"/>
      <c r="P74" s="44"/>
      <c r="Q74" s="44"/>
      <c r="R74" s="44"/>
    </row>
    <row r="75" spans="2:18" s="5" customFormat="1" outlineLevel="1" x14ac:dyDescent="0.2">
      <c r="B75" s="12" t="s">
        <v>163</v>
      </c>
      <c r="C75" s="43"/>
      <c r="D75" s="137"/>
      <c r="E75" s="43"/>
      <c r="F75" s="210">
        <f t="shared" si="27"/>
        <v>0</v>
      </c>
      <c r="G75" s="210" t="str">
        <f t="shared" si="28"/>
        <v/>
      </c>
      <c r="H75" s="210" t="str">
        <f t="shared" si="29"/>
        <v/>
      </c>
      <c r="I75" s="210" t="str">
        <f t="shared" si="30"/>
        <v/>
      </c>
      <c r="J75" s="210" t="str">
        <f t="shared" si="31"/>
        <v/>
      </c>
      <c r="K75" s="217"/>
      <c r="L75" s="308"/>
      <c r="M75" s="309"/>
      <c r="N75" s="309"/>
      <c r="O75" s="44"/>
      <c r="P75" s="44"/>
      <c r="Q75" s="44"/>
      <c r="R75" s="44"/>
    </row>
    <row r="76" spans="2:18" s="5" customFormat="1" outlineLevel="1" x14ac:dyDescent="0.2">
      <c r="B76" s="12" t="s">
        <v>164</v>
      </c>
      <c r="C76" s="43"/>
      <c r="D76" s="137"/>
      <c r="E76" s="43"/>
      <c r="F76" s="210">
        <f t="shared" si="27"/>
        <v>0</v>
      </c>
      <c r="G76" s="210" t="str">
        <f t="shared" si="28"/>
        <v/>
      </c>
      <c r="H76" s="210" t="str">
        <f t="shared" si="29"/>
        <v/>
      </c>
      <c r="I76" s="210" t="str">
        <f t="shared" si="30"/>
        <v/>
      </c>
      <c r="J76" s="210" t="str">
        <f t="shared" si="31"/>
        <v/>
      </c>
      <c r="K76" s="217"/>
      <c r="L76" s="308"/>
      <c r="M76" s="309"/>
      <c r="N76" s="309"/>
      <c r="O76" s="44"/>
      <c r="P76" s="44"/>
      <c r="Q76" s="44"/>
      <c r="R76" s="44"/>
    </row>
    <row r="77" spans="2:18" s="5" customFormat="1" outlineLevel="1" x14ac:dyDescent="0.2">
      <c r="B77" s="12" t="s">
        <v>165</v>
      </c>
      <c r="C77" s="43"/>
      <c r="D77" s="137"/>
      <c r="E77" s="43"/>
      <c r="F77" s="210">
        <f t="shared" si="27"/>
        <v>0</v>
      </c>
      <c r="G77" s="210" t="str">
        <f t="shared" si="28"/>
        <v/>
      </c>
      <c r="H77" s="210" t="str">
        <f t="shared" si="29"/>
        <v/>
      </c>
      <c r="I77" s="210" t="str">
        <f t="shared" si="30"/>
        <v/>
      </c>
      <c r="J77" s="210" t="str">
        <f t="shared" si="31"/>
        <v/>
      </c>
      <c r="K77" s="217"/>
      <c r="L77" s="308"/>
      <c r="M77" s="309"/>
      <c r="N77" s="309"/>
      <c r="O77" s="44"/>
      <c r="P77" s="44"/>
      <c r="Q77" s="44"/>
      <c r="R77" s="44"/>
    </row>
    <row r="78" spans="2:18" s="5" customFormat="1" ht="13.5" outlineLevel="1" thickBot="1" x14ac:dyDescent="0.25">
      <c r="B78" s="91" t="s">
        <v>166</v>
      </c>
      <c r="C78" s="199"/>
      <c r="D78" s="200"/>
      <c r="E78" s="199"/>
      <c r="F78" s="214">
        <f t="shared" si="16"/>
        <v>0</v>
      </c>
      <c r="G78" s="214" t="str">
        <f t="shared" si="12"/>
        <v/>
      </c>
      <c r="H78" s="214" t="str">
        <f t="shared" si="10"/>
        <v/>
      </c>
      <c r="I78" s="214" t="str">
        <f t="shared" si="13"/>
        <v/>
      </c>
      <c r="J78" s="214" t="str">
        <f t="shared" si="15"/>
        <v/>
      </c>
      <c r="K78" s="218"/>
      <c r="L78" s="332"/>
      <c r="M78" s="309"/>
      <c r="N78" s="333"/>
      <c r="O78" s="44"/>
      <c r="P78" s="44"/>
      <c r="Q78" s="44"/>
      <c r="R78" s="44"/>
    </row>
    <row r="79" spans="2:18" ht="15.75" customHeight="1" thickBot="1" x14ac:dyDescent="0.25">
      <c r="B79" s="19"/>
      <c r="C79" s="3"/>
      <c r="D79" s="363"/>
      <c r="E79" s="363"/>
      <c r="F79" s="197"/>
      <c r="G79" s="198"/>
      <c r="H79" s="198"/>
      <c r="I79" s="198"/>
      <c r="J79" s="198"/>
      <c r="K79" s="198"/>
      <c r="L79" s="334"/>
      <c r="M79" s="334"/>
      <c r="N79" s="334"/>
    </row>
    <row r="80" spans="2:18" ht="15.75" customHeight="1" x14ac:dyDescent="0.2">
      <c r="B80" s="15" t="s">
        <v>167</v>
      </c>
      <c r="C80" s="74"/>
      <c r="D80" s="75"/>
      <c r="E80" s="75"/>
      <c r="F80" s="201"/>
      <c r="G80" s="202"/>
      <c r="H80" s="202"/>
      <c r="I80" s="202"/>
      <c r="J80" s="202"/>
      <c r="K80" s="202"/>
      <c r="L80" s="335"/>
      <c r="M80" s="336"/>
      <c r="N80" s="336"/>
    </row>
    <row r="81" spans="1:18" s="5" customFormat="1" ht="15.75" customHeight="1" x14ac:dyDescent="0.2">
      <c r="A81" s="2"/>
      <c r="B81" s="16" t="s">
        <v>168</v>
      </c>
      <c r="C81" s="13"/>
      <c r="D81" s="64"/>
      <c r="E81" s="64"/>
      <c r="F81" s="197"/>
      <c r="G81" s="198"/>
      <c r="H81" s="198"/>
      <c r="I81" s="198"/>
      <c r="J81" s="198"/>
      <c r="K81" s="198"/>
      <c r="L81" s="330"/>
      <c r="M81" s="331"/>
      <c r="N81" s="331"/>
      <c r="O81" s="44"/>
      <c r="P81" s="44"/>
      <c r="Q81" s="44"/>
      <c r="R81" s="44"/>
    </row>
    <row r="82" spans="1:18" s="5" customFormat="1" x14ac:dyDescent="0.2">
      <c r="B82" s="11" t="s">
        <v>169</v>
      </c>
      <c r="C82" s="353" t="s">
        <v>170</v>
      </c>
      <c r="D82" s="65" t="s">
        <v>100</v>
      </c>
      <c r="E82" s="137"/>
      <c r="F82" s="197"/>
      <c r="G82" s="198"/>
      <c r="H82" s="198"/>
      <c r="I82" s="198"/>
      <c r="J82" s="198"/>
      <c r="K82" s="198"/>
      <c r="L82" s="310"/>
      <c r="M82" s="311"/>
      <c r="N82" s="309"/>
      <c r="O82" s="44"/>
      <c r="P82" s="44"/>
      <c r="Q82" s="44"/>
      <c r="R82" s="44"/>
    </row>
    <row r="83" spans="1:18" s="5" customFormat="1" ht="76.5" x14ac:dyDescent="0.2">
      <c r="B83" s="11" t="s">
        <v>171</v>
      </c>
      <c r="C83" s="339" t="s">
        <v>172</v>
      </c>
      <c r="D83" s="65" t="s">
        <v>100</v>
      </c>
      <c r="E83" s="137"/>
      <c r="F83" s="197"/>
      <c r="G83" s="198"/>
      <c r="H83" s="198"/>
      <c r="I83" s="198"/>
      <c r="J83" s="198"/>
      <c r="K83" s="198"/>
      <c r="L83" s="310"/>
      <c r="M83" s="311"/>
      <c r="N83" s="309"/>
      <c r="O83" s="44"/>
      <c r="P83" s="44"/>
      <c r="Q83" s="44"/>
      <c r="R83" s="44"/>
    </row>
    <row r="84" spans="1:18" s="5" customFormat="1" ht="24" customHeight="1" x14ac:dyDescent="0.2">
      <c r="A84" s="2"/>
      <c r="B84" s="76" t="s">
        <v>173</v>
      </c>
      <c r="C84" s="13"/>
      <c r="D84" s="64"/>
      <c r="E84" s="64"/>
      <c r="F84" s="197"/>
      <c r="G84" s="198"/>
      <c r="H84" s="198"/>
      <c r="I84" s="198"/>
      <c r="J84" s="198"/>
      <c r="K84" s="198"/>
      <c r="L84" s="330"/>
      <c r="M84" s="331"/>
      <c r="N84" s="331"/>
      <c r="O84" s="44"/>
      <c r="P84" s="44"/>
      <c r="Q84" s="44"/>
      <c r="R84" s="44"/>
    </row>
    <row r="85" spans="1:18" s="5" customFormat="1" x14ac:dyDescent="0.2">
      <c r="A85" s="2"/>
      <c r="B85" s="14" t="s">
        <v>174</v>
      </c>
      <c r="C85" s="65" t="s">
        <v>175</v>
      </c>
      <c r="D85" s="65" t="s">
        <v>100</v>
      </c>
      <c r="E85" s="137"/>
      <c r="F85" s="197"/>
      <c r="G85" s="198"/>
      <c r="H85" s="198"/>
      <c r="I85" s="198"/>
      <c r="J85" s="198"/>
      <c r="K85" s="198"/>
      <c r="L85" s="310"/>
      <c r="M85" s="311"/>
      <c r="N85" s="309"/>
      <c r="O85" s="44"/>
      <c r="P85" s="44"/>
      <c r="Q85" s="44"/>
      <c r="R85" s="44"/>
    </row>
    <row r="86" spans="1:18" s="5" customFormat="1" ht="24" customHeight="1" x14ac:dyDescent="0.2">
      <c r="A86" s="2"/>
      <c r="B86" s="16" t="s">
        <v>176</v>
      </c>
      <c r="C86" s="13"/>
      <c r="D86" s="64"/>
      <c r="E86" s="64"/>
      <c r="F86" s="197"/>
      <c r="G86" s="198"/>
      <c r="H86" s="198"/>
      <c r="I86" s="198"/>
      <c r="J86" s="198"/>
      <c r="K86" s="198"/>
      <c r="L86" s="330"/>
      <c r="M86" s="331"/>
      <c r="N86" s="331"/>
      <c r="O86" s="44"/>
      <c r="P86" s="44"/>
      <c r="Q86" s="44"/>
      <c r="R86" s="44"/>
    </row>
    <row r="87" spans="1:18" s="5" customFormat="1" ht="13.5" thickBot="1" x14ac:dyDescent="0.25">
      <c r="A87" s="2"/>
      <c r="B87" s="38" t="s">
        <v>177</v>
      </c>
      <c r="C87" s="41"/>
      <c r="D87" s="67"/>
      <c r="E87" s="200"/>
      <c r="F87" s="203"/>
      <c r="G87" s="204"/>
      <c r="H87" s="204"/>
      <c r="I87" s="204"/>
      <c r="J87" s="204"/>
      <c r="K87" s="204"/>
      <c r="L87" s="337"/>
      <c r="M87" s="338"/>
      <c r="N87" s="309"/>
      <c r="O87" s="44"/>
      <c r="P87" s="44"/>
      <c r="Q87" s="44"/>
      <c r="R87" s="44"/>
    </row>
  </sheetData>
  <sheetProtection algorithmName="SHA-512" hashValue="Jxtv/FVFlb+DZS+KDx7u7fe4/k8EwTwTstrFl0t8F7BXombQ8MLO3mZ0olJUkHsFhTdgVbi1nBNBJgWr5b9bLA==" saltValue="AgdEgu++JOjItadSx71uLw=="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x14ac:dyDescent="0.2">
      <c r="B2" s="526" t="s">
        <v>178</v>
      </c>
      <c r="C2" s="526"/>
      <c r="D2" s="526"/>
      <c r="E2" s="360"/>
    </row>
    <row r="3" spans="1:11" ht="20.25" customHeight="1" thickBot="1" x14ac:dyDescent="0.25">
      <c r="B3" s="537" t="s">
        <v>179</v>
      </c>
      <c r="C3" s="537"/>
      <c r="D3" s="537"/>
      <c r="E3" s="361"/>
    </row>
    <row r="4" spans="1:11" ht="18" x14ac:dyDescent="0.2">
      <c r="A4" s="538" t="s">
        <v>79</v>
      </c>
      <c r="B4" s="539"/>
      <c r="C4" s="539"/>
      <c r="D4" s="540"/>
      <c r="E4" s="156"/>
    </row>
    <row r="5" spans="1:11" ht="30.75" customHeight="1" x14ac:dyDescent="0.2">
      <c r="A5" s="6">
        <v>1</v>
      </c>
      <c r="B5" s="541" t="s">
        <v>180</v>
      </c>
      <c r="C5" s="541"/>
      <c r="D5" s="542"/>
      <c r="E5" s="117"/>
    </row>
    <row r="6" spans="1:11" ht="75.75" customHeight="1" thickBot="1" x14ac:dyDescent="0.25">
      <c r="A6" s="26"/>
      <c r="B6" s="535" t="s">
        <v>181</v>
      </c>
      <c r="C6" s="535"/>
      <c r="D6" s="536"/>
      <c r="E6" s="157"/>
    </row>
    <row r="7" spans="1:11" ht="27" customHeight="1" thickBot="1" x14ac:dyDescent="0.25">
      <c r="C7" s="4"/>
      <c r="D7" s="17"/>
      <c r="E7" s="17"/>
    </row>
    <row r="8" spans="1:11" ht="15.75" customHeight="1" thickBot="1" x14ac:dyDescent="0.25">
      <c r="B8" s="68" t="s">
        <v>182</v>
      </c>
      <c r="C8" s="69" t="s">
        <v>84</v>
      </c>
      <c r="D8" s="161" t="s">
        <v>183</v>
      </c>
      <c r="E8" s="154" t="s">
        <v>184</v>
      </c>
      <c r="F8" s="110"/>
      <c r="G8" s="111"/>
      <c r="H8" s="111"/>
      <c r="I8" s="111"/>
      <c r="J8" s="111"/>
      <c r="K8" s="111"/>
    </row>
    <row r="9" spans="1:11" s="5" customFormat="1" ht="15.75" customHeight="1" x14ac:dyDescent="0.2">
      <c r="B9" s="70" t="s">
        <v>185</v>
      </c>
      <c r="C9" s="71"/>
      <c r="D9" s="162" t="s">
        <v>85</v>
      </c>
      <c r="E9" s="175" t="s">
        <v>85</v>
      </c>
      <c r="F9" s="97"/>
      <c r="G9" s="97"/>
      <c r="H9" s="97"/>
      <c r="I9" s="97"/>
      <c r="J9" s="97"/>
      <c r="K9" s="97"/>
    </row>
    <row r="10" spans="1:11" s="5" customFormat="1" ht="15.75" customHeight="1" x14ac:dyDescent="0.2">
      <c r="B10" s="16" t="s">
        <v>186</v>
      </c>
      <c r="C10" s="55"/>
      <c r="D10" s="163"/>
      <c r="E10" s="55"/>
      <c r="F10" s="100"/>
      <c r="G10" s="100"/>
      <c r="H10" s="100"/>
      <c r="I10" s="100"/>
      <c r="J10" s="100"/>
      <c r="K10" s="100"/>
    </row>
    <row r="11" spans="1:11" s="5" customFormat="1" ht="15.75" customHeight="1" x14ac:dyDescent="0.2">
      <c r="B11" s="10" t="s">
        <v>187</v>
      </c>
      <c r="C11" s="9"/>
      <c r="D11" s="164">
        <f>'DEM (Strategic Priorities)'!D11</f>
        <v>0</v>
      </c>
      <c r="E11" s="63"/>
      <c r="F11" s="100">
        <f t="shared" ref="F11:F13" si="0">IF(D11="Yes",1,0)</f>
        <v>0</v>
      </c>
      <c r="G11" s="100" t="str">
        <f>IF(F11&lt;&gt;0,B11,"")</f>
        <v/>
      </c>
      <c r="H11" s="100" t="str">
        <f>IF(G11&lt;&gt;"","-","")</f>
        <v/>
      </c>
      <c r="I11" s="100" t="str">
        <f>IF(G11&lt;&gt;"",CONCATENATE(H11,G11,CHAR(10)),"")</f>
        <v/>
      </c>
      <c r="J11" s="100" t="str">
        <f>CONCATENATE(I11,I12,I13,I15,I16,I17)</f>
        <v xml:space="preserve">-Equidad de Género y Diversidad
-Cambio Climático y Sostenibilidad Ambiental
</v>
      </c>
      <c r="K11" s="100"/>
    </row>
    <row r="12" spans="1:11" s="5" customFormat="1" ht="22.5" customHeight="1" outlineLevel="1" x14ac:dyDescent="0.2">
      <c r="B12" s="10" t="s">
        <v>188</v>
      </c>
      <c r="C12" s="9"/>
      <c r="D12" s="164">
        <f>'DEM (Strategic Priorities)'!D12</f>
        <v>0</v>
      </c>
      <c r="E12" s="63"/>
      <c r="F12" s="100">
        <f t="shared" si="0"/>
        <v>0</v>
      </c>
      <c r="G12" s="100" t="str">
        <f>IF(F12&lt;&gt;0,B12,"")</f>
        <v/>
      </c>
      <c r="H12" s="100" t="str">
        <f>IF(G12&lt;&gt;"","-","")</f>
        <v/>
      </c>
      <c r="I12" s="100" t="str">
        <f>IF(G12&lt;&gt;"",CONCATENATE(H12,G12,CHAR(10)),"")</f>
        <v/>
      </c>
      <c r="J12" s="100"/>
      <c r="K12" s="100"/>
    </row>
    <row r="13" spans="1:11" s="5" customFormat="1" ht="15.75" customHeight="1" x14ac:dyDescent="0.2">
      <c r="B13" s="10" t="s">
        <v>189</v>
      </c>
      <c r="C13" s="9"/>
      <c r="D13" s="164">
        <f>'DEM (Strategic Priorities)'!D13</f>
        <v>0</v>
      </c>
      <c r="E13" s="63"/>
      <c r="F13" s="100">
        <f t="shared" si="0"/>
        <v>0</v>
      </c>
      <c r="G13" s="100" t="str">
        <f>IF(F13&lt;&gt;0,B13,"")</f>
        <v/>
      </c>
      <c r="H13" s="100" t="str">
        <f>IF(G13&lt;&gt;"","-","")</f>
        <v/>
      </c>
      <c r="I13" s="100" t="str">
        <f>IF(G13&lt;&gt;"",CONCATENATE(H13,G13,CHAR(10)),"")</f>
        <v/>
      </c>
      <c r="J13" s="100"/>
      <c r="K13" s="100"/>
    </row>
    <row r="14" spans="1:11" s="5" customFormat="1" ht="15.75" customHeight="1" x14ac:dyDescent="0.2">
      <c r="B14" s="16" t="s">
        <v>190</v>
      </c>
      <c r="C14" s="55"/>
      <c r="D14" s="55"/>
      <c r="E14" s="55"/>
      <c r="F14" s="100"/>
      <c r="G14" s="100"/>
      <c r="H14" s="100"/>
      <c r="I14" s="100"/>
      <c r="J14" s="100"/>
      <c r="K14" s="100"/>
    </row>
    <row r="15" spans="1:11" s="5" customFormat="1" ht="21.75" customHeight="1" x14ac:dyDescent="0.2">
      <c r="B15" s="10" t="s">
        <v>191</v>
      </c>
      <c r="C15" s="9"/>
      <c r="D15" s="164" t="str">
        <f>'DEM (Strategic Priorities)'!D15</f>
        <v>Yes</v>
      </c>
      <c r="E15" s="63"/>
      <c r="F15" s="100">
        <f t="shared" ref="F15:F17" si="1">IF(D15="Yes",1,0)</f>
        <v>1</v>
      </c>
      <c r="G15" s="100" t="str">
        <f t="shared" ref="G15:G17" si="2">IF(F15&lt;&gt;0,B15,"")</f>
        <v>Equidad de Género y Diversidad</v>
      </c>
      <c r="H15" s="100" t="str">
        <f t="shared" ref="H15:H17" si="3">IF(G15&lt;&gt;"","-","")</f>
        <v>-</v>
      </c>
      <c r="I15" s="100" t="str">
        <f t="shared" ref="I15:I17" si="4">IF(G15&lt;&gt;"",CONCATENATE(H15,G15,CHAR(10)),"")</f>
        <v xml:space="preserve">-Equidad de Género y Diversidad
</v>
      </c>
      <c r="J15" s="100"/>
      <c r="K15" s="100"/>
    </row>
    <row r="16" spans="1:11" s="5" customFormat="1" ht="21.75" customHeight="1" x14ac:dyDescent="0.2">
      <c r="B16" s="10" t="s">
        <v>192</v>
      </c>
      <c r="C16" s="9"/>
      <c r="D16" s="164"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
      <c r="B17" s="10" t="s">
        <v>193</v>
      </c>
      <c r="C17" s="9"/>
      <c r="D17" s="164">
        <f>'DEM (Strategic Priorities)'!D21</f>
        <v>0</v>
      </c>
      <c r="E17" s="63"/>
      <c r="F17" s="100">
        <f t="shared" si="1"/>
        <v>0</v>
      </c>
      <c r="G17" s="100" t="str">
        <f t="shared" si="2"/>
        <v/>
      </c>
      <c r="H17" s="100" t="str">
        <f t="shared" si="3"/>
        <v/>
      </c>
      <c r="I17" s="100" t="str">
        <f t="shared" si="4"/>
        <v/>
      </c>
      <c r="J17" s="100"/>
      <c r="K17" s="100"/>
    </row>
    <row r="18" spans="2:11" s="5" customFormat="1" ht="15.75" customHeight="1" outlineLevel="1" x14ac:dyDescent="0.2">
      <c r="B18" s="16" t="s">
        <v>194</v>
      </c>
      <c r="C18" s="72"/>
      <c r="D18" s="166"/>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-Países que han mejorado la gestión del riesgo de desastres (#)*
</v>
      </c>
    </row>
    <row r="19" spans="2:11" s="5" customFormat="1" ht="34.5" customHeight="1" outlineLevel="1" x14ac:dyDescent="0.2">
      <c r="B19" s="12" t="s">
        <v>195</v>
      </c>
      <c r="C19" s="43"/>
      <c r="D19" s="165">
        <f>'DEM (Strategic Priorities)'!D23</f>
        <v>0</v>
      </c>
      <c r="E19" s="165">
        <f>'DEM (Strategic Priorities)'!E23</f>
        <v>0</v>
      </c>
      <c r="F19" s="100">
        <f t="shared" ref="F19:F25" si="5">IF(D19="Yes",1,0)</f>
        <v>0</v>
      </c>
      <c r="G19" s="100" t="str">
        <f>IF(F19=1,B19,"")</f>
        <v/>
      </c>
      <c r="H19" s="100" t="str">
        <f t="shared" ref="H19:H43" si="6">IF(G19&lt;&gt;"","-","")</f>
        <v/>
      </c>
      <c r="I19" s="155" t="str">
        <f>IF(E19="Yes","*","")</f>
        <v/>
      </c>
      <c r="J19" s="100" t="str">
        <f t="shared" ref="J19:J22" si="7">IF(G19&lt;&gt;"",CONCATENATE(H19,G19,I19,CHAR(10)),"")</f>
        <v/>
      </c>
      <c r="K19" s="155"/>
    </row>
    <row r="20" spans="2:11" s="5" customFormat="1" ht="24.75" customHeight="1" outlineLevel="1" x14ac:dyDescent="0.2">
      <c r="B20" s="12" t="s">
        <v>196</v>
      </c>
      <c r="C20" s="43"/>
      <c r="D20" s="165">
        <f>'DEM (Strategic Priorities)'!D24</f>
        <v>0</v>
      </c>
      <c r="E20" s="165">
        <f>'DEM (Strategic Priorities)'!E24</f>
        <v>0</v>
      </c>
      <c r="F20" s="100">
        <f t="shared" si="5"/>
        <v>0</v>
      </c>
      <c r="G20" s="100" t="str">
        <f t="shared" ref="G20:G43" si="8">IF(F20=1,B20,"")</f>
        <v/>
      </c>
      <c r="H20" s="100" t="str">
        <f t="shared" si="6"/>
        <v/>
      </c>
      <c r="I20" s="155" t="str">
        <f t="shared" ref="I20:I43" si="9">IF(E20="Yes","*","")</f>
        <v/>
      </c>
      <c r="J20" s="100" t="str">
        <f t="shared" si="7"/>
        <v/>
      </c>
      <c r="K20" s="100"/>
    </row>
    <row r="21" spans="2:11" s="5" customFormat="1" ht="15.75" customHeight="1" outlineLevel="1" x14ac:dyDescent="0.2">
      <c r="B21" s="12" t="s">
        <v>197</v>
      </c>
      <c r="C21" s="43"/>
      <c r="D21" s="165">
        <f>'DEM (Strategic Priorities)'!D25</f>
        <v>0</v>
      </c>
      <c r="E21" s="66">
        <f>'DEM (Strategic Priorities)'!E25</f>
        <v>0</v>
      </c>
      <c r="F21" s="100">
        <f>IF(E21="Yes",1,0)</f>
        <v>0</v>
      </c>
      <c r="G21" s="100" t="str">
        <f t="shared" si="8"/>
        <v/>
      </c>
      <c r="H21" s="100" t="str">
        <f t="shared" si="6"/>
        <v/>
      </c>
      <c r="I21" s="155" t="str">
        <f t="shared" si="9"/>
        <v/>
      </c>
      <c r="J21" s="100" t="str">
        <f t="shared" si="7"/>
        <v/>
      </c>
      <c r="K21" s="100"/>
    </row>
    <row r="22" spans="2:11" s="5" customFormat="1" ht="15.75" customHeight="1" outlineLevel="1" x14ac:dyDescent="0.2">
      <c r="B22" s="12" t="s">
        <v>198</v>
      </c>
      <c r="C22" s="43"/>
      <c r="D22" s="165">
        <f>'DEM (Strategic Priorities)'!D26</f>
        <v>0</v>
      </c>
      <c r="E22" s="66">
        <f>'DEM (Strategic Priorities)'!E26</f>
        <v>0</v>
      </c>
      <c r="F22" s="100">
        <f t="shared" ref="F22:F23" si="10">IF(E22="Yes",1,0)</f>
        <v>0</v>
      </c>
      <c r="G22" s="100" t="str">
        <f t="shared" si="8"/>
        <v/>
      </c>
      <c r="H22" s="100" t="str">
        <f t="shared" si="6"/>
        <v/>
      </c>
      <c r="I22" s="155" t="str">
        <f t="shared" si="9"/>
        <v/>
      </c>
      <c r="J22" s="100" t="str">
        <f t="shared" si="7"/>
        <v/>
      </c>
      <c r="K22" s="100"/>
    </row>
    <row r="23" spans="2:11" s="5" customFormat="1" ht="15.75" customHeight="1" outlineLevel="1" x14ac:dyDescent="0.2">
      <c r="B23" s="12" t="s">
        <v>199</v>
      </c>
      <c r="C23" s="43"/>
      <c r="D23" s="165">
        <f>'DEM (Strategic Priorities)'!D27</f>
        <v>0</v>
      </c>
      <c r="E23" s="66">
        <f>'DEM (Strategic Priorities)'!E27</f>
        <v>0</v>
      </c>
      <c r="F23" s="100">
        <f t="shared" si="10"/>
        <v>0</v>
      </c>
      <c r="G23" s="100" t="str">
        <f t="shared" si="8"/>
        <v/>
      </c>
      <c r="H23" s="100" t="str">
        <f t="shared" si="6"/>
        <v/>
      </c>
      <c r="I23" s="155" t="str">
        <f t="shared" si="9"/>
        <v/>
      </c>
      <c r="J23" s="100" t="str">
        <f>IF(G23&lt;&gt;"",CONCATENATE(H23,G23,I23,CHAR(10)),"")</f>
        <v/>
      </c>
      <c r="K23" s="100"/>
    </row>
    <row r="24" spans="2:11" s="5" customFormat="1" ht="15.75" customHeight="1" outlineLevel="1" x14ac:dyDescent="0.2">
      <c r="B24" s="12" t="s">
        <v>200</v>
      </c>
      <c r="C24" s="43"/>
      <c r="D24" s="165">
        <f>'DEM (Strategic Priorities)'!D28</f>
        <v>0</v>
      </c>
      <c r="E24" s="66">
        <f>'DEM (Strategic Priorities)'!E28</f>
        <v>0</v>
      </c>
      <c r="F24" s="100">
        <f t="shared" si="5"/>
        <v>0</v>
      </c>
      <c r="G24" s="100" t="str">
        <f t="shared" si="8"/>
        <v/>
      </c>
      <c r="H24" s="100" t="str">
        <f t="shared" si="6"/>
        <v/>
      </c>
      <c r="I24" s="155" t="str">
        <f t="shared" si="9"/>
        <v/>
      </c>
      <c r="J24" s="100" t="str">
        <f t="shared" ref="J24:J43" si="11">IF(G24&lt;&gt;"",CONCATENATE(H24,G24,I24,CHAR(10)),"")</f>
        <v/>
      </c>
      <c r="K24" s="100"/>
    </row>
    <row r="25" spans="2:11" s="5" customFormat="1" ht="15.75" customHeight="1" outlineLevel="1" x14ac:dyDescent="0.2">
      <c r="B25" s="12" t="s">
        <v>201</v>
      </c>
      <c r="C25" s="43"/>
      <c r="D25" s="165">
        <f>'DEM (Strategic Priorities)'!D29</f>
        <v>0</v>
      </c>
      <c r="E25" s="66">
        <f>'DEM (Strategic Priorities)'!E29</f>
        <v>0</v>
      </c>
      <c r="F25" s="100">
        <f t="shared" si="5"/>
        <v>0</v>
      </c>
      <c r="G25" s="100" t="str">
        <f t="shared" si="8"/>
        <v/>
      </c>
      <c r="H25" s="100" t="str">
        <f t="shared" si="6"/>
        <v/>
      </c>
      <c r="I25" s="155" t="str">
        <f t="shared" si="9"/>
        <v/>
      </c>
      <c r="J25" s="100" t="str">
        <f t="shared" si="11"/>
        <v/>
      </c>
      <c r="K25" s="100"/>
    </row>
    <row r="26" spans="2:11" s="5" customFormat="1" ht="30" customHeight="1" outlineLevel="1" x14ac:dyDescent="0.2">
      <c r="B26" s="12" t="s">
        <v>202</v>
      </c>
      <c r="C26" s="43"/>
      <c r="D26" s="167">
        <f>'DEM (Strategic Priorities)'!D30</f>
        <v>0</v>
      </c>
      <c r="E26" s="66">
        <f>'DEM (Strategic Priorities)'!E30</f>
        <v>0</v>
      </c>
      <c r="F26" s="100">
        <f t="shared" ref="F26:F43" si="12">IF(E26="Yes",1,0)</f>
        <v>0</v>
      </c>
      <c r="G26" s="100" t="str">
        <f t="shared" si="8"/>
        <v/>
      </c>
      <c r="H26" s="100" t="str">
        <f t="shared" si="6"/>
        <v/>
      </c>
      <c r="I26" s="155" t="str">
        <f t="shared" si="9"/>
        <v/>
      </c>
      <c r="J26" s="100" t="str">
        <f t="shared" si="11"/>
        <v/>
      </c>
      <c r="K26" s="100"/>
    </row>
    <row r="27" spans="2:11" s="5" customFormat="1" ht="15.75" customHeight="1" outlineLevel="1" x14ac:dyDescent="0.2">
      <c r="B27" s="12" t="s">
        <v>203</v>
      </c>
      <c r="C27" s="43"/>
      <c r="D27" s="167">
        <f>'DEM (Strategic Priorities)'!D31</f>
        <v>0</v>
      </c>
      <c r="E27" s="66">
        <f>'DEM (Strategic Priorities)'!E31</f>
        <v>0</v>
      </c>
      <c r="F27" s="100">
        <f t="shared" si="12"/>
        <v>0</v>
      </c>
      <c r="G27" s="100" t="str">
        <f t="shared" si="8"/>
        <v/>
      </c>
      <c r="H27" s="100" t="str">
        <f t="shared" si="6"/>
        <v/>
      </c>
      <c r="I27" s="155" t="str">
        <f t="shared" si="9"/>
        <v/>
      </c>
      <c r="J27" s="100" t="str">
        <f t="shared" si="11"/>
        <v/>
      </c>
      <c r="K27" s="100"/>
    </row>
    <row r="28" spans="2:11" s="5" customFormat="1" ht="15.75" customHeight="1" outlineLevel="1" x14ac:dyDescent="0.2">
      <c r="B28" s="12" t="s">
        <v>204</v>
      </c>
      <c r="C28" s="43"/>
      <c r="D28" s="167">
        <f>'DEM (Strategic Priorities)'!D32</f>
        <v>0</v>
      </c>
      <c r="E28" s="66">
        <f>'DEM (Strategic Priorities)'!E32</f>
        <v>0</v>
      </c>
      <c r="F28" s="100">
        <f t="shared" si="12"/>
        <v>0</v>
      </c>
      <c r="G28" s="100" t="str">
        <f t="shared" si="8"/>
        <v/>
      </c>
      <c r="H28" s="100" t="str">
        <f t="shared" si="6"/>
        <v/>
      </c>
      <c r="I28" s="155" t="str">
        <f t="shared" si="9"/>
        <v/>
      </c>
      <c r="J28" s="100" t="str">
        <f t="shared" si="11"/>
        <v/>
      </c>
      <c r="K28" s="100"/>
    </row>
    <row r="29" spans="2:11" s="5" customFormat="1" ht="15.75" customHeight="1" outlineLevel="1" x14ac:dyDescent="0.2">
      <c r="B29" s="12" t="s">
        <v>205</v>
      </c>
      <c r="C29" s="43"/>
      <c r="D29" s="167">
        <f>'DEM (Strategic Priorities)'!D33</f>
        <v>0</v>
      </c>
      <c r="E29" s="66">
        <f>'DEM (Strategic Priorities)'!E33</f>
        <v>0</v>
      </c>
      <c r="F29" s="100">
        <f t="shared" si="12"/>
        <v>0</v>
      </c>
      <c r="G29" s="100" t="str">
        <f t="shared" si="8"/>
        <v/>
      </c>
      <c r="H29" s="100" t="str">
        <f t="shared" si="6"/>
        <v/>
      </c>
      <c r="I29" s="155" t="str">
        <f t="shared" si="9"/>
        <v/>
      </c>
      <c r="J29" s="100" t="str">
        <f t="shared" si="11"/>
        <v/>
      </c>
      <c r="K29" s="100"/>
    </row>
    <row r="30" spans="2:11" s="5" customFormat="1" ht="27" customHeight="1" outlineLevel="1" x14ac:dyDescent="0.2">
      <c r="B30" s="12" t="s">
        <v>206</v>
      </c>
      <c r="C30" s="43"/>
      <c r="D30" s="167">
        <f>'DEM (Strategic Priorities)'!D34</f>
        <v>0</v>
      </c>
      <c r="E30" s="66">
        <f>'DEM (Strategic Priorities)'!E34</f>
        <v>0</v>
      </c>
      <c r="F30" s="100">
        <f t="shared" si="12"/>
        <v>0</v>
      </c>
      <c r="G30" s="100" t="str">
        <f t="shared" si="8"/>
        <v/>
      </c>
      <c r="H30" s="100" t="str">
        <f t="shared" si="6"/>
        <v/>
      </c>
      <c r="I30" s="155" t="str">
        <f t="shared" si="9"/>
        <v/>
      </c>
      <c r="J30" s="100" t="str">
        <f t="shared" si="11"/>
        <v/>
      </c>
      <c r="K30" s="100"/>
    </row>
    <row r="31" spans="2:11" s="5" customFormat="1" ht="15.75" customHeight="1" outlineLevel="1" x14ac:dyDescent="0.2">
      <c r="B31" s="12" t="s">
        <v>207</v>
      </c>
      <c r="C31" s="43"/>
      <c r="D31" s="167">
        <f>'DEM (Strategic Priorities)'!D35</f>
        <v>0</v>
      </c>
      <c r="E31" s="66">
        <f>'DEM (Strategic Priorities)'!E35</f>
        <v>0</v>
      </c>
      <c r="F31" s="100">
        <f t="shared" si="12"/>
        <v>0</v>
      </c>
      <c r="G31" s="100" t="str">
        <f t="shared" si="8"/>
        <v/>
      </c>
      <c r="H31" s="100" t="str">
        <f t="shared" si="6"/>
        <v/>
      </c>
      <c r="I31" s="155" t="str">
        <f t="shared" si="9"/>
        <v/>
      </c>
      <c r="J31" s="100" t="str">
        <f t="shared" si="11"/>
        <v/>
      </c>
      <c r="K31" s="100"/>
    </row>
    <row r="32" spans="2:11" s="5" customFormat="1" ht="15.75" customHeight="1" outlineLevel="1" x14ac:dyDescent="0.2">
      <c r="B32" s="12" t="s">
        <v>208</v>
      </c>
      <c r="C32" s="43"/>
      <c r="D32" s="167">
        <f>'DEM (Strategic Priorities)'!D36</f>
        <v>0</v>
      </c>
      <c r="E32" s="66">
        <f>'DEM (Strategic Priorities)'!E36</f>
        <v>0</v>
      </c>
      <c r="F32" s="100">
        <f t="shared" si="12"/>
        <v>0</v>
      </c>
      <c r="G32" s="100" t="str">
        <f t="shared" si="8"/>
        <v/>
      </c>
      <c r="H32" s="100" t="str">
        <f t="shared" si="6"/>
        <v/>
      </c>
      <c r="I32" s="155" t="str">
        <f t="shared" si="9"/>
        <v/>
      </c>
      <c r="J32" s="100" t="str">
        <f t="shared" si="11"/>
        <v/>
      </c>
      <c r="K32" s="100"/>
    </row>
    <row r="33" spans="1:11" s="5" customFormat="1" ht="15.75" customHeight="1" outlineLevel="1" x14ac:dyDescent="0.2">
      <c r="B33" s="12" t="s">
        <v>209</v>
      </c>
      <c r="C33" s="43"/>
      <c r="D33" s="167">
        <f>'DEM (Strategic Priorities)'!D37</f>
        <v>0</v>
      </c>
      <c r="E33" s="66">
        <f>'DEM (Strategic Priorities)'!E37</f>
        <v>0</v>
      </c>
      <c r="F33" s="100">
        <f t="shared" si="12"/>
        <v>0</v>
      </c>
      <c r="G33" s="100" t="str">
        <f t="shared" si="8"/>
        <v/>
      </c>
      <c r="H33" s="100" t="str">
        <f t="shared" si="6"/>
        <v/>
      </c>
      <c r="I33" s="155" t="str">
        <f t="shared" si="9"/>
        <v/>
      </c>
      <c r="J33" s="100" t="str">
        <f t="shared" si="11"/>
        <v/>
      </c>
      <c r="K33" s="100"/>
    </row>
    <row r="34" spans="1:11" s="5" customFormat="1" ht="15.75" customHeight="1" outlineLevel="1" x14ac:dyDescent="0.2">
      <c r="B34" s="12" t="s">
        <v>210</v>
      </c>
      <c r="C34" s="43"/>
      <c r="D34" s="167">
        <f>'DEM (Strategic Priorities)'!D38</f>
        <v>0</v>
      </c>
      <c r="E34" s="66">
        <f>'DEM (Strategic Priorities)'!E38</f>
        <v>0</v>
      </c>
      <c r="F34" s="100">
        <f t="shared" si="12"/>
        <v>0</v>
      </c>
      <c r="G34" s="100" t="str">
        <f t="shared" si="8"/>
        <v/>
      </c>
      <c r="H34" s="100" t="str">
        <f t="shared" si="6"/>
        <v/>
      </c>
      <c r="I34" s="155" t="str">
        <f t="shared" si="9"/>
        <v/>
      </c>
      <c r="J34" s="100" t="str">
        <f t="shared" si="11"/>
        <v/>
      </c>
      <c r="K34" s="100"/>
    </row>
    <row r="35" spans="1:11" s="5" customFormat="1" ht="15.75" customHeight="1" x14ac:dyDescent="0.2">
      <c r="B35" s="12" t="s">
        <v>211</v>
      </c>
      <c r="C35" s="43"/>
      <c r="D35" s="167">
        <f>'DEM (Strategic Priorities)'!D39</f>
        <v>0</v>
      </c>
      <c r="E35" s="66">
        <f>'DEM (Strategic Priorities)'!E39</f>
        <v>0</v>
      </c>
      <c r="F35" s="100">
        <f t="shared" si="12"/>
        <v>0</v>
      </c>
      <c r="G35" s="100" t="str">
        <f t="shared" si="8"/>
        <v/>
      </c>
      <c r="H35" s="100" t="str">
        <f t="shared" si="6"/>
        <v/>
      </c>
      <c r="I35" s="155" t="str">
        <f t="shared" si="9"/>
        <v/>
      </c>
      <c r="J35" s="100" t="str">
        <f t="shared" si="11"/>
        <v/>
      </c>
      <c r="K35" s="100"/>
    </row>
    <row r="36" spans="1:11" s="5" customFormat="1" ht="15.75" customHeight="1" outlineLevel="1" x14ac:dyDescent="0.2">
      <c r="B36" s="12" t="s">
        <v>212</v>
      </c>
      <c r="C36" s="43"/>
      <c r="D36" s="167">
        <f>'DEM (Strategic Priorities)'!D40</f>
        <v>0</v>
      </c>
      <c r="E36" s="66">
        <f>'DEM (Strategic Priorities)'!E40</f>
        <v>0</v>
      </c>
      <c r="F36" s="100">
        <f t="shared" si="12"/>
        <v>0</v>
      </c>
      <c r="G36" s="100" t="str">
        <f t="shared" si="8"/>
        <v/>
      </c>
      <c r="H36" s="100" t="str">
        <f t="shared" si="6"/>
        <v/>
      </c>
      <c r="I36" s="155" t="str">
        <f t="shared" si="9"/>
        <v/>
      </c>
      <c r="J36" s="100" t="str">
        <f t="shared" si="11"/>
        <v/>
      </c>
      <c r="K36" s="100"/>
    </row>
    <row r="37" spans="1:11" s="5" customFormat="1" ht="27.75" customHeight="1" outlineLevel="1" x14ac:dyDescent="0.2">
      <c r="B37" s="12" t="s">
        <v>213</v>
      </c>
      <c r="C37" s="43"/>
      <c r="D37" s="167">
        <f>'DEM (Strategic Priorities)'!D41</f>
        <v>0</v>
      </c>
      <c r="E37" s="66">
        <f>'DEM (Strategic Priorities)'!E41</f>
        <v>0</v>
      </c>
      <c r="F37" s="100">
        <f t="shared" si="12"/>
        <v>0</v>
      </c>
      <c r="G37" s="100" t="str">
        <f t="shared" si="8"/>
        <v/>
      </c>
      <c r="H37" s="100" t="str">
        <f t="shared" si="6"/>
        <v/>
      </c>
      <c r="I37" s="155" t="str">
        <f t="shared" si="9"/>
        <v/>
      </c>
      <c r="J37" s="100" t="str">
        <f t="shared" si="11"/>
        <v/>
      </c>
      <c r="K37" s="100"/>
    </row>
    <row r="38" spans="1:11" s="5" customFormat="1" ht="27" customHeight="1" outlineLevel="1" x14ac:dyDescent="0.2">
      <c r="B38" s="12" t="s">
        <v>214</v>
      </c>
      <c r="C38" s="43"/>
      <c r="D38" s="167">
        <f>'DEM (Strategic Priorities)'!D42</f>
        <v>0</v>
      </c>
      <c r="E38" s="66">
        <f>'DEM (Strategic Priorities)'!E42</f>
        <v>0</v>
      </c>
      <c r="F38" s="100">
        <f t="shared" si="12"/>
        <v>0</v>
      </c>
      <c r="G38" s="100" t="str">
        <f t="shared" si="8"/>
        <v/>
      </c>
      <c r="H38" s="100" t="str">
        <f t="shared" si="6"/>
        <v/>
      </c>
      <c r="I38" s="155" t="str">
        <f t="shared" si="9"/>
        <v/>
      </c>
      <c r="J38" s="100" t="str">
        <f t="shared" si="11"/>
        <v/>
      </c>
      <c r="K38" s="100"/>
    </row>
    <row r="39" spans="1:11" s="5" customFormat="1" ht="15.75" customHeight="1" outlineLevel="1" x14ac:dyDescent="0.2">
      <c r="B39" s="12" t="s">
        <v>215</v>
      </c>
      <c r="C39" s="43"/>
      <c r="D39" s="167">
        <f>'DEM (Strategic Priorities)'!D43</f>
        <v>0</v>
      </c>
      <c r="E39" s="66">
        <f>'DEM (Strategic Priorities)'!E43</f>
        <v>0</v>
      </c>
      <c r="F39" s="100">
        <f t="shared" si="12"/>
        <v>0</v>
      </c>
      <c r="G39" s="100" t="str">
        <f t="shared" si="8"/>
        <v/>
      </c>
      <c r="H39" s="100" t="str">
        <f t="shared" si="6"/>
        <v/>
      </c>
      <c r="I39" s="155" t="str">
        <f t="shared" si="9"/>
        <v/>
      </c>
      <c r="J39" s="100" t="str">
        <f t="shared" si="11"/>
        <v/>
      </c>
      <c r="K39" s="100"/>
    </row>
    <row r="40" spans="1:11" s="5" customFormat="1" ht="28.5" customHeight="1" outlineLevel="1" x14ac:dyDescent="0.2">
      <c r="B40" s="12" t="s">
        <v>216</v>
      </c>
      <c r="C40" s="43"/>
      <c r="D40" s="167">
        <f>'DEM (Strategic Priorities)'!D44</f>
        <v>0</v>
      </c>
      <c r="E40" s="66">
        <f>'DEM (Strategic Priorities)'!E44</f>
        <v>0</v>
      </c>
      <c r="F40" s="100">
        <f t="shared" si="12"/>
        <v>0</v>
      </c>
      <c r="G40" s="100" t="str">
        <f t="shared" si="8"/>
        <v/>
      </c>
      <c r="H40" s="100" t="str">
        <f t="shared" si="6"/>
        <v/>
      </c>
      <c r="I40" s="155" t="str">
        <f t="shared" si="9"/>
        <v/>
      </c>
      <c r="J40" s="100" t="str">
        <f t="shared" si="11"/>
        <v/>
      </c>
      <c r="K40" s="100"/>
    </row>
    <row r="41" spans="1:11" ht="15.75" customHeight="1" x14ac:dyDescent="0.2">
      <c r="A41" s="5"/>
      <c r="B41" s="12" t="s">
        <v>217</v>
      </c>
      <c r="C41" s="43"/>
      <c r="D41" s="167">
        <f>'DEM (Strategic Priorities)'!D45</f>
        <v>0</v>
      </c>
      <c r="E41" s="66">
        <f>'DEM (Strategic Priorities)'!E45</f>
        <v>0</v>
      </c>
      <c r="F41" s="100">
        <f t="shared" si="12"/>
        <v>0</v>
      </c>
      <c r="G41" s="100" t="str">
        <f t="shared" si="8"/>
        <v/>
      </c>
      <c r="H41" s="100" t="str">
        <f t="shared" si="6"/>
        <v/>
      </c>
      <c r="I41" s="155" t="str">
        <f t="shared" si="9"/>
        <v/>
      </c>
      <c r="J41" s="100" t="str">
        <f t="shared" si="11"/>
        <v/>
      </c>
      <c r="K41" s="100"/>
    </row>
    <row r="42" spans="1:11" ht="15.75" customHeight="1" x14ac:dyDescent="0.2">
      <c r="B42" s="12" t="s">
        <v>218</v>
      </c>
      <c r="C42" s="43"/>
      <c r="D42" s="167">
        <f>'DEM (Strategic Priorities)'!D46</f>
        <v>0</v>
      </c>
      <c r="E42" s="66">
        <f>'DEM (Strategic Priorities)'!E46</f>
        <v>0</v>
      </c>
      <c r="F42" s="100">
        <f t="shared" si="12"/>
        <v>0</v>
      </c>
      <c r="G42" s="100" t="str">
        <f t="shared" si="8"/>
        <v/>
      </c>
      <c r="H42" s="100" t="str">
        <f t="shared" si="6"/>
        <v/>
      </c>
      <c r="I42" s="155" t="str">
        <f t="shared" si="9"/>
        <v/>
      </c>
      <c r="J42" s="100" t="str">
        <f t="shared" si="11"/>
        <v/>
      </c>
      <c r="K42" s="100"/>
    </row>
    <row r="43" spans="1:11" s="5" customFormat="1" ht="27.75" customHeight="1" x14ac:dyDescent="0.2">
      <c r="A43" s="2"/>
      <c r="B43" s="12" t="s">
        <v>219</v>
      </c>
      <c r="C43" s="43"/>
      <c r="D43" s="167">
        <f>'DEM (Strategic Priorities)'!D47</f>
        <v>0</v>
      </c>
      <c r="E43" s="66">
        <f>'DEM (Strategic Priorities)'!E47</f>
        <v>0</v>
      </c>
      <c r="F43" s="100">
        <f t="shared" si="12"/>
        <v>0</v>
      </c>
      <c r="G43" s="100" t="str">
        <f t="shared" si="8"/>
        <v/>
      </c>
      <c r="H43" s="100" t="str">
        <f t="shared" si="6"/>
        <v/>
      </c>
      <c r="I43" s="155" t="str">
        <f t="shared" si="9"/>
        <v/>
      </c>
      <c r="J43" s="100" t="str">
        <f t="shared" si="11"/>
        <v/>
      </c>
      <c r="K43" s="100"/>
    </row>
    <row r="44" spans="1:11" s="5" customFormat="1" ht="15.75" customHeight="1" x14ac:dyDescent="0.2">
      <c r="A44" s="2"/>
      <c r="B44" s="213" t="s">
        <v>220</v>
      </c>
      <c r="C44" s="43"/>
      <c r="D44" s="167">
        <f>'DEM (Strategic Priorities)'!D49</f>
        <v>0</v>
      </c>
      <c r="E44" s="66">
        <f>'DEM (Strategic Priorities)'!E49</f>
        <v>0</v>
      </c>
      <c r="F44" s="100">
        <f t="shared" ref="F44:F73" si="13">IF(E44="Yes",1,0)</f>
        <v>0</v>
      </c>
      <c r="G44" s="100" t="str">
        <f t="shared" ref="G44:G73" si="14">IF(F44=1,B44,"")</f>
        <v/>
      </c>
      <c r="H44" s="100" t="str">
        <f t="shared" ref="H44:H73" si="15">IF(G44&lt;&gt;"","-","")</f>
        <v/>
      </c>
      <c r="I44" s="155" t="str">
        <f t="shared" ref="I44:I73" si="16">IF(E44="Yes","*","")</f>
        <v/>
      </c>
      <c r="J44" s="100" t="str">
        <f t="shared" ref="J44:J73" si="17">IF(G44&lt;&gt;"",CONCATENATE(H44,G44,I44,CHAR(10)),"")</f>
        <v/>
      </c>
      <c r="K44" s="100"/>
    </row>
    <row r="45" spans="1:11" s="5" customFormat="1" ht="15.75" customHeight="1" x14ac:dyDescent="0.2">
      <c r="A45" s="2"/>
      <c r="B45" s="12" t="s">
        <v>221</v>
      </c>
      <c r="C45" s="43"/>
      <c r="D45" s="167">
        <f>'DEM (Strategic Priorities)'!D50</f>
        <v>0</v>
      </c>
      <c r="E45" s="66">
        <f>'DEM (Strategic Priorities)'!E50</f>
        <v>0</v>
      </c>
      <c r="F45" s="100">
        <f t="shared" si="13"/>
        <v>0</v>
      </c>
      <c r="G45" s="100" t="str">
        <f t="shared" si="14"/>
        <v/>
      </c>
      <c r="H45" s="100" t="str">
        <f t="shared" si="15"/>
        <v/>
      </c>
      <c r="I45" s="155" t="str">
        <f t="shared" si="16"/>
        <v/>
      </c>
      <c r="J45" s="100" t="str">
        <f t="shared" si="17"/>
        <v/>
      </c>
      <c r="K45" s="100"/>
    </row>
    <row r="46" spans="1:11" s="5" customFormat="1" ht="15.75" customHeight="1" x14ac:dyDescent="0.2">
      <c r="A46" s="2"/>
      <c r="B46" s="12" t="s">
        <v>222</v>
      </c>
      <c r="C46" s="43"/>
      <c r="D46" s="167">
        <f>'DEM (Strategic Priorities)'!D51</f>
        <v>0</v>
      </c>
      <c r="E46" s="66">
        <f>'DEM (Strategic Priorities)'!E51</f>
        <v>0</v>
      </c>
      <c r="F46" s="100">
        <f t="shared" si="13"/>
        <v>0</v>
      </c>
      <c r="G46" s="100" t="str">
        <f t="shared" si="14"/>
        <v/>
      </c>
      <c r="H46" s="100" t="str">
        <f t="shared" si="15"/>
        <v/>
      </c>
      <c r="I46" s="155" t="str">
        <f t="shared" si="16"/>
        <v/>
      </c>
      <c r="J46" s="100" t="str">
        <f t="shared" si="17"/>
        <v/>
      </c>
      <c r="K46" s="100"/>
    </row>
    <row r="47" spans="1:11" s="5" customFormat="1" ht="15.75" customHeight="1" x14ac:dyDescent="0.2">
      <c r="A47" s="2"/>
      <c r="B47" s="12" t="s">
        <v>223</v>
      </c>
      <c r="C47" s="43"/>
      <c r="D47" s="167">
        <f>'DEM (Strategic Priorities)'!D52</f>
        <v>0</v>
      </c>
      <c r="E47" s="66">
        <f>'DEM (Strategic Priorities)'!E52</f>
        <v>0</v>
      </c>
      <c r="F47" s="100">
        <f t="shared" si="13"/>
        <v>0</v>
      </c>
      <c r="G47" s="100" t="str">
        <f t="shared" si="14"/>
        <v/>
      </c>
      <c r="H47" s="100" t="str">
        <f t="shared" si="15"/>
        <v/>
      </c>
      <c r="I47" s="155" t="str">
        <f t="shared" si="16"/>
        <v/>
      </c>
      <c r="J47" s="100" t="str">
        <f t="shared" si="17"/>
        <v/>
      </c>
      <c r="K47" s="100"/>
    </row>
    <row r="48" spans="1:11" s="5" customFormat="1" ht="15.75" customHeight="1" x14ac:dyDescent="0.2">
      <c r="A48" s="2"/>
      <c r="B48" s="12" t="s">
        <v>224</v>
      </c>
      <c r="C48" s="43"/>
      <c r="D48" s="167">
        <f>'DEM (Strategic Priorities)'!D53</f>
        <v>0</v>
      </c>
      <c r="E48" s="66">
        <f>'DEM (Strategic Priorities)'!E53</f>
        <v>0</v>
      </c>
      <c r="F48" s="100">
        <f t="shared" si="13"/>
        <v>0</v>
      </c>
      <c r="G48" s="100" t="str">
        <f t="shared" si="14"/>
        <v/>
      </c>
      <c r="H48" s="100" t="str">
        <f t="shared" si="15"/>
        <v/>
      </c>
      <c r="I48" s="155" t="str">
        <f t="shared" si="16"/>
        <v/>
      </c>
      <c r="J48" s="100" t="str">
        <f t="shared" si="17"/>
        <v/>
      </c>
      <c r="K48" s="100"/>
    </row>
    <row r="49" spans="1:11" s="5" customFormat="1" ht="15.75" customHeight="1" x14ac:dyDescent="0.2">
      <c r="A49" s="2"/>
      <c r="B49" s="12" t="s">
        <v>225</v>
      </c>
      <c r="C49" s="43"/>
      <c r="D49" s="167">
        <f>'DEM (Strategic Priorities)'!D54</f>
        <v>0</v>
      </c>
      <c r="E49" s="66">
        <f>'DEM (Strategic Priorities)'!E54</f>
        <v>0</v>
      </c>
      <c r="F49" s="100">
        <f t="shared" si="13"/>
        <v>0</v>
      </c>
      <c r="G49" s="100" t="str">
        <f t="shared" si="14"/>
        <v/>
      </c>
      <c r="H49" s="100" t="str">
        <f t="shared" si="15"/>
        <v/>
      </c>
      <c r="I49" s="155" t="str">
        <f t="shared" si="16"/>
        <v/>
      </c>
      <c r="J49" s="100" t="str">
        <f t="shared" si="17"/>
        <v/>
      </c>
      <c r="K49" s="100"/>
    </row>
    <row r="50" spans="1:11" s="5" customFormat="1" ht="15.75" customHeight="1" x14ac:dyDescent="0.2">
      <c r="A50" s="2"/>
      <c r="B50" s="12" t="s">
        <v>226</v>
      </c>
      <c r="C50" s="43"/>
      <c r="D50" s="167">
        <f>'DEM (Strategic Priorities)'!D55</f>
        <v>0</v>
      </c>
      <c r="E50" s="66">
        <f>'DEM (Strategic Priorities)'!E55</f>
        <v>0</v>
      </c>
      <c r="F50" s="100">
        <f t="shared" si="13"/>
        <v>0</v>
      </c>
      <c r="G50" s="100" t="str">
        <f t="shared" si="14"/>
        <v/>
      </c>
      <c r="H50" s="100" t="str">
        <f t="shared" si="15"/>
        <v/>
      </c>
      <c r="I50" s="155" t="str">
        <f t="shared" si="16"/>
        <v/>
      </c>
      <c r="J50" s="100" t="str">
        <f t="shared" si="17"/>
        <v/>
      </c>
      <c r="K50" s="100"/>
    </row>
    <row r="51" spans="1:11" s="5" customFormat="1" ht="15.75" customHeight="1" x14ac:dyDescent="0.2">
      <c r="A51" s="2"/>
      <c r="B51" s="12" t="s">
        <v>227</v>
      </c>
      <c r="C51" s="43"/>
      <c r="D51" s="167">
        <f>'DEM (Strategic Priorities)'!D56</f>
        <v>0</v>
      </c>
      <c r="E51" s="66">
        <f>'DEM (Strategic Priorities)'!E56</f>
        <v>0</v>
      </c>
      <c r="F51" s="100">
        <f t="shared" si="13"/>
        <v>0</v>
      </c>
      <c r="G51" s="100" t="str">
        <f t="shared" si="14"/>
        <v/>
      </c>
      <c r="H51" s="100" t="str">
        <f t="shared" si="15"/>
        <v/>
      </c>
      <c r="I51" s="155" t="str">
        <f t="shared" si="16"/>
        <v/>
      </c>
      <c r="J51" s="100" t="str">
        <f t="shared" si="17"/>
        <v/>
      </c>
      <c r="K51" s="100"/>
    </row>
    <row r="52" spans="1:11" s="5" customFormat="1" ht="15.75" customHeight="1" x14ac:dyDescent="0.2">
      <c r="A52" s="2"/>
      <c r="B52" s="12" t="s">
        <v>228</v>
      </c>
      <c r="C52" s="43"/>
      <c r="D52" s="167">
        <f>'DEM (Strategic Priorities)'!D57</f>
        <v>0</v>
      </c>
      <c r="E52" s="66">
        <f>'DEM (Strategic Priorities)'!E57</f>
        <v>0</v>
      </c>
      <c r="F52" s="100">
        <f t="shared" si="13"/>
        <v>0</v>
      </c>
      <c r="G52" s="100" t="str">
        <f t="shared" si="14"/>
        <v/>
      </c>
      <c r="H52" s="100" t="str">
        <f t="shared" si="15"/>
        <v/>
      </c>
      <c r="I52" s="155" t="str">
        <f t="shared" si="16"/>
        <v/>
      </c>
      <c r="J52" s="100" t="str">
        <f t="shared" si="17"/>
        <v/>
      </c>
      <c r="K52" s="100"/>
    </row>
    <row r="53" spans="1:11" s="5" customFormat="1" ht="15.75" customHeight="1" x14ac:dyDescent="0.2">
      <c r="A53" s="2"/>
      <c r="B53" s="12" t="s">
        <v>229</v>
      </c>
      <c r="C53" s="43"/>
      <c r="D53" s="167">
        <f>'DEM (Strategic Priorities)'!D58</f>
        <v>0</v>
      </c>
      <c r="E53" s="66">
        <f>'DEM (Strategic Priorities)'!E58</f>
        <v>0</v>
      </c>
      <c r="F53" s="100">
        <f t="shared" si="13"/>
        <v>0</v>
      </c>
      <c r="G53" s="100" t="str">
        <f t="shared" si="14"/>
        <v/>
      </c>
      <c r="H53" s="100" t="str">
        <f t="shared" si="15"/>
        <v/>
      </c>
      <c r="I53" s="155" t="str">
        <f t="shared" si="16"/>
        <v/>
      </c>
      <c r="J53" s="100" t="str">
        <f t="shared" si="17"/>
        <v/>
      </c>
      <c r="K53" s="100"/>
    </row>
    <row r="54" spans="1:11" s="5" customFormat="1" ht="15.75" customHeight="1" x14ac:dyDescent="0.2">
      <c r="A54" s="2"/>
      <c r="B54" s="12" t="s">
        <v>230</v>
      </c>
      <c r="C54" s="43"/>
      <c r="D54" s="167">
        <f>'DEM (Strategic Priorities)'!D59</f>
        <v>0</v>
      </c>
      <c r="E54" s="66">
        <f>'DEM (Strategic Priorities)'!E59</f>
        <v>0</v>
      </c>
      <c r="F54" s="100">
        <f t="shared" si="13"/>
        <v>0</v>
      </c>
      <c r="G54" s="100" t="str">
        <f t="shared" si="14"/>
        <v/>
      </c>
      <c r="H54" s="100" t="str">
        <f t="shared" si="15"/>
        <v/>
      </c>
      <c r="I54" s="155" t="str">
        <f t="shared" si="16"/>
        <v/>
      </c>
      <c r="J54" s="100" t="str">
        <f t="shared" si="17"/>
        <v/>
      </c>
      <c r="K54" s="100"/>
    </row>
    <row r="55" spans="1:11" s="5" customFormat="1" ht="15.75" customHeight="1" x14ac:dyDescent="0.2">
      <c r="A55" s="2"/>
      <c r="B55" s="12" t="s">
        <v>231</v>
      </c>
      <c r="C55" s="43"/>
      <c r="D55" s="167">
        <f>'DEM (Strategic Priorities)'!D60</f>
        <v>0</v>
      </c>
      <c r="E55" s="66">
        <f>'DEM (Strategic Priorities)'!E60</f>
        <v>0</v>
      </c>
      <c r="F55" s="100">
        <f t="shared" si="13"/>
        <v>0</v>
      </c>
      <c r="G55" s="100" t="str">
        <f t="shared" si="14"/>
        <v/>
      </c>
      <c r="H55" s="100" t="str">
        <f t="shared" si="15"/>
        <v/>
      </c>
      <c r="I55" s="155" t="str">
        <f t="shared" si="16"/>
        <v/>
      </c>
      <c r="J55" s="100" t="str">
        <f t="shared" si="17"/>
        <v/>
      </c>
      <c r="K55" s="100"/>
    </row>
    <row r="56" spans="1:11" s="5" customFormat="1" ht="15.75" customHeight="1" x14ac:dyDescent="0.2">
      <c r="A56" s="2"/>
      <c r="B56" s="12" t="s">
        <v>232</v>
      </c>
      <c r="C56" s="43"/>
      <c r="D56" s="167">
        <f>'DEM (Strategic Priorities)'!D61</f>
        <v>0</v>
      </c>
      <c r="E56" s="66">
        <f>'DEM (Strategic Priorities)'!E61</f>
        <v>0</v>
      </c>
      <c r="F56" s="100">
        <f t="shared" si="13"/>
        <v>0</v>
      </c>
      <c r="G56" s="100" t="str">
        <f t="shared" si="14"/>
        <v/>
      </c>
      <c r="H56" s="100" t="str">
        <f t="shared" si="15"/>
        <v/>
      </c>
      <c r="I56" s="155" t="str">
        <f t="shared" si="16"/>
        <v/>
      </c>
      <c r="J56" s="100" t="str">
        <f t="shared" si="17"/>
        <v/>
      </c>
      <c r="K56" s="100"/>
    </row>
    <row r="57" spans="1:11" s="5" customFormat="1" ht="25.5" x14ac:dyDescent="0.2">
      <c r="A57" s="2"/>
      <c r="B57" s="12" t="s">
        <v>233</v>
      </c>
      <c r="C57" s="43"/>
      <c r="D57" s="167">
        <f>'DEM (Strategic Priorities)'!D62</f>
        <v>0</v>
      </c>
      <c r="E57" s="66">
        <f>'DEM (Strategic Priorities)'!E62</f>
        <v>0</v>
      </c>
      <c r="F57" s="100">
        <f t="shared" si="13"/>
        <v>0</v>
      </c>
      <c r="G57" s="100" t="str">
        <f t="shared" si="14"/>
        <v/>
      </c>
      <c r="H57" s="100" t="str">
        <f t="shared" si="15"/>
        <v/>
      </c>
      <c r="I57" s="155" t="str">
        <f t="shared" si="16"/>
        <v/>
      </c>
      <c r="J57" s="100" t="str">
        <f t="shared" si="17"/>
        <v/>
      </c>
      <c r="K57" s="100"/>
    </row>
    <row r="58" spans="1:11" s="5" customFormat="1" x14ac:dyDescent="0.2">
      <c r="A58" s="2"/>
      <c r="B58" s="12" t="s">
        <v>234</v>
      </c>
      <c r="C58" s="43"/>
      <c r="D58" s="167">
        <f>'DEM (Strategic Priorities)'!D63</f>
        <v>0</v>
      </c>
      <c r="E58" s="66">
        <f>'DEM (Strategic Priorities)'!E63</f>
        <v>0</v>
      </c>
      <c r="F58" s="100">
        <f t="shared" si="13"/>
        <v>0</v>
      </c>
      <c r="G58" s="100" t="str">
        <f t="shared" si="14"/>
        <v/>
      </c>
      <c r="H58" s="100" t="str">
        <f t="shared" si="15"/>
        <v/>
      </c>
      <c r="I58" s="155" t="str">
        <f t="shared" si="16"/>
        <v/>
      </c>
      <c r="J58" s="100" t="str">
        <f t="shared" si="17"/>
        <v/>
      </c>
      <c r="K58" s="100"/>
    </row>
    <row r="59" spans="1:11" s="5" customFormat="1" ht="25.5" x14ac:dyDescent="0.2">
      <c r="A59" s="2"/>
      <c r="B59" s="12" t="s">
        <v>235</v>
      </c>
      <c r="C59" s="43"/>
      <c r="D59" s="167">
        <f>'DEM (Strategic Priorities)'!D64</f>
        <v>0</v>
      </c>
      <c r="E59" s="66">
        <f>'DEM (Strategic Priorities)'!E64</f>
        <v>0</v>
      </c>
      <c r="F59" s="100">
        <f t="shared" si="13"/>
        <v>0</v>
      </c>
      <c r="G59" s="100" t="str">
        <f t="shared" si="14"/>
        <v/>
      </c>
      <c r="H59" s="100" t="str">
        <f t="shared" si="15"/>
        <v/>
      </c>
      <c r="I59" s="155" t="str">
        <f t="shared" si="16"/>
        <v/>
      </c>
      <c r="J59" s="100" t="str">
        <f t="shared" si="17"/>
        <v/>
      </c>
      <c r="K59" s="100"/>
    </row>
    <row r="60" spans="1:11" s="5" customFormat="1" x14ac:dyDescent="0.2">
      <c r="A60" s="2"/>
      <c r="B60" s="226" t="s">
        <v>236</v>
      </c>
      <c r="C60" s="228"/>
      <c r="D60" s="229">
        <f>'DEM (Strategic Priorities)'!D65</f>
        <v>0</v>
      </c>
      <c r="E60" s="230" t="str">
        <f>'DEM (Strategic Priorities)'!E65</f>
        <v>Yes</v>
      </c>
      <c r="F60" s="100">
        <f t="shared" ref="F60" si="18">IF(E60="Yes",1,0)</f>
        <v>1</v>
      </c>
      <c r="G60" s="100" t="str">
        <f t="shared" ref="G60" si="19">IF(F60=1,B60,"")</f>
        <v>Países que han mejorado la gestión del riesgo de desastres (#)</v>
      </c>
      <c r="H60" s="100" t="str">
        <f t="shared" ref="H60" si="20">IF(G60&lt;&gt;"","-","")</f>
        <v>-</v>
      </c>
      <c r="I60" s="155" t="str">
        <f t="shared" ref="I60" si="21">IF(E60="Yes","*","")</f>
        <v>*</v>
      </c>
      <c r="J60" s="100" t="str">
        <f t="shared" ref="J60" si="22">IF(G60&lt;&gt;"",CONCATENATE(H60,G60,I60,CHAR(10)),"")</f>
        <v xml:space="preserve">-Países que han mejorado la gestión del riesgo de desastres (#)*
</v>
      </c>
      <c r="K60" s="100"/>
    </row>
    <row r="61" spans="1:11" s="5" customFormat="1" x14ac:dyDescent="0.2">
      <c r="A61" s="2"/>
      <c r="B61" s="12" t="s">
        <v>237</v>
      </c>
      <c r="C61" s="43"/>
      <c r="D61" s="167">
        <f>'DEM (Strategic Priorities)'!D66</f>
        <v>0</v>
      </c>
      <c r="E61" s="66">
        <f>'DEM (Strategic Priorities)'!E66</f>
        <v>0</v>
      </c>
      <c r="F61" s="100">
        <f t="shared" si="13"/>
        <v>0</v>
      </c>
      <c r="G61" s="100" t="str">
        <f t="shared" si="14"/>
        <v/>
      </c>
      <c r="H61" s="100" t="str">
        <f t="shared" si="15"/>
        <v/>
      </c>
      <c r="I61" s="155" t="str">
        <f t="shared" si="16"/>
        <v/>
      </c>
      <c r="J61" s="100" t="str">
        <f t="shared" si="17"/>
        <v/>
      </c>
      <c r="K61" s="100"/>
    </row>
    <row r="62" spans="1:11" s="5" customFormat="1" ht="25.5" x14ac:dyDescent="0.2">
      <c r="A62" s="2"/>
      <c r="B62" s="12" t="s">
        <v>238</v>
      </c>
      <c r="C62" s="43"/>
      <c r="D62" s="167">
        <f>'DEM (Strategic Priorities)'!D67</f>
        <v>0</v>
      </c>
      <c r="E62" s="66">
        <f>'DEM (Strategic Priorities)'!E67</f>
        <v>0</v>
      </c>
      <c r="F62" s="100">
        <f t="shared" si="13"/>
        <v>0</v>
      </c>
      <c r="G62" s="100" t="str">
        <f t="shared" si="14"/>
        <v/>
      </c>
      <c r="H62" s="100" t="str">
        <f t="shared" si="15"/>
        <v/>
      </c>
      <c r="I62" s="155" t="str">
        <f t="shared" si="16"/>
        <v/>
      </c>
      <c r="J62" s="100" t="str">
        <f t="shared" si="17"/>
        <v/>
      </c>
      <c r="K62" s="100"/>
    </row>
    <row r="63" spans="1:11" s="5" customFormat="1" x14ac:dyDescent="0.2">
      <c r="A63" s="2"/>
      <c r="B63" s="226" t="s">
        <v>239</v>
      </c>
      <c r="C63" s="228"/>
      <c r="D63" s="229">
        <f>'DEM (Strategic Priorities)'!D68</f>
        <v>0</v>
      </c>
      <c r="E63" s="230">
        <f>'DEM (Strategic Priorities)'!E68</f>
        <v>0</v>
      </c>
      <c r="F63" s="100">
        <f t="shared" ref="F63" si="23">IF(E63="Yes",1,0)</f>
        <v>0</v>
      </c>
      <c r="G63" s="100" t="str">
        <f t="shared" ref="G63" si="24">IF(F63=1,B63,"")</f>
        <v/>
      </c>
      <c r="H63" s="100" t="str">
        <f t="shared" ref="H63" si="25">IF(G63&lt;&gt;"","-","")</f>
        <v/>
      </c>
      <c r="I63" s="155" t="str">
        <f t="shared" ref="I63" si="26">IF(E63="Yes","*","")</f>
        <v/>
      </c>
      <c r="J63" s="100" t="str">
        <f t="shared" ref="J63" si="27">IF(G63&lt;&gt;"",CONCATENATE(H63,G63,I63,CHAR(10)),"")</f>
        <v/>
      </c>
      <c r="K63" s="100"/>
    </row>
    <row r="64" spans="1:11" s="5" customFormat="1" ht="15.75" customHeight="1" x14ac:dyDescent="0.2">
      <c r="A64" s="2"/>
      <c r="B64" s="12" t="s">
        <v>240</v>
      </c>
      <c r="C64" s="43"/>
      <c r="D64" s="167">
        <f>'DEM (Strategic Priorities)'!D69</f>
        <v>0</v>
      </c>
      <c r="E64" s="66">
        <f>'DEM (Strategic Priorities)'!E69</f>
        <v>0</v>
      </c>
      <c r="F64" s="100">
        <f t="shared" si="13"/>
        <v>0</v>
      </c>
      <c r="G64" s="100" t="str">
        <f t="shared" si="14"/>
        <v/>
      </c>
      <c r="H64" s="100" t="str">
        <f t="shared" si="15"/>
        <v/>
      </c>
      <c r="I64" s="155" t="str">
        <f t="shared" si="16"/>
        <v/>
      </c>
      <c r="J64" s="100" t="str">
        <f t="shared" si="17"/>
        <v/>
      </c>
      <c r="K64" s="100"/>
    </row>
    <row r="65" spans="1:11" s="5" customFormat="1" ht="15.75" customHeight="1" x14ac:dyDescent="0.2">
      <c r="A65" s="2"/>
      <c r="B65" s="12" t="s">
        <v>241</v>
      </c>
      <c r="C65" s="43"/>
      <c r="D65" s="167">
        <f>'DEM (Strategic Priorities)'!D70</f>
        <v>0</v>
      </c>
      <c r="E65" s="66">
        <f>'DEM (Strategic Priorities)'!E70</f>
        <v>0</v>
      </c>
      <c r="F65" s="100">
        <f t="shared" si="13"/>
        <v>0</v>
      </c>
      <c r="G65" s="100" t="str">
        <f t="shared" si="14"/>
        <v/>
      </c>
      <c r="H65" s="100" t="str">
        <f t="shared" si="15"/>
        <v/>
      </c>
      <c r="I65" s="155" t="str">
        <f t="shared" si="16"/>
        <v/>
      </c>
      <c r="J65" s="100" t="str">
        <f t="shared" si="17"/>
        <v/>
      </c>
      <c r="K65" s="100"/>
    </row>
    <row r="66" spans="1:11" s="5" customFormat="1" ht="15.75" customHeight="1" x14ac:dyDescent="0.2">
      <c r="A66" s="2"/>
      <c r="B66" s="12" t="s">
        <v>242</v>
      </c>
      <c r="C66" s="43"/>
      <c r="D66" s="167">
        <f>'DEM (Strategic Priorities)'!D71</f>
        <v>0</v>
      </c>
      <c r="E66" s="66">
        <f>'DEM (Strategic Priorities)'!E71</f>
        <v>0</v>
      </c>
      <c r="F66" s="100">
        <f t="shared" si="13"/>
        <v>0</v>
      </c>
      <c r="G66" s="100" t="str">
        <f t="shared" si="14"/>
        <v/>
      </c>
      <c r="H66" s="100" t="str">
        <f t="shared" si="15"/>
        <v/>
      </c>
      <c r="I66" s="155" t="str">
        <f t="shared" si="16"/>
        <v/>
      </c>
      <c r="J66" s="100" t="str">
        <f t="shared" si="17"/>
        <v/>
      </c>
      <c r="K66" s="100"/>
    </row>
    <row r="67" spans="1:11" s="5" customFormat="1" ht="15.75" customHeight="1" x14ac:dyDescent="0.2">
      <c r="A67" s="2"/>
      <c r="B67" s="226" t="s">
        <v>243</v>
      </c>
      <c r="C67" s="228"/>
      <c r="D67" s="229">
        <f>'DEM (Strategic Priorities)'!D72</f>
        <v>0</v>
      </c>
      <c r="E67" s="230">
        <f>'DEM (Strategic Priorities)'!E72</f>
        <v>0</v>
      </c>
      <c r="F67" s="100">
        <f t="shared" si="13"/>
        <v>0</v>
      </c>
      <c r="G67" s="100" t="str">
        <f t="shared" si="14"/>
        <v/>
      </c>
      <c r="H67" s="100" t="str">
        <f t="shared" si="15"/>
        <v/>
      </c>
      <c r="I67" s="155" t="str">
        <f t="shared" si="16"/>
        <v/>
      </c>
      <c r="J67" s="100" t="str">
        <f t="shared" si="17"/>
        <v/>
      </c>
      <c r="K67" s="100"/>
    </row>
    <row r="68" spans="1:11" s="5" customFormat="1" ht="15.75" customHeight="1" x14ac:dyDescent="0.2">
      <c r="A68" s="2"/>
      <c r="B68" s="226" t="s">
        <v>244</v>
      </c>
      <c r="C68" s="228"/>
      <c r="D68" s="229">
        <f>'DEM (Strategic Priorities)'!D73</f>
        <v>0</v>
      </c>
      <c r="E68" s="230">
        <f>'DEM (Strategic Priorities)'!E73</f>
        <v>0</v>
      </c>
      <c r="F68" s="100">
        <f t="shared" ref="F68:F72" si="28">IF(E68="Yes",1,0)</f>
        <v>0</v>
      </c>
      <c r="G68" s="100" t="str">
        <f t="shared" ref="G68:G72" si="29">IF(F68=1,B68,"")</f>
        <v/>
      </c>
      <c r="H68" s="100" t="str">
        <f t="shared" ref="H68:H72" si="30">IF(G68&lt;&gt;"","-","")</f>
        <v/>
      </c>
      <c r="I68" s="155" t="str">
        <f t="shared" ref="I68:I72" si="31">IF(E68="Yes","*","")</f>
        <v/>
      </c>
      <c r="J68" s="100" t="str">
        <f t="shared" ref="J68:J72" si="32">IF(G68&lt;&gt;"",CONCATENATE(H68,G68,I68,CHAR(10)),"")</f>
        <v/>
      </c>
      <c r="K68" s="100"/>
    </row>
    <row r="69" spans="1:11" s="5" customFormat="1" ht="15.75" customHeight="1" x14ac:dyDescent="0.2">
      <c r="A69" s="2"/>
      <c r="B69" s="226" t="s">
        <v>245</v>
      </c>
      <c r="C69" s="228"/>
      <c r="D69" s="229">
        <f>'DEM (Strategic Priorities)'!D74</f>
        <v>0</v>
      </c>
      <c r="E69" s="230">
        <f>'DEM (Strategic Priorities)'!E74</f>
        <v>0</v>
      </c>
      <c r="F69" s="100">
        <f t="shared" si="28"/>
        <v>0</v>
      </c>
      <c r="G69" s="100" t="str">
        <f t="shared" si="29"/>
        <v/>
      </c>
      <c r="H69" s="100" t="str">
        <f t="shared" si="30"/>
        <v/>
      </c>
      <c r="I69" s="155" t="str">
        <f t="shared" si="31"/>
        <v/>
      </c>
      <c r="J69" s="100" t="str">
        <f t="shared" si="32"/>
        <v/>
      </c>
      <c r="K69" s="100"/>
    </row>
    <row r="70" spans="1:11" s="5" customFormat="1" ht="15.75" customHeight="1" x14ac:dyDescent="0.2">
      <c r="A70" s="2"/>
      <c r="B70" s="226" t="s">
        <v>246</v>
      </c>
      <c r="C70" s="228"/>
      <c r="D70" s="229">
        <f>'DEM (Strategic Priorities)'!D75</f>
        <v>0</v>
      </c>
      <c r="E70" s="230">
        <f>'DEM (Strategic Priorities)'!E75</f>
        <v>0</v>
      </c>
      <c r="F70" s="100">
        <f t="shared" si="28"/>
        <v>0</v>
      </c>
      <c r="G70" s="100" t="str">
        <f t="shared" si="29"/>
        <v/>
      </c>
      <c r="H70" s="100" t="str">
        <f t="shared" si="30"/>
        <v/>
      </c>
      <c r="I70" s="155" t="str">
        <f t="shared" si="31"/>
        <v/>
      </c>
      <c r="J70" s="100" t="str">
        <f t="shared" si="32"/>
        <v/>
      </c>
      <c r="K70" s="100"/>
    </row>
    <row r="71" spans="1:11" s="5" customFormat="1" ht="15.75" customHeight="1" x14ac:dyDescent="0.2">
      <c r="A71" s="2"/>
      <c r="B71" s="226" t="s">
        <v>247</v>
      </c>
      <c r="C71" s="228"/>
      <c r="D71" s="229">
        <f>'DEM (Strategic Priorities)'!D76</f>
        <v>0</v>
      </c>
      <c r="E71" s="230">
        <f>'DEM (Strategic Priorities)'!E76</f>
        <v>0</v>
      </c>
      <c r="F71" s="100">
        <f t="shared" si="28"/>
        <v>0</v>
      </c>
      <c r="G71" s="100" t="str">
        <f t="shared" si="29"/>
        <v/>
      </c>
      <c r="H71" s="100" t="str">
        <f t="shared" si="30"/>
        <v/>
      </c>
      <c r="I71" s="155" t="str">
        <f t="shared" si="31"/>
        <v/>
      </c>
      <c r="J71" s="100" t="str">
        <f t="shared" si="32"/>
        <v/>
      </c>
      <c r="K71" s="100"/>
    </row>
    <row r="72" spans="1:11" s="5" customFormat="1" ht="15.75" customHeight="1" x14ac:dyDescent="0.2">
      <c r="A72" s="2"/>
      <c r="B72" s="226" t="s">
        <v>248</v>
      </c>
      <c r="C72" s="228"/>
      <c r="D72" s="229">
        <f>'DEM (Strategic Priorities)'!D77</f>
        <v>0</v>
      </c>
      <c r="E72" s="230">
        <f>'DEM (Strategic Priorities)'!E77</f>
        <v>0</v>
      </c>
      <c r="F72" s="100">
        <f t="shared" si="28"/>
        <v>0</v>
      </c>
      <c r="G72" s="100" t="str">
        <f t="shared" si="29"/>
        <v/>
      </c>
      <c r="H72" s="100" t="str">
        <f t="shared" si="30"/>
        <v/>
      </c>
      <c r="I72" s="155" t="str">
        <f t="shared" si="31"/>
        <v/>
      </c>
      <c r="J72" s="100" t="str">
        <f t="shared" si="32"/>
        <v/>
      </c>
      <c r="K72" s="100"/>
    </row>
    <row r="73" spans="1:11" s="5" customFormat="1" ht="15.75" customHeight="1" x14ac:dyDescent="0.2">
      <c r="A73" s="2"/>
      <c r="B73" s="12" t="s">
        <v>249</v>
      </c>
      <c r="C73" s="43"/>
      <c r="D73" s="167">
        <f>'DEM (Strategic Priorities)'!D78</f>
        <v>0</v>
      </c>
      <c r="E73" s="66">
        <f>'DEM (Strategic Priorities)'!E78</f>
        <v>0</v>
      </c>
      <c r="F73" s="100">
        <f t="shared" si="13"/>
        <v>0</v>
      </c>
      <c r="G73" s="100" t="str">
        <f t="shared" si="14"/>
        <v/>
      </c>
      <c r="H73" s="100" t="str">
        <f t="shared" si="15"/>
        <v/>
      </c>
      <c r="I73" s="155" t="str">
        <f t="shared" si="16"/>
        <v/>
      </c>
      <c r="J73" s="100" t="str">
        <f t="shared" si="17"/>
        <v/>
      </c>
      <c r="K73" s="100"/>
    </row>
    <row r="74" spans="1:11" s="5" customFormat="1" ht="35.25" customHeight="1" thickBot="1" x14ac:dyDescent="0.25">
      <c r="A74" s="2"/>
      <c r="B74" s="19"/>
      <c r="C74" s="3"/>
      <c r="D74" s="363"/>
      <c r="E74" s="363"/>
      <c r="F74" s="97"/>
      <c r="G74" s="98"/>
      <c r="H74" s="98"/>
      <c r="I74" s="98"/>
      <c r="J74" s="98"/>
      <c r="K74" s="98"/>
    </row>
    <row r="75" spans="1:11" s="5" customFormat="1" ht="43.5" customHeight="1" x14ac:dyDescent="0.2">
      <c r="B75" s="15" t="s">
        <v>250</v>
      </c>
      <c r="C75" s="74"/>
      <c r="D75" s="175"/>
      <c r="E75" s="159"/>
      <c r="F75" s="97"/>
      <c r="G75" s="98"/>
      <c r="H75" s="98"/>
      <c r="I75" s="98"/>
      <c r="J75" s="98"/>
      <c r="K75" s="98"/>
    </row>
    <row r="76" spans="1:11" s="5" customFormat="1" ht="24" customHeight="1" x14ac:dyDescent="0.2">
      <c r="B76" s="16" t="s">
        <v>168</v>
      </c>
      <c r="C76" s="13"/>
      <c r="D76" s="64"/>
      <c r="E76" s="160"/>
      <c r="F76" s="97"/>
      <c r="G76" s="98"/>
      <c r="H76" s="98"/>
      <c r="I76" s="98"/>
      <c r="J76" s="98"/>
      <c r="K76" s="98"/>
    </row>
    <row r="77" spans="1:11" s="5" customFormat="1" ht="28.5" customHeight="1" x14ac:dyDescent="0.2">
      <c r="A77" s="2"/>
      <c r="B77" s="11" t="s">
        <v>251</v>
      </c>
      <c r="C77" s="42" t="s">
        <v>252</v>
      </c>
      <c r="D77" s="65"/>
      <c r="E77" s="158"/>
      <c r="F77" s="97"/>
      <c r="G77" s="98"/>
      <c r="H77" s="98"/>
      <c r="I77" s="98"/>
      <c r="J77" s="98"/>
      <c r="K77" s="98"/>
    </row>
    <row r="78" spans="1:11" s="5" customFormat="1" ht="24" customHeight="1" x14ac:dyDescent="0.2">
      <c r="A78" s="2"/>
      <c r="B78" s="11" t="s">
        <v>253</v>
      </c>
      <c r="C78" s="42" t="s">
        <v>254</v>
      </c>
      <c r="D78" s="65"/>
      <c r="E78" s="158"/>
      <c r="F78" s="97"/>
      <c r="G78" s="98"/>
      <c r="H78" s="98"/>
      <c r="I78" s="98"/>
      <c r="J78" s="98"/>
      <c r="K78" s="98"/>
    </row>
    <row r="79" spans="1:11" s="5" customFormat="1" ht="28.5" customHeight="1" x14ac:dyDescent="0.2">
      <c r="A79" s="2"/>
      <c r="B79" s="76" t="s">
        <v>173</v>
      </c>
      <c r="C79" s="13"/>
      <c r="D79" s="64"/>
      <c r="E79" s="160"/>
      <c r="F79" s="97"/>
      <c r="G79" s="98"/>
      <c r="H79" s="98"/>
      <c r="I79" s="98"/>
      <c r="J79" s="98"/>
      <c r="K79" s="98"/>
    </row>
    <row r="80" spans="1:11" ht="25.5" x14ac:dyDescent="0.2">
      <c r="B80" s="14" t="s">
        <v>174</v>
      </c>
      <c r="C80" s="42" t="s">
        <v>255</v>
      </c>
      <c r="D80" s="65"/>
      <c r="E80" s="158"/>
      <c r="F80" s="97"/>
      <c r="G80" s="98"/>
      <c r="H80" s="98"/>
      <c r="I80" s="98"/>
      <c r="J80" s="98"/>
      <c r="K80" s="98"/>
    </row>
    <row r="81" spans="2:11" x14ac:dyDescent="0.2">
      <c r="B81" s="16" t="s">
        <v>256</v>
      </c>
      <c r="C81" s="13"/>
      <c r="D81" s="64"/>
      <c r="E81" s="160"/>
      <c r="F81" s="97"/>
      <c r="G81" s="98"/>
      <c r="H81" s="98"/>
      <c r="I81" s="98"/>
      <c r="J81" s="98"/>
      <c r="K81" s="98"/>
    </row>
    <row r="82" spans="2:11" ht="26.25" thickBot="1" x14ac:dyDescent="0.25">
      <c r="B82" s="38" t="s">
        <v>177</v>
      </c>
      <c r="C82" s="41" t="s">
        <v>257</v>
      </c>
      <c r="D82" s="168"/>
      <c r="E82" s="158"/>
      <c r="F82" s="97"/>
      <c r="G82" s="98"/>
      <c r="H82" s="98"/>
      <c r="I82" s="98"/>
      <c r="J82" s="98"/>
      <c r="K82" s="98"/>
    </row>
    <row r="83" spans="2:11" x14ac:dyDescent="0.2">
      <c r="E83" s="169"/>
    </row>
    <row r="84" spans="2:11" x14ac:dyDescent="0.2">
      <c r="E84" s="170"/>
    </row>
    <row r="85" spans="2:11" x14ac:dyDescent="0.2">
      <c r="E85" s="170"/>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22" zoomScale="80" zoomScaleNormal="80" zoomScaleSheetLayoutView="70" workbookViewId="0">
      <selection activeCell="I23" sqref="I23"/>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8" customWidth="1"/>
    <col min="5" max="5" width="11.5703125" style="255" hidden="1" customWidth="1"/>
    <col min="6" max="6" width="12.85546875" style="296" hidden="1" customWidth="1"/>
    <col min="7" max="7" width="14.7109375" style="8" customWidth="1"/>
    <col min="8" max="8" width="11" style="97" hidden="1" customWidth="1"/>
    <col min="9" max="9" width="62" style="305" customWidth="1"/>
    <col min="10" max="10" width="60.140625" style="305" customWidth="1"/>
    <col min="11" max="11" width="51.140625" style="305" customWidth="1"/>
    <col min="12" max="39" width="9.140625" style="45"/>
    <col min="40" max="16384" width="9.140625" style="2"/>
  </cols>
  <sheetData>
    <row r="1" spans="1:39" ht="13.5" thickBot="1" x14ac:dyDescent="0.25">
      <c r="B1" s="298"/>
      <c r="C1" s="299"/>
      <c r="D1" s="300"/>
    </row>
    <row r="2" spans="1:39" ht="18" x14ac:dyDescent="0.2">
      <c r="A2" s="303"/>
      <c r="B2" s="528" t="s">
        <v>77</v>
      </c>
      <c r="C2" s="529"/>
      <c r="D2" s="530"/>
      <c r="E2" s="251"/>
      <c r="F2" s="251"/>
      <c r="G2" s="248"/>
    </row>
    <row r="3" spans="1:39" ht="18.75" thickBot="1" x14ac:dyDescent="0.25">
      <c r="A3" s="304"/>
      <c r="B3" s="554" t="s">
        <v>258</v>
      </c>
      <c r="C3" s="537"/>
      <c r="D3" s="555"/>
      <c r="E3" s="252"/>
      <c r="F3" s="252"/>
      <c r="G3" s="249"/>
    </row>
    <row r="4" spans="1:39" ht="18" x14ac:dyDescent="0.2">
      <c r="A4" s="20" t="s">
        <v>259</v>
      </c>
      <c r="B4" s="301"/>
      <c r="C4" s="156"/>
      <c r="D4" s="302"/>
      <c r="E4" s="297"/>
      <c r="F4" s="297"/>
      <c r="G4" s="156"/>
    </row>
    <row r="5" spans="1:39" ht="23.25" customHeight="1" x14ac:dyDescent="0.2">
      <c r="A5" s="20"/>
      <c r="B5" s="556" t="s">
        <v>260</v>
      </c>
      <c r="C5" s="557"/>
      <c r="D5" s="558"/>
      <c r="E5" s="253"/>
      <c r="F5" s="253"/>
      <c r="G5" s="250"/>
    </row>
    <row r="6" spans="1:39" ht="32.25" customHeight="1" x14ac:dyDescent="0.2">
      <c r="A6" s="6">
        <v>1</v>
      </c>
      <c r="B6" s="559" t="s">
        <v>261</v>
      </c>
      <c r="C6" s="531"/>
      <c r="D6" s="532"/>
      <c r="E6" s="254"/>
      <c r="F6" s="254"/>
      <c r="G6" s="117"/>
    </row>
    <row r="7" spans="1:39" ht="35.25" customHeight="1" thickBot="1" x14ac:dyDescent="0.25">
      <c r="A7" s="26">
        <v>2</v>
      </c>
      <c r="B7" s="560" t="s">
        <v>262</v>
      </c>
      <c r="C7" s="561"/>
      <c r="D7" s="562"/>
      <c r="E7" s="254"/>
      <c r="F7" s="254"/>
      <c r="G7" s="117"/>
    </row>
    <row r="8" spans="1:39" ht="21" customHeight="1" thickBot="1" x14ac:dyDescent="0.25">
      <c r="A8" s="23"/>
      <c r="B8" s="117"/>
      <c r="C8" s="117"/>
      <c r="D8" s="117"/>
      <c r="E8" s="254"/>
      <c r="F8" s="254"/>
      <c r="G8" s="118"/>
    </row>
    <row r="9" spans="1:39" ht="15.75" customHeight="1" x14ac:dyDescent="0.2">
      <c r="B9" s="549" t="s">
        <v>83</v>
      </c>
      <c r="C9" s="551" t="s">
        <v>84</v>
      </c>
      <c r="D9" s="551" t="s">
        <v>263</v>
      </c>
      <c r="F9" s="256"/>
      <c r="G9" s="543" t="s">
        <v>264</v>
      </c>
      <c r="H9" s="256"/>
      <c r="I9" s="545" t="s">
        <v>86</v>
      </c>
      <c r="J9" s="546"/>
      <c r="K9" s="546"/>
    </row>
    <row r="10" spans="1:39" ht="21.75" customHeight="1" x14ac:dyDescent="0.2">
      <c r="B10" s="550"/>
      <c r="C10" s="553"/>
      <c r="D10" s="552"/>
      <c r="E10" s="257"/>
      <c r="F10" s="257"/>
      <c r="G10" s="544"/>
      <c r="H10" s="239"/>
      <c r="I10" s="547"/>
      <c r="J10" s="548"/>
      <c r="K10" s="548"/>
    </row>
    <row r="11" spans="1:39" s="5" customFormat="1" ht="21" customHeight="1" x14ac:dyDescent="0.2">
      <c r="A11" s="2"/>
      <c r="B11" s="183" t="s">
        <v>265</v>
      </c>
      <c r="C11" s="102"/>
      <c r="D11" s="195"/>
      <c r="E11" s="258">
        <v>1</v>
      </c>
      <c r="F11" s="259">
        <v>10</v>
      </c>
      <c r="G11" s="196">
        <f>SUM(G12,G19,G24)</f>
        <v>7.4154999999999998</v>
      </c>
      <c r="H11" s="239"/>
      <c r="I11" s="326" t="s">
        <v>88</v>
      </c>
      <c r="J11" s="327" t="s">
        <v>266</v>
      </c>
      <c r="K11" s="327" t="s">
        <v>90</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
      <c r="A12" s="2"/>
      <c r="B12" s="123" t="s">
        <v>267</v>
      </c>
      <c r="C12" s="104"/>
      <c r="D12" s="124"/>
      <c r="E12" s="260">
        <v>0.3</v>
      </c>
      <c r="F12" s="261">
        <v>3</v>
      </c>
      <c r="G12" s="125">
        <f>SUM(G13:G18)</f>
        <v>3</v>
      </c>
      <c r="H12" s="239"/>
      <c r="I12" s="306"/>
      <c r="J12" s="307"/>
      <c r="K12" s="307"/>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5" x14ac:dyDescent="0.2">
      <c r="A13" s="2"/>
      <c r="B13" s="27" t="s">
        <v>268</v>
      </c>
      <c r="C13" s="355" t="s">
        <v>269</v>
      </c>
      <c r="D13" s="126" t="s">
        <v>100</v>
      </c>
      <c r="E13" s="262">
        <v>0.15</v>
      </c>
      <c r="F13" s="263">
        <v>0.45</v>
      </c>
      <c r="G13" s="127">
        <f>IF(D13="Yes",F13,0)</f>
        <v>0.45</v>
      </c>
      <c r="H13" s="239"/>
      <c r="I13" s="308"/>
      <c r="J13" s="309"/>
      <c r="K13" s="309"/>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x14ac:dyDescent="0.2">
      <c r="A14" s="2"/>
      <c r="B14" s="27" t="s">
        <v>270</v>
      </c>
      <c r="C14" s="355" t="s">
        <v>269</v>
      </c>
      <c r="D14" s="126" t="s">
        <v>100</v>
      </c>
      <c r="E14" s="262">
        <v>0.2</v>
      </c>
      <c r="F14" s="263">
        <v>0.6</v>
      </c>
      <c r="G14" s="127">
        <f t="shared" ref="G14:G17" si="0">IF(D14="Yes",F14,0)</f>
        <v>0.6</v>
      </c>
      <c r="H14" s="239"/>
      <c r="I14" s="308"/>
      <c r="J14" s="309"/>
      <c r="K14" s="309"/>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5" x14ac:dyDescent="0.2">
      <c r="B15" s="27" t="s">
        <v>271</v>
      </c>
      <c r="C15" s="355" t="s">
        <v>269</v>
      </c>
      <c r="D15" s="126" t="s">
        <v>100</v>
      </c>
      <c r="E15" s="262">
        <v>0.15</v>
      </c>
      <c r="F15" s="263">
        <v>0.45</v>
      </c>
      <c r="G15" s="127">
        <f t="shared" si="0"/>
        <v>0.45</v>
      </c>
      <c r="H15" s="240"/>
      <c r="I15" s="310"/>
      <c r="J15" s="311"/>
      <c r="K15" s="311"/>
    </row>
    <row r="16" spans="1:39" ht="15" x14ac:dyDescent="0.2">
      <c r="B16" s="27" t="s">
        <v>272</v>
      </c>
      <c r="C16" s="355" t="s">
        <v>269</v>
      </c>
      <c r="D16" s="126" t="s">
        <v>100</v>
      </c>
      <c r="E16" s="262">
        <v>0.2</v>
      </c>
      <c r="F16" s="263">
        <v>0.6</v>
      </c>
      <c r="G16" s="127">
        <f>IF(D16="Yes",F16,0)</f>
        <v>0.6</v>
      </c>
      <c r="H16" s="239"/>
      <c r="I16" s="310"/>
      <c r="J16" s="311"/>
      <c r="K16" s="311"/>
    </row>
    <row r="17" spans="1:39" ht="15" x14ac:dyDescent="0.2">
      <c r="B17" s="27" t="s">
        <v>273</v>
      </c>
      <c r="C17" s="355" t="s">
        <v>269</v>
      </c>
      <c r="D17" s="126" t="s">
        <v>100</v>
      </c>
      <c r="E17" s="262">
        <v>0.2</v>
      </c>
      <c r="F17" s="263">
        <v>0.6</v>
      </c>
      <c r="G17" s="127">
        <f t="shared" si="0"/>
        <v>0.6</v>
      </c>
      <c r="H17" s="239"/>
      <c r="I17" s="310"/>
      <c r="J17" s="311"/>
      <c r="K17" s="311"/>
    </row>
    <row r="18" spans="1:39" ht="15" x14ac:dyDescent="0.2">
      <c r="B18" s="27" t="s">
        <v>274</v>
      </c>
      <c r="C18" s="355" t="s">
        <v>269</v>
      </c>
      <c r="D18" s="126" t="s">
        <v>100</v>
      </c>
      <c r="E18" s="262">
        <v>0.1</v>
      </c>
      <c r="F18" s="263">
        <v>0.3</v>
      </c>
      <c r="G18" s="127">
        <f>IF(D18="Yes",F18,0)</f>
        <v>0.3</v>
      </c>
      <c r="H18" s="239"/>
      <c r="I18" s="310"/>
      <c r="J18" s="311"/>
      <c r="K18" s="311"/>
    </row>
    <row r="19" spans="1:39" ht="21" customHeight="1" x14ac:dyDescent="0.2">
      <c r="B19" s="123" t="s">
        <v>275</v>
      </c>
      <c r="C19" s="104"/>
      <c r="D19" s="124"/>
      <c r="E19" s="260">
        <v>0.4</v>
      </c>
      <c r="F19" s="261">
        <v>4</v>
      </c>
      <c r="G19" s="125">
        <f>SUM(G20+H23)</f>
        <v>1.72</v>
      </c>
      <c r="H19" s="241">
        <f>IF(AND(G22=0,G21&gt;0),1,IF(AND(G22&gt;0,G21&gt;0),2,IF(AND(G22=0,G21=0),3,0)))</f>
        <v>3</v>
      </c>
      <c r="I19" s="306"/>
      <c r="J19" s="307"/>
      <c r="K19" s="307"/>
    </row>
    <row r="20" spans="1:39" ht="15" x14ac:dyDescent="0.2">
      <c r="B20" s="129" t="s">
        <v>276</v>
      </c>
      <c r="C20" s="355" t="s">
        <v>277</v>
      </c>
      <c r="D20" s="80" t="s">
        <v>100</v>
      </c>
      <c r="E20" s="262">
        <v>0.43</v>
      </c>
      <c r="F20" s="264">
        <v>1.72</v>
      </c>
      <c r="G20" s="231">
        <f>IF(D20="Yes",F20,0)</f>
        <v>1.72</v>
      </c>
      <c r="H20" s="239"/>
      <c r="I20" s="310"/>
      <c r="J20" s="311"/>
      <c r="K20" s="311"/>
    </row>
    <row r="21" spans="1:39" ht="38.25" x14ac:dyDescent="0.2">
      <c r="B21" s="129" t="s">
        <v>278</v>
      </c>
      <c r="C21" s="355" t="s">
        <v>277</v>
      </c>
      <c r="D21" s="80" t="s">
        <v>299</v>
      </c>
      <c r="E21" s="262">
        <v>0.47</v>
      </c>
      <c r="F21" s="264">
        <v>1.88</v>
      </c>
      <c r="G21" s="231">
        <f>IF(D21="Yes",F21,0)</f>
        <v>0</v>
      </c>
      <c r="H21" s="239"/>
      <c r="I21" s="310"/>
      <c r="J21" s="311"/>
      <c r="K21" s="311" t="s">
        <v>441</v>
      </c>
    </row>
    <row r="22" spans="1:39" ht="15" x14ac:dyDescent="0.2">
      <c r="B22" s="27" t="s">
        <v>279</v>
      </c>
      <c r="C22" s="355" t="s">
        <v>277</v>
      </c>
      <c r="D22" s="80" t="s">
        <v>299</v>
      </c>
      <c r="E22" s="262">
        <v>0.1</v>
      </c>
      <c r="F22" s="264">
        <f>IF(AND(D21="yes", D22="yes"), 0.4, 0)</f>
        <v>0</v>
      </c>
      <c r="G22" s="231">
        <f>IF(D22="Yes",F22,0)</f>
        <v>0</v>
      </c>
      <c r="H22" s="239"/>
      <c r="I22" s="310"/>
      <c r="J22" s="311"/>
      <c r="K22" s="311"/>
    </row>
    <row r="23" spans="1:39" ht="28.5" x14ac:dyDescent="0.2">
      <c r="B23" s="27" t="s">
        <v>280</v>
      </c>
      <c r="C23" s="355" t="s">
        <v>277</v>
      </c>
      <c r="D23" s="80" t="s">
        <v>299</v>
      </c>
      <c r="E23" s="262">
        <v>0.56999999999999995</v>
      </c>
      <c r="F23" s="264">
        <f>IF(AND(G21=0,D23="Yes"),2.28,IF(AND(G21&gt;0,D23="Yes"),2.28,0))</f>
        <v>0</v>
      </c>
      <c r="G23" s="231">
        <f>IF(D23="Yes",F23,0)</f>
        <v>0</v>
      </c>
      <c r="H23" s="241">
        <f>IF(AND(H19=1,G23=0),G21,IF(AND(H19=1,G23&gt;0),G23,IF(H19=2,G21+G22,IF(AND(H19=3,G23&gt;0),2.28,0))))</f>
        <v>0</v>
      </c>
      <c r="I23" s="310"/>
      <c r="J23" s="311"/>
      <c r="K23" s="311"/>
    </row>
    <row r="24" spans="1:39" ht="21" customHeight="1" x14ac:dyDescent="0.2">
      <c r="B24" s="123" t="s">
        <v>281</v>
      </c>
      <c r="C24" s="104"/>
      <c r="D24" s="124"/>
      <c r="E24" s="260">
        <v>0.3</v>
      </c>
      <c r="F24" s="261">
        <v>3</v>
      </c>
      <c r="G24" s="125">
        <f>SUM(G25+G30+G34)</f>
        <v>2.6955</v>
      </c>
      <c r="H24" s="242"/>
      <c r="I24" s="306"/>
      <c r="J24" s="307"/>
      <c r="K24" s="307"/>
    </row>
    <row r="25" spans="1:39" ht="21" customHeight="1" x14ac:dyDescent="0.2">
      <c r="B25" s="130" t="s">
        <v>282</v>
      </c>
      <c r="C25" s="131"/>
      <c r="D25" s="132"/>
      <c r="E25" s="265">
        <v>0.3</v>
      </c>
      <c r="F25" s="266">
        <v>0.9</v>
      </c>
      <c r="G25" s="133">
        <f>G26</f>
        <v>0.9</v>
      </c>
      <c r="H25" s="239"/>
      <c r="I25" s="312"/>
      <c r="J25" s="313"/>
      <c r="K25" s="313"/>
    </row>
    <row r="26" spans="1:39" s="5" customFormat="1" ht="242.25" x14ac:dyDescent="0.2">
      <c r="B26" s="129" t="s">
        <v>283</v>
      </c>
      <c r="C26" s="356" t="s">
        <v>284</v>
      </c>
      <c r="D26" s="126" t="s">
        <v>100</v>
      </c>
      <c r="E26" s="262">
        <v>1</v>
      </c>
      <c r="F26" s="267">
        <v>0.9</v>
      </c>
      <c r="G26" s="127">
        <f>IF(D26="Yes",F26,0)</f>
        <v>0.9</v>
      </c>
      <c r="H26" s="239"/>
      <c r="I26" s="310"/>
      <c r="J26" s="314"/>
      <c r="K26" s="314" t="s">
        <v>443</v>
      </c>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x14ac:dyDescent="0.2">
      <c r="B27" s="130" t="s">
        <v>285</v>
      </c>
      <c r="C27" s="134"/>
      <c r="D27" s="134"/>
      <c r="E27" s="268"/>
      <c r="F27" s="268"/>
      <c r="G27" s="135"/>
      <c r="H27" s="239"/>
      <c r="I27" s="312"/>
      <c r="J27" s="313"/>
      <c r="K27" s="313"/>
    </row>
    <row r="28" spans="1:39" ht="15" x14ac:dyDescent="0.2">
      <c r="B28" s="129" t="s">
        <v>286</v>
      </c>
      <c r="C28" s="136"/>
      <c r="D28" s="126" t="s">
        <v>100</v>
      </c>
      <c r="E28" s="173"/>
      <c r="F28" s="173"/>
      <c r="G28" s="138"/>
      <c r="H28" s="243"/>
      <c r="I28" s="310"/>
      <c r="J28" s="311"/>
      <c r="K28" s="311"/>
    </row>
    <row r="29" spans="1:39" ht="28.5" x14ac:dyDescent="0.2">
      <c r="B29" s="27" t="s">
        <v>287</v>
      </c>
      <c r="C29" s="128"/>
      <c r="D29" s="126" t="s">
        <v>100</v>
      </c>
      <c r="E29" s="173"/>
      <c r="F29" s="173"/>
      <c r="G29" s="138"/>
      <c r="H29" s="243"/>
      <c r="I29" s="310"/>
      <c r="J29" s="311"/>
      <c r="K29" s="311"/>
    </row>
    <row r="30" spans="1:39" s="5" customFormat="1" ht="21" customHeight="1" x14ac:dyDescent="0.2">
      <c r="A30" s="2"/>
      <c r="B30" s="130" t="s">
        <v>288</v>
      </c>
      <c r="C30" s="131"/>
      <c r="D30" s="132"/>
      <c r="E30" s="265">
        <v>0.35</v>
      </c>
      <c r="F30" s="269">
        <v>1.05</v>
      </c>
      <c r="G30" s="133">
        <f>SUM(G31:G33)</f>
        <v>0.74550000000000005</v>
      </c>
      <c r="H30" s="239"/>
      <c r="I30" s="312"/>
      <c r="J30" s="313"/>
      <c r="K30" s="313"/>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38.25" x14ac:dyDescent="0.2">
      <c r="A31" s="2"/>
      <c r="B31" s="27" t="s">
        <v>289</v>
      </c>
      <c r="C31" s="128"/>
      <c r="D31" s="80" t="s">
        <v>299</v>
      </c>
      <c r="E31" s="262">
        <v>0.28999999999999998</v>
      </c>
      <c r="F31" s="270">
        <v>0.30449999999999999</v>
      </c>
      <c r="G31" s="127">
        <f>IF(D31="Yes",F31,0)</f>
        <v>0</v>
      </c>
      <c r="H31" s="239"/>
      <c r="I31" s="308"/>
      <c r="J31" s="309"/>
      <c r="K31" s="309" t="s">
        <v>442</v>
      </c>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5" x14ac:dyDescent="0.2">
      <c r="A32" s="2"/>
      <c r="B32" s="27" t="s">
        <v>290</v>
      </c>
      <c r="C32" s="128"/>
      <c r="D32" s="80" t="s">
        <v>100</v>
      </c>
      <c r="E32" s="262">
        <v>0.47</v>
      </c>
      <c r="F32" s="270">
        <v>0.49349999999999999</v>
      </c>
      <c r="G32" s="127">
        <f>IF(D32="Yes",F32,0)</f>
        <v>0.49349999999999999</v>
      </c>
      <c r="H32" s="239"/>
      <c r="I32" s="308"/>
      <c r="J32" s="309"/>
      <c r="K32" s="309"/>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9.25" thickBot="1" x14ac:dyDescent="0.25">
      <c r="A33" s="2"/>
      <c r="B33" s="185" t="s">
        <v>291</v>
      </c>
      <c r="C33" s="128"/>
      <c r="D33" s="80" t="s">
        <v>100</v>
      </c>
      <c r="E33" s="262">
        <v>0.24</v>
      </c>
      <c r="F33" s="270">
        <v>0.252</v>
      </c>
      <c r="G33" s="127">
        <f>IF(D33="Yes",F33,0)</f>
        <v>0.252</v>
      </c>
      <c r="H33" s="239"/>
      <c r="I33" s="308"/>
      <c r="J33" s="309"/>
      <c r="K33" s="309"/>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
      <c r="A34" s="2"/>
      <c r="B34" s="130" t="s">
        <v>292</v>
      </c>
      <c r="C34" s="131"/>
      <c r="D34" s="132"/>
      <c r="E34" s="271">
        <v>0.35</v>
      </c>
      <c r="F34" s="269">
        <v>1.05</v>
      </c>
      <c r="G34" s="133">
        <f>SUM(G35:G37)</f>
        <v>1.05</v>
      </c>
      <c r="H34" s="239"/>
      <c r="I34" s="312"/>
      <c r="J34" s="313"/>
      <c r="K34" s="313"/>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5" x14ac:dyDescent="0.2">
      <c r="A35" s="2"/>
      <c r="B35" s="27" t="s">
        <v>293</v>
      </c>
      <c r="C35" s="128"/>
      <c r="D35" s="80" t="s">
        <v>100</v>
      </c>
      <c r="E35" s="262">
        <v>0.28999999999999998</v>
      </c>
      <c r="F35" s="270">
        <v>0.30449999999999999</v>
      </c>
      <c r="G35" s="127">
        <f>IF(D35="Yes",F35,0)</f>
        <v>0.30449999999999999</v>
      </c>
      <c r="H35" s="239"/>
      <c r="I35" s="308"/>
      <c r="J35" s="309"/>
      <c r="K35" s="309"/>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x14ac:dyDescent="0.2">
      <c r="A36" s="2"/>
      <c r="B36" s="27" t="s">
        <v>294</v>
      </c>
      <c r="C36" s="128"/>
      <c r="D36" s="80" t="s">
        <v>100</v>
      </c>
      <c r="E36" s="262">
        <v>0.47</v>
      </c>
      <c r="F36" s="270">
        <v>0.49349999999999999</v>
      </c>
      <c r="G36" s="127">
        <f t="shared" ref="G36:G37" si="1">IF(D36="Yes",F36,0)</f>
        <v>0.49349999999999999</v>
      </c>
      <c r="H36" s="239"/>
      <c r="I36" s="308"/>
      <c r="J36" s="309"/>
      <c r="K36" s="309"/>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x14ac:dyDescent="0.25">
      <c r="A37" s="2"/>
      <c r="B37" s="185" t="s">
        <v>295</v>
      </c>
      <c r="C37" s="128"/>
      <c r="D37" s="80" t="s">
        <v>100</v>
      </c>
      <c r="E37" s="262">
        <v>0.24</v>
      </c>
      <c r="F37" s="270">
        <v>0.252</v>
      </c>
      <c r="G37" s="127">
        <f t="shared" si="1"/>
        <v>0.252</v>
      </c>
      <c r="H37" s="239"/>
      <c r="I37" s="308"/>
      <c r="J37" s="309"/>
      <c r="K37" s="309"/>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
      <c r="B38" s="207" t="s">
        <v>296</v>
      </c>
      <c r="C38" s="208"/>
      <c r="D38" s="205"/>
      <c r="E38" s="272">
        <v>1</v>
      </c>
      <c r="F38" s="273">
        <v>10</v>
      </c>
      <c r="G38" s="206">
        <f>MAX(G41,G48)</f>
        <v>10</v>
      </c>
      <c r="H38" s="244"/>
      <c r="I38" s="315"/>
      <c r="J38" s="316"/>
      <c r="K38" s="316"/>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
      <c r="B39" s="139" t="s">
        <v>297</v>
      </c>
      <c r="C39" s="140"/>
      <c r="D39" s="124"/>
      <c r="E39" s="272"/>
      <c r="F39" s="273"/>
      <c r="G39" s="141"/>
      <c r="H39" s="244"/>
      <c r="I39" s="306"/>
      <c r="J39" s="307"/>
      <c r="K39" s="307"/>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x14ac:dyDescent="0.2">
      <c r="B40" s="129" t="s">
        <v>298</v>
      </c>
      <c r="C40" s="128"/>
      <c r="D40" s="126" t="s">
        <v>299</v>
      </c>
      <c r="E40" s="274"/>
      <c r="F40" s="275">
        <f>IF(D40="Yes",1,0)</f>
        <v>0</v>
      </c>
      <c r="G40" s="138"/>
      <c r="H40" s="244"/>
      <c r="I40" s="317"/>
      <c r="J40" s="317"/>
      <c r="K40" s="317"/>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
      <c r="B41" s="139" t="s">
        <v>300</v>
      </c>
      <c r="C41" s="232"/>
      <c r="D41" s="124"/>
      <c r="E41" s="276">
        <v>1</v>
      </c>
      <c r="F41" s="277">
        <v>10</v>
      </c>
      <c r="G41" s="141">
        <f>SUM(G42:G46)</f>
        <v>0</v>
      </c>
      <c r="H41" s="245">
        <f>IF(AND(G41&gt;=G48),1,IF(AND(G48&gt;G41),2,0))</f>
        <v>2</v>
      </c>
      <c r="I41" s="306"/>
      <c r="J41" s="307"/>
      <c r="K41" s="307"/>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x14ac:dyDescent="0.2">
      <c r="B42" s="129" t="s">
        <v>301</v>
      </c>
      <c r="C42" s="329"/>
      <c r="D42" s="80"/>
      <c r="E42" s="278">
        <v>0.3</v>
      </c>
      <c r="F42" s="279">
        <v>3</v>
      </c>
      <c r="G42" s="142">
        <f>IF(D42="Yes",F42,0)</f>
        <v>0</v>
      </c>
      <c r="H42" s="239"/>
      <c r="I42" s="308"/>
      <c r="J42" s="309"/>
      <c r="K42" s="309"/>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5" x14ac:dyDescent="0.2">
      <c r="B43" s="129" t="s">
        <v>302</v>
      </c>
      <c r="C43" s="128"/>
      <c r="D43" s="80"/>
      <c r="E43" s="278">
        <v>0.3</v>
      </c>
      <c r="F43" s="279">
        <v>3</v>
      </c>
      <c r="G43" s="142">
        <f t="shared" ref="G43:G45" si="2">IF(D43="Yes",F43,0)</f>
        <v>0</v>
      </c>
      <c r="H43" s="239"/>
      <c r="I43" s="308"/>
      <c r="J43" s="309"/>
      <c r="K43" s="309"/>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5" x14ac:dyDescent="0.2">
      <c r="B44" s="27" t="s">
        <v>303</v>
      </c>
      <c r="C44" s="128"/>
      <c r="D44" s="80"/>
      <c r="E44" s="278">
        <v>0.1</v>
      </c>
      <c r="F44" s="279">
        <v>1</v>
      </c>
      <c r="G44" s="142">
        <f t="shared" si="2"/>
        <v>0</v>
      </c>
      <c r="H44" s="239"/>
      <c r="I44" s="308"/>
      <c r="J44" s="309"/>
      <c r="K44" s="309"/>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x14ac:dyDescent="0.2">
      <c r="B45" s="129" t="s">
        <v>304</v>
      </c>
      <c r="C45" s="128"/>
      <c r="D45" s="80"/>
      <c r="E45" s="278">
        <v>0.2</v>
      </c>
      <c r="F45" s="279">
        <v>2</v>
      </c>
      <c r="G45" s="142">
        <f t="shared" si="2"/>
        <v>0</v>
      </c>
      <c r="H45" s="239"/>
      <c r="I45" s="308"/>
      <c r="J45" s="309"/>
      <c r="K45" s="309"/>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5" x14ac:dyDescent="0.2">
      <c r="B46" s="129" t="s">
        <v>305</v>
      </c>
      <c r="C46" s="128"/>
      <c r="D46" s="80"/>
      <c r="E46" s="278">
        <v>0.1</v>
      </c>
      <c r="F46" s="279">
        <v>1</v>
      </c>
      <c r="G46" s="142">
        <f>IF(D46="Yes",F46,0)</f>
        <v>0</v>
      </c>
      <c r="H46" s="239"/>
      <c r="I46" s="308"/>
      <c r="J46" s="309"/>
      <c r="K46" s="309"/>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
      <c r="B48" s="139" t="s">
        <v>306</v>
      </c>
      <c r="C48" s="140"/>
      <c r="D48" s="124"/>
      <c r="E48" s="276">
        <v>1</v>
      </c>
      <c r="F48" s="277">
        <v>10</v>
      </c>
      <c r="G48" s="141">
        <f>SUM(G49:G53)</f>
        <v>10</v>
      </c>
      <c r="H48" s="239"/>
      <c r="I48" s="306"/>
      <c r="J48" s="307"/>
      <c r="K48" s="307"/>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x14ac:dyDescent="0.2">
      <c r="B49" s="129" t="s">
        <v>307</v>
      </c>
      <c r="C49" s="356" t="s">
        <v>308</v>
      </c>
      <c r="D49" s="80" t="s">
        <v>100</v>
      </c>
      <c r="E49" s="280">
        <v>0.215</v>
      </c>
      <c r="F49" s="281">
        <v>2.15</v>
      </c>
      <c r="G49" s="142">
        <f>IF(D49="Yes",F49,0)</f>
        <v>2.15</v>
      </c>
      <c r="H49" s="239"/>
      <c r="I49" s="308"/>
      <c r="J49" s="309"/>
      <c r="K49" s="309"/>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x14ac:dyDescent="0.2">
      <c r="B50" s="129" t="s">
        <v>309</v>
      </c>
      <c r="C50" s="356" t="s">
        <v>308</v>
      </c>
      <c r="D50" s="80" t="s">
        <v>100</v>
      </c>
      <c r="E50" s="280">
        <v>0.33</v>
      </c>
      <c r="F50" s="281">
        <v>3.3</v>
      </c>
      <c r="G50" s="142">
        <f t="shared" ref="G50:G53" si="3">IF(D50="Yes",F50,0)</f>
        <v>3.3</v>
      </c>
      <c r="H50" s="239"/>
      <c r="I50" s="308"/>
      <c r="J50" s="309"/>
      <c r="K50" s="309"/>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x14ac:dyDescent="0.2">
      <c r="B51" s="129" t="s">
        <v>310</v>
      </c>
      <c r="C51" s="356" t="s">
        <v>308</v>
      </c>
      <c r="D51" s="80" t="s">
        <v>100</v>
      </c>
      <c r="E51" s="280">
        <v>0.1</v>
      </c>
      <c r="F51" s="281">
        <v>1</v>
      </c>
      <c r="G51" s="142">
        <f t="shared" si="3"/>
        <v>1</v>
      </c>
      <c r="H51" s="239"/>
      <c r="I51" s="308"/>
      <c r="J51" s="309"/>
      <c r="K51" s="309"/>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x14ac:dyDescent="0.2">
      <c r="B52" s="129" t="s">
        <v>311</v>
      </c>
      <c r="C52" s="356" t="s">
        <v>308</v>
      </c>
      <c r="D52" s="80" t="s">
        <v>100</v>
      </c>
      <c r="E52" s="280">
        <v>0.215</v>
      </c>
      <c r="F52" s="281">
        <v>2.15</v>
      </c>
      <c r="G52" s="142">
        <f t="shared" si="3"/>
        <v>2.15</v>
      </c>
      <c r="H52" s="239"/>
      <c r="I52" s="308"/>
      <c r="J52" s="309"/>
      <c r="K52" s="309"/>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x14ac:dyDescent="0.25">
      <c r="B53" s="129" t="s">
        <v>312</v>
      </c>
      <c r="C53" s="356" t="s">
        <v>308</v>
      </c>
      <c r="D53" s="80" t="s">
        <v>100</v>
      </c>
      <c r="E53" s="280">
        <v>0.14000000000000001</v>
      </c>
      <c r="F53" s="281">
        <v>1.4</v>
      </c>
      <c r="G53" s="142">
        <f t="shared" si="3"/>
        <v>1.4</v>
      </c>
      <c r="H53" s="239"/>
      <c r="I53" s="308"/>
      <c r="J53" s="309"/>
      <c r="K53" s="309"/>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
      <c r="B54" s="119" t="s">
        <v>313</v>
      </c>
      <c r="C54" s="120"/>
      <c r="D54" s="121"/>
      <c r="E54" s="282">
        <v>1</v>
      </c>
      <c r="F54" s="283">
        <v>10</v>
      </c>
      <c r="G54" s="122">
        <f>G61+G55</f>
        <v>8.4499999999999993</v>
      </c>
      <c r="H54" s="246"/>
      <c r="I54" s="318"/>
      <c r="J54" s="319"/>
      <c r="K54" s="319"/>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
      <c r="B55" s="123" t="s">
        <v>314</v>
      </c>
      <c r="C55" s="124"/>
      <c r="D55" s="124"/>
      <c r="E55" s="284">
        <v>0.25</v>
      </c>
      <c r="F55" s="285">
        <v>2.5</v>
      </c>
      <c r="G55" s="141">
        <f>SUM(G56:G60)</f>
        <v>2.5</v>
      </c>
      <c r="H55" s="239"/>
      <c r="I55" s="306"/>
      <c r="J55" s="307"/>
      <c r="K55" s="307"/>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x14ac:dyDescent="0.2">
      <c r="B56" s="27" t="s">
        <v>315</v>
      </c>
      <c r="C56" s="357" t="s">
        <v>316</v>
      </c>
      <c r="D56" s="80" t="s">
        <v>100</v>
      </c>
      <c r="E56" s="262">
        <v>0.28999999999999998</v>
      </c>
      <c r="F56" s="286">
        <v>0.72499999999999998</v>
      </c>
      <c r="G56" s="127">
        <f>IF(D56="Yes",F56,0)</f>
        <v>0.72499999999999998</v>
      </c>
      <c r="H56" s="239"/>
      <c r="I56" s="308"/>
      <c r="J56" s="309"/>
      <c r="K56" s="309"/>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38.25" x14ac:dyDescent="0.2">
      <c r="B57" s="27" t="s">
        <v>317</v>
      </c>
      <c r="C57" s="357" t="s">
        <v>318</v>
      </c>
      <c r="D57" s="80" t="s">
        <v>100</v>
      </c>
      <c r="E57" s="262">
        <v>0.14000000000000001</v>
      </c>
      <c r="F57" s="286">
        <v>0.35</v>
      </c>
      <c r="G57" s="127">
        <f>IF(D57="Yes",F57,0)</f>
        <v>0.35</v>
      </c>
      <c r="H57" s="239"/>
      <c r="I57" s="320"/>
      <c r="J57" s="309"/>
      <c r="K57" s="309"/>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15" x14ac:dyDescent="0.2">
      <c r="B58" s="27" t="s">
        <v>319</v>
      </c>
      <c r="C58" s="357" t="s">
        <v>316</v>
      </c>
      <c r="D58" s="80" t="s">
        <v>100</v>
      </c>
      <c r="E58" s="262">
        <v>0.28999999999999998</v>
      </c>
      <c r="F58" s="286">
        <v>0.72499999999999998</v>
      </c>
      <c r="G58" s="127">
        <f>IF(D58="Yes",F58,0)</f>
        <v>0.72499999999999998</v>
      </c>
      <c r="H58" s="239"/>
      <c r="I58" s="320"/>
      <c r="J58" s="321"/>
      <c r="K58" s="321"/>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15" x14ac:dyDescent="0.2">
      <c r="B59" s="27" t="s">
        <v>320</v>
      </c>
      <c r="C59" s="357" t="s">
        <v>316</v>
      </c>
      <c r="D59" s="80" t="s">
        <v>100</v>
      </c>
      <c r="E59" s="262">
        <v>0.14000000000000001</v>
      </c>
      <c r="F59" s="286">
        <v>0.35</v>
      </c>
      <c r="G59" s="127">
        <f t="shared" ref="G59:G60" si="4">IF(D59="Yes",F59,0)</f>
        <v>0.35</v>
      </c>
      <c r="H59" s="239"/>
      <c r="I59" s="320"/>
      <c r="J59" s="309"/>
      <c r="K59" s="309"/>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5" x14ac:dyDescent="0.2">
      <c r="B60" s="27" t="s">
        <v>321</v>
      </c>
      <c r="C60" s="357" t="s">
        <v>316</v>
      </c>
      <c r="D60" s="80" t="s">
        <v>100</v>
      </c>
      <c r="E60" s="262">
        <v>0.14000000000000001</v>
      </c>
      <c r="F60" s="286">
        <v>0.35</v>
      </c>
      <c r="G60" s="127">
        <f t="shared" si="4"/>
        <v>0.35</v>
      </c>
      <c r="H60" s="239"/>
      <c r="I60" s="320"/>
      <c r="J60" s="309"/>
      <c r="K60" s="309"/>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
      <c r="B61" s="123" t="s">
        <v>322</v>
      </c>
      <c r="C61" s="124"/>
      <c r="D61" s="124"/>
      <c r="E61" s="284">
        <v>0.75</v>
      </c>
      <c r="F61" s="285">
        <v>7.5</v>
      </c>
      <c r="G61" s="141">
        <f>MAX(G62,G83)</f>
        <v>5.95</v>
      </c>
      <c r="H61" s="239"/>
      <c r="I61" s="306"/>
      <c r="J61" s="307"/>
      <c r="K61" s="307"/>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
      <c r="B62" s="130" t="s">
        <v>323</v>
      </c>
      <c r="C62" s="132"/>
      <c r="D62" s="132"/>
      <c r="E62" s="271">
        <v>1</v>
      </c>
      <c r="F62" s="287">
        <v>7.5</v>
      </c>
      <c r="G62" s="144">
        <f>SUM(G69+G76)</f>
        <v>0</v>
      </c>
      <c r="H62" s="239"/>
      <c r="I62" s="312"/>
      <c r="J62" s="313"/>
      <c r="K62" s="313"/>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x14ac:dyDescent="0.2">
      <c r="B63" s="145" t="s">
        <v>324</v>
      </c>
      <c r="C63" s="146"/>
      <c r="D63" s="146"/>
      <c r="E63" s="288"/>
      <c r="F63" s="288"/>
      <c r="G63" s="146"/>
      <c r="H63" s="239"/>
      <c r="I63" s="322"/>
      <c r="J63" s="323"/>
      <c r="K63" s="323"/>
    </row>
    <row r="64" spans="2:39" s="5" customFormat="1" ht="15" x14ac:dyDescent="0.2">
      <c r="B64" s="129" t="s">
        <v>325</v>
      </c>
      <c r="C64" s="143"/>
      <c r="D64" s="80"/>
      <c r="E64" s="262"/>
      <c r="F64" s="173"/>
      <c r="G64" s="137"/>
      <c r="H64" s="239"/>
      <c r="I64" s="308"/>
      <c r="J64" s="309"/>
      <c r="K64" s="309"/>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x14ac:dyDescent="0.2">
      <c r="B65" s="129" t="s">
        <v>326</v>
      </c>
      <c r="C65" s="143"/>
      <c r="D65" s="80"/>
      <c r="E65" s="262"/>
      <c r="F65" s="173"/>
      <c r="G65" s="137"/>
      <c r="H65" s="239"/>
      <c r="I65" s="310"/>
      <c r="J65" s="309"/>
      <c r="K65" s="309"/>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x14ac:dyDescent="0.2">
      <c r="B66" s="129" t="s">
        <v>327</v>
      </c>
      <c r="C66" s="143"/>
      <c r="D66" s="80"/>
      <c r="E66" s="262"/>
      <c r="F66" s="173"/>
      <c r="G66" s="137"/>
      <c r="H66" s="239"/>
      <c r="I66" s="310"/>
      <c r="J66" s="309"/>
      <c r="K66" s="309"/>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x14ac:dyDescent="0.2">
      <c r="B67" s="129" t="s">
        <v>328</v>
      </c>
      <c r="C67" s="143"/>
      <c r="D67" s="80"/>
      <c r="E67" s="262"/>
      <c r="F67" s="173"/>
      <c r="G67" s="137"/>
      <c r="H67" s="239"/>
      <c r="I67" s="310"/>
      <c r="J67" s="309"/>
      <c r="K67" s="309"/>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x14ac:dyDescent="0.2">
      <c r="B68" s="129" t="s">
        <v>329</v>
      </c>
      <c r="C68" s="143"/>
      <c r="D68" s="80"/>
      <c r="E68" s="262"/>
      <c r="F68" s="173"/>
      <c r="G68" s="137"/>
      <c r="H68" s="239"/>
      <c r="I68" s="310"/>
      <c r="J68" s="311"/>
      <c r="K68" s="311"/>
    </row>
    <row r="69" spans="2:39" ht="15.75" customHeight="1" x14ac:dyDescent="0.2">
      <c r="B69" s="225" t="s">
        <v>330</v>
      </c>
      <c r="C69" s="146"/>
      <c r="D69" s="146"/>
      <c r="E69" s="289">
        <v>0.4</v>
      </c>
      <c r="F69" s="290">
        <v>3</v>
      </c>
      <c r="G69" s="147">
        <f>MAX(G70,G71,G72,G73,G74,G75)</f>
        <v>0</v>
      </c>
      <c r="H69" s="239"/>
      <c r="I69" s="322"/>
      <c r="J69" s="323"/>
      <c r="K69" s="323"/>
    </row>
    <row r="70" spans="2:39" ht="15" x14ac:dyDescent="0.2">
      <c r="B70" s="148" t="s">
        <v>331</v>
      </c>
      <c r="C70" s="149"/>
      <c r="D70" s="80"/>
      <c r="E70" s="262"/>
      <c r="F70" s="286">
        <v>3</v>
      </c>
      <c r="G70" s="127">
        <f t="shared" ref="G70:G75" si="5">IF(D70="Yes",F70,0)</f>
        <v>0</v>
      </c>
      <c r="H70" s="239"/>
      <c r="I70" s="324"/>
      <c r="J70" s="311"/>
      <c r="K70" s="311"/>
    </row>
    <row r="71" spans="2:39" s="7" customFormat="1" ht="15" x14ac:dyDescent="0.2">
      <c r="B71" s="148" t="s">
        <v>332</v>
      </c>
      <c r="C71" s="149"/>
      <c r="D71" s="80"/>
      <c r="E71" s="262"/>
      <c r="F71" s="286">
        <v>3</v>
      </c>
      <c r="G71" s="127">
        <f t="shared" si="5"/>
        <v>0</v>
      </c>
      <c r="H71" s="239"/>
      <c r="I71" s="310"/>
      <c r="J71" s="325"/>
      <c r="K71" s="325"/>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x14ac:dyDescent="0.2">
      <c r="B72" s="150" t="s">
        <v>333</v>
      </c>
      <c r="C72" s="149"/>
      <c r="D72" s="80"/>
      <c r="E72" s="262"/>
      <c r="F72" s="286">
        <v>3</v>
      </c>
      <c r="G72" s="127">
        <f t="shared" si="5"/>
        <v>0</v>
      </c>
      <c r="H72" s="239"/>
      <c r="I72" s="310"/>
      <c r="J72" s="325"/>
      <c r="K72" s="325"/>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x14ac:dyDescent="0.2">
      <c r="B73" s="150" t="s">
        <v>334</v>
      </c>
      <c r="C73" s="149"/>
      <c r="D73" s="80"/>
      <c r="E73" s="262"/>
      <c r="F73" s="286">
        <v>3</v>
      </c>
      <c r="G73" s="127">
        <f t="shared" si="5"/>
        <v>0</v>
      </c>
      <c r="H73" s="239"/>
      <c r="I73" s="310"/>
      <c r="J73" s="311"/>
      <c r="K73" s="311"/>
    </row>
    <row r="74" spans="2:39" ht="15" x14ac:dyDescent="0.2">
      <c r="B74" s="150" t="s">
        <v>335</v>
      </c>
      <c r="C74" s="149"/>
      <c r="D74" s="80"/>
      <c r="E74" s="262"/>
      <c r="F74" s="286">
        <v>3</v>
      </c>
      <c r="G74" s="127">
        <f t="shared" si="5"/>
        <v>0</v>
      </c>
      <c r="H74" s="239"/>
      <c r="I74" s="310"/>
      <c r="J74" s="311"/>
      <c r="K74" s="311"/>
    </row>
    <row r="75" spans="2:39" ht="15" x14ac:dyDescent="0.2">
      <c r="B75" s="150" t="s">
        <v>336</v>
      </c>
      <c r="C75" s="149"/>
      <c r="D75" s="80"/>
      <c r="E75" s="262"/>
      <c r="F75" s="286">
        <v>3</v>
      </c>
      <c r="G75" s="127">
        <f t="shared" si="5"/>
        <v>0</v>
      </c>
      <c r="H75" s="239"/>
      <c r="I75" s="310"/>
      <c r="J75" s="311"/>
      <c r="K75" s="311"/>
    </row>
    <row r="76" spans="2:39" ht="15" x14ac:dyDescent="0.2">
      <c r="B76" s="145" t="s">
        <v>337</v>
      </c>
      <c r="C76" s="146"/>
      <c r="D76" s="146"/>
      <c r="E76" s="289">
        <v>0.6</v>
      </c>
      <c r="F76" s="290">
        <v>4.5</v>
      </c>
      <c r="G76" s="147">
        <f>SUM(G77:G82)</f>
        <v>0</v>
      </c>
      <c r="H76" s="239"/>
      <c r="I76" s="322"/>
      <c r="J76" s="323"/>
      <c r="K76" s="323"/>
    </row>
    <row r="77" spans="2:39" ht="15" x14ac:dyDescent="0.2">
      <c r="B77" s="129" t="s">
        <v>338</v>
      </c>
      <c r="C77" s="143"/>
      <c r="D77" s="80"/>
      <c r="E77" s="262">
        <v>0.3</v>
      </c>
      <c r="F77" s="286">
        <v>1.35</v>
      </c>
      <c r="G77" s="127">
        <f t="shared" ref="G77:G82" si="6">IF(D77="Yes",F77,0)</f>
        <v>0</v>
      </c>
      <c r="H77" s="239"/>
      <c r="I77" s="310"/>
      <c r="J77" s="311"/>
      <c r="K77" s="311"/>
    </row>
    <row r="78" spans="2:39" ht="15" x14ac:dyDescent="0.2">
      <c r="B78" s="150" t="s">
        <v>339</v>
      </c>
      <c r="C78" s="152"/>
      <c r="D78" s="80"/>
      <c r="E78" s="262">
        <v>0.3</v>
      </c>
      <c r="F78" s="286">
        <v>1.35</v>
      </c>
      <c r="G78" s="127">
        <f t="shared" si="6"/>
        <v>0</v>
      </c>
      <c r="H78" s="239"/>
      <c r="I78" s="310"/>
      <c r="J78" s="311"/>
      <c r="K78" s="311"/>
    </row>
    <row r="79" spans="2:39" ht="15" x14ac:dyDescent="0.2">
      <c r="B79" s="151" t="s">
        <v>340</v>
      </c>
      <c r="C79" s="152"/>
      <c r="D79" s="80"/>
      <c r="E79" s="262">
        <v>0.15</v>
      </c>
      <c r="F79" s="286">
        <v>0.67500000000000004</v>
      </c>
      <c r="G79" s="127">
        <f t="shared" si="6"/>
        <v>0</v>
      </c>
      <c r="H79" s="239"/>
      <c r="I79" s="310"/>
      <c r="J79" s="311"/>
      <c r="K79" s="311"/>
    </row>
    <row r="80" spans="2:39" ht="15" x14ac:dyDescent="0.2">
      <c r="B80" s="129" t="s">
        <v>341</v>
      </c>
      <c r="C80" s="143"/>
      <c r="D80" s="80"/>
      <c r="E80" s="262">
        <v>0.1</v>
      </c>
      <c r="F80" s="286">
        <v>0.45</v>
      </c>
      <c r="G80" s="127">
        <f t="shared" si="6"/>
        <v>0</v>
      </c>
      <c r="H80" s="239"/>
      <c r="J80" s="311"/>
      <c r="K80" s="311"/>
    </row>
    <row r="81" spans="2:39" ht="15.75" thickBot="1" x14ac:dyDescent="0.25">
      <c r="B81" s="129" t="s">
        <v>342</v>
      </c>
      <c r="C81" s="143"/>
      <c r="D81" s="80"/>
      <c r="E81" s="262">
        <v>0</v>
      </c>
      <c r="F81" s="173"/>
      <c r="G81" s="137"/>
      <c r="H81" s="247"/>
      <c r="I81" s="310"/>
      <c r="J81" s="309"/>
      <c r="K81" s="309"/>
    </row>
    <row r="82" spans="2:39" ht="15" x14ac:dyDescent="0.2">
      <c r="B82" s="28" t="s">
        <v>343</v>
      </c>
      <c r="C82" s="143"/>
      <c r="D82" s="80"/>
      <c r="E82" s="291">
        <v>0.15</v>
      </c>
      <c r="F82" s="292">
        <v>0.67500000000000004</v>
      </c>
      <c r="G82" s="127">
        <f t="shared" si="6"/>
        <v>0</v>
      </c>
      <c r="I82" s="310"/>
      <c r="J82" s="311"/>
      <c r="K82" s="311"/>
    </row>
    <row r="83" spans="2:39" s="5" customFormat="1" ht="21" customHeight="1" x14ac:dyDescent="0.2">
      <c r="B83" s="130" t="s">
        <v>344</v>
      </c>
      <c r="C83" s="132"/>
      <c r="D83" s="132"/>
      <c r="E83" s="271">
        <v>1</v>
      </c>
      <c r="F83" s="287">
        <v>6</v>
      </c>
      <c r="G83" s="133">
        <f>SUM(G84+G90)</f>
        <v>5.95</v>
      </c>
      <c r="H83" s="239"/>
      <c r="I83" s="312"/>
      <c r="J83" s="313"/>
      <c r="K83" s="313"/>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
      <c r="B84" s="225" t="s">
        <v>330</v>
      </c>
      <c r="C84" s="146"/>
      <c r="D84" s="146"/>
      <c r="E84" s="289">
        <v>0.4</v>
      </c>
      <c r="F84" s="293">
        <v>2.4</v>
      </c>
      <c r="G84" s="147">
        <f>MAX(G85:G89)</f>
        <v>2.35</v>
      </c>
      <c r="H84" s="239"/>
      <c r="I84" s="322"/>
      <c r="J84" s="323"/>
      <c r="K84" s="323"/>
    </row>
    <row r="85" spans="2:39" ht="15" x14ac:dyDescent="0.2">
      <c r="B85" s="148" t="s">
        <v>345</v>
      </c>
      <c r="C85" s="149"/>
      <c r="D85" s="80"/>
      <c r="E85" s="262"/>
      <c r="F85" s="286">
        <v>2.35</v>
      </c>
      <c r="G85" s="127">
        <f>IF(D85="Yes",F85,0)</f>
        <v>0</v>
      </c>
      <c r="H85" s="239"/>
      <c r="I85" s="324"/>
      <c r="J85" s="311"/>
      <c r="K85" s="311"/>
    </row>
    <row r="86" spans="2:39" s="7" customFormat="1" ht="15" x14ac:dyDescent="0.2">
      <c r="B86" s="148" t="s">
        <v>346</v>
      </c>
      <c r="C86" s="354" t="s">
        <v>316</v>
      </c>
      <c r="D86" s="80" t="s">
        <v>100</v>
      </c>
      <c r="E86" s="262"/>
      <c r="F86" s="286">
        <v>2.35</v>
      </c>
      <c r="G86" s="127">
        <f>IF(D86="Yes",F86,0)</f>
        <v>2.35</v>
      </c>
      <c r="H86" s="239"/>
      <c r="I86" s="310"/>
      <c r="J86" s="325"/>
      <c r="K86" s="325"/>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5" x14ac:dyDescent="0.2">
      <c r="B87" s="150" t="s">
        <v>347</v>
      </c>
      <c r="C87" s="149"/>
      <c r="D87" s="80"/>
      <c r="E87" s="262"/>
      <c r="F87" s="286">
        <v>0.9</v>
      </c>
      <c r="G87" s="127">
        <f>IF(D87="Yes",F87,0)</f>
        <v>0</v>
      </c>
      <c r="H87" s="239"/>
      <c r="I87" s="310"/>
      <c r="J87" s="325"/>
      <c r="K87" s="325"/>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5" x14ac:dyDescent="0.2">
      <c r="B88" s="150" t="s">
        <v>348</v>
      </c>
      <c r="C88" s="149"/>
      <c r="D88" s="80"/>
      <c r="E88" s="262"/>
      <c r="F88" s="286">
        <v>0.9</v>
      </c>
      <c r="G88" s="127">
        <f>IF(D88="Yes",F88,0)</f>
        <v>0</v>
      </c>
      <c r="H88" s="239"/>
      <c r="I88" s="310"/>
      <c r="J88" s="311"/>
      <c r="K88" s="311"/>
    </row>
    <row r="89" spans="2:39" ht="15" x14ac:dyDescent="0.2">
      <c r="B89" s="150" t="s">
        <v>349</v>
      </c>
      <c r="C89" s="149"/>
      <c r="D89" s="80"/>
      <c r="E89" s="262"/>
      <c r="F89" s="286">
        <v>0.9</v>
      </c>
      <c r="G89" s="127">
        <f>IF(D89="Yes",F89,0)</f>
        <v>0</v>
      </c>
      <c r="H89" s="239"/>
      <c r="I89" s="310"/>
      <c r="J89" s="311"/>
      <c r="K89" s="311"/>
    </row>
    <row r="90" spans="2:39" ht="15" x14ac:dyDescent="0.2">
      <c r="B90" s="145" t="s">
        <v>337</v>
      </c>
      <c r="C90" s="146"/>
      <c r="D90" s="146"/>
      <c r="E90" s="289">
        <v>0.6</v>
      </c>
      <c r="F90" s="293">
        <v>3.6</v>
      </c>
      <c r="G90" s="227">
        <f>SUM(G91:G94)</f>
        <v>3.6</v>
      </c>
      <c r="H90" s="239"/>
      <c r="I90" s="322"/>
      <c r="J90" s="323"/>
      <c r="K90" s="323"/>
    </row>
    <row r="91" spans="2:39" ht="15" x14ac:dyDescent="0.2">
      <c r="B91" s="129" t="s">
        <v>350</v>
      </c>
      <c r="C91" s="354" t="s">
        <v>316</v>
      </c>
      <c r="D91" s="80" t="s">
        <v>100</v>
      </c>
      <c r="E91" s="262">
        <v>0.35</v>
      </c>
      <c r="F91" s="270">
        <v>1.26</v>
      </c>
      <c r="G91" s="127">
        <f>IF(D91="Yes",F91,0)</f>
        <v>1.26</v>
      </c>
      <c r="H91" s="239"/>
      <c r="I91" s="310"/>
      <c r="J91" s="311"/>
      <c r="K91" s="311"/>
    </row>
    <row r="92" spans="2:39" ht="15" x14ac:dyDescent="0.2">
      <c r="B92" s="151" t="s">
        <v>351</v>
      </c>
      <c r="C92" s="354" t="s">
        <v>316</v>
      </c>
      <c r="D92" s="80" t="s">
        <v>100</v>
      </c>
      <c r="E92" s="262">
        <v>0.35</v>
      </c>
      <c r="F92" s="270">
        <v>1.26</v>
      </c>
      <c r="G92" s="127">
        <f t="shared" ref="G92:G94" si="7">IF(D92="Yes",F92,0)</f>
        <v>1.26</v>
      </c>
      <c r="H92" s="239"/>
      <c r="I92" s="310"/>
      <c r="J92" s="311"/>
      <c r="K92" s="311"/>
    </row>
    <row r="93" spans="2:39" ht="15" x14ac:dyDescent="0.2">
      <c r="B93" s="151" t="s">
        <v>352</v>
      </c>
      <c r="C93" s="354" t="s">
        <v>316</v>
      </c>
      <c r="D93" s="80" t="s">
        <v>100</v>
      </c>
      <c r="E93" s="262">
        <v>0.15</v>
      </c>
      <c r="F93" s="270">
        <v>0.54</v>
      </c>
      <c r="G93" s="127">
        <f t="shared" si="7"/>
        <v>0.54</v>
      </c>
      <c r="H93" s="239"/>
      <c r="I93" s="310"/>
      <c r="J93" s="311"/>
      <c r="K93" s="311"/>
    </row>
    <row r="94" spans="2:39" ht="15" x14ac:dyDescent="0.2">
      <c r="B94" s="129" t="s">
        <v>343</v>
      </c>
      <c r="C94" s="354" t="s">
        <v>316</v>
      </c>
      <c r="D94" s="80" t="s">
        <v>100</v>
      </c>
      <c r="E94" s="262">
        <v>0.15</v>
      </c>
      <c r="F94" s="270">
        <v>0.54</v>
      </c>
      <c r="G94" s="127">
        <f t="shared" si="7"/>
        <v>0.54</v>
      </c>
      <c r="H94" s="239"/>
      <c r="I94" s="310"/>
      <c r="J94" s="311"/>
      <c r="K94" s="311"/>
    </row>
    <row r="95" spans="2:39" x14ac:dyDescent="0.2">
      <c r="D95" s="21"/>
      <c r="E95" s="294"/>
      <c r="F95" s="295"/>
      <c r="G95" s="22"/>
    </row>
    <row r="96" spans="2:39" x14ac:dyDescent="0.2">
      <c r="D96" s="21"/>
      <c r="E96" s="294"/>
      <c r="F96" s="295"/>
      <c r="G96" s="22"/>
    </row>
    <row r="97" spans="4:7" x14ac:dyDescent="0.2">
      <c r="D97" s="21"/>
      <c r="E97" s="294"/>
      <c r="F97" s="295"/>
      <c r="G97" s="22"/>
    </row>
    <row r="98" spans="4:7" x14ac:dyDescent="0.2">
      <c r="D98" s="21"/>
      <c r="E98" s="294"/>
      <c r="F98" s="295"/>
      <c r="G98" s="22"/>
    </row>
    <row r="99" spans="4:7" x14ac:dyDescent="0.2">
      <c r="D99" s="21"/>
      <c r="E99" s="294"/>
      <c r="F99" s="295"/>
      <c r="G99" s="22"/>
    </row>
    <row r="100" spans="4:7" x14ac:dyDescent="0.2">
      <c r="D100" s="21"/>
      <c r="E100" s="294"/>
      <c r="F100" s="295"/>
      <c r="G100" s="22"/>
    </row>
    <row r="101" spans="4:7" x14ac:dyDescent="0.2">
      <c r="D101" s="21"/>
      <c r="E101" s="294"/>
      <c r="F101" s="295"/>
      <c r="G101" s="22"/>
    </row>
    <row r="102" spans="4:7" x14ac:dyDescent="0.2">
      <c r="D102" s="21"/>
      <c r="E102" s="294"/>
      <c r="F102" s="295"/>
      <c r="G102" s="22"/>
    </row>
    <row r="103" spans="4:7" x14ac:dyDescent="0.2">
      <c r="D103" s="21"/>
      <c r="E103" s="294"/>
      <c r="F103" s="295"/>
      <c r="G103" s="22"/>
    </row>
    <row r="104" spans="4:7" x14ac:dyDescent="0.2">
      <c r="D104" s="21"/>
      <c r="E104" s="294"/>
      <c r="F104" s="295"/>
      <c r="G104" s="22"/>
    </row>
    <row r="105" spans="4:7" x14ac:dyDescent="0.2">
      <c r="D105" s="21"/>
      <c r="E105" s="294"/>
      <c r="F105" s="295"/>
      <c r="G105" s="22"/>
    </row>
    <row r="106" spans="4:7" x14ac:dyDescent="0.2">
      <c r="D106" s="21"/>
      <c r="E106" s="294"/>
      <c r="F106" s="295"/>
      <c r="G106" s="22"/>
    </row>
    <row r="107" spans="4:7" x14ac:dyDescent="0.2">
      <c r="D107" s="21"/>
      <c r="E107" s="294"/>
      <c r="F107" s="295"/>
      <c r="G107" s="22"/>
    </row>
    <row r="108" spans="4:7" x14ac:dyDescent="0.2">
      <c r="D108" s="21"/>
      <c r="E108" s="294"/>
      <c r="F108" s="295"/>
      <c r="G108" s="22"/>
    </row>
    <row r="109" spans="4:7" x14ac:dyDescent="0.2">
      <c r="D109" s="21"/>
      <c r="E109" s="294"/>
      <c r="F109" s="295"/>
      <c r="G109" s="22"/>
    </row>
    <row r="110" spans="4:7" x14ac:dyDescent="0.2">
      <c r="D110" s="21"/>
      <c r="E110" s="294"/>
      <c r="F110" s="295"/>
      <c r="G110" s="22"/>
    </row>
    <row r="111" spans="4:7" x14ac:dyDescent="0.2">
      <c r="D111" s="21"/>
      <c r="E111" s="294"/>
      <c r="F111" s="295"/>
      <c r="G111" s="22"/>
    </row>
    <row r="112" spans="4:7" x14ac:dyDescent="0.2">
      <c r="D112" s="21"/>
      <c r="E112" s="294"/>
      <c r="F112" s="295"/>
      <c r="G112" s="22"/>
    </row>
    <row r="113" spans="4:7" x14ac:dyDescent="0.2">
      <c r="D113" s="21"/>
      <c r="E113" s="294"/>
      <c r="F113" s="295"/>
      <c r="G113" s="22"/>
    </row>
    <row r="114" spans="4:7" x14ac:dyDescent="0.2">
      <c r="D114" s="21"/>
      <c r="E114" s="294"/>
      <c r="F114" s="295"/>
      <c r="G114" s="22"/>
    </row>
    <row r="115" spans="4:7" x14ac:dyDescent="0.2">
      <c r="D115" s="21"/>
      <c r="E115" s="294"/>
      <c r="F115" s="295"/>
      <c r="G115" s="22"/>
    </row>
  </sheetData>
  <sheetProtection algorithmName="SHA-512" hashValue="NyIEgNc1WvMuZHYQPES1JfddwpoTKdfX4yre08I24XLl8n5SaHapoel42eJmG8fCG7xeYPgmLNW9Dpdqz4v5ig==" saltValue="tnlZ/ZtZHjqnJqmHCyqIbg=="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opLeftCell="A13" zoomScale="85" zoomScaleNormal="85" workbookViewId="0">
      <selection activeCell="C19" sqref="C19"/>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6.140625" style="44" hidden="1" customWidth="1"/>
    <col min="6" max="8" width="55.42578125" style="45" customWidth="1"/>
    <col min="9" max="27" width="9.140625" style="45"/>
    <col min="28" max="16384" width="9.140625" style="2"/>
  </cols>
  <sheetData>
    <row r="2" spans="1:27" ht="18" x14ac:dyDescent="0.2">
      <c r="B2" s="526" t="s">
        <v>77</v>
      </c>
      <c r="C2" s="526"/>
      <c r="D2" s="526"/>
    </row>
    <row r="3" spans="1:27" ht="18.75" thickBot="1" x14ac:dyDescent="0.25">
      <c r="B3" s="527" t="s">
        <v>353</v>
      </c>
      <c r="C3" s="568"/>
      <c r="D3" s="568"/>
    </row>
    <row r="4" spans="1:27" ht="18" x14ac:dyDescent="0.2">
      <c r="A4" s="569" t="s">
        <v>79</v>
      </c>
      <c r="B4" s="570"/>
      <c r="C4" s="570"/>
      <c r="D4" s="571"/>
      <c r="E4" s="47"/>
    </row>
    <row r="5" spans="1:27" ht="23.25" customHeight="1" x14ac:dyDescent="0.2">
      <c r="A5" s="24"/>
      <c r="B5" s="572" t="s">
        <v>354</v>
      </c>
      <c r="C5" s="572"/>
      <c r="D5" s="573"/>
      <c r="E5" s="48"/>
    </row>
    <row r="6" spans="1:27" ht="31.5" customHeight="1" x14ac:dyDescent="0.2">
      <c r="A6" s="25">
        <v>1</v>
      </c>
      <c r="B6" s="541" t="s">
        <v>261</v>
      </c>
      <c r="C6" s="541"/>
      <c r="D6" s="542"/>
      <c r="E6" s="48"/>
    </row>
    <row r="7" spans="1:27" ht="30.75" customHeight="1" thickBot="1" x14ac:dyDescent="0.25">
      <c r="A7" s="26">
        <v>2</v>
      </c>
      <c r="B7" s="566" t="s">
        <v>355</v>
      </c>
      <c r="C7" s="566"/>
      <c r="D7" s="567"/>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565" t="s">
        <v>356</v>
      </c>
      <c r="C9" s="565"/>
      <c r="D9" s="565"/>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86" t="s">
        <v>83</v>
      </c>
      <c r="C10" s="69" t="s">
        <v>84</v>
      </c>
      <c r="D10" s="190" t="s">
        <v>263</v>
      </c>
      <c r="E10" s="187"/>
      <c r="F10" s="563" t="s">
        <v>86</v>
      </c>
      <c r="G10" s="564"/>
      <c r="H10" s="564"/>
    </row>
    <row r="11" spans="1:27" ht="23.25" customHeight="1" x14ac:dyDescent="0.2">
      <c r="B11" s="183" t="s">
        <v>357</v>
      </c>
      <c r="C11" s="102"/>
      <c r="D11" s="191"/>
      <c r="E11" s="188"/>
      <c r="F11" s="175" t="s">
        <v>88</v>
      </c>
      <c r="G11" s="364" t="s">
        <v>266</v>
      </c>
      <c r="H11" s="364" t="s">
        <v>90</v>
      </c>
    </row>
    <row r="12" spans="1:27" ht="33" customHeight="1" x14ac:dyDescent="0.2">
      <c r="B12" s="184" t="s">
        <v>358</v>
      </c>
      <c r="C12" s="103" t="s">
        <v>359</v>
      </c>
      <c r="D12" s="192" t="s">
        <v>360</v>
      </c>
      <c r="E12" s="188"/>
      <c r="F12" s="347"/>
      <c r="G12" s="311"/>
      <c r="H12" s="311"/>
    </row>
    <row r="13" spans="1:27" s="5" customFormat="1" ht="33" customHeight="1" x14ac:dyDescent="0.2">
      <c r="A13" s="2"/>
      <c r="B13" s="184" t="s">
        <v>361</v>
      </c>
      <c r="C13" s="103" t="s">
        <v>362</v>
      </c>
      <c r="D13" s="192" t="s">
        <v>363</v>
      </c>
      <c r="E13" s="188"/>
      <c r="F13" s="347"/>
      <c r="G13" s="311"/>
      <c r="H13" s="311"/>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23" t="s">
        <v>364</v>
      </c>
      <c r="C14" s="104"/>
      <c r="D14" s="182"/>
      <c r="E14" s="188"/>
      <c r="F14" s="104"/>
      <c r="G14" s="182"/>
      <c r="H14" s="182"/>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365</v>
      </c>
      <c r="C15" s="105" t="s">
        <v>366</v>
      </c>
      <c r="D15" s="193" t="s">
        <v>100</v>
      </c>
      <c r="E15" s="188"/>
      <c r="F15" s="347"/>
      <c r="G15" s="311"/>
      <c r="H15" s="311"/>
    </row>
    <row r="16" spans="1:27" ht="33" customHeight="1" x14ac:dyDescent="0.2">
      <c r="B16" s="27" t="s">
        <v>367</v>
      </c>
      <c r="C16" s="105" t="s">
        <v>366</v>
      </c>
      <c r="D16" s="193" t="s">
        <v>100</v>
      </c>
      <c r="E16" s="188"/>
      <c r="F16" s="347"/>
      <c r="G16" s="311"/>
      <c r="H16" s="311"/>
    </row>
    <row r="17" spans="2:8" ht="15" x14ac:dyDescent="0.2">
      <c r="B17" s="123" t="s">
        <v>368</v>
      </c>
      <c r="C17" s="104"/>
      <c r="D17" s="182"/>
      <c r="E17" s="188"/>
      <c r="F17" s="104"/>
      <c r="G17" s="182"/>
      <c r="H17" s="182"/>
    </row>
    <row r="18" spans="2:8" ht="33" customHeight="1" x14ac:dyDescent="0.2">
      <c r="B18" s="129" t="s">
        <v>369</v>
      </c>
      <c r="C18" s="367" t="s">
        <v>366</v>
      </c>
      <c r="D18" s="194" t="s">
        <v>100</v>
      </c>
      <c r="E18" s="188"/>
      <c r="F18" s="347"/>
      <c r="G18" s="311"/>
      <c r="H18" s="311"/>
    </row>
    <row r="19" spans="2:8" ht="33" customHeight="1" thickBot="1" x14ac:dyDescent="0.25">
      <c r="B19" s="365" t="s">
        <v>370</v>
      </c>
      <c r="C19" s="368" t="s">
        <v>366</v>
      </c>
      <c r="D19" s="366" t="s">
        <v>100</v>
      </c>
      <c r="E19" s="189"/>
      <c r="F19" s="348"/>
      <c r="G19" s="338"/>
      <c r="H19" s="338"/>
    </row>
    <row r="20" spans="2:8" ht="14.25" x14ac:dyDescent="0.2">
      <c r="B20" s="28"/>
      <c r="C20" s="3"/>
      <c r="D20" s="106"/>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7" zoomScale="70" zoomScaleNormal="70" workbookViewId="0">
      <selection activeCell="E33" sqref="E33"/>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24" style="97" hidden="1" customWidth="1"/>
    <col min="7" max="7" width="3.85546875" style="98" hidden="1" customWidth="1"/>
    <col min="8" max="8" width="19.140625" style="98" hidden="1" customWidth="1"/>
    <col min="9" max="9" width="20.140625" style="98" hidden="1" customWidth="1"/>
    <col min="10" max="10" width="34" style="98" hidden="1" customWidth="1"/>
    <col min="11" max="11" width="3.85546875" style="98" hidden="1" customWidth="1"/>
    <col min="12" max="12" width="33" style="98" hidden="1" customWidth="1"/>
    <col min="13" max="13" width="33.5703125" style="98" hidden="1" customWidth="1"/>
    <col min="14" max="14" width="36.42578125" style="2" hidden="1" customWidth="1"/>
    <col min="15" max="17" width="55.140625" style="45" customWidth="1"/>
    <col min="18" max="26" width="9.140625" style="45"/>
    <col min="27" max="16384" width="9.140625" style="2"/>
  </cols>
  <sheetData>
    <row r="1" spans="1:26" x14ac:dyDescent="0.2">
      <c r="O1" s="2"/>
      <c r="P1" s="2"/>
    </row>
    <row r="2" spans="1:26" ht="18" x14ac:dyDescent="0.2">
      <c r="B2" s="526" t="s">
        <v>77</v>
      </c>
      <c r="C2" s="526"/>
      <c r="D2" s="526"/>
      <c r="E2" s="526"/>
      <c r="O2" s="2"/>
      <c r="P2" s="2"/>
    </row>
    <row r="3" spans="1:26" ht="18.75" thickBot="1" x14ac:dyDescent="0.25">
      <c r="B3" s="527" t="s">
        <v>353</v>
      </c>
      <c r="C3" s="568"/>
      <c r="D3" s="568"/>
      <c r="E3" s="568"/>
      <c r="O3" s="2"/>
      <c r="P3" s="2"/>
    </row>
    <row r="4" spans="1:26" ht="18" x14ac:dyDescent="0.2">
      <c r="A4" s="569" t="s">
        <v>79</v>
      </c>
      <c r="B4" s="570"/>
      <c r="C4" s="570"/>
      <c r="D4" s="570"/>
      <c r="E4" s="571"/>
      <c r="F4" s="107"/>
      <c r="O4" s="2"/>
      <c r="P4" s="2"/>
    </row>
    <row r="5" spans="1:26" ht="23.25" customHeight="1" x14ac:dyDescent="0.2">
      <c r="A5" s="24"/>
      <c r="B5" s="572" t="s">
        <v>354</v>
      </c>
      <c r="C5" s="572"/>
      <c r="D5" s="572"/>
      <c r="E5" s="573"/>
      <c r="F5" s="108"/>
      <c r="O5" s="2"/>
      <c r="P5" s="2"/>
    </row>
    <row r="6" spans="1:26" ht="31.5" customHeight="1" x14ac:dyDescent="0.2">
      <c r="A6" s="25">
        <v>1</v>
      </c>
      <c r="B6" s="541" t="s">
        <v>261</v>
      </c>
      <c r="C6" s="541"/>
      <c r="D6" s="541"/>
      <c r="E6" s="542"/>
      <c r="F6" s="108"/>
      <c r="O6" s="2"/>
      <c r="P6" s="2"/>
    </row>
    <row r="7" spans="1:26" ht="30.75" customHeight="1" thickBot="1" x14ac:dyDescent="0.25">
      <c r="A7" s="26">
        <v>2</v>
      </c>
      <c r="B7" s="566" t="s">
        <v>355</v>
      </c>
      <c r="C7" s="566"/>
      <c r="D7" s="566"/>
      <c r="E7" s="567"/>
      <c r="F7" s="109"/>
      <c r="O7" s="2"/>
      <c r="P7" s="2"/>
    </row>
    <row r="8" spans="1:26" s="5" customFormat="1" ht="27" customHeight="1" x14ac:dyDescent="0.2">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x14ac:dyDescent="0.25">
      <c r="A9" s="2"/>
      <c r="B9" s="577" t="s">
        <v>371</v>
      </c>
      <c r="C9" s="577"/>
      <c r="D9" s="577"/>
      <c r="E9" s="577"/>
      <c r="F9" s="97"/>
      <c r="G9" s="98"/>
      <c r="H9" s="98"/>
      <c r="I9" s="97"/>
      <c r="J9" s="97"/>
      <c r="K9" s="97"/>
      <c r="L9" s="97"/>
      <c r="M9" s="97"/>
      <c r="Q9" s="44"/>
      <c r="R9" s="44"/>
      <c r="S9" s="44"/>
      <c r="T9" s="44"/>
      <c r="U9" s="44"/>
      <c r="V9" s="44"/>
      <c r="W9" s="44"/>
      <c r="X9" s="44"/>
      <c r="Y9" s="44"/>
      <c r="Z9" s="44"/>
    </row>
    <row r="10" spans="1:26" s="30" customFormat="1" ht="15.75" customHeight="1" x14ac:dyDescent="0.2">
      <c r="A10" s="29"/>
      <c r="B10" s="35" t="s">
        <v>83</v>
      </c>
      <c r="C10" s="36" t="s">
        <v>84</v>
      </c>
      <c r="D10" s="36" t="s">
        <v>372</v>
      </c>
      <c r="E10" s="37" t="s">
        <v>263</v>
      </c>
      <c r="F10" s="110"/>
      <c r="G10" s="111"/>
      <c r="H10" s="111"/>
      <c r="I10" s="110"/>
      <c r="J10" s="110"/>
      <c r="K10" s="110"/>
      <c r="L10" s="110"/>
      <c r="M10" s="110"/>
      <c r="O10" s="575" t="s">
        <v>86</v>
      </c>
      <c r="P10" s="564"/>
      <c r="Q10" s="564"/>
      <c r="R10" s="50"/>
      <c r="S10" s="50"/>
      <c r="T10" s="50"/>
      <c r="U10" s="50"/>
      <c r="V10" s="50"/>
      <c r="W10" s="50"/>
      <c r="X10" s="50"/>
      <c r="Y10" s="50"/>
      <c r="Z10" s="50"/>
    </row>
    <row r="11" spans="1:26" s="30" customFormat="1" ht="17.25" customHeight="1" x14ac:dyDescent="0.2">
      <c r="A11" s="29"/>
      <c r="B11" s="57" t="s">
        <v>373</v>
      </c>
      <c r="C11" s="179"/>
      <c r="D11" s="179"/>
      <c r="E11" s="180"/>
      <c r="F11" s="110"/>
      <c r="G11" s="111"/>
      <c r="H11" s="111"/>
      <c r="I11" s="110"/>
      <c r="J11" s="110"/>
      <c r="K11" s="110"/>
      <c r="L11" s="110"/>
      <c r="M11" s="110"/>
      <c r="O11" s="576" t="s">
        <v>88</v>
      </c>
      <c r="P11" s="574" t="s">
        <v>266</v>
      </c>
      <c r="Q11" s="574" t="s">
        <v>90</v>
      </c>
      <c r="R11" s="50"/>
      <c r="S11" s="50"/>
      <c r="T11" s="50"/>
      <c r="U11" s="50"/>
      <c r="V11" s="50"/>
      <c r="W11" s="50"/>
      <c r="X11" s="50"/>
      <c r="Y11" s="50"/>
      <c r="Z11" s="50"/>
    </row>
    <row r="12" spans="1:26" s="30" customFormat="1" ht="14.25" x14ac:dyDescent="0.2">
      <c r="A12" s="29"/>
      <c r="B12" s="99" t="s">
        <v>374</v>
      </c>
      <c r="C12" s="71"/>
      <c r="D12" s="71"/>
      <c r="E12" s="181" t="str">
        <f>IF(OR(E13="Yes",E27="Yes"),"Yes","")</f>
        <v>Yes</v>
      </c>
      <c r="F12" s="110"/>
      <c r="G12" s="111"/>
      <c r="H12" s="111"/>
      <c r="I12" s="110"/>
      <c r="J12" s="110"/>
      <c r="K12" s="110"/>
      <c r="L12" s="110"/>
      <c r="M12" s="110"/>
      <c r="O12" s="576"/>
      <c r="P12" s="574"/>
      <c r="Q12" s="574"/>
      <c r="R12" s="50"/>
      <c r="S12" s="50"/>
      <c r="T12" s="50"/>
      <c r="U12" s="50"/>
      <c r="V12" s="50"/>
      <c r="W12" s="50"/>
      <c r="X12" s="50"/>
      <c r="Y12" s="50"/>
      <c r="Z12" s="50"/>
    </row>
    <row r="13" spans="1:26" s="30" customFormat="1" ht="14.25" x14ac:dyDescent="0.2">
      <c r="A13" s="29"/>
      <c r="B13" s="61" t="s">
        <v>375</v>
      </c>
      <c r="C13" s="55"/>
      <c r="D13" s="55"/>
      <c r="E13" s="112" t="str">
        <f>IF(OR(E14="Yes",E20="Yes"),"Yes","")</f>
        <v>Yes</v>
      </c>
      <c r="F13" s="110"/>
      <c r="G13" s="111"/>
      <c r="H13" s="111"/>
      <c r="I13" s="110"/>
      <c r="J13" s="110"/>
      <c r="K13" s="110"/>
      <c r="L13" s="110"/>
      <c r="M13" s="110"/>
      <c r="O13" s="176"/>
      <c r="P13" s="112"/>
      <c r="Q13" s="112"/>
      <c r="R13" s="50"/>
      <c r="S13" s="50"/>
      <c r="T13" s="50"/>
      <c r="U13" s="50"/>
      <c r="V13" s="50"/>
      <c r="W13" s="50"/>
      <c r="X13" s="50"/>
      <c r="Y13" s="50"/>
      <c r="Z13" s="50"/>
    </row>
    <row r="14" spans="1:26" s="30" customFormat="1" ht="14.25" x14ac:dyDescent="0.2">
      <c r="A14" s="29"/>
      <c r="B14" s="10" t="s">
        <v>376</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Accounting and Reporting, External Control, Internal Audit, </v>
      </c>
      <c r="K14" s="110">
        <f>LEN(J14)</f>
        <v>100</v>
      </c>
      <c r="L14" s="110" t="str">
        <f>LEFT(J14,(K14-2))</f>
        <v>Financial Management: Budget, Treasury, Accounting and Reporting, External Control, Internal Audit</v>
      </c>
      <c r="M14" s="110" t="str">
        <f>IF(K14=0,"",CONCATENATE(L14,"."))</f>
        <v>Financial Management: Budget, Treasury, Accounting and Reporting, External Control, Internal Audit.</v>
      </c>
      <c r="N14" s="30" t="str">
        <f>CONCATENATE(M14,CHAR(10),CHAR(10),M20)</f>
        <v>Financial Management: Budget, Treasury, Accounting and Reporting, External Control, Internal Audit.
Procurement: Information System, Price Comparison, Contracting Individual Consultant, National Public Bidding.</v>
      </c>
      <c r="O14" s="10"/>
      <c r="P14" s="177"/>
      <c r="Q14" s="177"/>
      <c r="R14" s="50"/>
      <c r="S14" s="50"/>
      <c r="T14" s="50"/>
      <c r="U14" s="50"/>
      <c r="V14" s="50"/>
      <c r="W14" s="50"/>
      <c r="X14" s="50"/>
      <c r="Y14" s="50"/>
      <c r="Z14" s="50"/>
    </row>
    <row r="15" spans="1:26" s="30" customFormat="1" ht="28.5" x14ac:dyDescent="0.2">
      <c r="A15" s="29"/>
      <c r="B15" s="27" t="s">
        <v>377</v>
      </c>
      <c r="C15" s="40" t="s">
        <v>378</v>
      </c>
      <c r="D15" s="32"/>
      <c r="E15" s="114" t="s">
        <v>100</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349"/>
      <c r="P15" s="350"/>
      <c r="Q15" s="350"/>
      <c r="R15" s="50"/>
      <c r="S15" s="50"/>
      <c r="T15" s="50"/>
      <c r="U15" s="50"/>
      <c r="V15" s="50"/>
      <c r="W15" s="50"/>
      <c r="X15" s="50"/>
      <c r="Y15" s="50"/>
      <c r="Z15" s="50"/>
    </row>
    <row r="16" spans="1:26" s="30" customFormat="1" ht="15" x14ac:dyDescent="0.2">
      <c r="A16" s="29"/>
      <c r="B16" s="27" t="s">
        <v>379</v>
      </c>
      <c r="C16" s="40" t="s">
        <v>380</v>
      </c>
      <c r="D16" s="32"/>
      <c r="E16" s="114" t="s">
        <v>100</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349"/>
      <c r="P16" s="350"/>
      <c r="Q16" s="350"/>
      <c r="R16" s="50"/>
      <c r="S16" s="50"/>
      <c r="T16" s="50"/>
      <c r="U16" s="50"/>
      <c r="V16" s="50"/>
      <c r="W16" s="50"/>
      <c r="X16" s="50"/>
      <c r="Y16" s="50"/>
      <c r="Z16" s="50"/>
    </row>
    <row r="17" spans="1:26" s="30" customFormat="1" ht="28.5" x14ac:dyDescent="0.2">
      <c r="A17" s="29"/>
      <c r="B17" s="27" t="s">
        <v>381</v>
      </c>
      <c r="C17" s="40" t="s">
        <v>382</v>
      </c>
      <c r="D17" s="32"/>
      <c r="E17" s="114" t="s">
        <v>100</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349"/>
      <c r="P17" s="350"/>
      <c r="Q17" s="350"/>
      <c r="R17" s="50"/>
      <c r="S17" s="50"/>
      <c r="T17" s="50"/>
      <c r="U17" s="50"/>
      <c r="V17" s="50"/>
      <c r="W17" s="50"/>
      <c r="X17" s="50"/>
      <c r="Y17" s="50"/>
      <c r="Z17" s="50"/>
    </row>
    <row r="18" spans="1:26" s="30" customFormat="1" ht="15" x14ac:dyDescent="0.2">
      <c r="A18" s="29"/>
      <c r="B18" s="27" t="s">
        <v>383</v>
      </c>
      <c r="C18" s="40" t="s">
        <v>384</v>
      </c>
      <c r="D18" s="32"/>
      <c r="E18" s="114" t="s">
        <v>100</v>
      </c>
      <c r="F18" s="110" t="str">
        <f t="shared" si="0"/>
        <v xml:space="preserve">         External Control</v>
      </c>
      <c r="G18" s="111">
        <f t="shared" si="1"/>
        <v>25</v>
      </c>
      <c r="H18" s="111" t="str">
        <f t="shared" si="2"/>
        <v>External Control</v>
      </c>
      <c r="I18" s="110" t="str">
        <f t="shared" si="3"/>
        <v xml:space="preserve">External Control, </v>
      </c>
      <c r="J18" s="110"/>
      <c r="K18" s="110"/>
      <c r="L18" s="110"/>
      <c r="M18" s="110"/>
      <c r="O18" s="349"/>
      <c r="P18" s="350"/>
      <c r="Q18" s="350"/>
      <c r="R18" s="50"/>
      <c r="S18" s="50"/>
      <c r="T18" s="50"/>
      <c r="U18" s="50"/>
      <c r="V18" s="50"/>
      <c r="W18" s="50"/>
      <c r="X18" s="50"/>
      <c r="Y18" s="50"/>
      <c r="Z18" s="50"/>
    </row>
    <row r="19" spans="1:26" s="30" customFormat="1" ht="28.5" x14ac:dyDescent="0.2">
      <c r="A19" s="29"/>
      <c r="B19" s="27" t="s">
        <v>385</v>
      </c>
      <c r="C19" s="40" t="s">
        <v>386</v>
      </c>
      <c r="D19" s="32"/>
      <c r="E19" s="114" t="s">
        <v>100</v>
      </c>
      <c r="F19" s="110" t="str">
        <f t="shared" si="0"/>
        <v xml:space="preserve">         Internal Audit</v>
      </c>
      <c r="G19" s="111">
        <f t="shared" si="1"/>
        <v>23</v>
      </c>
      <c r="H19" s="111" t="str">
        <f t="shared" si="2"/>
        <v>Internal Audit</v>
      </c>
      <c r="I19" s="110" t="str">
        <f t="shared" si="3"/>
        <v xml:space="preserve">Internal Audit, </v>
      </c>
      <c r="J19" s="110"/>
      <c r="K19" s="110"/>
      <c r="L19" s="110"/>
      <c r="M19" s="110"/>
      <c r="O19" s="349"/>
      <c r="P19" s="350"/>
      <c r="Q19" s="350"/>
      <c r="R19" s="50"/>
      <c r="S19" s="50"/>
      <c r="T19" s="50"/>
      <c r="U19" s="50"/>
      <c r="V19" s="50"/>
      <c r="W19" s="50"/>
      <c r="X19" s="50"/>
      <c r="Y19" s="50"/>
      <c r="Z19" s="50"/>
    </row>
    <row r="20" spans="1:26" s="30" customFormat="1" ht="14.25" x14ac:dyDescent="0.2">
      <c r="A20" s="29"/>
      <c r="B20" s="10" t="s">
        <v>387</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Information System, Price Comparison, Contracting Individual Consultant, National Public Bidding, </v>
      </c>
      <c r="K20" s="110">
        <f>LEN(J20)</f>
        <v>111</v>
      </c>
      <c r="L20" s="110" t="str">
        <f t="shared" ref="L20" si="4">LEFT(J20,(K20-2))</f>
        <v>Procurement: Information System, Price Comparison, Contracting Individual Consultant, National Public Bidding</v>
      </c>
      <c r="M20" s="110" t="str">
        <f t="shared" ref="M20:M28" si="5">IF(K20=0,"",CONCATENATE(L20,"."))</f>
        <v>Procurement: Information System, Price Comparison, Contracting Individual Consultant, National Public Bidding.</v>
      </c>
      <c r="O20" s="10"/>
      <c r="P20" s="177"/>
      <c r="Q20" s="177"/>
      <c r="R20" s="50"/>
      <c r="S20" s="50"/>
      <c r="T20" s="50"/>
      <c r="U20" s="50"/>
      <c r="V20" s="50"/>
      <c r="W20" s="50"/>
      <c r="X20" s="50"/>
      <c r="Y20" s="50"/>
      <c r="Z20" s="50"/>
    </row>
    <row r="21" spans="1:26" s="30" customFormat="1" ht="71.25" x14ac:dyDescent="0.2">
      <c r="A21" s="29"/>
      <c r="B21" s="27" t="s">
        <v>388</v>
      </c>
      <c r="C21" s="358" t="s">
        <v>389</v>
      </c>
      <c r="D21" s="32"/>
      <c r="E21" s="114" t="s">
        <v>100</v>
      </c>
      <c r="F21" s="110" t="str">
        <f t="shared" si="0"/>
        <v xml:space="preserve">        Information System</v>
      </c>
      <c r="G21" s="111">
        <f>LEN(F21)</f>
        <v>26</v>
      </c>
      <c r="H21" s="111" t="str">
        <f>RIGHT(F21,(G21-8))</f>
        <v>Information System</v>
      </c>
      <c r="I21" s="110" t="str">
        <f>IF(E21="Yes",CONCATENATE(H21,", "),"")</f>
        <v xml:space="preserve">Information System, </v>
      </c>
      <c r="J21" s="110"/>
      <c r="K21" s="110"/>
      <c r="L21" s="110"/>
      <c r="M21" s="110"/>
      <c r="O21" s="349"/>
      <c r="P21" s="350"/>
      <c r="Q21" s="350"/>
      <c r="R21" s="50"/>
      <c r="S21" s="50"/>
      <c r="T21" s="50"/>
      <c r="U21" s="50"/>
      <c r="V21" s="50"/>
      <c r="W21" s="50"/>
      <c r="X21" s="50"/>
      <c r="Y21" s="50"/>
      <c r="Z21" s="50"/>
    </row>
    <row r="22" spans="1:26" s="30" customFormat="1" ht="71.25" x14ac:dyDescent="0.2">
      <c r="A22" s="29"/>
      <c r="B22" s="219" t="s">
        <v>390</v>
      </c>
      <c r="C22" s="40" t="s">
        <v>391</v>
      </c>
      <c r="D22" s="32"/>
      <c r="E22" s="114" t="s">
        <v>100</v>
      </c>
      <c r="F22" s="110" t="str">
        <f t="shared" si="0"/>
        <v>Price Comparison</v>
      </c>
      <c r="G22" s="111">
        <f t="shared" si="1"/>
        <v>16</v>
      </c>
      <c r="H22" s="111" t="str">
        <f>RIGHT(F22,(G22-0))</f>
        <v>Price Comparison</v>
      </c>
      <c r="I22" s="110" t="str">
        <f t="shared" si="3"/>
        <v xml:space="preserve">Price Comparison, </v>
      </c>
      <c r="J22" s="110"/>
      <c r="K22" s="110"/>
      <c r="L22" s="110"/>
      <c r="M22" s="110"/>
      <c r="O22" s="349"/>
      <c r="P22" s="350"/>
      <c r="Q22" s="350"/>
      <c r="R22" s="50"/>
      <c r="S22" s="50"/>
      <c r="T22" s="50"/>
      <c r="U22" s="50"/>
      <c r="V22" s="50"/>
      <c r="W22" s="50"/>
      <c r="X22" s="50"/>
      <c r="Y22" s="50"/>
      <c r="Z22" s="50"/>
    </row>
    <row r="23" spans="1:26" s="30" customFormat="1" ht="71.25" x14ac:dyDescent="0.2">
      <c r="A23" s="29"/>
      <c r="B23" s="27" t="s">
        <v>392</v>
      </c>
      <c r="C23" s="40" t="s">
        <v>391</v>
      </c>
      <c r="D23" s="32"/>
      <c r="E23" s="114" t="s">
        <v>100</v>
      </c>
      <c r="F23" s="110" t="str">
        <f t="shared" si="0"/>
        <v xml:space="preserve">        Contracting Individual Consultant</v>
      </c>
      <c r="G23" s="111">
        <f t="shared" si="1"/>
        <v>41</v>
      </c>
      <c r="H23" s="111" t="str">
        <f>RIGHT(F23,(G23-8))</f>
        <v>Contracting Individual Consultant</v>
      </c>
      <c r="I23" s="110" t="str">
        <f t="shared" si="3"/>
        <v xml:space="preserve">Contracting Individual Consultant, </v>
      </c>
      <c r="J23" s="110"/>
      <c r="K23" s="110"/>
      <c r="L23" s="110"/>
      <c r="M23" s="110"/>
      <c r="O23" s="349"/>
      <c r="P23" s="350"/>
      <c r="Q23" s="350"/>
      <c r="R23" s="50"/>
      <c r="S23" s="50"/>
      <c r="T23" s="50"/>
      <c r="U23" s="50"/>
      <c r="V23" s="50"/>
      <c r="W23" s="50"/>
      <c r="X23" s="50"/>
      <c r="Y23" s="50"/>
      <c r="Z23" s="50"/>
    </row>
    <row r="24" spans="1:26" s="30" customFormat="1" ht="15" x14ac:dyDescent="0.2">
      <c r="A24" s="29"/>
      <c r="B24" s="27" t="s">
        <v>393</v>
      </c>
      <c r="C24" s="32"/>
      <c r="D24" s="32"/>
      <c r="E24" s="101" t="str">
        <f>IF(OR(E25="Yes",E26="Yes"),"Yes","")</f>
        <v>Yes</v>
      </c>
      <c r="F24" s="110" t="str">
        <f t="shared" si="0"/>
        <v xml:space="preserve">        National Public Bidding</v>
      </c>
      <c r="G24" s="111">
        <f t="shared" si="1"/>
        <v>31</v>
      </c>
      <c r="H24" s="111" t="str">
        <f>RIGHT(F24,(G24-8))</f>
        <v>National Public Bidding</v>
      </c>
      <c r="I24" s="110" t="str">
        <f t="shared" ref="I24:I33" si="6">IF(E24="Yes",CONCATENATE(H24,", "),"")</f>
        <v xml:space="preserve">National Public Bidding, </v>
      </c>
      <c r="J24" s="110"/>
      <c r="K24" s="110"/>
      <c r="L24" s="110"/>
      <c r="M24" s="110"/>
      <c r="O24" s="349"/>
      <c r="P24" s="350"/>
      <c r="Q24" s="350"/>
      <c r="R24" s="50"/>
      <c r="S24" s="50"/>
      <c r="T24" s="50"/>
      <c r="U24" s="50"/>
      <c r="V24" s="50"/>
      <c r="W24" s="50"/>
      <c r="X24" s="50"/>
      <c r="Y24" s="50"/>
      <c r="Z24" s="50"/>
    </row>
    <row r="25" spans="1:26" s="30" customFormat="1" ht="71.25" x14ac:dyDescent="0.2">
      <c r="A25" s="29"/>
      <c r="B25" s="27" t="s">
        <v>394</v>
      </c>
      <c r="C25" s="40" t="s">
        <v>391</v>
      </c>
      <c r="D25" s="32"/>
      <c r="E25" s="114" t="s">
        <v>100</v>
      </c>
      <c r="F25" s="110"/>
      <c r="G25" s="111"/>
      <c r="H25" s="111"/>
      <c r="I25" s="110"/>
      <c r="J25" s="110"/>
      <c r="K25" s="110"/>
      <c r="L25" s="110"/>
      <c r="M25" s="110"/>
      <c r="O25" s="349"/>
      <c r="P25" s="350"/>
      <c r="Q25" s="350"/>
      <c r="R25" s="50"/>
      <c r="S25" s="50"/>
      <c r="T25" s="50"/>
      <c r="U25" s="50"/>
      <c r="V25" s="50"/>
      <c r="W25" s="50"/>
      <c r="X25" s="50"/>
      <c r="Y25" s="50"/>
      <c r="Z25" s="50"/>
    </row>
    <row r="26" spans="1:26" s="30" customFormat="1" ht="71.25" x14ac:dyDescent="0.2">
      <c r="A26" s="29"/>
      <c r="B26" s="27" t="s">
        <v>395</v>
      </c>
      <c r="C26" s="40" t="s">
        <v>391</v>
      </c>
      <c r="D26" s="32"/>
      <c r="E26" s="114" t="s">
        <v>100</v>
      </c>
      <c r="F26" s="110"/>
      <c r="G26" s="111"/>
      <c r="H26" s="111"/>
      <c r="I26" s="110"/>
      <c r="J26" s="110"/>
      <c r="K26" s="110"/>
      <c r="L26" s="110"/>
      <c r="M26" s="110"/>
      <c r="O26" s="349"/>
      <c r="P26" s="350"/>
      <c r="Q26" s="350"/>
      <c r="R26" s="50"/>
      <c r="S26" s="50"/>
      <c r="T26" s="50"/>
      <c r="U26" s="50"/>
      <c r="V26" s="50"/>
      <c r="W26" s="50"/>
      <c r="X26" s="50"/>
      <c r="Y26" s="50"/>
      <c r="Z26" s="50"/>
    </row>
    <row r="27" spans="1:26" s="30" customFormat="1" ht="14.25" x14ac:dyDescent="0.2">
      <c r="A27" s="29"/>
      <c r="B27" s="61" t="s">
        <v>396</v>
      </c>
      <c r="C27" s="55"/>
      <c r="D27" s="55"/>
      <c r="E27" s="116" t="str">
        <f>IF(OR(E28="Yes",E30="Yes",E32="Yes",E33="Yes"),"Yes","")</f>
        <v/>
      </c>
      <c r="F27" s="110"/>
      <c r="G27" s="111"/>
      <c r="H27" s="111"/>
      <c r="I27" s="110"/>
      <c r="J27" s="110"/>
      <c r="K27" s="110"/>
      <c r="L27" s="110"/>
      <c r="M27" s="110"/>
      <c r="O27" s="176"/>
      <c r="P27" s="112"/>
      <c r="Q27" s="112"/>
      <c r="R27" s="50"/>
      <c r="S27" s="50"/>
      <c r="T27" s="50"/>
      <c r="U27" s="50"/>
      <c r="V27" s="50"/>
      <c r="W27" s="50"/>
      <c r="X27" s="50"/>
      <c r="Y27" s="50"/>
      <c r="Z27" s="50"/>
    </row>
    <row r="28" spans="1:26" s="30" customFormat="1" ht="14.25" x14ac:dyDescent="0.2">
      <c r="A28" s="29"/>
      <c r="B28" s="10" t="s">
        <v>397</v>
      </c>
      <c r="C28" s="9"/>
      <c r="D28" s="9"/>
      <c r="E28" s="115" t="str">
        <f>IF(E29="Yes","Yes","")</f>
        <v/>
      </c>
      <c r="F28" s="110" t="str">
        <f>IF(E28="Yes",B28,"")</f>
        <v/>
      </c>
      <c r="G28" s="111">
        <f t="shared" si="1"/>
        <v>0</v>
      </c>
      <c r="H28" s="111" t="e">
        <f>RIGHT(F28,(G28-5))</f>
        <v>#VALUE!</v>
      </c>
      <c r="I28" s="110" t="str">
        <f t="shared" si="6"/>
        <v/>
      </c>
      <c r="J28" s="110" t="str">
        <f>CONCATENATE(I28,I30,I32,I33)</f>
        <v/>
      </c>
      <c r="K28" s="110">
        <f>LEN(J28)</f>
        <v>0</v>
      </c>
      <c r="L28" s="110" t="e">
        <f>LEFT(J28,(K28-2))</f>
        <v>#VALUE!</v>
      </c>
      <c r="M28" s="110" t="str">
        <f t="shared" si="5"/>
        <v/>
      </c>
      <c r="O28" s="10"/>
      <c r="P28" s="177"/>
      <c r="Q28" s="177"/>
      <c r="R28" s="50"/>
      <c r="S28" s="50"/>
      <c r="T28" s="50"/>
      <c r="U28" s="50"/>
      <c r="V28" s="50"/>
      <c r="W28" s="50"/>
      <c r="X28" s="50"/>
      <c r="Y28" s="50"/>
      <c r="Z28" s="50"/>
    </row>
    <row r="29" spans="1:26" s="30" customFormat="1" ht="15" x14ac:dyDescent="0.2">
      <c r="A29" s="29"/>
      <c r="B29" s="27" t="s">
        <v>398</v>
      </c>
      <c r="C29" s="39"/>
      <c r="D29" s="32"/>
      <c r="E29" s="114" t="s">
        <v>299</v>
      </c>
      <c r="F29" s="110"/>
      <c r="G29" s="111"/>
      <c r="H29" s="111"/>
      <c r="I29" s="110"/>
      <c r="J29" s="110"/>
      <c r="K29" s="110"/>
      <c r="L29" s="110"/>
      <c r="M29" s="110"/>
      <c r="O29" s="349"/>
      <c r="P29" s="350"/>
      <c r="Q29" s="350"/>
      <c r="R29" s="50"/>
      <c r="S29" s="50"/>
      <c r="T29" s="50"/>
      <c r="U29" s="50"/>
      <c r="V29" s="50"/>
      <c r="W29" s="50"/>
      <c r="X29" s="50"/>
      <c r="Y29" s="50"/>
      <c r="Z29" s="50"/>
    </row>
    <row r="30" spans="1:26" s="30" customFormat="1" ht="14.25" x14ac:dyDescent="0.2">
      <c r="A30" s="29"/>
      <c r="B30" s="10" t="s">
        <v>399</v>
      </c>
      <c r="C30" s="9"/>
      <c r="D30" s="9"/>
      <c r="E30" s="115" t="str">
        <f>IF(E31="Yes","Yes","")</f>
        <v/>
      </c>
      <c r="F30" s="110" t="str">
        <f>IF(E30="Yes",B30,"")</f>
        <v/>
      </c>
      <c r="G30" s="111">
        <f t="shared" si="1"/>
        <v>0</v>
      </c>
      <c r="H30" s="111" t="e">
        <f>RIGHT(F30,(G30-5))</f>
        <v>#VALUE!</v>
      </c>
      <c r="I30" s="110" t="str">
        <f t="shared" si="6"/>
        <v/>
      </c>
      <c r="J30" s="110"/>
      <c r="K30" s="110"/>
      <c r="L30" s="110"/>
      <c r="M30" s="110"/>
      <c r="O30" s="10"/>
      <c r="P30" s="177"/>
      <c r="Q30" s="177"/>
      <c r="R30" s="50"/>
      <c r="S30" s="50"/>
      <c r="T30" s="50"/>
      <c r="U30" s="50"/>
      <c r="V30" s="50"/>
      <c r="W30" s="50"/>
      <c r="X30" s="50"/>
      <c r="Y30" s="50"/>
      <c r="Z30" s="50"/>
    </row>
    <row r="31" spans="1:26" s="30" customFormat="1" ht="15" x14ac:dyDescent="0.2">
      <c r="A31" s="29"/>
      <c r="B31" s="27" t="s">
        <v>398</v>
      </c>
      <c r="C31" s="39"/>
      <c r="D31" s="32"/>
      <c r="E31" s="114" t="s">
        <v>299</v>
      </c>
      <c r="F31" s="110"/>
      <c r="G31" s="111"/>
      <c r="H31" s="111"/>
      <c r="I31" s="110"/>
      <c r="J31" s="110"/>
      <c r="K31" s="110"/>
      <c r="L31" s="110"/>
      <c r="M31" s="110"/>
      <c r="O31" s="349"/>
      <c r="P31" s="350"/>
      <c r="Q31" s="350"/>
      <c r="R31" s="50"/>
      <c r="S31" s="50"/>
      <c r="T31" s="50"/>
      <c r="U31" s="50"/>
      <c r="V31" s="50"/>
      <c r="W31" s="50"/>
      <c r="X31" s="50"/>
      <c r="Y31" s="50"/>
      <c r="Z31" s="50"/>
    </row>
    <row r="32" spans="1:26" s="30" customFormat="1" ht="14.25" x14ac:dyDescent="0.2">
      <c r="A32" s="29"/>
      <c r="B32" s="10" t="s">
        <v>400</v>
      </c>
      <c r="C32" s="346"/>
      <c r="D32" s="9"/>
      <c r="E32" s="369" t="s">
        <v>299</v>
      </c>
      <c r="F32" s="110" t="str">
        <f>IF(E32="Yes",B32,"")</f>
        <v/>
      </c>
      <c r="G32" s="111">
        <f t="shared" si="1"/>
        <v>0</v>
      </c>
      <c r="H32" s="111" t="e">
        <f>RIGHT(F32,(G32-5))</f>
        <v>#VALUE!</v>
      </c>
      <c r="I32" s="110" t="str">
        <f t="shared" si="6"/>
        <v/>
      </c>
      <c r="J32" s="110"/>
      <c r="K32" s="110"/>
      <c r="L32" s="110"/>
      <c r="M32" s="110"/>
      <c r="O32" s="351"/>
      <c r="P32" s="351"/>
      <c r="Q32" s="351"/>
      <c r="R32" s="50"/>
      <c r="S32" s="50"/>
      <c r="T32" s="50"/>
      <c r="U32" s="50"/>
      <c r="V32" s="50"/>
      <c r="W32" s="50"/>
      <c r="X32" s="50"/>
      <c r="Y32" s="50"/>
      <c r="Z32" s="50"/>
    </row>
    <row r="33" spans="1:26" s="30" customFormat="1" ht="14.25" x14ac:dyDescent="0.2">
      <c r="A33" s="29"/>
      <c r="B33" s="10" t="s">
        <v>401</v>
      </c>
      <c r="C33" s="346"/>
      <c r="D33" s="9"/>
      <c r="E33" s="369" t="s">
        <v>299</v>
      </c>
      <c r="F33" s="110" t="str">
        <f>IF(E33="Yes",B33,"")</f>
        <v/>
      </c>
      <c r="G33" s="111">
        <f t="shared" si="1"/>
        <v>0</v>
      </c>
      <c r="H33" s="111" t="e">
        <f>RIGHT(F33,(G33-5))</f>
        <v>#VALUE!</v>
      </c>
      <c r="I33" s="110" t="str">
        <f t="shared" si="6"/>
        <v/>
      </c>
      <c r="J33" s="110"/>
      <c r="K33" s="110"/>
      <c r="L33" s="110"/>
      <c r="M33" s="110"/>
      <c r="O33" s="351"/>
      <c r="P33" s="351"/>
      <c r="Q33" s="351"/>
      <c r="R33" s="50"/>
      <c r="S33" s="50"/>
      <c r="T33" s="50"/>
      <c r="U33" s="50"/>
      <c r="V33" s="50"/>
      <c r="W33" s="50"/>
      <c r="X33" s="50"/>
      <c r="Y33" s="50"/>
      <c r="Z33" s="50"/>
    </row>
    <row r="34" spans="1:26" s="30" customFormat="1" ht="34.5" customHeight="1" x14ac:dyDescent="0.2">
      <c r="A34" s="29"/>
      <c r="B34" s="99" t="s">
        <v>34</v>
      </c>
      <c r="C34" s="71"/>
      <c r="D34" s="71"/>
      <c r="E34" s="71"/>
      <c r="F34" s="110"/>
      <c r="G34" s="111"/>
      <c r="H34" s="111"/>
      <c r="I34" s="110"/>
      <c r="J34" s="110"/>
      <c r="K34" s="110"/>
      <c r="L34" s="110"/>
      <c r="M34" s="110"/>
      <c r="O34" s="99"/>
      <c r="P34" s="178"/>
      <c r="Q34" s="178"/>
      <c r="R34" s="50"/>
      <c r="S34" s="50"/>
      <c r="T34" s="50"/>
      <c r="U34" s="50"/>
      <c r="V34" s="50"/>
      <c r="W34" s="50"/>
      <c r="X34" s="50"/>
      <c r="Y34" s="50"/>
      <c r="Z34" s="50"/>
    </row>
    <row r="35" spans="1:26" s="30" customFormat="1" ht="57" customHeight="1" x14ac:dyDescent="0.2">
      <c r="A35" s="29"/>
      <c r="B35" s="31" t="s">
        <v>35</v>
      </c>
      <c r="C35" s="39"/>
      <c r="D35" s="39" t="s">
        <v>402</v>
      </c>
      <c r="E35" s="114" t="s">
        <v>299</v>
      </c>
      <c r="F35" s="110"/>
      <c r="G35" s="111"/>
      <c r="H35" s="111"/>
      <c r="I35" s="110"/>
      <c r="J35" s="110"/>
      <c r="K35" s="110"/>
      <c r="L35" s="110"/>
      <c r="M35" s="110"/>
      <c r="O35" s="349"/>
      <c r="P35" s="350"/>
      <c r="Q35" s="350"/>
      <c r="R35" s="50"/>
      <c r="S35" s="50"/>
      <c r="T35" s="50"/>
      <c r="U35" s="50"/>
      <c r="V35" s="50"/>
      <c r="W35" s="50"/>
      <c r="X35" s="50"/>
      <c r="Y35" s="50"/>
      <c r="Z35" s="50"/>
    </row>
    <row r="36" spans="1:26" s="29" customFormat="1" ht="15" x14ac:dyDescent="0.2">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
      <c r="L37" s="98">
        <f>3*0.15</f>
        <v>0.44999999999999996</v>
      </c>
    </row>
    <row r="39" spans="1:26" x14ac:dyDescent="0.2">
      <c r="L39" s="98">
        <f>SUM(L36:L38)</f>
        <v>1.2</v>
      </c>
    </row>
    <row r="41" spans="1:26" x14ac:dyDescent="0.2">
      <c r="L41" s="98">
        <f>1*0.25</f>
        <v>0.25</v>
      </c>
    </row>
    <row r="42" spans="1:26" x14ac:dyDescent="0.2">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E31F03FEDB941F4EB42A4F00C8D71B92" ma:contentTypeVersion="471" ma:contentTypeDescription="The base project type from which other project content types inherit their information." ma:contentTypeScope="" ma:versionID="da06f7dad2bac38b7bff1291953eef72">
  <xsd:schema xmlns:xsd="http://www.w3.org/2001/XMLSchema" xmlns:xs="http://www.w3.org/2001/XMLSchema" xmlns:p="http://schemas.microsoft.com/office/2006/metadata/properties" xmlns:ns2="cdc7663a-08f0-4737-9e8c-148ce897a09c" targetNamespace="http://schemas.microsoft.com/office/2006/metadata/properties" ma:root="true" ma:fieldsID="43b1d4d020118aabd6d4b11bc91e70f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AR-O0008"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Container"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Zhang, Hongrui</Other_x0020_Author>
    <Division_x0020_or_x0020_Unit xmlns="cdc7663a-08f0-4737-9e8c-148ce897a09c">IFD/CMF</Division_x0020_or_x0020_Unit>
    <IDBDocs_x0020_Number xmlns="cdc7663a-08f0-4737-9e8c-148ce897a09c">38562678</IDBDocs_x0020_Number>
    <Document_x0020_Author xmlns="cdc7663a-08f0-4737-9e8c-148ce897a09c">Gaggero, Annabella</Document_x0020_Author>
    <TaxCatchAll xmlns="cdc7663a-08f0-4737-9e8c-148ce897a09c">
      <Value>32</Value>
      <Value>41</Value>
      <Value>5</Value>
      <Value>3</Value>
      <Value>2</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Related_x0020_SisCor_x0020_Number xmlns="cdc7663a-08f0-4737-9e8c-148ce897a09c" xsi:nil="true"/>
    <_dlc_DocId xmlns="cdc7663a-08f0-4737-9e8c-148ce897a09c">EZSHARE-1962429885-2</_dlc_DocId>
    <_dlc_DocIdUrl xmlns="cdc7663a-08f0-4737-9e8c-148ce897a09c">
      <Url>https://idbg.sharepoint.com/teams/EZ-AR-CON/AR-O0008/_layouts/15/DocIdRedir.aspx?ID=EZSHARE-1962429885-2</Url>
      <Description>EZSHARE-1962429885-2</Description>
    </_dlc_DocIdUrl>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Proposal for Operation Development (POD)</TermName>
          <TermId xmlns="http://schemas.microsoft.com/office/infopath/2007/PartnerControls">24e0d6d4-9e5f-4c37-abe1-0e66100c0228</TermId>
        </TermInfo>
      </Term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RISK FINANCING</TermName>
          <TermId xmlns="http://schemas.microsoft.com/office/infopath/2007/PartnerControls">c5c38d86-fff1-494c-a3d8-b52714531aea</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Container</Operation_x0020_Type>
    <Package_x0020_Code xmlns="cdc7663a-08f0-4737-9e8c-148ce897a09c" xsi:nil="true"/>
    <To_x003a_ xmlns="cdc7663a-08f0-4737-9e8c-148ce897a09c" xsi:nil="true"/>
    <Project_x0020_Number xmlns="cdc7663a-08f0-4737-9e8c-148ce897a09c">AR-O0008;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Record_x0020_Number xmlns="cdc7663a-08f0-4737-9e8c-148ce897a09c">R0002840815</Record_x0020_Number>
  </documentManagement>
</p:properti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BDE06AA8-B743-475E-AC19-4C20FC8C4B26}"/>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F8D313EE-ECB7-4A47-8E35-3ADA867BA7BE}">
  <ds:schemaRefs>
    <ds:schemaRef ds:uri="Microsoft.SharePoint.Taxonomy.ContentTypeSync"/>
  </ds:schemaRefs>
</ds:datastoreItem>
</file>

<file path=customXml/itemProps4.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5.xml><?xml version="1.0" encoding="utf-8"?>
<ds:datastoreItem xmlns:ds="http://schemas.openxmlformats.org/officeDocument/2006/customXml" ds:itemID="{8688207F-6955-481B-BA9D-A509C06E6BA1}">
  <ds:schemaRefs>
    <ds:schemaRef ds:uri="http://purl.org/dc/elements/1.1/"/>
    <ds:schemaRef ds:uri="http://schemas.microsoft.com/office/2006/metadata/properties"/>
    <ds:schemaRef ds:uri="cdc7663a-08f0-4737-9e8c-148ce897a09c"/>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customXml/itemProps6.xml><?xml version="1.0" encoding="utf-8"?>
<ds:datastoreItem xmlns:ds="http://schemas.openxmlformats.org/officeDocument/2006/customXml" ds:itemID="{E99E3B54-A339-477F-9BCB-C452BFEF2D1D}">
  <ds:schemaRefs>
    <ds:schemaRef ds:uri="http://schemas.microsoft.com/sharepoint/v3/contenttype/forms/ur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Gaggero, Annabella</cp:lastModifiedBy>
  <cp:revision/>
  <cp:lastPrinted>2018-11-09T19:15:36Z</cp:lastPrinted>
  <dcterms:created xsi:type="dcterms:W3CDTF">2009-01-21T14:19:32Z</dcterms:created>
  <dcterms:modified xsi:type="dcterms:W3CDTF">2018-11-09T21:19:00Z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0x010100ACF722E9F6B0B149B0CD8BE2560A667200E31F03FEDB941F4EB42A4F00C8D71B92</vt:lpwstr>
  </property>
  <property fmtid="{D5CDD505-2E9C-101B-9397-08002B2CF9AE}" pid="6" name="TaxKeywordTaxHTField">
    <vt:lpwstr/>
  </property>
  <property fmtid="{D5CDD505-2E9C-101B-9397-08002B2CF9AE}" pid="7" name="Country">
    <vt:lpwstr>2;#Argentina|eb1b705c-195f-4c3b-9661-b201f2fee3c5</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c31aef95-3985-4d99-aefe-c45e3840110a</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41;#Proposal for Operation Development (POD)|24e0d6d4-9e5f-4c37-abe1-0e66100c0228</vt:lpwstr>
  </property>
  <property fmtid="{D5CDD505-2E9C-101B-9397-08002B2CF9AE}" pid="29" name="Sub-Sector">
    <vt:lpwstr>32;#RISK FINANCING|c5c38d86-fff1-494c-a3d8-b52714531aea</vt:lpwstr>
  </property>
  <property fmtid="{D5CDD505-2E9C-101B-9397-08002B2CF9AE}" pid="30" name="Fund IDB">
    <vt:lpwstr>5;#ORC|c028a4b2-ad8b-4cf4-9cac-a2ae6a778e23</vt:lpwstr>
  </property>
  <property fmtid="{D5CDD505-2E9C-101B-9397-08002B2CF9AE}" pid="31" name="Sector IDB">
    <vt:lpwstr>3;#FINANCIAL MARKETS|75500f29-2419-473a-bcd8-84901ddc2aa7</vt:lpwstr>
  </property>
  <property fmtid="{D5CDD505-2E9C-101B-9397-08002B2CF9AE}" pid="32" name="Function Operations IDB">
    <vt:lpwstr>1;#Project Preparation, Planning and Design|29ca0c72-1fc4-435f-a09c-28585cb5eac9</vt:lpwstr>
  </property>
</Properties>
</file>