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15"/>
  <workbookPr/>
  <mc:AlternateContent xmlns:mc="http://schemas.openxmlformats.org/markup-compatibility/2006">
    <mc:Choice Requires="x15">
      <x15ac:absPath xmlns:x15ac="http://schemas.microsoft.com/office/spreadsheetml/2010/11/ac" url="C:\Users\rodolfosc\Desktop\DR-L1127\Enlaces Requeridos\"/>
    </mc:Choice>
  </mc:AlternateContent>
  <xr:revisionPtr revIDLastSave="1" documentId="13_ncr:1_{0C518368-8E39-4B7E-9ADE-C4E1142A7847}" xr6:coauthVersionLast="40" xr6:coauthVersionMax="40" xr10:uidLastSave="{3D5565E1-A59B-455C-90C5-2E7F90C80C44}"/>
  <bookViews>
    <workbookView xWindow="0" yWindow="0" windowWidth="20490" windowHeight="7830" tabRatio="807" firstSheet="3" activeTab="3" xr2:uid="{00000000-000D-0000-FFFF-FFFF00000000}"/>
  </bookViews>
  <sheets>
    <sheet name="1. Tabla de Costos" sheetId="2" state="hidden" r:id="rId1"/>
    <sheet name="2. Costeo Detallado" sheetId="1" state="hidden" r:id="rId2"/>
    <sheet name="3. Calendario Desembolsos" sheetId="3" state="hidden" r:id="rId3"/>
    <sheet name="4. Detalle Plan de Adquisicione" sheetId="5" r:id="rId4"/>
    <sheet name="5. Plan de Adquisiciones" sheetId="6" r:id="rId5"/>
    <sheet name="6. PCR outputs" sheetId="16" state="hidden" r:id="rId6"/>
    <sheet name="Parametros" sheetId="13" state="hidden" r:id="rId7"/>
    <sheet name="Planilla Costos Talleres TecPro" sheetId="14" state="hidden" r:id="rId8"/>
    <sheet name="Planilla Costos Talleres ARTES" sheetId="15" state="hidden" r:id="rId9"/>
    <sheet name="6. Tabla PMR" sheetId="11" state="hidden" r:id="rId10"/>
  </sheets>
  <calcPr calcId="17902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2" i="16" l="1"/>
  <c r="K21" i="16"/>
  <c r="K20" i="16"/>
  <c r="K19" i="16"/>
  <c r="K18" i="16"/>
  <c r="K17" i="16"/>
  <c r="K16" i="16"/>
  <c r="K12" i="16"/>
  <c r="K8" i="16"/>
  <c r="K14" i="16"/>
  <c r="K10" i="16"/>
  <c r="K9" i="16"/>
  <c r="K4" i="16"/>
  <c r="K5" i="16"/>
  <c r="K6" i="16"/>
  <c r="K7" i="16"/>
  <c r="J59" i="5"/>
  <c r="B59" i="5"/>
  <c r="C59" i="5"/>
  <c r="J58" i="5"/>
  <c r="C58" i="5"/>
  <c r="B58" i="5"/>
  <c r="J44" i="5"/>
  <c r="J43" i="5"/>
  <c r="C44" i="5"/>
  <c r="B44" i="5"/>
  <c r="B43" i="5"/>
  <c r="J17" i="5"/>
  <c r="C50" i="5"/>
  <c r="J50" i="5"/>
  <c r="J48" i="5"/>
  <c r="J49" i="5"/>
  <c r="B50" i="5"/>
  <c r="J20" i="5"/>
  <c r="J19" i="5"/>
  <c r="C20" i="5"/>
  <c r="B20" i="5"/>
  <c r="J47" i="5"/>
  <c r="C47" i="5"/>
  <c r="B47" i="5"/>
  <c r="B46" i="5"/>
  <c r="C46" i="5"/>
  <c r="D74" i="5"/>
  <c r="D73" i="5"/>
  <c r="J39" i="5"/>
  <c r="B39" i="5"/>
  <c r="J30" i="5"/>
  <c r="J26" i="5"/>
  <c r="J25" i="5"/>
  <c r="J14" i="5"/>
  <c r="J15" i="5"/>
  <c r="J16" i="5"/>
  <c r="B30" i="5"/>
  <c r="B17" i="5"/>
  <c r="G4" i="13"/>
  <c r="P79" i="1"/>
  <c r="N79" i="1"/>
  <c r="L79" i="1"/>
  <c r="J79" i="1"/>
  <c r="Q79" i="1"/>
  <c r="H79" i="1"/>
  <c r="B14" i="2"/>
  <c r="P41" i="1"/>
  <c r="N41" i="1"/>
  <c r="N35" i="1"/>
  <c r="N36" i="1"/>
  <c r="N37" i="1"/>
  <c r="G9" i="16"/>
  <c r="L41" i="1"/>
  <c r="L35" i="1"/>
  <c r="L36" i="1"/>
  <c r="L37" i="1"/>
  <c r="E9" i="16"/>
  <c r="J41" i="1"/>
  <c r="J35" i="1"/>
  <c r="J36" i="1"/>
  <c r="J37" i="1"/>
  <c r="C9" i="16"/>
  <c r="B9" i="16"/>
  <c r="H41" i="1"/>
  <c r="P72" i="1"/>
  <c r="N72" i="1"/>
  <c r="G18" i="16"/>
  <c r="L72" i="1"/>
  <c r="E18" i="16"/>
  <c r="J72" i="1"/>
  <c r="H72" i="1"/>
  <c r="P71" i="1"/>
  <c r="N71" i="1"/>
  <c r="L71" i="1"/>
  <c r="J71" i="1"/>
  <c r="H71" i="1"/>
  <c r="F30" i="1"/>
  <c r="N40" i="1"/>
  <c r="L40" i="1"/>
  <c r="J40" i="1"/>
  <c r="H40" i="1"/>
  <c r="N39" i="1"/>
  <c r="G10" i="16"/>
  <c r="L39" i="1"/>
  <c r="E10" i="16"/>
  <c r="J39" i="1"/>
  <c r="H39" i="1"/>
  <c r="H37" i="1"/>
  <c r="H36" i="1"/>
  <c r="H35" i="1"/>
  <c r="G21" i="16"/>
  <c r="G22" i="16"/>
  <c r="Q41" i="1"/>
  <c r="C21" i="2"/>
  <c r="E21" i="2"/>
  <c r="G50" i="5"/>
  <c r="Q35" i="1"/>
  <c r="G17" i="5"/>
  <c r="Q37" i="1"/>
  <c r="G30" i="5"/>
  <c r="Q40" i="1"/>
  <c r="E74" i="5"/>
  <c r="E21" i="16"/>
  <c r="E22" i="16"/>
  <c r="Q72" i="1"/>
  <c r="G47" i="5"/>
  <c r="C18" i="16"/>
  <c r="B18" i="16"/>
  <c r="Q36" i="1"/>
  <c r="G39" i="5"/>
  <c r="C10" i="16"/>
  <c r="B10" i="16"/>
  <c r="Q39" i="1"/>
  <c r="Q71" i="1"/>
  <c r="G46" i="5"/>
  <c r="C21" i="16"/>
  <c r="B21" i="16"/>
  <c r="C22" i="16"/>
  <c r="B22" i="16"/>
  <c r="P58" i="1"/>
  <c r="N58" i="1"/>
  <c r="L58" i="1"/>
  <c r="J58" i="1"/>
  <c r="Q58" i="1"/>
  <c r="F59" i="5"/>
  <c r="H58" i="1"/>
  <c r="P57" i="1"/>
  <c r="N57" i="1"/>
  <c r="L57" i="1"/>
  <c r="J57" i="1"/>
  <c r="H57" i="1"/>
  <c r="J57" i="5"/>
  <c r="C57" i="5"/>
  <c r="B57" i="5"/>
  <c r="B27" i="5"/>
  <c r="P27" i="1"/>
  <c r="N27" i="1"/>
  <c r="G6" i="16"/>
  <c r="L27" i="1"/>
  <c r="E6" i="16"/>
  <c r="J27" i="1"/>
  <c r="C6" i="16"/>
  <c r="H27" i="1"/>
  <c r="G20" i="5"/>
  <c r="R33" i="1"/>
  <c r="J7" i="1"/>
  <c r="L7" i="1"/>
  <c r="N7" i="1"/>
  <c r="P7" i="1"/>
  <c r="Q7" i="1"/>
  <c r="J17" i="14"/>
  <c r="J18" i="14"/>
  <c r="J9" i="1"/>
  <c r="L9" i="1"/>
  <c r="F9" i="1"/>
  <c r="P9" i="1"/>
  <c r="Q9" i="1"/>
  <c r="J10" i="1"/>
  <c r="K17" i="14"/>
  <c r="K18" i="14"/>
  <c r="L10" i="1"/>
  <c r="N10" i="1"/>
  <c r="F10" i="1"/>
  <c r="P10" i="1"/>
  <c r="Q10" i="1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F11" i="1"/>
  <c r="I11" i="1"/>
  <c r="J11" i="1"/>
  <c r="K11" i="1"/>
  <c r="L11" i="1"/>
  <c r="M11" i="1"/>
  <c r="N11" i="1"/>
  <c r="P11" i="1"/>
  <c r="Q11" i="1"/>
  <c r="E17" i="15"/>
  <c r="J13" i="1"/>
  <c r="L13" i="1"/>
  <c r="F13" i="1"/>
  <c r="P13" i="1"/>
  <c r="Q13" i="1"/>
  <c r="J14" i="1"/>
  <c r="F17" i="15"/>
  <c r="L14" i="1"/>
  <c r="N14" i="1"/>
  <c r="F14" i="1"/>
  <c r="P14" i="1"/>
  <c r="Q14" i="1"/>
  <c r="D3" i="15"/>
  <c r="E3" i="15"/>
  <c r="D4" i="15"/>
  <c r="E4" i="15"/>
  <c r="D5" i="15"/>
  <c r="E5" i="15"/>
  <c r="D6" i="15"/>
  <c r="E6" i="15"/>
  <c r="D7" i="15"/>
  <c r="E7" i="15"/>
  <c r="D8" i="15"/>
  <c r="E8" i="15"/>
  <c r="D9" i="15"/>
  <c r="E9" i="15"/>
  <c r="D10" i="15"/>
  <c r="E10" i="15"/>
  <c r="E11" i="15"/>
  <c r="E12" i="15"/>
  <c r="E13" i="15"/>
  <c r="F15" i="1"/>
  <c r="I15" i="1"/>
  <c r="J15" i="1"/>
  <c r="K15" i="1"/>
  <c r="L15" i="1"/>
  <c r="M15" i="1"/>
  <c r="N15" i="1"/>
  <c r="P15" i="1"/>
  <c r="Q15" i="1"/>
  <c r="F18" i="1"/>
  <c r="J18" i="1"/>
  <c r="K18" i="1"/>
  <c r="L18" i="1"/>
  <c r="M18" i="1"/>
  <c r="N18" i="1"/>
  <c r="P18" i="1"/>
  <c r="Q18" i="1"/>
  <c r="F19" i="1"/>
  <c r="J19" i="1"/>
  <c r="K19" i="1"/>
  <c r="L19" i="1"/>
  <c r="M19" i="1"/>
  <c r="N19" i="1"/>
  <c r="P19" i="1"/>
  <c r="Q19" i="1"/>
  <c r="F20" i="1"/>
  <c r="J20" i="1"/>
  <c r="K20" i="1"/>
  <c r="L20" i="1"/>
  <c r="I20" i="13"/>
  <c r="M20" i="1"/>
  <c r="N20" i="1"/>
  <c r="P20" i="1"/>
  <c r="Q20" i="1"/>
  <c r="J22" i="1"/>
  <c r="L22" i="1"/>
  <c r="M22" i="1"/>
  <c r="N22" i="1"/>
  <c r="P22" i="1"/>
  <c r="Q22" i="1"/>
  <c r="J23" i="1"/>
  <c r="L23" i="1"/>
  <c r="N23" i="1"/>
  <c r="P23" i="1"/>
  <c r="Q23" i="1"/>
  <c r="Q27" i="1"/>
  <c r="J28" i="1"/>
  <c r="H22" i="1"/>
  <c r="K28" i="1"/>
  <c r="L28" i="1"/>
  <c r="M28" i="1"/>
  <c r="N28" i="1"/>
  <c r="P28" i="1"/>
  <c r="Q28" i="1"/>
  <c r="F27" i="13"/>
  <c r="H3" i="15"/>
  <c r="H4" i="15"/>
  <c r="H5" i="15"/>
  <c r="H6" i="15"/>
  <c r="H7" i="15"/>
  <c r="H8" i="15"/>
  <c r="H9" i="15"/>
  <c r="H10" i="15"/>
  <c r="H11" i="15"/>
  <c r="E31" i="13"/>
  <c r="F31" i="13"/>
  <c r="F32" i="13"/>
  <c r="I29" i="1"/>
  <c r="J29" i="1"/>
  <c r="G27" i="13"/>
  <c r="G28" i="13"/>
  <c r="G31" i="13"/>
  <c r="G32" i="13"/>
  <c r="K29" i="1"/>
  <c r="L29" i="1"/>
  <c r="H28" i="13"/>
  <c r="H32" i="13"/>
  <c r="M29" i="1"/>
  <c r="N29" i="1"/>
  <c r="P29" i="1"/>
  <c r="Q29" i="1"/>
  <c r="I30" i="1"/>
  <c r="J30" i="1"/>
  <c r="K30" i="1"/>
  <c r="L30" i="1"/>
  <c r="M30" i="1"/>
  <c r="N30" i="1"/>
  <c r="P30" i="1"/>
  <c r="Q30" i="1"/>
  <c r="K32" i="1"/>
  <c r="L32" i="1"/>
  <c r="N32" i="1"/>
  <c r="P32" i="1"/>
  <c r="Q32" i="1"/>
  <c r="S42" i="1"/>
  <c r="B6" i="16"/>
  <c r="Q57" i="1"/>
  <c r="F58" i="5"/>
  <c r="E73" i="5"/>
  <c r="R70" i="1"/>
  <c r="F57" i="5"/>
  <c r="J46" i="5"/>
  <c r="J56" i="5"/>
  <c r="J45" i="5"/>
  <c r="C56" i="5"/>
  <c r="B56" i="5"/>
  <c r="J31" i="5"/>
  <c r="C33" i="5"/>
  <c r="J33" i="5"/>
  <c r="J32" i="5"/>
  <c r="B32" i="5"/>
  <c r="C18" i="5"/>
  <c r="B19" i="5"/>
  <c r="B6" i="2"/>
  <c r="J29" i="5"/>
  <c r="B16" i="2"/>
  <c r="C6" i="2"/>
  <c r="E6" i="2"/>
  <c r="C16" i="2"/>
  <c r="E16" i="2"/>
  <c r="J28" i="5"/>
  <c r="J27" i="5"/>
  <c r="D75" i="5"/>
  <c r="D76" i="5"/>
  <c r="A25" i="6"/>
  <c r="B33" i="5"/>
  <c r="B45" i="5"/>
  <c r="C49" i="5"/>
  <c r="B49" i="5"/>
  <c r="B48" i="5"/>
  <c r="C45" i="5"/>
  <c r="D79" i="5"/>
  <c r="D77" i="5"/>
  <c r="C32" i="5"/>
  <c r="C19" i="5"/>
  <c r="C43" i="5"/>
  <c r="J41" i="5"/>
  <c r="C31" i="5"/>
  <c r="B31" i="5"/>
  <c r="J40" i="5"/>
  <c r="C41" i="5"/>
  <c r="B41" i="5"/>
  <c r="J18" i="5"/>
  <c r="B18" i="5"/>
  <c r="C40" i="5"/>
  <c r="B40" i="5"/>
  <c r="B29" i="5"/>
  <c r="B28" i="5"/>
  <c r="C29" i="5"/>
  <c r="C27" i="5"/>
  <c r="C28" i="5"/>
  <c r="C16" i="5"/>
  <c r="B16" i="5"/>
  <c r="B26" i="5"/>
  <c r="B25" i="5"/>
  <c r="C26" i="5"/>
  <c r="C25" i="5"/>
  <c r="J8" i="5"/>
  <c r="B15" i="5"/>
  <c r="C15" i="5"/>
  <c r="C14" i="5"/>
  <c r="B14" i="5"/>
  <c r="J7" i="5"/>
  <c r="J6" i="5"/>
  <c r="C8" i="5"/>
  <c r="B8" i="5"/>
  <c r="C7" i="5"/>
  <c r="B7" i="5"/>
  <c r="B6" i="5"/>
  <c r="J5" i="5"/>
  <c r="C6" i="5"/>
  <c r="B5" i="5"/>
  <c r="C5" i="5"/>
  <c r="P64" i="1"/>
  <c r="N64" i="1"/>
  <c r="L64" i="1"/>
  <c r="J64" i="1"/>
  <c r="H64" i="1"/>
  <c r="P56" i="1"/>
  <c r="N56" i="1"/>
  <c r="L56" i="1"/>
  <c r="J56" i="1"/>
  <c r="H56" i="1"/>
  <c r="P50" i="1"/>
  <c r="N50" i="1"/>
  <c r="L50" i="1"/>
  <c r="J50" i="1"/>
  <c r="H50" i="1"/>
  <c r="P49" i="1"/>
  <c r="N49" i="1"/>
  <c r="L49" i="1"/>
  <c r="J49" i="1"/>
  <c r="H49" i="1"/>
  <c r="Q64" i="1"/>
  <c r="E79" i="5"/>
  <c r="Q49" i="1"/>
  <c r="Q50" i="1"/>
  <c r="Q56" i="1"/>
  <c r="G44" i="5"/>
  <c r="E75" i="5"/>
  <c r="C29" i="14"/>
  <c r="E19" i="15"/>
  <c r="F4" i="13"/>
  <c r="F81" i="1"/>
  <c r="B15" i="2"/>
  <c r="P55" i="1"/>
  <c r="N55" i="1"/>
  <c r="L55" i="1"/>
  <c r="J55" i="1"/>
  <c r="H55" i="1"/>
  <c r="B13" i="2"/>
  <c r="B12" i="2"/>
  <c r="B10" i="2"/>
  <c r="B9" i="2"/>
  <c r="K47" i="1"/>
  <c r="M47" i="1"/>
  <c r="B5" i="2"/>
  <c r="I19" i="13"/>
  <c r="I18" i="13"/>
  <c r="I17" i="13"/>
  <c r="H14" i="1"/>
  <c r="H13" i="1"/>
  <c r="H10" i="1"/>
  <c r="L17" i="14"/>
  <c r="K19" i="14"/>
  <c r="H21" i="13"/>
  <c r="G21" i="13"/>
  <c r="J11" i="14"/>
  <c r="J10" i="14"/>
  <c r="J9" i="14"/>
  <c r="J8" i="14"/>
  <c r="J7" i="14"/>
  <c r="J6" i="14"/>
  <c r="J5" i="14"/>
  <c r="J4" i="14"/>
  <c r="J3" i="14"/>
  <c r="F21" i="13"/>
  <c r="F8" i="13"/>
  <c r="P47" i="1"/>
  <c r="J47" i="1"/>
  <c r="P63" i="1"/>
  <c r="N63" i="1"/>
  <c r="G17" i="16"/>
  <c r="L63" i="1"/>
  <c r="E17" i="16"/>
  <c r="J63" i="1"/>
  <c r="H63" i="1"/>
  <c r="P62" i="1"/>
  <c r="N62" i="1"/>
  <c r="G16" i="16"/>
  <c r="L62" i="1"/>
  <c r="E16" i="16"/>
  <c r="J62" i="1"/>
  <c r="C16" i="16"/>
  <c r="H62" i="1"/>
  <c r="H69" i="1"/>
  <c r="H67" i="1"/>
  <c r="P69" i="1"/>
  <c r="N69" i="1"/>
  <c r="L69" i="1"/>
  <c r="J69" i="1"/>
  <c r="P44" i="1"/>
  <c r="N44" i="1"/>
  <c r="G14" i="16"/>
  <c r="L44" i="1"/>
  <c r="E14" i="16"/>
  <c r="J44" i="1"/>
  <c r="C14" i="16"/>
  <c r="H44" i="1"/>
  <c r="P68" i="1"/>
  <c r="N68" i="1"/>
  <c r="G20" i="16"/>
  <c r="L68" i="1"/>
  <c r="J68" i="1"/>
  <c r="C20" i="16"/>
  <c r="H68" i="1"/>
  <c r="J67" i="1"/>
  <c r="P67" i="1"/>
  <c r="N67" i="1"/>
  <c r="L67" i="1"/>
  <c r="H81" i="1"/>
  <c r="P52" i="1"/>
  <c r="N52" i="1"/>
  <c r="L52" i="1"/>
  <c r="J52" i="1"/>
  <c r="H52" i="1"/>
  <c r="H75" i="1"/>
  <c r="C8" i="16"/>
  <c r="H9" i="1"/>
  <c r="B16" i="16"/>
  <c r="C17" i="16"/>
  <c r="B17" i="16"/>
  <c r="E20" i="16"/>
  <c r="B20" i="16"/>
  <c r="B14" i="16"/>
  <c r="I31" i="13"/>
  <c r="I28" i="13"/>
  <c r="I32" i="13"/>
  <c r="D27" i="11"/>
  <c r="N81" i="1"/>
  <c r="G27" i="16"/>
  <c r="J81" i="1"/>
  <c r="C27" i="16"/>
  <c r="Q52" i="1"/>
  <c r="R48" i="1"/>
  <c r="Q44" i="1"/>
  <c r="G40" i="5"/>
  <c r="L18" i="14"/>
  <c r="J19" i="14"/>
  <c r="L19" i="14"/>
  <c r="F19" i="15"/>
  <c r="Q55" i="1"/>
  <c r="G19" i="15"/>
  <c r="G17" i="15"/>
  <c r="Q62" i="1"/>
  <c r="Q63" i="1"/>
  <c r="R60" i="1"/>
  <c r="C14" i="2"/>
  <c r="E14" i="2"/>
  <c r="G32" i="5"/>
  <c r="L47" i="1"/>
  <c r="N47" i="1"/>
  <c r="I21" i="13"/>
  <c r="J12" i="14"/>
  <c r="H18" i="1"/>
  <c r="H19" i="1"/>
  <c r="Q69" i="1"/>
  <c r="G33" i="5"/>
  <c r="Q68" i="1"/>
  <c r="Q67" i="1"/>
  <c r="H23" i="1"/>
  <c r="H20" i="1"/>
  <c r="L81" i="1"/>
  <c r="E27" i="16"/>
  <c r="P81" i="1"/>
  <c r="H8" i="11"/>
  <c r="A27" i="11"/>
  <c r="K4" i="11"/>
  <c r="H6" i="11"/>
  <c r="F8" i="11"/>
  <c r="F6" i="11"/>
  <c r="D8" i="11"/>
  <c r="D6" i="11"/>
  <c r="I18" i="11"/>
  <c r="G17" i="11"/>
  <c r="R54" i="1"/>
  <c r="E71" i="5"/>
  <c r="B27" i="11"/>
  <c r="B27" i="16"/>
  <c r="C7" i="16"/>
  <c r="G19" i="5"/>
  <c r="C13" i="2"/>
  <c r="G45" i="5"/>
  <c r="G31" i="5"/>
  <c r="G16" i="5"/>
  <c r="G43" i="5"/>
  <c r="C10" i="2"/>
  <c r="H32" i="1"/>
  <c r="G8" i="16"/>
  <c r="E8" i="16"/>
  <c r="B8" i="16"/>
  <c r="Q47" i="1"/>
  <c r="H47" i="1"/>
  <c r="Q81" i="1"/>
  <c r="S81" i="1"/>
  <c r="D4" i="11"/>
  <c r="H4" i="11"/>
  <c r="F4" i="11"/>
  <c r="A23" i="11"/>
  <c r="G4" i="16"/>
  <c r="E4" i="16"/>
  <c r="C4" i="16"/>
  <c r="B4" i="16"/>
  <c r="G6" i="5"/>
  <c r="G8" i="5"/>
  <c r="C23" i="2"/>
  <c r="E23" i="2"/>
  <c r="H29" i="1"/>
  <c r="E76" i="5"/>
  <c r="B16" i="6"/>
  <c r="E77" i="5"/>
  <c r="B14" i="6"/>
  <c r="E13" i="2"/>
  <c r="G27" i="5"/>
  <c r="H28" i="1"/>
  <c r="G26" i="5"/>
  <c r="G25" i="5"/>
  <c r="H7" i="1"/>
  <c r="G28" i="5"/>
  <c r="E7" i="16"/>
  <c r="B27" i="6"/>
  <c r="H30" i="1"/>
  <c r="G29" i="5"/>
  <c r="B13" i="6"/>
  <c r="C13" i="6"/>
  <c r="G7" i="16"/>
  <c r="B7" i="16"/>
  <c r="D18" i="2"/>
  <c r="D25" i="2"/>
  <c r="J77" i="1"/>
  <c r="C24" i="11"/>
  <c r="C25" i="16"/>
  <c r="E23" i="11"/>
  <c r="G23" i="11"/>
  <c r="I23" i="11"/>
  <c r="P46" i="1"/>
  <c r="N46" i="1"/>
  <c r="L46" i="1"/>
  <c r="J46" i="1"/>
  <c r="H46" i="1"/>
  <c r="B4" i="2"/>
  <c r="Q46" i="1"/>
  <c r="G41" i="5"/>
  <c r="C23" i="11"/>
  <c r="B23" i="11"/>
  <c r="I21" i="11"/>
  <c r="C21" i="11"/>
  <c r="E21" i="11"/>
  <c r="G21" i="11"/>
  <c r="AC46" i="1"/>
  <c r="C27" i="6"/>
  <c r="E81" i="5"/>
  <c r="E82" i="5"/>
  <c r="B18" i="6"/>
  <c r="B21" i="11"/>
  <c r="AF46" i="1"/>
  <c r="N75" i="1"/>
  <c r="L75" i="1"/>
  <c r="J75" i="1"/>
  <c r="E17" i="11"/>
  <c r="C17" i="11"/>
  <c r="B17" i="11"/>
  <c r="E18" i="11"/>
  <c r="G18" i="11"/>
  <c r="C18" i="11"/>
  <c r="P66" i="1"/>
  <c r="N66" i="1"/>
  <c r="G19" i="16"/>
  <c r="L66" i="1"/>
  <c r="E19" i="16"/>
  <c r="J66" i="1"/>
  <c r="C19" i="16"/>
  <c r="H66" i="1"/>
  <c r="B19" i="16"/>
  <c r="M15" i="16"/>
  <c r="I15" i="11"/>
  <c r="AD54" i="1"/>
  <c r="B18" i="11"/>
  <c r="G15" i="11"/>
  <c r="AB54" i="1"/>
  <c r="Q66" i="1"/>
  <c r="R65" i="1"/>
  <c r="X70" i="1"/>
  <c r="S75" i="1"/>
  <c r="F56" i="5"/>
  <c r="F28" i="11"/>
  <c r="D28" i="11"/>
  <c r="B28" i="11"/>
  <c r="C15" i="2"/>
  <c r="C12" i="2"/>
  <c r="B25" i="6"/>
  <c r="C25" i="6"/>
  <c r="E15" i="2"/>
  <c r="E12" i="2"/>
  <c r="A26" i="6"/>
  <c r="A24" i="6"/>
  <c r="A23" i="6"/>
  <c r="C18" i="6"/>
  <c r="C17" i="6"/>
  <c r="C14" i="6"/>
  <c r="C30" i="6"/>
  <c r="M77" i="1"/>
  <c r="L77" i="1"/>
  <c r="E24" i="11"/>
  <c r="E25" i="16"/>
  <c r="B8" i="2"/>
  <c r="P77" i="1"/>
  <c r="I24" i="11"/>
  <c r="N77" i="1"/>
  <c r="P78" i="1"/>
  <c r="N78" i="1"/>
  <c r="G26" i="16"/>
  <c r="L78" i="1"/>
  <c r="E26" i="16"/>
  <c r="J78" i="1"/>
  <c r="C26" i="16"/>
  <c r="H28" i="11"/>
  <c r="L45" i="1"/>
  <c r="E12" i="16"/>
  <c r="P45" i="1"/>
  <c r="N45" i="1"/>
  <c r="G12" i="16"/>
  <c r="J45" i="1"/>
  <c r="C12" i="16"/>
  <c r="H45" i="1"/>
  <c r="B12" i="16"/>
  <c r="M11" i="16"/>
  <c r="B26" i="16"/>
  <c r="G24" i="11"/>
  <c r="G25" i="16"/>
  <c r="B25" i="16"/>
  <c r="M24" i="16"/>
  <c r="Q45" i="1"/>
  <c r="H29" i="11"/>
  <c r="F29" i="11"/>
  <c r="B29" i="11"/>
  <c r="B30" i="11"/>
  <c r="C6" i="11"/>
  <c r="D29" i="11"/>
  <c r="D30" i="11"/>
  <c r="G20" i="11"/>
  <c r="AC45" i="1"/>
  <c r="I20" i="11"/>
  <c r="AE45" i="1"/>
  <c r="E15" i="11"/>
  <c r="E20" i="11"/>
  <c r="J28" i="11"/>
  <c r="C20" i="11"/>
  <c r="F20" i="11"/>
  <c r="B24" i="11"/>
  <c r="C15" i="11"/>
  <c r="C8" i="11"/>
  <c r="G6" i="11"/>
  <c r="E6" i="11"/>
  <c r="AB7" i="1"/>
  <c r="Q77" i="1"/>
  <c r="H77" i="1"/>
  <c r="Q78" i="1"/>
  <c r="C20" i="2"/>
  <c r="H78" i="1"/>
  <c r="S52" i="1"/>
  <c r="R44" i="1"/>
  <c r="G49" i="5"/>
  <c r="G48" i="5"/>
  <c r="B15" i="6"/>
  <c r="C15" i="6"/>
  <c r="S78" i="1"/>
  <c r="G18" i="5"/>
  <c r="J29" i="11"/>
  <c r="AF45" i="1"/>
  <c r="B15" i="11"/>
  <c r="B20" i="11"/>
  <c r="I8" i="11"/>
  <c r="B6" i="11"/>
  <c r="C4" i="11"/>
  <c r="C25" i="11"/>
  <c r="AD7" i="1"/>
  <c r="G8" i="11"/>
  <c r="R6" i="11"/>
  <c r="E8" i="11"/>
  <c r="E4" i="11"/>
  <c r="AC7" i="1"/>
  <c r="N6" i="11"/>
  <c r="E10" i="2"/>
  <c r="E20" i="2"/>
  <c r="X48" i="1"/>
  <c r="C9" i="2"/>
  <c r="C8" i="2"/>
  <c r="C26" i="11"/>
  <c r="G4" i="11"/>
  <c r="B4" i="11"/>
  <c r="B25" i="11"/>
  <c r="E25" i="11"/>
  <c r="E26" i="11"/>
  <c r="G26" i="11"/>
  <c r="B8" i="11"/>
  <c r="B26" i="11"/>
  <c r="P6" i="11"/>
  <c r="U6" i="11"/>
  <c r="N5" i="11"/>
  <c r="C16" i="6"/>
  <c r="E9" i="2"/>
  <c r="E8" i="2"/>
  <c r="M26" i="11"/>
  <c r="R5" i="11"/>
  <c r="G25" i="11"/>
  <c r="M25" i="11"/>
  <c r="P5" i="11"/>
  <c r="C19" i="2"/>
  <c r="C18" i="2"/>
  <c r="B24" i="6"/>
  <c r="C24" i="6"/>
  <c r="E19" i="2"/>
  <c r="E18" i="2"/>
  <c r="B26" i="6"/>
  <c r="C26" i="6"/>
  <c r="G5" i="5"/>
  <c r="H11" i="1"/>
  <c r="I6" i="11"/>
  <c r="I26" i="11"/>
  <c r="F27" i="11"/>
  <c r="F30" i="11"/>
  <c r="G14" i="5"/>
  <c r="I4" i="11"/>
  <c r="T6" i="11"/>
  <c r="H27" i="11"/>
  <c r="T5" i="11"/>
  <c r="I25" i="11"/>
  <c r="I6" i="3"/>
  <c r="G7" i="5"/>
  <c r="H30" i="11"/>
  <c r="J27" i="11"/>
  <c r="J30" i="11"/>
  <c r="G5" i="16"/>
  <c r="G28" i="16"/>
  <c r="N84" i="1"/>
  <c r="G6" i="3"/>
  <c r="B11" i="6"/>
  <c r="C11" i="6"/>
  <c r="L84" i="1"/>
  <c r="E6" i="3"/>
  <c r="E5" i="16"/>
  <c r="E28" i="16"/>
  <c r="H15" i="1"/>
  <c r="I8" i="3"/>
  <c r="E23" i="16"/>
  <c r="G23" i="16"/>
  <c r="C5" i="16"/>
  <c r="C28" i="16"/>
  <c r="J84" i="1"/>
  <c r="S85" i="1"/>
  <c r="E8" i="3"/>
  <c r="G8" i="3"/>
  <c r="B5" i="16"/>
  <c r="B28" i="16"/>
  <c r="C23" i="16"/>
  <c r="S84" i="1"/>
  <c r="R7" i="1"/>
  <c r="X32" i="1"/>
  <c r="Q84" i="1"/>
  <c r="C6" i="3"/>
  <c r="G15" i="5"/>
  <c r="B23" i="16"/>
  <c r="M3" i="16"/>
  <c r="B12" i="6"/>
  <c r="E69" i="5"/>
  <c r="Q85" i="1"/>
  <c r="N85" i="1"/>
  <c r="L85" i="1"/>
  <c r="C8" i="3"/>
  <c r="K6" i="3"/>
  <c r="C5" i="2"/>
  <c r="C4" i="2"/>
  <c r="S86" i="1"/>
  <c r="J85" i="1"/>
  <c r="E84" i="5"/>
  <c r="E89" i="5"/>
  <c r="C12" i="6"/>
  <c r="E5" i="2"/>
  <c r="E4" i="2"/>
  <c r="K8" i="3"/>
  <c r="L6" i="3"/>
  <c r="L8" i="3"/>
  <c r="C25" i="2"/>
  <c r="B23" i="6"/>
  <c r="B28" i="6"/>
  <c r="E25" i="2"/>
  <c r="F21" i="2"/>
  <c r="J6" i="3"/>
  <c r="J8" i="3"/>
  <c r="H6" i="3"/>
  <c r="H8" i="3"/>
  <c r="F6" i="3"/>
  <c r="F8" i="3"/>
  <c r="D6" i="3"/>
  <c r="D8" i="3"/>
  <c r="F6" i="2"/>
  <c r="F14" i="2"/>
  <c r="F5" i="2"/>
  <c r="F16" i="2"/>
  <c r="F20" i="2"/>
  <c r="F23" i="2"/>
  <c r="F10" i="2"/>
  <c r="F9" i="2"/>
  <c r="F15" i="2"/>
  <c r="F19" i="2"/>
  <c r="F13" i="2"/>
  <c r="F18" i="2"/>
  <c r="F4" i="2"/>
  <c r="F12" i="2"/>
  <c r="F8" i="2"/>
  <c r="F25" i="2"/>
  <c r="C23" i="6"/>
  <c r="C28" i="6"/>
  <c r="C19" i="6"/>
  <c r="B19" i="6"/>
</calcChain>
</file>

<file path=xl/sharedStrings.xml><?xml version="1.0" encoding="utf-8"?>
<sst xmlns="http://schemas.openxmlformats.org/spreadsheetml/2006/main" count="860" uniqueCount="414">
  <si>
    <t>Tabla de Costos DR-L1077      (US$)</t>
  </si>
  <si>
    <t>Componente/Subcomponente</t>
  </si>
  <si>
    <t>IDB</t>
  </si>
  <si>
    <t>Local</t>
  </si>
  <si>
    <t>Total</t>
  </si>
  <si>
    <t>%</t>
  </si>
  <si>
    <t>Administración y evaluación</t>
  </si>
  <si>
    <t>Auditoría Operativa y financiera</t>
  </si>
  <si>
    <t>Evaluación ETP</t>
  </si>
  <si>
    <t>Evaluación INFOTEP</t>
  </si>
  <si>
    <t>Contingencia</t>
  </si>
  <si>
    <t>Costeo detallado</t>
  </si>
  <si>
    <t>Componente</t>
  </si>
  <si>
    <t>Subcomponente</t>
  </si>
  <si>
    <t>Actividades</t>
  </si>
  <si>
    <t>Descripción</t>
  </si>
  <si>
    <t>Tipo de Adquisición</t>
  </si>
  <si>
    <t>Costo por unidad US$</t>
  </si>
  <si>
    <t>Costo por unidad Descripción</t>
  </si>
  <si>
    <t>No. De unidades</t>
  </si>
  <si>
    <t>Año 1</t>
  </si>
  <si>
    <t>Año 2</t>
  </si>
  <si>
    <t>Año 3</t>
  </si>
  <si>
    <t>Año 4</t>
  </si>
  <si>
    <t>Total $$$</t>
  </si>
  <si>
    <t>Tot Sub Comp</t>
  </si>
  <si>
    <t>Total Component</t>
  </si>
  <si>
    <t>Tot Sub Comp SIN CONTRAPARTIDA</t>
  </si>
  <si>
    <t>Total Component SIN CONTRAPARTIDA</t>
  </si>
  <si>
    <t>CONTRAPARTIDA</t>
  </si>
  <si>
    <t>Units</t>
  </si>
  <si>
    <t>$</t>
  </si>
  <si>
    <t>Componente 1. Expansión y modernización de la oferta</t>
  </si>
  <si>
    <t xml:space="preserve">1.1 Ampliación y mejoramiento de la ETP </t>
  </si>
  <si>
    <t>Expansión de la oferta de educación técnico profesional, a través de la adecuación y equipamiento de nuevos centros técnicos profesionales y en artes</t>
  </si>
  <si>
    <t>N/A</t>
  </si>
  <si>
    <t>Por niño atendido (unidades son acumulativas por año)</t>
  </si>
  <si>
    <r>
      <t xml:space="preserve">1.1.1 Expansión modalidad </t>
    </r>
    <r>
      <rPr>
        <b/>
        <sz val="16"/>
        <color rgb="FFFF0000"/>
        <rFont val="Calibri"/>
        <family val="2"/>
        <scheme val="minor"/>
      </rPr>
      <t>técnico profesional</t>
    </r>
  </si>
  <si>
    <t>1.1.1.1 Construcción</t>
  </si>
  <si>
    <r>
      <rPr>
        <sz val="11"/>
        <color rgb="FFFF0000"/>
        <rFont val="Calibri"/>
        <family val="2"/>
        <scheme val="minor"/>
      </rPr>
      <t xml:space="preserve">(1) Primer grupo (años 1 y 2) </t>
    </r>
    <r>
      <rPr>
        <sz val="11"/>
        <color theme="1"/>
        <rFont val="Calibri"/>
        <family val="2"/>
        <scheme val="minor"/>
      </rPr>
      <t>de construcción de módulos/ Talleres/ hangares</t>
    </r>
  </si>
  <si>
    <t>Obra</t>
  </si>
  <si>
    <r>
      <rPr>
        <sz val="11"/>
        <color rgb="FFFF0000"/>
        <rFont val="Calibri"/>
        <family val="2"/>
        <scheme val="minor"/>
      </rPr>
      <t xml:space="preserve">(2) Segundo grupo (años 2 y 3) </t>
    </r>
    <r>
      <rPr>
        <sz val="11"/>
        <color theme="1"/>
        <rFont val="Calibri"/>
        <family val="2"/>
        <scheme val="minor"/>
      </rPr>
      <t>de construcción de módulos/ Talleres/ hangares</t>
    </r>
  </si>
  <si>
    <t>1.1.1.2 Equipamiento de talleres técnico profesionales y en artes</t>
  </si>
  <si>
    <t>Se refiere a los equipos necesarios para que los liceos sean transformados en centros técnicos profesionales o en artes. Las especificaciones se definirán durante la ejecución del proyecto. Incluye mantenimiento por la vida del proyecto (ver hoja de parámetros)</t>
  </si>
  <si>
    <t>Bienes</t>
  </si>
  <si>
    <r>
      <t xml:space="preserve">1.1.2 Expansión modalidad de </t>
    </r>
    <r>
      <rPr>
        <b/>
        <sz val="14"/>
        <color rgb="FFFF0000"/>
        <rFont val="Calibri"/>
        <family val="2"/>
        <scheme val="minor"/>
      </rPr>
      <t>ARTES</t>
    </r>
  </si>
  <si>
    <t>1.1.2.1 Construcción</t>
  </si>
  <si>
    <t>1.1.2.2 Equipámiento de talleres técnico profesionales y en artes</t>
  </si>
  <si>
    <t>1.1.3 Mantenimiento preventivo de construcción</t>
  </si>
  <si>
    <t>Mantenimiento preventivo de la infraestructura de los talleres</t>
  </si>
  <si>
    <t>Modalidad técnico profesional</t>
  </si>
  <si>
    <t>Servicios</t>
  </si>
  <si>
    <t>Por taller por año</t>
  </si>
  <si>
    <t>Modalidad de artes</t>
  </si>
  <si>
    <t>1.1.4 Sensibilización del proceso de transformación de los liceos</t>
  </si>
  <si>
    <t>Talleres con la comunidad, transportación y alimentos</t>
  </si>
  <si>
    <t>Gastos</t>
  </si>
  <si>
    <t>Por centro</t>
  </si>
  <si>
    <t>1.1.5 Apoyo inicial de materiales y materia prima para la operaciön de los talleres.</t>
  </si>
  <si>
    <t>Materiales varios, para talleres agrícolas, médicos, artes, turismo, etc. Se definiran con detalle durante la ejecución</t>
  </si>
  <si>
    <t>por año</t>
  </si>
  <si>
    <t>Fortalecimiento de la capacidad de directores y personal técnico docente</t>
  </si>
  <si>
    <t>1.1.6 Capacitación Directores</t>
  </si>
  <si>
    <t xml:space="preserve"> Orientación sobre el cambio de la gestión del centro y habilidades blandas</t>
  </si>
  <si>
    <t>Asistencia técnica para desarrollo de contenidos y materiales nuevos</t>
  </si>
  <si>
    <t>Capacitación gestión y habilidades blandas</t>
  </si>
  <si>
    <t>1.1.7 Capacitación Docentes y directores</t>
  </si>
  <si>
    <t>Modalidad TecPro y artes (Acumulativo por año) Modélo pedagógico de enfoque de competencias y panificación y evaluación bajo el mismo enfoque; y en habilidades blandas</t>
  </si>
  <si>
    <t>Por técnico docente</t>
  </si>
  <si>
    <t>Capacitación TICs</t>
  </si>
  <si>
    <t>Por técnico docente  y director</t>
  </si>
  <si>
    <t>1.1.8 Planes de Mejora</t>
  </si>
  <si>
    <t>Transferencia</t>
  </si>
  <si>
    <t>Suma alzada</t>
  </si>
  <si>
    <t>1.2 Ampliacion de la formacion dual con calidad y pertinencia</t>
  </si>
  <si>
    <t xml:space="preserve">1.2.1 Expansión del programa de formación dual </t>
  </si>
  <si>
    <t>1.2.1.1 Materiales para el curso (incluye carpetas, etc.)</t>
  </si>
  <si>
    <t>1.2.1.2 Formación metodológica de Monitores  y docentes</t>
  </si>
  <si>
    <t xml:space="preserve">1.2.1.3 Campana communicacion estrategica </t>
  </si>
  <si>
    <t>1.2.2 Fondo concursable</t>
  </si>
  <si>
    <t>Adecuaciones  empresas &amp;  incentivos para empresas/aprendices</t>
  </si>
  <si>
    <t>"Matching Grant Facility"</t>
  </si>
  <si>
    <t>Gastos operativos</t>
  </si>
  <si>
    <t>1.2.3 Equipamiento</t>
  </si>
  <si>
    <t>Para talleres de INFOTEP</t>
  </si>
  <si>
    <t>Componente 2. Innovación e investigación para mejorar la calidad docente y la gestión</t>
  </si>
  <si>
    <t>2.1 Centro de innovación</t>
  </si>
  <si>
    <t>2.1.1 Desarrollo de contenidos para capacitación</t>
  </si>
  <si>
    <t>Desarrollo de contenidos para la capacitación de docentes específica para la educación técnica y gestión de los centros</t>
  </si>
  <si>
    <t>Suma Alzada</t>
  </si>
  <si>
    <t>2.1.2 Equipamiento centro de innovación</t>
  </si>
  <si>
    <t>El equipo consiste entre otros de:  equipo de cómputo, escritorios, sillas, sala de reuniones, libreros, servidores, impresoras y copiadoras. Las especificaciones se definirán durante la ejecución del proyecto.</t>
  </si>
  <si>
    <t>2.1.3 Gestión y operación (incluye asistencia técnica y financiamiento de capacitaciones) del centro de innovación</t>
  </si>
  <si>
    <t>i) capacitación e innovación pedagógica, y de investigaciones aplicadas que promuevan la cultura innovadora y emprendedora en la ETP; ii) actualización de docente: formación por competencias, nuevos contenidos y tecnologías en técnico profesional y en artes; y iii) apoyar la implementación de buenas prácticas de gestión en centros (directivos y personal administrativo)</t>
  </si>
  <si>
    <t>Por año</t>
  </si>
  <si>
    <t>2.1.4 Operaciòn de la oferta de mentorías a través de alianzas público-privadas</t>
  </si>
  <si>
    <t>Viáticos (gastos) de los técnicos mentores para visitar los talleres técnicos profesionales</t>
  </si>
  <si>
    <t>Gasto</t>
  </si>
  <si>
    <t>por taller por año</t>
  </si>
  <si>
    <t>2.2 Fondos Concursables</t>
  </si>
  <si>
    <t>Para apoyar actividades de investigación e innovación</t>
  </si>
  <si>
    <t>Fondos para Investigación</t>
  </si>
  <si>
    <t>Transferencias</t>
  </si>
  <si>
    <t>Fondos para Innovación</t>
  </si>
  <si>
    <t>2.2.1 Mercadeo para promover fondos concursables</t>
  </si>
  <si>
    <t>Contratación de una firma para iniciar una campaña de mercadeo</t>
  </si>
  <si>
    <t>Componente 3. Vinculación entre educación y sector productivo.</t>
  </si>
  <si>
    <t xml:space="preserve"> 3.1: Mejoramiento de las pasantías y servicios de seguimiento a estudiantes y egresados </t>
  </si>
  <si>
    <t xml:space="preserve">3.1.1  desarrollo de la metodología para la identificación de las necesidades de demandas, las colocaciones de las pasantías y  el seguimiento y evaluación de los pasantes </t>
  </si>
  <si>
    <t xml:space="preserve">1) Revisión del módulo de formación en el lugar de trabajo
2) Diseño de la estrategia de implementación de las pasantías
3) Revisión y piloto de los instrumentos de monitoreo y seguimiento
</t>
  </si>
  <si>
    <t>Asistencia técnica para apoyar en el Levantamiento de las necesidades de demanda de habilidades y coordinación con los encargados de colocación en los politécnicos</t>
  </si>
  <si>
    <t>por oficina</t>
  </si>
  <si>
    <t>3.1.2 Formación del equipo gestor de las Oficinas de Gestión de las Pasantías  (OGP)  en la metodología de inserción de los jóvenes</t>
  </si>
  <si>
    <t>1) Revision del diplomado de gestion de pasantias
2) Identificacion personal para la gestión 
3) Desarrollo de talleres de capacitación</t>
  </si>
  <si>
    <t>3.1.3 Establecimiento de redes de empresas vincuiladas a las actividades de los politécnicos</t>
  </si>
  <si>
    <t>1) Talleres de sensibilización
2) Formalización acuerdos de colaboración</t>
  </si>
  <si>
    <t>3.2 Establecimiento de las oficinas regionales para la gestion de pasantias</t>
  </si>
  <si>
    <t xml:space="preserve">3.2.1 Oficinas regionales de apoyo a las pasantías </t>
  </si>
  <si>
    <t>3.2.1.1 Equipamiento de oficinas Regionales</t>
  </si>
  <si>
    <t>El equipo consiste entre otros de:  equipo de cómputo, escritorios, sillas, sala de reuniones, libreros, servidores, impresoras y copiadoras.</t>
  </si>
  <si>
    <t xml:space="preserve">3.2.1.2 Personal para las oficinas regionales de apoyo a las pasantías </t>
  </si>
  <si>
    <t xml:space="preserve">Se contratará a un coordinador y a un asistente junior en cada una de las 10 oficinas a beneficiarse por la operación. </t>
  </si>
  <si>
    <t>Servicios de no consultoría</t>
  </si>
  <si>
    <t>por oficina por año</t>
  </si>
  <si>
    <t>3.2.1.3 Gastos de administración</t>
  </si>
  <si>
    <t>Gastos administrativos de las oficinas</t>
  </si>
  <si>
    <t>por mes</t>
  </si>
  <si>
    <t>3.3 Implementación de sistemas de información para la ETP</t>
  </si>
  <si>
    <t>3.3.1 fortalecimiento e integración del sistema de información para la ETP</t>
  </si>
  <si>
    <t>Asistencia tècnica para la identificaciòn de indicadores para el sistema (INCLUYE CAPACITACIÓN A LOS USUARIOS)</t>
  </si>
  <si>
    <t>Asistencia tècnica para desarrollar los módulos y capacitación a usuarios</t>
  </si>
  <si>
    <t>3.3.2 Mòdulo de evaluaciòn formativa en EDUPLAN</t>
  </si>
  <si>
    <t>Asistencia tècnica para desarrollar el modelo conceptual y los módulos (INCLUYE CAPACITACIÓN A LOS USUARIOS) Para educación técnica profesional</t>
  </si>
  <si>
    <t>3.3.3 Mercadeo para el uso del sistema entre empleadores</t>
  </si>
  <si>
    <t>3.4  Fortalecimiento de INFOTEP</t>
  </si>
  <si>
    <t>3.6 y 3.7</t>
  </si>
  <si>
    <t>3.4.1 Plataforma de informacion INFOTEP</t>
  </si>
  <si>
    <t xml:space="preserve">Diseno e implementacion de plataforma de informacion("modulos de evaluacion e identificacion de demanda") </t>
  </si>
  <si>
    <t>3.4.2 Mercadeo "fuerza de venta"</t>
  </si>
  <si>
    <t>Para la promoción, INFOTEP</t>
  </si>
  <si>
    <t>Administración y Evaluación</t>
  </si>
  <si>
    <t>Auditoría Financiera</t>
  </si>
  <si>
    <t>De acuerdo a las políticas fiduciarias del Banco</t>
  </si>
  <si>
    <t>Firma: Servicios de consultoría</t>
  </si>
  <si>
    <t>Evaluación de impacto Pasantías</t>
  </si>
  <si>
    <t>Evaluación cuasi – experimental para medir el efecto de las pasantías sobre la empleabilidad de los jóvenes
Pilotaje/validación y aplicación del instrumento “WorkPlace Skills Survey”
Evaluación cualitativa de las pasantías
Evaluación de los procesos
Primer seguimiento de datos de la evaluación de impacto cuyo diseño y línea de base viene siendo financiada por la CT ATN/SF-14394.</t>
  </si>
  <si>
    <t>Consultoría de Servicios firma</t>
  </si>
  <si>
    <t>Evaluación formación dual (INFOTEP)</t>
  </si>
  <si>
    <t>Evaluaci'on de la expansión del programa de formación dual</t>
  </si>
  <si>
    <t>Calendario de Desembolsos</t>
  </si>
  <si>
    <t>Fuente</t>
  </si>
  <si>
    <t>2017-18</t>
  </si>
  <si>
    <t>2018-19</t>
  </si>
  <si>
    <t>2019-20</t>
  </si>
  <si>
    <t>2020-21</t>
  </si>
  <si>
    <t>Monto</t>
  </si>
  <si>
    <t>BID</t>
  </si>
  <si>
    <t>TOTAL</t>
  </si>
  <si>
    <t>fo</t>
  </si>
  <si>
    <t>OBRAS</t>
  </si>
  <si>
    <t>Sistema Nacional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</si>
  <si>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</si>
  <si>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</si>
  <si>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</si>
  <si>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</si>
  <si>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</si>
  <si>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</si>
  <si>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</si>
  <si>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</si>
  <si>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</si>
  <si>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</si>
  <si>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</si>
  <si>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</si>
  <si>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</si>
  <si>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</si>
  <si>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</si>
  <si>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</si>
  <si>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</si>
  <si>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</si>
  <si>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OCI</t>
  </si>
  <si>
    <t>Licitación Pública Internacional </t>
  </si>
  <si>
    <t>Pendiente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</si>
  <si>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</si>
  <si>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</si>
  <si>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</si>
  <si>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</si>
  <si>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</si>
  <si>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</si>
  <si>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BIENES</t>
  </si>
  <si>
    <t>Contrato En Ejecución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</si>
  <si>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</si>
  <si>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Contrato Terminado</t>
  </si>
  <si>
    <t>Licitación Pública Nacional </t>
  </si>
  <si>
    <t>Comparación de Precios </t>
  </si>
  <si>
    <t>materiales varios expansión formación dual</t>
  </si>
  <si>
    <t>Contratación Directa </t>
  </si>
  <si>
    <t>Licitación Internacional Limitada 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</si>
  <si>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</si>
  <si>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</si>
  <si>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</si>
  <si>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</si>
  <si>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</si>
  <si>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campaña de comunicacióm para la formaciòn dual</t>
  </si>
  <si>
    <t>20 individuos, dos por ofna regional</t>
  </si>
  <si>
    <t>Selección Basada en la Calidad y Costo </t>
  </si>
  <si>
    <t>Selección Basada en la Calidad </t>
  </si>
  <si>
    <t>Comparación de Calificaciones</t>
  </si>
  <si>
    <t>CONSULTORÍAS FIRMAS</t>
  </si>
  <si>
    <t>Aviso de Expresiones de Interés</t>
  </si>
  <si>
    <t>Selección basada en el menor costo </t>
  </si>
  <si>
    <t>Para la expansión del programa de formación dual</t>
  </si>
  <si>
    <t>Selección Basado en Presupuesto Fijo </t>
  </si>
  <si>
    <t>Llave en mano</t>
  </si>
  <si>
    <t>Bienes </t>
  </si>
  <si>
    <t>CONSULTORÍAS INDIVIDUOS</t>
  </si>
  <si>
    <t>Precios Unitarios</t>
  </si>
  <si>
    <t>Cantidad Estimada de Consultores:</t>
  </si>
  <si>
    <t>No Objeción a los TdR de la Actividad</t>
  </si>
  <si>
    <t>Firma Contrato</t>
  </si>
  <si>
    <t>Obras </t>
  </si>
  <si>
    <t>Suma global</t>
  </si>
  <si>
    <t>Consultoría - Firmas </t>
  </si>
  <si>
    <t>Adquisición de Bienes - Sector Salud</t>
  </si>
  <si>
    <t>Doc. de precalificación para construcción de obras</t>
  </si>
  <si>
    <t>Totall PA</t>
  </si>
  <si>
    <t>Gastos talleres  con la comunidad, transportación y alimentos</t>
  </si>
  <si>
    <t>Adquisición de Servicios de no consultoría</t>
  </si>
  <si>
    <t>Servicios de No Consultoría </t>
  </si>
  <si>
    <t>Solicitud de Propuestas y Términos de Referencia</t>
  </si>
  <si>
    <t>Términos de Referencia</t>
  </si>
  <si>
    <t>SUBTOTAL</t>
  </si>
  <si>
    <t>Tiempo Trabajado</t>
  </si>
  <si>
    <t>3CV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</si>
  <si>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</si>
  <si>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</si>
  <si>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</si>
  <si>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</si>
  <si>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</si>
  <si>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</si>
  <si>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Enero 2018</t>
  </si>
  <si>
    <t>Diciembre 2021</t>
  </si>
  <si>
    <t>2. Versión del Plan de Adquisiciones</t>
  </si>
  <si>
    <t>Versión ( 1-xxxx -Incluir Año-) :</t>
  </si>
  <si>
    <t>29-Agosto-2018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</si>
  <si>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</si>
  <si>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</si>
  <si>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</si>
  <si>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</si>
  <si>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</si>
  <si>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Servicios de No Consultoría</t>
  </si>
  <si>
    <t>Gastos Operativos</t>
  </si>
  <si>
    <t>Consultoría (firmas + individuos)</t>
  </si>
  <si>
    <t>Subproyectos Comunitarios</t>
  </si>
  <si>
    <t>No asignados/contingencia</t>
  </si>
  <si>
    <t>4. Componentes</t>
  </si>
  <si>
    <t>Componente de Inversión</t>
  </si>
  <si>
    <t>Componentes</t>
  </si>
  <si>
    <t>Costo Total</t>
  </si>
  <si>
    <t>Meta final</t>
  </si>
  <si>
    <t>Medio de Verificación</t>
  </si>
  <si>
    <t>Productos</t>
  </si>
  <si>
    <t>US$</t>
  </si>
  <si>
    <t>Meta</t>
  </si>
  <si>
    <t>Componente 1:  Expansión y Mejoramiento de la Oferta</t>
  </si>
  <si>
    <r>
      <t>1.1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Liceos convertidos en centros técnicos profesionales y en artes</t>
    </r>
  </si>
  <si>
    <t>Actas de entrega de la infraestructura, MINERD. Se medirá el número de liceos transformados</t>
  </si>
  <si>
    <r>
      <t>1.2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Equipo para talleres instalado</t>
    </r>
  </si>
  <si>
    <t>Actas de entrega e instalación del equipo, MINERD. Se medirá el número de liceos transformados que tienen el equipo instalado.</t>
  </si>
  <si>
    <r>
      <t>1.3</t>
    </r>
    <r>
      <rPr>
        <sz val="7"/>
        <color theme="1"/>
        <rFont val="Times New Roman"/>
        <family val="1"/>
      </rPr>
      <t xml:space="preserve">      </t>
    </r>
    <r>
      <rPr>
        <sz val="8"/>
        <color rgb="FF000000"/>
        <rFont val="Arial Narrow"/>
        <family val="2"/>
      </rPr>
      <t xml:space="preserve">Directores capacitados en la gestión de los nuevos centros </t>
    </r>
    <r>
      <rPr>
        <sz val="8"/>
        <color theme="1"/>
        <rFont val="Arial Narrow"/>
        <family val="2"/>
      </rPr>
      <t>técnicos profesionales y en artes.</t>
    </r>
    <r>
      <rPr>
        <sz val="8"/>
        <color rgb="FF000000"/>
        <rFont val="Arial Narrow"/>
        <family val="2"/>
      </rPr>
      <t xml:space="preserve"> </t>
    </r>
  </si>
  <si>
    <t>Certificados de capacitación, MINERD. Se medirá el número de directores capacitados y con certificado</t>
  </si>
  <si>
    <r>
      <t>1.4</t>
    </r>
    <r>
      <rPr>
        <sz val="7"/>
        <color theme="1"/>
        <rFont val="Times New Roman"/>
        <family val="1"/>
      </rPr>
      <t xml:space="preserve">      </t>
    </r>
    <r>
      <rPr>
        <sz val="8"/>
        <color rgb="FF000000"/>
        <rFont val="Arial Narrow"/>
        <family val="2"/>
      </rPr>
      <t>Docentes Técnicos Profesionales capacitados en el uso pedagógico de las TICs, planificación y evaluación bajo el enfoque de competencias y habilidades blandas.</t>
    </r>
  </si>
  <si>
    <t>Certificados de capacitación, MINERD. Se medirá el número de docentes capacitados y con certificado</t>
  </si>
  <si>
    <r>
      <t>1.5</t>
    </r>
    <r>
      <rPr>
        <sz val="7"/>
        <color theme="1"/>
        <rFont val="Times New Roman"/>
        <family val="1"/>
      </rPr>
      <t xml:space="preserve">      </t>
    </r>
    <r>
      <rPr>
        <sz val="8"/>
        <color rgb="FF000000"/>
        <rFont val="Arial Narrow"/>
        <family val="2"/>
      </rPr>
      <t>Directores capacitados en el uso pedagógico de las TICs, planificación y evaluación bajo el enfoque de competencias y habilidades blandas.</t>
    </r>
  </si>
  <si>
    <r>
      <t>1.6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Monitores y facilitadores capacitados con metodología INFOTEP</t>
    </r>
  </si>
  <si>
    <t>Certificados de capacitación, INFOTEP. Se medirá el número de monitores y facilitadores capacitados y con certificado</t>
  </si>
  <si>
    <t>1.7       Numero de propuestas al Fondo Concursable (ampliación del programa dual) aprobadas (incluye las que consideran el tema de género)</t>
  </si>
  <si>
    <t>Propuestas aprobadas por INFOTEP</t>
  </si>
  <si>
    <t>Componente 2: Innovación e Investigación</t>
  </si>
  <si>
    <r>
      <t>2.1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Centro de Innovación e investigación del MINERD equipado</t>
    </r>
  </si>
  <si>
    <t>Actas de entrega e instalación,
MINERD. Se medirá el Centro equipado</t>
  </si>
  <si>
    <r>
      <t>2.2</t>
    </r>
    <r>
      <rPr>
        <sz val="7"/>
        <color theme="1"/>
        <rFont val="Times New Roman"/>
        <family val="1"/>
      </rPr>
      <t xml:space="preserve">      </t>
    </r>
    <r>
      <rPr>
        <sz val="8"/>
        <color rgb="FF000000"/>
        <rFont val="Arial Narrow"/>
        <family val="2"/>
      </rPr>
      <t>Pilotos de nuevas metodologías de capacitación docente en ETP completados</t>
    </r>
  </si>
  <si>
    <t>Informe de resultados de los pilotos, MINERD. Se medirá el número de pilotos</t>
  </si>
  <si>
    <t>Componente 3:  Fortalecimiento del vínculo con el sector productivo</t>
  </si>
  <si>
    <r>
      <t>3.1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Equipo para las oficinas regionales de gestión de las pasantías instalado.</t>
    </r>
  </si>
  <si>
    <t>Actas de entrega e instalación, MINERD. Se medirá el número de oficinas con equipo instalado.</t>
  </si>
  <si>
    <r>
      <t>3.2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Personal para las oficinas regionales de gestión de las pasantías contratado</t>
    </r>
  </si>
  <si>
    <t>Contratos del personal firmados, MINERD. Se medirá el número de personal contratado</t>
  </si>
  <si>
    <r>
      <t>3.3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Asesores de INFOTEP capacitados</t>
    </r>
  </si>
  <si>
    <t>Certificados de capacitación, empresa de colocación. Se medirá el número de asesores capacitados.</t>
  </si>
  <si>
    <r>
      <t>3.4</t>
    </r>
    <r>
      <rPr>
        <sz val="7"/>
        <color theme="1"/>
        <rFont val="Times New Roman"/>
        <family val="1"/>
      </rPr>
      <t xml:space="preserve">      </t>
    </r>
    <r>
      <rPr>
        <sz val="8"/>
        <color rgb="FF000000"/>
        <rFont val="Arial Narrow"/>
        <family val="2"/>
      </rPr>
      <t>Módulo de educación técnica profesional y artes incorporado al SIGED.</t>
    </r>
  </si>
  <si>
    <t>Informe del área de informática, MINERD. Se medirá el módulo incorporado al SIGED.</t>
  </si>
  <si>
    <r>
      <t>3.5</t>
    </r>
    <r>
      <rPr>
        <sz val="7"/>
        <color theme="1"/>
        <rFont val="Times New Roman"/>
        <family val="1"/>
      </rPr>
      <t xml:space="preserve">      </t>
    </r>
    <r>
      <rPr>
        <sz val="8"/>
        <color rgb="FF000000"/>
        <rFont val="Arial Narrow"/>
        <family val="2"/>
      </rPr>
      <t>Módulo de evaluación formativa de educación técnica profesional y artes incorporado a EDUPLAN.</t>
    </r>
  </si>
  <si>
    <t>Informe del área de informática, MINERD. Se medirá el módulo incorporado al EDUPLAN.</t>
  </si>
  <si>
    <r>
      <t>3.6</t>
    </r>
    <r>
      <rPr>
        <sz val="7"/>
        <color rgb="FF000000"/>
        <rFont val="Times New Roman"/>
        <family val="1"/>
      </rPr>
      <t xml:space="preserve">      </t>
    </r>
    <r>
      <rPr>
        <sz val="8"/>
        <color rgb="FF000000"/>
        <rFont val="Arial Narrow"/>
        <family val="2"/>
      </rPr>
      <t>Módulo/plataforma de identificación de demanda de habilidades del sector productivo incorporado al sistema de información de INFOTEP</t>
    </r>
  </si>
  <si>
    <t>Informe del área de informática, MINERD. Se medirá el módulo incorporado al sistema INFOTEP.</t>
  </si>
  <si>
    <r>
      <t>3.7</t>
    </r>
    <r>
      <rPr>
        <sz val="7"/>
        <color rgb="FF000000"/>
        <rFont val="Times New Roman"/>
        <family val="1"/>
      </rPr>
      <t xml:space="preserve">      </t>
    </r>
    <r>
      <rPr>
        <sz val="8"/>
        <color rgb="FF000000"/>
        <rFont val="Arial Narrow"/>
        <family val="2"/>
      </rPr>
      <t>Módulo de evaluación formativa de los aprendices incorporado al sistema de información de INFOTEP</t>
    </r>
  </si>
  <si>
    <t>Sub-Total Proyecto</t>
  </si>
  <si>
    <t>Otros Costos (sin indicador)</t>
  </si>
  <si>
    <t>Auditoría financiera</t>
  </si>
  <si>
    <t>Evaluación</t>
  </si>
  <si>
    <t>Total Proyecto</t>
  </si>
  <si>
    <t>Criterios</t>
  </si>
  <si>
    <t>Monto total de la operaciòn</t>
  </si>
  <si>
    <t>% Contingencia</t>
  </si>
  <si>
    <t># de Centros de modalidad técnico profesional</t>
  </si>
  <si>
    <t># de Centros de modalidad artes</t>
  </si>
  <si>
    <t># de técnicos profesionales para cada taller</t>
  </si>
  <si>
    <t>1er año de Taller</t>
  </si>
  <si>
    <t>2do año de Taller</t>
  </si>
  <si>
    <t>% de mantenimiento del equipo adquirido para los talleres de los centros transformados (Costo adicional) PAGO ÚNICO</t>
  </si>
  <si>
    <t>% de mantenimiento de la infraestructura de talleres de los centros transformados (Costo adicional) POR AÑO</t>
  </si>
  <si>
    <t>Talleres por año de proyecto</t>
  </si>
  <si>
    <t>1er año proyecto</t>
  </si>
  <si>
    <t>2do año proyecto</t>
  </si>
  <si>
    <t>3er año proyecto</t>
  </si>
  <si>
    <t>TECPRO</t>
  </si>
  <si>
    <t>Costo por edificio de taller</t>
  </si>
  <si>
    <t>Artes</t>
  </si>
  <si>
    <t>Capacitación de técnicos Componente I</t>
  </si>
  <si>
    <t>No. de técnicos profesionales por año de operación del taller por taller</t>
  </si>
  <si>
    <t>personas</t>
  </si>
  <si>
    <t>Técnico Profesional</t>
  </si>
  <si>
    <t>Disciplina/ Taller</t>
  </si>
  <si>
    <t>No. De Talleres</t>
  </si>
  <si>
    <t>Costo Equipamiento por taller</t>
  </si>
  <si>
    <t>Total costo por disciplina</t>
  </si>
  <si>
    <r>
      <t xml:space="preserve">Categoría de inversión de </t>
    </r>
    <r>
      <rPr>
        <b/>
        <u/>
        <sz val="12"/>
        <color theme="1"/>
        <rFont val="Calibri"/>
        <family val="2"/>
        <scheme val="minor"/>
      </rPr>
      <t>equipamiento</t>
    </r>
  </si>
  <si>
    <t>Agropecuaria</t>
  </si>
  <si>
    <t>A</t>
  </si>
  <si>
    <t>Analisisy Proceso Quimico Farmaceutico y veterinaria</t>
  </si>
  <si>
    <t>B</t>
  </si>
  <si>
    <t>Atención  Psicosocial</t>
  </si>
  <si>
    <t>C</t>
  </si>
  <si>
    <t>Cámara, iluminación y sonido</t>
  </si>
  <si>
    <t>D</t>
  </si>
  <si>
    <t>Comercio y Mercadeo</t>
  </si>
  <si>
    <t>E</t>
  </si>
  <si>
    <t>Confección y Patronaje</t>
  </si>
  <si>
    <t>F</t>
  </si>
  <si>
    <t>Conservación y Protección Ambiental</t>
  </si>
  <si>
    <t>G</t>
  </si>
  <si>
    <t>Cuidados de Enfermería y Promoción de la Salud</t>
  </si>
  <si>
    <t>H</t>
  </si>
  <si>
    <t>Desarrollo y Administracion de Aplicaciones Informaticas</t>
  </si>
  <si>
    <t>I</t>
  </si>
  <si>
    <t xml:space="preserve">Equipos Electronicos </t>
  </si>
  <si>
    <t>Estetica</t>
  </si>
  <si>
    <t>Farmacia y Parafarmacia</t>
  </si>
  <si>
    <t>Gestión Administrativa y Tributaria</t>
  </si>
  <si>
    <r>
      <t xml:space="preserve">Categoría de inversión </t>
    </r>
    <r>
      <rPr>
        <b/>
        <u/>
        <sz val="12"/>
        <color theme="1"/>
        <rFont val="Calibri"/>
        <family val="2"/>
        <scheme val="minor"/>
      </rPr>
      <t>Talleres</t>
    </r>
  </si>
  <si>
    <t>Costo Construcción por taller</t>
  </si>
  <si>
    <t>Inversión</t>
  </si>
  <si>
    <t>Industrias Alimentarias</t>
  </si>
  <si>
    <t>Año 1 de proyecto</t>
  </si>
  <si>
    <t>Año 2 de proyecto</t>
  </si>
  <si>
    <t>Año 3 de proyecto</t>
  </si>
  <si>
    <t>Instalación, Montaje y Mantenimiento Mecánico de Maquinaria</t>
  </si>
  <si>
    <r>
      <t xml:space="preserve">Categoría </t>
    </r>
    <r>
      <rPr>
        <b/>
        <sz val="11"/>
        <color rgb="FFFF0000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de inversión</t>
    </r>
  </si>
  <si>
    <t>Instalaciones Electricas</t>
  </si>
  <si>
    <r>
      <t xml:space="preserve">Categoría </t>
    </r>
    <r>
      <rPr>
        <b/>
        <sz val="11"/>
        <color rgb="FFFF0000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de inversión</t>
    </r>
  </si>
  <si>
    <t>Logística y Transporte</t>
  </si>
  <si>
    <t>Mecanizado</t>
  </si>
  <si>
    <t>Muebles y Estructuras de Madera</t>
  </si>
  <si>
    <t>Multimedia y gráfica</t>
  </si>
  <si>
    <t>Peluquería</t>
  </si>
  <si>
    <t>Servicios de Alojamiento</t>
  </si>
  <si>
    <t>Servicios Gastronómicos</t>
  </si>
  <si>
    <t>Servicios Turísticos</t>
  </si>
  <si>
    <t>Soporte de Redes y Sistemas Informáticos</t>
  </si>
  <si>
    <t>Subtotal</t>
  </si>
  <si>
    <t>Mantenimiento</t>
  </si>
  <si>
    <t>Tipo de cambio</t>
  </si>
  <si>
    <t>Docente técnico necesario</t>
  </si>
  <si>
    <t>RD$</t>
  </si>
  <si>
    <t>Artes Visuales</t>
  </si>
  <si>
    <t>Artes visuales</t>
  </si>
  <si>
    <t>Teatros</t>
  </si>
  <si>
    <t>Teatro</t>
  </si>
  <si>
    <t>Multimedia</t>
  </si>
  <si>
    <t>Danza</t>
  </si>
  <si>
    <t>Cine y Fotografía</t>
  </si>
  <si>
    <t>Cine y fotografía</t>
  </si>
  <si>
    <t>Creación y producción artesanal cerámica y joyería</t>
  </si>
  <si>
    <t>Cerámica y joyería</t>
  </si>
  <si>
    <t>Creación y producción artesanal Metal y Madera</t>
  </si>
  <si>
    <t>Metal y madera</t>
  </si>
  <si>
    <t>Música</t>
  </si>
  <si>
    <t>Categoría de inversión</t>
  </si>
  <si>
    <t>Componente 1:  Paquete de servicios de atención integral a la primera infancia</t>
  </si>
  <si>
    <r>
      <t>1.1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Niños/as beneficiados por el programa (menores de cinco años en áreas focalizadas del programa).</t>
    </r>
  </si>
  <si>
    <t>Sistema de seguimiento del INAIPI</t>
  </si>
  <si>
    <t>(niños/as)</t>
  </si>
  <si>
    <r>
      <t>a)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Arial Narrow"/>
        <family val="2"/>
      </rPr>
      <t>CAIPI</t>
    </r>
  </si>
  <si>
    <r>
      <t>b)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Arial Narrow"/>
        <family val="2"/>
      </rPr>
      <t>CAFI</t>
    </r>
  </si>
  <si>
    <r>
      <t>1.2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Número de padres de familia que asistieron a cursos de mejores prácticas de nutrición, higiene, salud reproductiva, equidad de género, y prevención del castigo físico y maltrato psicológico</t>
    </r>
  </si>
  <si>
    <t>Forma parte del Per Cápita del indicador 1.1</t>
  </si>
  <si>
    <t>Listas de participantes administradas por el INAIPI del sistema de seguimiento del INAIPI</t>
  </si>
  <si>
    <t>(individuos adiestrados)</t>
  </si>
  <si>
    <r>
      <t>1.3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Número de educadores y técnicos de los centros CAIPI y CAFI capacitados en los programas de inducción y formación continua.</t>
    </r>
  </si>
  <si>
    <t>(individuos capacitados)</t>
  </si>
  <si>
    <t>Componente 2:  Fortalecimiento institucional del INAIPI</t>
  </si>
  <si>
    <r>
      <t>2.1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Sistema de Supervisión de la Calidad de servicios prestados diseñado e implementado.</t>
    </r>
  </si>
  <si>
    <t>Certificación de que los usuarios del sistema tienen acceso al mismo.</t>
  </si>
  <si>
    <t>(diseñado y en implementación)</t>
  </si>
  <si>
    <r>
      <t>2.2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Plan Estratégico de primera Infancia aprobado por el INAIPI y el MINERD</t>
    </r>
  </si>
  <si>
    <t>Documento de Plan aprobado.</t>
  </si>
  <si>
    <r>
      <t>2.3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Plan de fortalecimiento de la Coordinación Interinstitucional diseñado e implementado.</t>
    </r>
  </si>
  <si>
    <r>
      <t>2.4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Plan de rediseño organizacional aprobado por el INAIPI</t>
    </r>
  </si>
  <si>
    <r>
      <t>2.5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Arial Narrow"/>
        <family val="2"/>
      </rPr>
      <t>Número de Personal técnico y gerencial de INAIPI capacitado</t>
    </r>
  </si>
  <si>
    <t>Listas de participantes administradas por el INAIPI</t>
  </si>
  <si>
    <t>Otros costos</t>
  </si>
  <si>
    <t>3.2 Auditoría técnico-operativa</t>
  </si>
  <si>
    <t>3.6 Evaluación de impacto</t>
  </si>
  <si>
    <t>To distribute between CAIPI and CAFI, 50% 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</si>
</sst>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  <numFmt numFmtId="168" formatCode="[$USD]\ #,##0.00"/>
    <numFmt numFmtId="169" formatCode="0.0000%"/>
    <numFmt numFmtId="170" formatCode="0.000000%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9"/>
      <name val="Arial Narrow"/>
      <family val="2"/>
    </font>
    <font>
      <sz val="8"/>
      <name val="Arial Narrow"/>
      <family val="2"/>
    </font>
    <font>
      <b/>
      <u/>
      <sz val="8"/>
      <name val="Arial Narrow"/>
      <family val="2"/>
    </font>
    <font>
      <b/>
      <sz val="8"/>
      <name val="Arial Narrow"/>
      <family val="2"/>
    </font>
    <font>
      <b/>
      <sz val="18"/>
      <color indexed="9"/>
      <name val="Arial Narrow"/>
      <family val="2"/>
    </font>
    <font>
      <b/>
      <sz val="16"/>
      <color rgb="FFFFFF00"/>
      <name val="Arial Narrow"/>
      <family val="2"/>
    </font>
    <font>
      <b/>
      <sz val="11"/>
      <color theme="4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b/>
      <u val="doubleAccounting"/>
      <sz val="12"/>
      <color theme="1"/>
      <name val="Calibri"/>
      <family val="2"/>
      <scheme val="minor"/>
    </font>
    <font>
      <b/>
      <u val="double"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8"/>
      <color indexed="9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5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b/>
      <sz val="8"/>
      <color theme="1"/>
      <name val="Arial Narrow"/>
      <family val="2"/>
    </font>
    <font>
      <sz val="7"/>
      <color theme="1"/>
      <name val="Times New Roman"/>
      <family val="1"/>
    </font>
    <font>
      <sz val="8"/>
      <color rgb="FF000000"/>
      <name val="Arial Narrow"/>
      <family val="2"/>
    </font>
    <font>
      <b/>
      <sz val="9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11"/>
      <color theme="5" tint="-0.249977111117893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 val="singleAccounting"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8"/>
      <color rgb="FF000000"/>
      <name val="Arial Narrow"/>
      <family val="2"/>
    </font>
    <font>
      <sz val="7"/>
      <color rgb="FF000000"/>
      <name val="Times New Roman"/>
      <family val="1"/>
    </font>
    <font>
      <b/>
      <sz val="10"/>
      <color theme="1"/>
      <name val="Arial Narrow"/>
      <family val="2"/>
    </font>
    <font>
      <b/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19" fillId="0" borderId="0"/>
  </cellStyleXfs>
  <cellXfs count="537">
    <xf numFmtId="0" fontId="0" fillId="0" borderId="0" xfId="0"/>
    <xf numFmtId="0" fontId="5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43" fontId="6" fillId="4" borderId="4" xfId="1" applyFont="1" applyFill="1" applyBorder="1" applyAlignment="1">
      <alignment horizontal="center" vertical="center" wrapText="1"/>
    </xf>
    <xf numFmtId="165" fontId="6" fillId="4" borderId="4" xfId="1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43" fontId="3" fillId="2" borderId="4" xfId="1" applyFont="1" applyFill="1" applyBorder="1" applyAlignment="1">
      <alignment vertical="center" wrapText="1"/>
    </xf>
    <xf numFmtId="165" fontId="3" fillId="2" borderId="4" xfId="1" applyNumberFormat="1" applyFont="1" applyFill="1" applyBorder="1" applyAlignment="1">
      <alignment vertical="center" wrapText="1"/>
    </xf>
    <xf numFmtId="44" fontId="3" fillId="3" borderId="4" xfId="2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166" fontId="8" fillId="3" borderId="4" xfId="0" applyNumberFormat="1" applyFont="1" applyFill="1" applyBorder="1" applyAlignment="1">
      <alignment vertical="center" wrapText="1"/>
    </xf>
    <xf numFmtId="165" fontId="6" fillId="3" borderId="4" xfId="1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4" fontId="0" fillId="0" borderId="0" xfId="2" applyFont="1" applyAlignment="1">
      <alignment vertical="center" wrapText="1"/>
    </xf>
    <xf numFmtId="43" fontId="0" fillId="0" borderId="0" xfId="1" applyFont="1" applyAlignment="1">
      <alignment vertical="center" wrapText="1"/>
    </xf>
    <xf numFmtId="165" fontId="0" fillId="0" borderId="0" xfId="1" applyNumberFormat="1" applyFont="1" applyAlignment="1">
      <alignment vertical="center" wrapText="1"/>
    </xf>
    <xf numFmtId="165" fontId="9" fillId="0" borderId="0" xfId="1" applyNumberFormat="1" applyFont="1" applyAlignment="1">
      <alignment vertical="center" wrapText="1"/>
    </xf>
    <xf numFmtId="166" fontId="0" fillId="0" borderId="0" xfId="2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165" fontId="0" fillId="0" borderId="0" xfId="1" applyNumberFormat="1" applyFont="1" applyAlignment="1">
      <alignment vertical="center"/>
    </xf>
    <xf numFmtId="0" fontId="0" fillId="5" borderId="0" xfId="0" applyFill="1" applyAlignment="1">
      <alignment vertical="center"/>
    </xf>
    <xf numFmtId="165" fontId="0" fillId="0" borderId="0" xfId="0" applyNumberFormat="1"/>
    <xf numFmtId="165" fontId="13" fillId="0" borderId="0" xfId="0" applyNumberFormat="1" applyFont="1"/>
    <xf numFmtId="9" fontId="11" fillId="0" borderId="0" xfId="3" applyFont="1"/>
    <xf numFmtId="167" fontId="11" fillId="0" borderId="0" xfId="3" applyNumberFormat="1" applyFont="1"/>
    <xf numFmtId="167" fontId="0" fillId="0" borderId="0" xfId="0" applyNumberFormat="1"/>
    <xf numFmtId="0" fontId="0" fillId="6" borderId="0" xfId="0" applyFill="1" applyAlignment="1">
      <alignment vertical="center" wrapText="1"/>
    </xf>
    <xf numFmtId="165" fontId="0" fillId="6" borderId="0" xfId="1" applyNumberFormat="1" applyFont="1" applyFill="1" applyAlignment="1">
      <alignment vertical="center" wrapText="1"/>
    </xf>
    <xf numFmtId="165" fontId="0" fillId="6" borderId="0" xfId="0" applyNumberFormat="1" applyFill="1" applyAlignment="1">
      <alignment vertical="center" wrapText="1"/>
    </xf>
    <xf numFmtId="9" fontId="0" fillId="6" borderId="0" xfId="0" applyNumberFormat="1" applyFill="1" applyAlignment="1">
      <alignment vertical="center" wrapText="1"/>
    </xf>
    <xf numFmtId="0" fontId="12" fillId="6" borderId="0" xfId="0" applyFont="1" applyFill="1" applyAlignment="1">
      <alignment vertical="center" wrapText="1"/>
    </xf>
    <xf numFmtId="165" fontId="0" fillId="6" borderId="20" xfId="0" applyNumberFormat="1" applyFill="1" applyBorder="1" applyAlignment="1">
      <alignment vertical="center" wrapText="1"/>
    </xf>
    <xf numFmtId="0" fontId="10" fillId="6" borderId="23" xfId="0" applyFont="1" applyFill="1" applyBorder="1" applyAlignment="1">
      <alignment horizontal="center" vertical="center" wrapText="1"/>
    </xf>
    <xf numFmtId="165" fontId="10" fillId="6" borderId="24" xfId="1" applyNumberFormat="1" applyFont="1" applyFill="1" applyBorder="1" applyAlignment="1">
      <alignment vertical="center" wrapText="1"/>
    </xf>
    <xf numFmtId="0" fontId="10" fillId="6" borderId="22" xfId="0" applyFont="1" applyFill="1" applyBorder="1" applyAlignment="1">
      <alignment horizontal="center" vertical="center" wrapText="1"/>
    </xf>
    <xf numFmtId="43" fontId="10" fillId="6" borderId="16" xfId="1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wrapText="1"/>
    </xf>
    <xf numFmtId="0" fontId="0" fillId="7" borderId="8" xfId="0" applyFill="1" applyBorder="1"/>
    <xf numFmtId="0" fontId="16" fillId="8" borderId="4" xfId="0" applyFont="1" applyFill="1" applyBorder="1" applyAlignment="1">
      <alignment horizontal="center"/>
    </xf>
    <xf numFmtId="0" fontId="0" fillId="0" borderId="4" xfId="0" applyBorder="1"/>
    <xf numFmtId="165" fontId="0" fillId="9" borderId="4" xfId="0" applyNumberFormat="1" applyFill="1" applyBorder="1"/>
    <xf numFmtId="10" fontId="0" fillId="9" borderId="4" xfId="3" applyNumberFormat="1" applyFont="1" applyFill="1" applyBorder="1"/>
    <xf numFmtId="165" fontId="0" fillId="6" borderId="4" xfId="0" applyNumberFormat="1" applyFill="1" applyBorder="1"/>
    <xf numFmtId="10" fontId="2" fillId="6" borderId="4" xfId="3" applyNumberFormat="1" applyFont="1" applyFill="1" applyBorder="1"/>
    <xf numFmtId="43" fontId="0" fillId="0" borderId="0" xfId="1" applyFont="1"/>
    <xf numFmtId="44" fontId="0" fillId="0" borderId="0" xfId="0" applyNumberFormat="1"/>
    <xf numFmtId="167" fontId="0" fillId="6" borderId="0" xfId="0" applyNumberFormat="1" applyFill="1" applyAlignment="1">
      <alignment vertical="center" wrapText="1"/>
    </xf>
    <xf numFmtId="167" fontId="0" fillId="6" borderId="19" xfId="3" applyNumberFormat="1" applyFont="1" applyFill="1" applyBorder="1" applyAlignment="1">
      <alignment vertical="center" wrapText="1"/>
    </xf>
    <xf numFmtId="167" fontId="0" fillId="6" borderId="21" xfId="3" applyNumberFormat="1" applyFont="1" applyFill="1" applyBorder="1" applyAlignment="1">
      <alignment vertical="center" wrapText="1"/>
    </xf>
    <xf numFmtId="0" fontId="19" fillId="0" borderId="0" xfId="4"/>
    <xf numFmtId="0" fontId="19" fillId="0" borderId="0" xfId="5"/>
    <xf numFmtId="0" fontId="22" fillId="0" borderId="0" xfId="5" applyFont="1" applyAlignment="1">
      <alignment vertical="center" wrapText="1"/>
    </xf>
    <xf numFmtId="4" fontId="23" fillId="11" borderId="4" xfId="4" applyNumberFormat="1" applyFont="1" applyFill="1" applyBorder="1" applyAlignment="1">
      <alignment horizontal="center" vertical="center" wrapText="1"/>
    </xf>
    <xf numFmtId="10" fontId="23" fillId="11" borderId="4" xfId="4" applyNumberFormat="1" applyFont="1" applyFill="1" applyBorder="1" applyAlignment="1">
      <alignment horizontal="center" vertical="center" wrapText="1"/>
    </xf>
    <xf numFmtId="0" fontId="23" fillId="11" borderId="4" xfId="4" applyFont="1" applyFill="1" applyBorder="1" applyAlignment="1">
      <alignment horizontal="center" vertical="center" wrapText="1"/>
    </xf>
    <xf numFmtId="0" fontId="27" fillId="0" borderId="0" xfId="0" applyFont="1"/>
    <xf numFmtId="0" fontId="22" fillId="0" borderId="32" xfId="4" applyFont="1" applyBorder="1" applyAlignment="1">
      <alignment vertical="center" wrapText="1"/>
    </xf>
    <xf numFmtId="0" fontId="22" fillId="0" borderId="4" xfId="4" applyFont="1" applyBorder="1" applyAlignment="1">
      <alignment vertical="center" wrapText="1"/>
    </xf>
    <xf numFmtId="10" fontId="22" fillId="0" borderId="4" xfId="4" applyNumberFormat="1" applyFont="1" applyBorder="1" applyAlignment="1">
      <alignment vertical="center" wrapText="1"/>
    </xf>
    <xf numFmtId="0" fontId="22" fillId="0" borderId="33" xfId="4" applyFont="1" applyBorder="1" applyAlignment="1">
      <alignment vertical="center" wrapText="1"/>
    </xf>
    <xf numFmtId="0" fontId="22" fillId="0" borderId="23" xfId="4" applyFont="1" applyBorder="1" applyAlignment="1">
      <alignment vertical="center" wrapText="1"/>
    </xf>
    <xf numFmtId="0" fontId="22" fillId="0" borderId="24" xfId="4" applyFont="1" applyBorder="1" applyAlignment="1">
      <alignment vertical="center" wrapText="1"/>
    </xf>
    <xf numFmtId="4" fontId="22" fillId="0" borderId="24" xfId="4" applyNumberFormat="1" applyFont="1" applyBorder="1" applyAlignment="1">
      <alignment vertical="center" wrapText="1"/>
    </xf>
    <xf numFmtId="10" fontId="22" fillId="0" borderId="24" xfId="4" applyNumberFormat="1" applyFont="1" applyBorder="1" applyAlignment="1">
      <alignment vertical="center" wrapText="1"/>
    </xf>
    <xf numFmtId="0" fontId="22" fillId="0" borderId="34" xfId="4" applyFont="1" applyBorder="1" applyAlignment="1">
      <alignment vertical="center" wrapText="1"/>
    </xf>
    <xf numFmtId="4" fontId="0" fillId="0" borderId="0" xfId="0" applyNumberFormat="1"/>
    <xf numFmtId="10" fontId="0" fillId="0" borderId="0" xfId="0" applyNumberFormat="1"/>
    <xf numFmtId="0" fontId="22" fillId="0" borderId="0" xfId="5" applyFont="1" applyAlignment="1">
      <alignment horizontal="left" vertical="center" wrapText="1"/>
    </xf>
    <xf numFmtId="0" fontId="22" fillId="0" borderId="0" xfId="4" applyFont="1" applyAlignment="1">
      <alignment vertical="center" wrapText="1"/>
    </xf>
    <xf numFmtId="4" fontId="22" fillId="0" borderId="0" xfId="4" applyNumberFormat="1" applyFont="1" applyAlignment="1">
      <alignment vertical="center" wrapText="1"/>
    </xf>
    <xf numFmtId="10" fontId="22" fillId="0" borderId="0" xfId="4" applyNumberFormat="1" applyFont="1" applyAlignment="1">
      <alignment vertical="center" wrapText="1"/>
    </xf>
    <xf numFmtId="44" fontId="22" fillId="0" borderId="4" xfId="4" applyNumberFormat="1" applyFont="1" applyBorder="1" applyAlignment="1">
      <alignment vertical="center" wrapText="1"/>
    </xf>
    <xf numFmtId="0" fontId="23" fillId="6" borderId="33" xfId="4" applyFont="1" applyFill="1" applyBorder="1" applyAlignment="1">
      <alignment horizontal="center" vertical="center" wrapText="1"/>
    </xf>
    <xf numFmtId="43" fontId="22" fillId="0" borderId="4" xfId="1" applyFont="1" applyBorder="1" applyAlignment="1">
      <alignment vertical="center" wrapText="1"/>
    </xf>
    <xf numFmtId="9" fontId="22" fillId="0" borderId="4" xfId="3" applyFont="1" applyBorder="1" applyAlignment="1">
      <alignment vertical="center" wrapText="1"/>
    </xf>
    <xf numFmtId="0" fontId="2" fillId="6" borderId="0" xfId="0" applyFont="1" applyFill="1"/>
    <xf numFmtId="4" fontId="2" fillId="6" borderId="0" xfId="0" applyNumberFormat="1" applyFont="1" applyFill="1"/>
    <xf numFmtId="0" fontId="2" fillId="6" borderId="26" xfId="0" applyFont="1" applyFill="1" applyBorder="1"/>
    <xf numFmtId="4" fontId="2" fillId="6" borderId="26" xfId="0" applyNumberFormat="1" applyFont="1" applyFill="1" applyBorder="1"/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65" fontId="0" fillId="0" borderId="0" xfId="0" applyNumberFormat="1" applyAlignment="1">
      <alignment vertical="center" wrapText="1"/>
    </xf>
    <xf numFmtId="9" fontId="0" fillId="0" borderId="0" xfId="3" applyFont="1"/>
    <xf numFmtId="0" fontId="0" fillId="0" borderId="0" xfId="0" applyAlignment="1">
      <alignment horizontal="center" vertical="center"/>
    </xf>
    <xf numFmtId="0" fontId="22" fillId="0" borderId="4" xfId="4" applyFont="1" applyBorder="1" applyAlignment="1">
      <alignment horizontal="center" vertical="center" wrapText="1"/>
    </xf>
    <xf numFmtId="165" fontId="0" fillId="0" borderId="4" xfId="1" applyNumberFormat="1" applyFont="1" applyBorder="1"/>
    <xf numFmtId="165" fontId="0" fillId="0" borderId="4" xfId="0" applyNumberFormat="1" applyBorder="1"/>
    <xf numFmtId="0" fontId="10" fillId="14" borderId="15" xfId="0" applyFont="1" applyFill="1" applyBorder="1" applyAlignment="1">
      <alignment vertical="center" wrapText="1"/>
    </xf>
    <xf numFmtId="165" fontId="14" fillId="14" borderId="28" xfId="1" applyNumberFormat="1" applyFont="1" applyFill="1" applyBorder="1" applyAlignment="1">
      <alignment vertical="center" wrapText="1"/>
    </xf>
    <xf numFmtId="165" fontId="14" fillId="14" borderId="28" xfId="0" applyNumberFormat="1" applyFont="1" applyFill="1" applyBorder="1" applyAlignment="1">
      <alignment vertical="center" wrapText="1"/>
    </xf>
    <xf numFmtId="165" fontId="0" fillId="6" borderId="20" xfId="1" applyNumberFormat="1" applyFont="1" applyFill="1" applyBorder="1" applyAlignment="1">
      <alignment vertical="center" wrapText="1"/>
    </xf>
    <xf numFmtId="0" fontId="29" fillId="6" borderId="12" xfId="0" applyFont="1" applyFill="1" applyBorder="1" applyAlignment="1">
      <alignment horizontal="left" vertical="center" wrapText="1" indent="2"/>
    </xf>
    <xf numFmtId="0" fontId="29" fillId="6" borderId="14" xfId="0" applyFont="1" applyFill="1" applyBorder="1" applyAlignment="1">
      <alignment horizontal="left" vertical="center" wrapText="1" indent="2"/>
    </xf>
    <xf numFmtId="43" fontId="9" fillId="0" borderId="0" xfId="1" applyFont="1" applyAlignment="1">
      <alignment vertical="center" wrapText="1"/>
    </xf>
    <xf numFmtId="165" fontId="15" fillId="14" borderId="28" xfId="1" applyNumberFormat="1" applyFont="1" applyFill="1" applyBorder="1" applyAlignment="1">
      <alignment vertical="center" wrapText="1"/>
    </xf>
    <xf numFmtId="43" fontId="0" fillId="0" borderId="0" xfId="0" applyNumberFormat="1"/>
    <xf numFmtId="167" fontId="15" fillId="14" borderId="18" xfId="3" applyNumberFormat="1" applyFont="1" applyFill="1" applyBorder="1" applyAlignment="1">
      <alignment vertical="center" wrapText="1"/>
    </xf>
    <xf numFmtId="0" fontId="22" fillId="6" borderId="4" xfId="4" applyFont="1" applyFill="1" applyBorder="1" applyAlignment="1">
      <alignment horizontal="center" vertical="center" wrapText="1"/>
    </xf>
    <xf numFmtId="0" fontId="22" fillId="6" borderId="33" xfId="4" applyFont="1" applyFill="1" applyBorder="1" applyAlignment="1">
      <alignment horizontal="center" vertical="center" wrapText="1"/>
    </xf>
    <xf numFmtId="0" fontId="22" fillId="6" borderId="32" xfId="4" applyFont="1" applyFill="1" applyBorder="1" applyAlignment="1">
      <alignment horizontal="left" vertical="center" wrapText="1"/>
    </xf>
    <xf numFmtId="0" fontId="22" fillId="6" borderId="4" xfId="4" applyFont="1" applyFill="1" applyBorder="1" applyAlignment="1">
      <alignment horizontal="left" vertical="center" wrapText="1"/>
    </xf>
    <xf numFmtId="0" fontId="22" fillId="6" borderId="32" xfId="4" applyFont="1" applyFill="1" applyBorder="1" applyAlignment="1">
      <alignment vertical="center" wrapText="1"/>
    </xf>
    <xf numFmtId="0" fontId="22" fillId="6" borderId="4" xfId="4" applyFont="1" applyFill="1" applyBorder="1" applyAlignment="1">
      <alignment vertical="center" wrapText="1"/>
    </xf>
    <xf numFmtId="10" fontId="22" fillId="6" borderId="4" xfId="4" applyNumberFormat="1" applyFont="1" applyFill="1" applyBorder="1" applyAlignment="1">
      <alignment vertical="center" wrapText="1"/>
    </xf>
    <xf numFmtId="0" fontId="22" fillId="6" borderId="33" xfId="4" applyFont="1" applyFill="1" applyBorder="1" applyAlignment="1">
      <alignment vertical="center" wrapText="1"/>
    </xf>
    <xf numFmtId="0" fontId="22" fillId="6" borderId="23" xfId="4" applyFont="1" applyFill="1" applyBorder="1" applyAlignment="1">
      <alignment vertical="center" wrapText="1"/>
    </xf>
    <xf numFmtId="0" fontId="22" fillId="6" borderId="24" xfId="4" applyFont="1" applyFill="1" applyBorder="1" applyAlignment="1">
      <alignment vertical="center" wrapText="1"/>
    </xf>
    <xf numFmtId="4" fontId="22" fillId="6" borderId="24" xfId="4" applyNumberFormat="1" applyFont="1" applyFill="1" applyBorder="1" applyAlignment="1">
      <alignment vertical="center" wrapText="1"/>
    </xf>
    <xf numFmtId="10" fontId="22" fillId="6" borderId="24" xfId="4" applyNumberFormat="1" applyFont="1" applyFill="1" applyBorder="1" applyAlignment="1">
      <alignment vertical="center" wrapText="1"/>
    </xf>
    <xf numFmtId="0" fontId="22" fillId="6" borderId="34" xfId="4" applyFont="1" applyFill="1" applyBorder="1" applyAlignment="1">
      <alignment vertical="center" wrapText="1"/>
    </xf>
    <xf numFmtId="44" fontId="0" fillId="0" borderId="0" xfId="0" applyNumberFormat="1" applyAlignment="1">
      <alignment vertical="center" wrapText="1"/>
    </xf>
    <xf numFmtId="167" fontId="14" fillId="14" borderId="18" xfId="3" applyNumberFormat="1" applyFont="1" applyFill="1" applyBorder="1" applyAlignment="1">
      <alignment vertical="center" wrapText="1"/>
    </xf>
    <xf numFmtId="3" fontId="31" fillId="0" borderId="0" xfId="0" applyNumberFormat="1" applyFont="1"/>
    <xf numFmtId="165" fontId="32" fillId="0" borderId="0" xfId="0" applyNumberFormat="1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34" fillId="16" borderId="27" xfId="0" applyFont="1" applyFill="1" applyBorder="1" applyAlignment="1">
      <alignment horizontal="center" vertical="center" wrapText="1"/>
    </xf>
    <xf numFmtId="0" fontId="34" fillId="16" borderId="11" xfId="0" applyFont="1" applyFill="1" applyBorder="1" applyAlignment="1">
      <alignment horizontal="center" vertical="center" wrapText="1"/>
    </xf>
    <xf numFmtId="0" fontId="32" fillId="17" borderId="39" xfId="0" applyFont="1" applyFill="1" applyBorder="1" applyAlignment="1">
      <alignment horizontal="center" vertical="center" wrapText="1"/>
    </xf>
    <xf numFmtId="0" fontId="32" fillId="17" borderId="21" xfId="0" applyFont="1" applyFill="1" applyBorder="1" applyAlignment="1">
      <alignment horizontal="center" vertical="center" wrapText="1"/>
    </xf>
    <xf numFmtId="6" fontId="0" fillId="0" borderId="0" xfId="0" applyNumberFormat="1"/>
    <xf numFmtId="3" fontId="34" fillId="19" borderId="19" xfId="0" applyNumberFormat="1" applyFont="1" applyFill="1" applyBorder="1" applyAlignment="1">
      <alignment horizontal="center" vertical="center" wrapText="1"/>
    </xf>
    <xf numFmtId="0" fontId="32" fillId="19" borderId="21" xfId="0" applyFont="1" applyFill="1" applyBorder="1" applyAlignment="1">
      <alignment horizontal="center" vertical="center" wrapText="1"/>
    </xf>
    <xf numFmtId="3" fontId="34" fillId="16" borderId="19" xfId="0" applyNumberFormat="1" applyFont="1" applyFill="1" applyBorder="1" applyAlignment="1">
      <alignment horizontal="center" vertical="center" wrapText="1"/>
    </xf>
    <xf numFmtId="0" fontId="32" fillId="16" borderId="21" xfId="0" applyFont="1" applyFill="1" applyBorder="1" applyAlignment="1">
      <alignment horizontal="center" vertical="center" wrapText="1"/>
    </xf>
    <xf numFmtId="0" fontId="34" fillId="0" borderId="19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left" vertical="center" wrapText="1" indent="2"/>
    </xf>
    <xf numFmtId="6" fontId="32" fillId="0" borderId="21" xfId="0" applyNumberFormat="1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4" fillId="20" borderId="21" xfId="0" applyFont="1" applyFill="1" applyBorder="1" applyAlignment="1">
      <alignment horizontal="center" vertical="center" wrapText="1"/>
    </xf>
    <xf numFmtId="0" fontId="34" fillId="16" borderId="21" xfId="0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vertical="center" wrapText="1"/>
    </xf>
    <xf numFmtId="6" fontId="36" fillId="0" borderId="21" xfId="0" applyNumberFormat="1" applyFont="1" applyBorder="1" applyAlignment="1">
      <alignment horizontal="center" vertical="center" wrapText="1"/>
    </xf>
    <xf numFmtId="166" fontId="36" fillId="0" borderId="21" xfId="2" applyNumberFormat="1" applyFont="1" applyBorder="1" applyAlignment="1">
      <alignment horizontal="center" vertical="center" wrapText="1"/>
    </xf>
    <xf numFmtId="0" fontId="33" fillId="0" borderId="0" xfId="0" applyFont="1"/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/>
    </xf>
    <xf numFmtId="43" fontId="2" fillId="0" borderId="0" xfId="1" applyFont="1" applyAlignment="1">
      <alignment vertical="center"/>
    </xf>
    <xf numFmtId="43" fontId="34" fillId="0" borderId="21" xfId="1" applyFont="1" applyBorder="1" applyAlignment="1">
      <alignment horizontal="center" vertical="center" wrapText="1"/>
    </xf>
    <xf numFmtId="166" fontId="32" fillId="0" borderId="21" xfId="2" applyNumberFormat="1" applyFont="1" applyBorder="1" applyAlignment="1">
      <alignment horizontal="center" vertical="center" wrapText="1"/>
    </xf>
    <xf numFmtId="166" fontId="32" fillId="0" borderId="21" xfId="0" applyNumberFormat="1" applyFont="1" applyBorder="1" applyAlignment="1">
      <alignment horizontal="center" vertical="center" wrapText="1"/>
    </xf>
    <xf numFmtId="166" fontId="33" fillId="0" borderId="0" xfId="2" applyNumberFormat="1" applyFont="1"/>
    <xf numFmtId="165" fontId="33" fillId="0" borderId="0" xfId="0" applyNumberFormat="1" applyFont="1"/>
    <xf numFmtId="165" fontId="10" fillId="14" borderId="28" xfId="0" applyNumberFormat="1" applyFont="1" applyFill="1" applyBorder="1" applyAlignment="1">
      <alignment vertical="center" wrapText="1"/>
    </xf>
    <xf numFmtId="167" fontId="15" fillId="14" borderId="18" xfId="0" applyNumberFormat="1" applyFont="1" applyFill="1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wrapText="1"/>
    </xf>
    <xf numFmtId="166" fontId="33" fillId="0" borderId="4" xfId="2" applyNumberFormat="1" applyFont="1" applyBorder="1"/>
    <xf numFmtId="165" fontId="0" fillId="13" borderId="37" xfId="0" applyNumberFormat="1" applyFill="1" applyBorder="1" applyAlignment="1">
      <alignment vertical="center"/>
    </xf>
    <xf numFmtId="166" fontId="1" fillId="0" borderId="4" xfId="2" applyNumberFormat="1" applyBorder="1"/>
    <xf numFmtId="44" fontId="1" fillId="0" borderId="2" xfId="2" applyBorder="1" applyAlignment="1">
      <alignment vertical="center"/>
    </xf>
    <xf numFmtId="44" fontId="1" fillId="0" borderId="24" xfId="2" applyBorder="1" applyAlignment="1">
      <alignment vertical="center"/>
    </xf>
    <xf numFmtId="0" fontId="32" fillId="0" borderId="40" xfId="0" applyFont="1" applyBorder="1" applyAlignment="1">
      <alignment horizontal="left" vertical="center" wrapText="1" indent="2"/>
    </xf>
    <xf numFmtId="166" fontId="32" fillId="0" borderId="19" xfId="0" applyNumberFormat="1" applyFont="1" applyBorder="1" applyAlignment="1">
      <alignment horizontal="center" vertical="center" wrapText="1"/>
    </xf>
    <xf numFmtId="166" fontId="36" fillId="0" borderId="19" xfId="2" applyNumberFormat="1" applyFont="1" applyBorder="1" applyAlignment="1">
      <alignment horizontal="center" vertical="center" wrapText="1"/>
    </xf>
    <xf numFmtId="0" fontId="34" fillId="20" borderId="19" xfId="0" applyFont="1" applyFill="1" applyBorder="1" applyAlignment="1">
      <alignment horizontal="center" vertical="center" wrapText="1"/>
    </xf>
    <xf numFmtId="0" fontId="34" fillId="16" borderId="19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166" fontId="37" fillId="21" borderId="44" xfId="2" applyNumberFormat="1" applyFont="1" applyFill="1" applyBorder="1"/>
    <xf numFmtId="0" fontId="37" fillId="21" borderId="44" xfId="0" applyFont="1" applyFill="1" applyBorder="1"/>
    <xf numFmtId="165" fontId="37" fillId="21" borderId="45" xfId="0" applyNumberFormat="1" applyFont="1" applyFill="1" applyBorder="1"/>
    <xf numFmtId="0" fontId="38" fillId="21" borderId="43" xfId="0" applyFont="1" applyFill="1" applyBorder="1" applyAlignment="1">
      <alignment horizontal="left" vertical="center" wrapText="1" indent="2"/>
    </xf>
    <xf numFmtId="166" fontId="0" fillId="0" borderId="0" xfId="0" applyNumberFormat="1"/>
    <xf numFmtId="0" fontId="0" fillId="0" borderId="0" xfId="0" applyAlignment="1">
      <alignment horizontal="left" vertical="center" wrapText="1" indent="1"/>
    </xf>
    <xf numFmtId="44" fontId="30" fillId="0" borderId="0" xfId="2" applyFont="1" applyAlignment="1">
      <alignment vertical="center" wrapText="1"/>
    </xf>
    <xf numFmtId="44" fontId="30" fillId="15" borderId="27" xfId="2" applyFont="1" applyFill="1" applyBorder="1" applyAlignment="1">
      <alignment vertical="center" wrapText="1"/>
    </xf>
    <xf numFmtId="44" fontId="0" fillId="0" borderId="0" xfId="2" applyFont="1"/>
    <xf numFmtId="44" fontId="11" fillId="0" borderId="0" xfId="0" applyNumberFormat="1" applyFont="1" applyAlignment="1">
      <alignment vertical="center" wrapText="1"/>
    </xf>
    <xf numFmtId="0" fontId="27" fillId="0" borderId="0" xfId="0" applyFont="1" applyAlignment="1">
      <alignment horizontal="left" vertical="center" wrapText="1" indent="2"/>
    </xf>
    <xf numFmtId="44" fontId="28" fillId="0" borderId="0" xfId="0" applyNumberFormat="1" applyFont="1"/>
    <xf numFmtId="0" fontId="0" fillId="6" borderId="0" xfId="0" applyFill="1" applyAlignment="1">
      <alignment wrapText="1"/>
    </xf>
    <xf numFmtId="0" fontId="0" fillId="6" borderId="0" xfId="0" applyFill="1"/>
    <xf numFmtId="44" fontId="0" fillId="6" borderId="4" xfId="2" applyFont="1" applyFill="1" applyBorder="1"/>
    <xf numFmtId="0" fontId="0" fillId="6" borderId="4" xfId="0" applyFill="1" applyBorder="1"/>
    <xf numFmtId="44" fontId="0" fillId="6" borderId="0" xfId="0" applyNumberFormat="1" applyFill="1"/>
    <xf numFmtId="165" fontId="0" fillId="0" borderId="0" xfId="3" applyNumberFormat="1" applyFont="1"/>
    <xf numFmtId="0" fontId="41" fillId="0" borderId="0" xfId="0" applyFont="1" applyAlignment="1">
      <alignment vertical="center" wrapText="1"/>
    </xf>
    <xf numFmtId="166" fontId="27" fillId="0" borderId="0" xfId="2" applyNumberFormat="1" applyFont="1" applyAlignment="1">
      <alignment vertical="center" wrapText="1"/>
    </xf>
    <xf numFmtId="2" fontId="9" fillId="0" borderId="0" xfId="0" applyNumberFormat="1" applyFont="1" applyAlignment="1">
      <alignment vertical="center" wrapText="1"/>
    </xf>
    <xf numFmtId="165" fontId="9" fillId="0" borderId="0" xfId="0" applyNumberFormat="1" applyFont="1" applyAlignment="1">
      <alignment vertical="center" wrapText="1"/>
    </xf>
    <xf numFmtId="0" fontId="0" fillId="6" borderId="4" xfId="0" applyFill="1" applyBorder="1" applyAlignment="1">
      <alignment horizontal="center"/>
    </xf>
    <xf numFmtId="0" fontId="0" fillId="6" borderId="0" xfId="0" applyFill="1" applyAlignment="1">
      <alignment horizontal="center" vertical="center"/>
    </xf>
    <xf numFmtId="0" fontId="39" fillId="6" borderId="0" xfId="0" applyFont="1" applyFill="1" applyAlignment="1">
      <alignment vertical="center"/>
    </xf>
    <xf numFmtId="9" fontId="39" fillId="6" borderId="0" xfId="0" applyNumberFormat="1" applyFont="1" applyFill="1" applyAlignment="1">
      <alignment vertical="center"/>
    </xf>
    <xf numFmtId="0" fontId="0" fillId="6" borderId="6" xfId="0" applyFill="1" applyBorder="1" applyAlignment="1">
      <alignment vertical="center" wrapText="1"/>
    </xf>
    <xf numFmtId="0" fontId="39" fillId="6" borderId="25" xfId="0" applyFont="1" applyFill="1" applyBorder="1" applyAlignment="1">
      <alignment vertical="center"/>
    </xf>
    <xf numFmtId="0" fontId="0" fillId="6" borderId="46" xfId="0" applyFill="1" applyBorder="1" applyAlignment="1">
      <alignment vertical="center" wrapText="1"/>
    </xf>
    <xf numFmtId="0" fontId="0" fillId="6" borderId="8" xfId="0" applyFill="1" applyBorder="1" applyAlignment="1">
      <alignment horizontal="right" vertical="center" wrapText="1"/>
    </xf>
    <xf numFmtId="0" fontId="0" fillId="14" borderId="4" xfId="0" applyFill="1" applyBorder="1" applyAlignment="1">
      <alignment horizontal="center" wrapText="1"/>
    </xf>
    <xf numFmtId="0" fontId="33" fillId="0" borderId="4" xfId="0" applyFont="1" applyBorder="1" applyAlignment="1">
      <alignment horizontal="left" vertical="center" wrapText="1"/>
    </xf>
    <xf numFmtId="44" fontId="0" fillId="0" borderId="4" xfId="2" applyFont="1" applyBorder="1"/>
    <xf numFmtId="44" fontId="0" fillId="0" borderId="4" xfId="0" applyNumberFormat="1" applyBorder="1"/>
    <xf numFmtId="44" fontId="18" fillId="0" borderId="4" xfId="2" applyFont="1" applyBorder="1"/>
    <xf numFmtId="44" fontId="18" fillId="0" borderId="4" xfId="0" applyNumberFormat="1" applyFont="1" applyBorder="1"/>
    <xf numFmtId="44" fontId="10" fillId="0" borderId="0" xfId="2" applyFont="1"/>
    <xf numFmtId="44" fontId="43" fillId="0" borderId="27" xfId="2" applyFont="1" applyBorder="1"/>
    <xf numFmtId="44" fontId="43" fillId="0" borderId="11" xfId="0" applyNumberFormat="1" applyFont="1" applyBorder="1"/>
    <xf numFmtId="0" fontId="0" fillId="6" borderId="4" xfId="0" applyFill="1" applyBorder="1" applyAlignment="1">
      <alignment horizontal="center" wrapText="1"/>
    </xf>
    <xf numFmtId="166" fontId="0" fillId="6" borderId="4" xfId="2" applyNumberFormat="1" applyFont="1" applyFill="1" applyBorder="1"/>
    <xf numFmtId="0" fontId="42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44" fontId="0" fillId="0" borderId="5" xfId="2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6" borderId="8" xfId="0" applyFill="1" applyBorder="1" applyAlignment="1">
      <alignment vertical="center" wrapText="1"/>
    </xf>
    <xf numFmtId="44" fontId="39" fillId="6" borderId="2" xfId="0" applyNumberFormat="1" applyFont="1" applyFill="1" applyBorder="1" applyAlignment="1">
      <alignment vertical="center"/>
    </xf>
    <xf numFmtId="44" fontId="39" fillId="6" borderId="5" xfId="2" applyFont="1" applyFill="1" applyBorder="1" applyAlignment="1">
      <alignment vertical="center"/>
    </xf>
    <xf numFmtId="44" fontId="39" fillId="6" borderId="13" xfId="2" applyFont="1" applyFill="1" applyBorder="1" applyAlignment="1">
      <alignment vertical="center"/>
    </xf>
    <xf numFmtId="44" fontId="39" fillId="6" borderId="2" xfId="2" applyFont="1" applyFill="1" applyBorder="1" applyAlignment="1">
      <alignment vertical="center"/>
    </xf>
    <xf numFmtId="9" fontId="39" fillId="6" borderId="5" xfId="0" applyNumberFormat="1" applyFont="1" applyFill="1" applyBorder="1" applyAlignment="1">
      <alignment vertical="center"/>
    </xf>
    <xf numFmtId="9" fontId="39" fillId="6" borderId="2" xfId="0" applyNumberFormat="1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6" borderId="5" xfId="0" applyFill="1" applyBorder="1" applyAlignment="1">
      <alignment vertical="center"/>
    </xf>
    <xf numFmtId="0" fontId="0" fillId="6" borderId="13" xfId="0" applyFill="1" applyBorder="1" applyAlignment="1">
      <alignment vertical="center"/>
    </xf>
    <xf numFmtId="0" fontId="0" fillId="6" borderId="26" xfId="0" applyFill="1" applyBorder="1" applyAlignment="1">
      <alignment vertical="center"/>
    </xf>
    <xf numFmtId="0" fontId="0" fillId="6" borderId="25" xfId="0" applyFill="1" applyBorder="1" applyAlignment="1">
      <alignment vertical="center"/>
    </xf>
    <xf numFmtId="0" fontId="0" fillId="6" borderId="46" xfId="0" applyFill="1" applyBorder="1" applyAlignment="1">
      <alignment horizontal="right" vertical="center"/>
    </xf>
    <xf numFmtId="0" fontId="0" fillId="6" borderId="0" xfId="0" applyFill="1" applyAlignment="1">
      <alignment horizontal="right" vertical="center"/>
    </xf>
    <xf numFmtId="0" fontId="0" fillId="6" borderId="8" xfId="0" applyFill="1" applyBorder="1" applyAlignment="1">
      <alignment horizontal="right" vertical="center"/>
    </xf>
    <xf numFmtId="0" fontId="0" fillId="6" borderId="26" xfId="0" applyFill="1" applyBorder="1" applyAlignment="1">
      <alignment horizontal="right" vertical="center"/>
    </xf>
    <xf numFmtId="0" fontId="0" fillId="14" borderId="4" xfId="0" applyFill="1" applyBorder="1" applyAlignment="1">
      <alignment vertical="center"/>
    </xf>
    <xf numFmtId="0" fontId="0" fillId="14" borderId="4" xfId="0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/>
    </xf>
    <xf numFmtId="0" fontId="0" fillId="14" borderId="4" xfId="0" applyFill="1" applyBorder="1" applyAlignment="1">
      <alignment horizontal="right" vertical="center"/>
    </xf>
    <xf numFmtId="0" fontId="2" fillId="6" borderId="0" xfId="0" applyFont="1" applyFill="1" applyAlignment="1">
      <alignment vertical="center"/>
    </xf>
    <xf numFmtId="0" fontId="0" fillId="14" borderId="35" xfId="0" applyFill="1" applyBorder="1" applyAlignment="1">
      <alignment horizontal="right" vertical="center"/>
    </xf>
    <xf numFmtId="0" fontId="40" fillId="6" borderId="6" xfId="0" applyFont="1" applyFill="1" applyBorder="1" applyAlignment="1">
      <alignment vertical="center" wrapText="1"/>
    </xf>
    <xf numFmtId="166" fontId="40" fillId="6" borderId="5" xfId="2" applyNumberFormat="1" applyFont="1" applyFill="1" applyBorder="1" applyAlignment="1">
      <alignment vertical="center"/>
    </xf>
    <xf numFmtId="0" fontId="0" fillId="14" borderId="4" xfId="0" applyFill="1" applyBorder="1" applyAlignment="1">
      <alignment horizontal="center" vertical="center"/>
    </xf>
    <xf numFmtId="165" fontId="0" fillId="6" borderId="4" xfId="1" applyNumberFormat="1" applyFont="1" applyFill="1" applyBorder="1" applyAlignment="1">
      <alignment vertical="center"/>
    </xf>
    <xf numFmtId="165" fontId="0" fillId="6" borderId="4" xfId="1" applyNumberFormat="1" applyFont="1" applyFill="1" applyBorder="1" applyAlignment="1">
      <alignment horizontal="center" vertical="center"/>
    </xf>
    <xf numFmtId="165" fontId="0" fillId="6" borderId="4" xfId="1" applyNumberFormat="1" applyFont="1" applyFill="1" applyBorder="1" applyAlignment="1">
      <alignment horizontal="left" vertical="center" indent="2"/>
    </xf>
    <xf numFmtId="0" fontId="0" fillId="10" borderId="4" xfId="0" applyFill="1" applyBorder="1" applyAlignment="1">
      <alignment horizontal="right" vertical="center"/>
    </xf>
    <xf numFmtId="0" fontId="0" fillId="10" borderId="4" xfId="0" applyFill="1" applyBorder="1" applyAlignment="1">
      <alignment horizontal="center" vertical="center" wrapText="1"/>
    </xf>
    <xf numFmtId="165" fontId="10" fillId="10" borderId="4" xfId="1" applyNumberFormat="1" applyFont="1" applyFill="1" applyBorder="1" applyAlignment="1">
      <alignment vertical="center"/>
    </xf>
    <xf numFmtId="165" fontId="0" fillId="10" borderId="4" xfId="1" applyNumberFormat="1" applyFont="1" applyFill="1" applyBorder="1" applyAlignment="1">
      <alignment vertical="center"/>
    </xf>
    <xf numFmtId="166" fontId="0" fillId="10" borderId="0" xfId="2" applyNumberFormat="1" applyFont="1" applyFill="1" applyAlignment="1">
      <alignment vertical="center" wrapText="1"/>
    </xf>
    <xf numFmtId="165" fontId="18" fillId="10" borderId="4" xfId="1" applyNumberFormat="1" applyFont="1" applyFill="1" applyBorder="1" applyAlignment="1">
      <alignment vertical="center"/>
    </xf>
    <xf numFmtId="0" fontId="42" fillId="14" borderId="4" xfId="0" applyFont="1" applyFill="1" applyBorder="1" applyAlignment="1">
      <alignment horizontal="center" vertical="center" wrapText="1"/>
    </xf>
    <xf numFmtId="0" fontId="33" fillId="14" borderId="4" xfId="0" applyFont="1" applyFill="1" applyBorder="1" applyAlignment="1">
      <alignment horizontal="center" vertical="center" wrapText="1"/>
    </xf>
    <xf numFmtId="44" fontId="0" fillId="14" borderId="4" xfId="2" applyFont="1" applyFill="1" applyBorder="1" applyAlignment="1">
      <alignment horizontal="center" wrapText="1"/>
    </xf>
    <xf numFmtId="44" fontId="0" fillId="14" borderId="4" xfId="2" applyFont="1" applyFill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0" fontId="2" fillId="0" borderId="0" xfId="0" applyFont="1"/>
    <xf numFmtId="44" fontId="2" fillId="0" borderId="0" xfId="0" applyNumberFormat="1" applyFont="1"/>
    <xf numFmtId="44" fontId="18" fillId="0" borderId="0" xfId="0" applyNumberFormat="1" applyFont="1" applyAlignment="1">
      <alignment vertical="center"/>
    </xf>
    <xf numFmtId="0" fontId="0" fillId="14" borderId="5" xfId="0" applyFill="1" applyBorder="1"/>
    <xf numFmtId="166" fontId="0" fillId="0" borderId="4" xfId="2" applyNumberFormat="1" applyFont="1" applyBorder="1" applyAlignment="1">
      <alignment vertical="center" wrapText="1"/>
    </xf>
    <xf numFmtId="0" fontId="0" fillId="0" borderId="4" xfId="0" applyBorder="1" applyAlignment="1">
      <alignment vertical="center"/>
    </xf>
    <xf numFmtId="44" fontId="0" fillId="0" borderId="4" xfId="0" applyNumberFormat="1" applyBorder="1" applyAlignment="1">
      <alignment vertical="center"/>
    </xf>
    <xf numFmtId="44" fontId="2" fillId="0" borderId="4" xfId="0" applyNumberFormat="1" applyFont="1" applyBorder="1" applyAlignment="1">
      <alignment vertical="center"/>
    </xf>
    <xf numFmtId="43" fontId="9" fillId="12" borderId="0" xfId="1" applyFont="1" applyFill="1" applyAlignment="1">
      <alignment vertical="center" wrapText="1"/>
    </xf>
    <xf numFmtId="0" fontId="0" fillId="0" borderId="0" xfId="0" applyAlignment="1">
      <alignment horizontal="left" vertical="center" wrapText="1" indent="2"/>
    </xf>
    <xf numFmtId="0" fontId="0" fillId="23" borderId="0" xfId="0" applyFill="1" applyAlignment="1">
      <alignment vertical="center" wrapText="1"/>
    </xf>
    <xf numFmtId="44" fontId="0" fillId="23" borderId="0" xfId="2" applyFont="1" applyFill="1" applyAlignment="1">
      <alignment vertical="center" wrapText="1"/>
    </xf>
    <xf numFmtId="165" fontId="9" fillId="23" borderId="0" xfId="1" applyNumberFormat="1" applyFont="1" applyFill="1" applyAlignment="1">
      <alignment vertical="center" wrapText="1"/>
    </xf>
    <xf numFmtId="165" fontId="0" fillId="23" borderId="0" xfId="1" applyNumberFormat="1" applyFont="1" applyFill="1" applyAlignment="1">
      <alignment vertical="center" wrapText="1"/>
    </xf>
    <xf numFmtId="166" fontId="0" fillId="23" borderId="0" xfId="2" applyNumberFormat="1" applyFont="1" applyFill="1" applyAlignment="1">
      <alignment vertical="center" wrapText="1"/>
    </xf>
    <xf numFmtId="44" fontId="11" fillId="23" borderId="0" xfId="0" applyNumberFormat="1" applyFont="1" applyFill="1" applyAlignment="1">
      <alignment vertical="center" wrapText="1"/>
    </xf>
    <xf numFmtId="0" fontId="10" fillId="23" borderId="0" xfId="0" applyFont="1" applyFill="1" applyAlignment="1">
      <alignment vertical="center" wrapText="1"/>
    </xf>
    <xf numFmtId="43" fontId="9" fillId="23" borderId="0" xfId="1" applyFont="1" applyFill="1" applyAlignment="1">
      <alignment vertical="center" wrapText="1"/>
    </xf>
    <xf numFmtId="0" fontId="9" fillId="23" borderId="0" xfId="0" applyFont="1" applyFill="1" applyAlignment="1">
      <alignment vertical="center" wrapText="1"/>
    </xf>
    <xf numFmtId="0" fontId="29" fillId="6" borderId="0" xfId="0" applyFont="1" applyFill="1" applyAlignment="1">
      <alignment horizontal="left" vertical="center" wrapText="1" indent="2"/>
    </xf>
    <xf numFmtId="167" fontId="0" fillId="6" borderId="0" xfId="3" applyNumberFormat="1" applyFont="1" applyFill="1" applyAlignment="1">
      <alignment vertical="center" wrapText="1"/>
    </xf>
    <xf numFmtId="169" fontId="39" fillId="6" borderId="2" xfId="0" applyNumberFormat="1" applyFont="1" applyFill="1" applyBorder="1" applyAlignment="1">
      <alignment vertical="center"/>
    </xf>
    <xf numFmtId="170" fontId="0" fillId="6" borderId="0" xfId="3" applyNumberFormat="1" applyFont="1" applyFill="1" applyAlignment="1">
      <alignment vertical="center"/>
    </xf>
    <xf numFmtId="0" fontId="2" fillId="24" borderId="0" xfId="0" applyFont="1" applyFill="1" applyAlignment="1">
      <alignment vertical="center" wrapText="1"/>
    </xf>
    <xf numFmtId="0" fontId="0" fillId="24" borderId="0" xfId="0" applyFill="1" applyAlignment="1">
      <alignment vertical="center" wrapText="1"/>
    </xf>
    <xf numFmtId="43" fontId="9" fillId="24" borderId="0" xfId="1" applyFont="1" applyFill="1" applyAlignment="1">
      <alignment vertical="center" wrapText="1"/>
    </xf>
    <xf numFmtId="165" fontId="9" fillId="24" borderId="0" xfId="1" applyNumberFormat="1" applyFont="1" applyFill="1" applyAlignment="1">
      <alignment vertical="center" wrapText="1"/>
    </xf>
    <xf numFmtId="165" fontId="0" fillId="24" borderId="0" xfId="1" applyNumberFormat="1" applyFont="1" applyFill="1" applyAlignment="1">
      <alignment vertical="center" wrapText="1"/>
    </xf>
    <xf numFmtId="44" fontId="0" fillId="24" borderId="0" xfId="2" applyFont="1" applyFill="1" applyAlignment="1">
      <alignment vertical="center" wrapText="1"/>
    </xf>
    <xf numFmtId="43" fontId="0" fillId="24" borderId="0" xfId="1" applyFont="1" applyFill="1" applyAlignment="1">
      <alignment vertical="center" wrapText="1"/>
    </xf>
    <xf numFmtId="0" fontId="0" fillId="24" borderId="0" xfId="0" applyFill="1" applyAlignment="1">
      <alignment wrapText="1"/>
    </xf>
    <xf numFmtId="166" fontId="0" fillId="24" borderId="0" xfId="2" applyNumberFormat="1" applyFont="1" applyFill="1" applyAlignment="1">
      <alignment vertical="center" wrapText="1"/>
    </xf>
    <xf numFmtId="0" fontId="2" fillId="10" borderId="47" xfId="0" applyFont="1" applyFill="1" applyBorder="1" applyAlignment="1">
      <alignment horizontal="center" vertical="center"/>
    </xf>
    <xf numFmtId="0" fontId="0" fillId="14" borderId="5" xfId="0" applyFill="1" applyBorder="1" applyAlignment="1">
      <alignment vertical="center"/>
    </xf>
    <xf numFmtId="0" fontId="2" fillId="14" borderId="5" xfId="0" applyFont="1" applyFill="1" applyBorder="1" applyAlignment="1">
      <alignment horizontal="center" vertical="center"/>
    </xf>
    <xf numFmtId="0" fontId="0" fillId="6" borderId="46" xfId="0" applyFill="1" applyBorder="1" applyAlignment="1">
      <alignment vertical="center"/>
    </xf>
    <xf numFmtId="0" fontId="0" fillId="6" borderId="47" xfId="0" applyFill="1" applyBorder="1" applyAlignment="1">
      <alignment vertical="center"/>
    </xf>
    <xf numFmtId="0" fontId="0" fillId="14" borderId="25" xfId="0" applyFill="1" applyBorder="1" applyAlignment="1">
      <alignment vertical="center"/>
    </xf>
    <xf numFmtId="165" fontId="0" fillId="14" borderId="6" xfId="0" applyNumberFormat="1" applyFill="1" applyBorder="1" applyAlignment="1">
      <alignment vertical="center"/>
    </xf>
    <xf numFmtId="0" fontId="0" fillId="14" borderId="7" xfId="0" applyFill="1" applyBorder="1" applyAlignment="1">
      <alignment vertical="center"/>
    </xf>
    <xf numFmtId="0" fontId="0" fillId="14" borderId="46" xfId="0" applyFill="1" applyBorder="1" applyAlignment="1">
      <alignment vertical="center"/>
    </xf>
    <xf numFmtId="0" fontId="0" fillId="14" borderId="0" xfId="0" applyFill="1" applyAlignment="1">
      <alignment vertical="center"/>
    </xf>
    <xf numFmtId="0" fontId="0" fillId="14" borderId="8" xfId="0" applyFill="1" applyBorder="1" applyAlignment="1">
      <alignment vertical="center"/>
    </xf>
    <xf numFmtId="165" fontId="0" fillId="14" borderId="26" xfId="0" applyNumberFormat="1" applyFill="1" applyBorder="1" applyAlignment="1">
      <alignment vertical="center"/>
    </xf>
    <xf numFmtId="0" fontId="0" fillId="14" borderId="1" xfId="0" applyFill="1" applyBorder="1" applyAlignment="1">
      <alignment vertical="center"/>
    </xf>
    <xf numFmtId="0" fontId="0" fillId="14" borderId="0" xfId="0" applyFill="1" applyAlignment="1">
      <alignment horizontal="center" vertical="center"/>
    </xf>
    <xf numFmtId="0" fontId="0" fillId="14" borderId="47" xfId="0" applyFill="1" applyBorder="1" applyAlignment="1">
      <alignment vertical="center"/>
    </xf>
    <xf numFmtId="0" fontId="0" fillId="14" borderId="8" xfId="0" applyFill="1" applyBorder="1" applyAlignment="1">
      <alignment vertical="center" wrapText="1"/>
    </xf>
    <xf numFmtId="0" fontId="0" fillId="14" borderId="26" xfId="0" applyFill="1" applyBorder="1" applyAlignment="1">
      <alignment vertical="center"/>
    </xf>
    <xf numFmtId="165" fontId="0" fillId="6" borderId="0" xfId="0" applyNumberFormat="1" applyFill="1" applyAlignment="1">
      <alignment vertical="center"/>
    </xf>
    <xf numFmtId="165" fontId="18" fillId="14" borderId="4" xfId="0" applyNumberFormat="1" applyFont="1" applyFill="1" applyBorder="1" applyAlignment="1">
      <alignment vertical="center"/>
    </xf>
    <xf numFmtId="0" fontId="10" fillId="14" borderId="9" xfId="0" applyFont="1" applyFill="1" applyBorder="1" applyAlignment="1">
      <alignment vertical="center" wrapText="1"/>
    </xf>
    <xf numFmtId="165" fontId="0" fillId="14" borderId="10" xfId="0" applyNumberFormat="1" applyFill="1" applyBorder="1" applyAlignment="1">
      <alignment vertical="center" wrapText="1"/>
    </xf>
    <xf numFmtId="165" fontId="46" fillId="14" borderId="28" xfId="1" applyNumberFormat="1" applyFont="1" applyFill="1" applyBorder="1" applyAlignment="1">
      <alignment vertical="center" wrapText="1"/>
    </xf>
    <xf numFmtId="165" fontId="15" fillId="14" borderId="10" xfId="1" applyNumberFormat="1" applyFont="1" applyFill="1" applyBorder="1" applyAlignment="1">
      <alignment vertical="center" wrapText="1"/>
    </xf>
    <xf numFmtId="167" fontId="15" fillId="14" borderId="11" xfId="3" applyNumberFormat="1" applyFont="1" applyFill="1" applyBorder="1" applyAlignment="1">
      <alignment vertical="center" wrapText="1"/>
    </xf>
    <xf numFmtId="167" fontId="10" fillId="6" borderId="24" xfId="3" applyNumberFormat="1" applyFont="1" applyFill="1" applyBorder="1" applyAlignment="1">
      <alignment vertical="center" wrapText="1"/>
    </xf>
    <xf numFmtId="0" fontId="33" fillId="0" borderId="13" xfId="0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0" fillId="6" borderId="4" xfId="0" applyFill="1" applyBorder="1" applyAlignment="1">
      <alignment vertical="center" wrapText="1"/>
    </xf>
    <xf numFmtId="0" fontId="0" fillId="6" borderId="4" xfId="0" applyFill="1" applyBorder="1" applyAlignment="1">
      <alignment vertical="center"/>
    </xf>
    <xf numFmtId="0" fontId="0" fillId="25" borderId="0" xfId="0" applyFill="1" applyAlignment="1">
      <alignment vertical="center" wrapText="1"/>
    </xf>
    <xf numFmtId="0" fontId="0" fillId="26" borderId="0" xfId="0" applyFill="1" applyAlignment="1">
      <alignment vertical="center" wrapText="1"/>
    </xf>
    <xf numFmtId="0" fontId="22" fillId="0" borderId="5" xfId="4" applyFont="1" applyBorder="1" applyAlignment="1">
      <alignment vertical="center" wrapText="1"/>
    </xf>
    <xf numFmtId="0" fontId="22" fillId="0" borderId="36" xfId="4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4" fontId="2" fillId="0" borderId="0" xfId="0" applyNumberFormat="1" applyFont="1"/>
    <xf numFmtId="0" fontId="0" fillId="25" borderId="0" xfId="0" applyFill="1" applyAlignment="1">
      <alignment vertical="center"/>
    </xf>
    <xf numFmtId="3" fontId="0" fillId="0" borderId="0" xfId="0" applyNumberFormat="1"/>
    <xf numFmtId="165" fontId="0" fillId="0" borderId="0" xfId="1" applyNumberFormat="1" applyFont="1"/>
    <xf numFmtId="43" fontId="0" fillId="0" borderId="4" xfId="1" applyFont="1" applyBorder="1"/>
    <xf numFmtId="169" fontId="0" fillId="6" borderId="0" xfId="3" applyNumberFormat="1" applyFont="1" applyFill="1" applyAlignment="1">
      <alignment vertical="center"/>
    </xf>
    <xf numFmtId="2" fontId="9" fillId="23" borderId="0" xfId="0" applyNumberFormat="1" applyFont="1" applyFill="1" applyAlignment="1">
      <alignment vertical="center" wrapText="1"/>
    </xf>
    <xf numFmtId="0" fontId="49" fillId="0" borderId="0" xfId="0" applyFont="1"/>
    <xf numFmtId="4" fontId="22" fillId="27" borderId="4" xfId="4" applyNumberFormat="1" applyFont="1" applyFill="1" applyBorder="1" applyAlignment="1">
      <alignment vertical="center" wrapText="1"/>
    </xf>
    <xf numFmtId="44" fontId="0" fillId="27" borderId="0" xfId="2" applyFont="1" applyFill="1" applyAlignment="1">
      <alignment vertical="center" wrapText="1"/>
    </xf>
    <xf numFmtId="4" fontId="22" fillId="27" borderId="5" xfId="4" applyNumberFormat="1" applyFont="1" applyFill="1" applyBorder="1" applyAlignment="1">
      <alignment vertical="center" wrapText="1"/>
    </xf>
    <xf numFmtId="44" fontId="0" fillId="28" borderId="0" xfId="2" applyFont="1" applyFill="1" applyAlignment="1">
      <alignment vertical="center" wrapText="1"/>
    </xf>
    <xf numFmtId="44" fontId="22" fillId="27" borderId="4" xfId="4" applyNumberFormat="1" applyFont="1" applyFill="1" applyBorder="1" applyAlignment="1">
      <alignment vertical="center" wrapText="1"/>
    </xf>
    <xf numFmtId="44" fontId="22" fillId="27" borderId="4" xfId="4" applyNumberFormat="1" applyFont="1" applyFill="1" applyBorder="1" applyAlignment="1">
      <alignment horizontal="center" vertical="center" wrapText="1"/>
    </xf>
    <xf numFmtId="4" fontId="0" fillId="28" borderId="0" xfId="0" applyNumberFormat="1" applyFill="1"/>
    <xf numFmtId="166" fontId="22" fillId="28" borderId="4" xfId="4" applyNumberFormat="1" applyFont="1" applyFill="1" applyBorder="1" applyAlignment="1">
      <alignment vertical="center" wrapText="1"/>
    </xf>
    <xf numFmtId="44" fontId="0" fillId="28" borderId="0" xfId="0" applyNumberFormat="1" applyFill="1" applyAlignment="1">
      <alignment wrapText="1"/>
    </xf>
    <xf numFmtId="44" fontId="0" fillId="28" borderId="0" xfId="0" applyNumberFormat="1" applyFill="1"/>
    <xf numFmtId="4" fontId="48" fillId="28" borderId="0" xfId="0" applyNumberFormat="1" applyFont="1" applyFill="1"/>
    <xf numFmtId="0" fontId="34" fillId="16" borderId="39" xfId="0" applyFont="1" applyFill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39" xfId="0" applyFont="1" applyBorder="1" applyAlignment="1">
      <alignment vertical="center" wrapText="1"/>
    </xf>
    <xf numFmtId="0" fontId="27" fillId="0" borderId="49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43" fontId="11" fillId="0" borderId="0" xfId="1" applyFont="1" applyAlignment="1">
      <alignment vertical="center" wrapText="1"/>
    </xf>
    <xf numFmtId="0" fontId="0" fillId="0" borderId="0" xfId="0" applyAlignment="1">
      <alignment horizontal="left" vertical="center" wrapText="1"/>
    </xf>
    <xf numFmtId="44" fontId="30" fillId="15" borderId="0" xfId="2" applyFont="1" applyFill="1" applyAlignment="1">
      <alignment vertical="center" wrapText="1"/>
    </xf>
    <xf numFmtId="44" fontId="0" fillId="25" borderId="0" xfId="2" applyFont="1" applyFill="1" applyAlignment="1">
      <alignment vertical="center" wrapText="1"/>
    </xf>
    <xf numFmtId="4" fontId="22" fillId="27" borderId="24" xfId="4" applyNumberFormat="1" applyFont="1" applyFill="1" applyBorder="1" applyAlignment="1">
      <alignment vertical="center" wrapText="1"/>
    </xf>
    <xf numFmtId="0" fontId="32" fillId="0" borderId="19" xfId="0" applyFont="1" applyBorder="1" applyAlignment="1">
      <alignment vertical="center" wrapText="1"/>
    </xf>
    <xf numFmtId="0" fontId="50" fillId="0" borderId="21" xfId="0" applyFont="1" applyBorder="1" applyAlignment="1">
      <alignment horizontal="center" vertical="center" wrapText="1"/>
    </xf>
    <xf numFmtId="6" fontId="32" fillId="0" borderId="21" xfId="0" applyNumberFormat="1" applyFont="1" applyBorder="1" applyAlignment="1">
      <alignment horizontal="right" vertical="center" wrapText="1"/>
    </xf>
    <xf numFmtId="0" fontId="34" fillId="20" borderId="21" xfId="0" applyFont="1" applyFill="1" applyBorder="1" applyAlignment="1">
      <alignment horizontal="right" vertical="center" wrapText="1"/>
    </xf>
    <xf numFmtId="0" fontId="52" fillId="29" borderId="39" xfId="0" applyFont="1" applyFill="1" applyBorder="1" applyAlignment="1">
      <alignment horizontal="left" vertical="center" wrapText="1" indent="2"/>
    </xf>
    <xf numFmtId="6" fontId="50" fillId="29" borderId="21" xfId="0" applyNumberFormat="1" applyFont="1" applyFill="1" applyBorder="1" applyAlignment="1">
      <alignment horizontal="right" vertical="center" wrapText="1"/>
    </xf>
    <xf numFmtId="0" fontId="50" fillId="29" borderId="21" xfId="0" applyFont="1" applyFill="1" applyBorder="1" applyAlignment="1">
      <alignment horizontal="right" vertical="center" wrapText="1"/>
    </xf>
    <xf numFmtId="0" fontId="34" fillId="29" borderId="21" xfId="0" applyFont="1" applyFill="1" applyBorder="1" applyAlignment="1">
      <alignment horizontal="center" vertical="center" wrapText="1"/>
    </xf>
    <xf numFmtId="0" fontId="36" fillId="0" borderId="39" xfId="0" applyFont="1" applyBorder="1" applyAlignment="1">
      <alignment vertical="center" wrapText="1"/>
    </xf>
    <xf numFmtId="6" fontId="36" fillId="0" borderId="21" xfId="0" applyNumberFormat="1" applyFont="1" applyBorder="1" applyAlignment="1">
      <alignment horizontal="right" vertical="center" wrapText="1"/>
    </xf>
    <xf numFmtId="0" fontId="50" fillId="0" borderId="21" xfId="0" applyFont="1" applyBorder="1" applyAlignment="1">
      <alignment horizontal="right" vertical="center" wrapText="1"/>
    </xf>
    <xf numFmtId="6" fontId="36" fillId="20" borderId="21" xfId="0" applyNumberFormat="1" applyFont="1" applyFill="1" applyBorder="1" applyAlignment="1">
      <alignment horizontal="right" vertical="center" wrapText="1"/>
    </xf>
    <xf numFmtId="0" fontId="34" fillId="29" borderId="21" xfId="0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166" fontId="50" fillId="0" borderId="21" xfId="0" applyNumberFormat="1" applyFont="1" applyBorder="1" applyAlignment="1">
      <alignment horizontal="center" vertical="center" wrapText="1"/>
    </xf>
    <xf numFmtId="3" fontId="50" fillId="0" borderId="41" xfId="0" applyNumberFormat="1" applyFont="1" applyBorder="1" applyAlignment="1">
      <alignment vertical="center" wrapText="1"/>
    </xf>
    <xf numFmtId="0" fontId="34" fillId="20" borderId="41" xfId="0" applyFont="1" applyFill="1" applyBorder="1" applyAlignment="1">
      <alignment vertical="center" wrapText="1"/>
    </xf>
    <xf numFmtId="166" fontId="32" fillId="0" borderId="41" xfId="2" applyNumberFormat="1" applyFont="1" applyBorder="1" applyAlignment="1">
      <alignment vertical="center" wrapText="1"/>
    </xf>
    <xf numFmtId="6" fontId="36" fillId="19" borderId="41" xfId="0" applyNumberFormat="1" applyFont="1" applyFill="1" applyBorder="1" applyAlignment="1">
      <alignment horizontal="center" vertical="center" wrapText="1"/>
    </xf>
    <xf numFmtId="0" fontId="0" fillId="30" borderId="0" xfId="0" applyFill="1" applyAlignment="1">
      <alignment vertical="center" wrapText="1"/>
    </xf>
    <xf numFmtId="166" fontId="50" fillId="29" borderId="21" xfId="0" applyNumberFormat="1" applyFont="1" applyFill="1" applyBorder="1" applyAlignment="1">
      <alignment horizontal="right" vertical="center" wrapText="1"/>
    </xf>
    <xf numFmtId="166" fontId="36" fillId="29" borderId="21" xfId="0" applyNumberFormat="1" applyFont="1" applyFill="1" applyBorder="1" applyAlignment="1">
      <alignment horizontal="right" vertical="center" wrapText="1"/>
    </xf>
    <xf numFmtId="0" fontId="34" fillId="20" borderId="20" xfId="0" applyFont="1" applyFill="1" applyBorder="1" applyAlignment="1">
      <alignment horizontal="center" vertical="center" wrapText="1"/>
    </xf>
    <xf numFmtId="166" fontId="36" fillId="19" borderId="41" xfId="2" applyNumberFormat="1" applyFont="1" applyFill="1" applyBorder="1" applyAlignment="1">
      <alignment vertical="center" wrapText="1"/>
    </xf>
    <xf numFmtId="3" fontId="50" fillId="19" borderId="41" xfId="0" applyNumberFormat="1" applyFont="1" applyFill="1" applyBorder="1" applyAlignment="1">
      <alignment vertical="center" wrapText="1"/>
    </xf>
    <xf numFmtId="0" fontId="32" fillId="19" borderId="41" xfId="0" applyFont="1" applyFill="1" applyBorder="1" applyAlignment="1">
      <alignment vertical="center" wrapText="1"/>
    </xf>
    <xf numFmtId="166" fontId="34" fillId="0" borderId="41" xfId="0" applyNumberFormat="1" applyFont="1" applyBorder="1" applyAlignment="1">
      <alignment vertical="center" wrapText="1"/>
    </xf>
    <xf numFmtId="166" fontId="36" fillId="0" borderId="41" xfId="2" applyNumberFormat="1" applyFont="1" applyBorder="1" applyAlignment="1">
      <alignment vertical="center" wrapText="1"/>
    </xf>
    <xf numFmtId="6" fontId="36" fillId="20" borderId="41" xfId="0" applyNumberFormat="1" applyFont="1" applyFill="1" applyBorder="1" applyAlignment="1">
      <alignment vertical="center" wrapText="1"/>
    </xf>
    <xf numFmtId="3" fontId="34" fillId="16" borderId="41" xfId="0" applyNumberFormat="1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166" fontId="4" fillId="0" borderId="21" xfId="2" applyNumberFormat="1" applyFont="1" applyBorder="1" applyAlignment="1">
      <alignment horizontal="center" vertical="center" wrapText="1"/>
    </xf>
    <xf numFmtId="0" fontId="6" fillId="20" borderId="2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32" fillId="0" borderId="27" xfId="0" applyFont="1" applyBorder="1" applyAlignment="1">
      <alignment horizontal="left" vertical="center" wrapText="1"/>
    </xf>
    <xf numFmtId="166" fontId="50" fillId="0" borderId="11" xfId="0" applyNumberFormat="1" applyFont="1" applyBorder="1" applyAlignment="1">
      <alignment horizontal="center" vertical="center" wrapText="1"/>
    </xf>
    <xf numFmtId="166" fontId="32" fillId="0" borderId="11" xfId="2" applyNumberFormat="1" applyFont="1" applyBorder="1" applyAlignment="1">
      <alignment horizontal="center" vertical="center" wrapText="1"/>
    </xf>
    <xf numFmtId="0" fontId="50" fillId="0" borderId="11" xfId="0" applyFont="1" applyBorder="1" applyAlignment="1">
      <alignment horizontal="center" vertical="center" wrapText="1"/>
    </xf>
    <xf numFmtId="0" fontId="34" fillId="20" borderId="11" xfId="0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vertical="center" wrapText="1"/>
    </xf>
    <xf numFmtId="6" fontId="36" fillId="19" borderId="41" xfId="0" applyNumberFormat="1" applyFont="1" applyFill="1" applyBorder="1" applyAlignment="1">
      <alignment vertical="center" wrapText="1"/>
    </xf>
    <xf numFmtId="0" fontId="34" fillId="19" borderId="15" xfId="0" applyFont="1" applyFill="1" applyBorder="1" applyAlignment="1">
      <alignment horizontal="center" vertical="center" wrapText="1"/>
    </xf>
    <xf numFmtId="0" fontId="34" fillId="20" borderId="15" xfId="0" applyFont="1" applyFill="1" applyBorder="1" applyAlignment="1">
      <alignment vertical="center" wrapText="1"/>
    </xf>
    <xf numFmtId="0" fontId="34" fillId="20" borderId="10" xfId="0" applyFont="1" applyFill="1" applyBorder="1" applyAlignment="1">
      <alignment horizontal="center" vertical="center" wrapText="1"/>
    </xf>
    <xf numFmtId="0" fontId="6" fillId="20" borderId="20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vertical="center" wrapText="1"/>
    </xf>
    <xf numFmtId="3" fontId="34" fillId="16" borderId="40" xfId="0" applyNumberFormat="1" applyFont="1" applyFill="1" applyBorder="1" applyAlignment="1">
      <alignment horizontal="center" vertical="center" wrapText="1"/>
    </xf>
    <xf numFmtId="0" fontId="34" fillId="16" borderId="40" xfId="0" applyFont="1" applyFill="1" applyBorder="1" applyAlignment="1">
      <alignment horizontal="center" vertical="center" wrapText="1"/>
    </xf>
    <xf numFmtId="0" fontId="6" fillId="16" borderId="39" xfId="0" applyFont="1" applyFill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166" fontId="34" fillId="0" borderId="27" xfId="0" applyNumberFormat="1" applyFont="1" applyBorder="1" applyAlignment="1">
      <alignment vertical="center" wrapText="1"/>
    </xf>
    <xf numFmtId="166" fontId="32" fillId="0" borderId="27" xfId="2" applyNumberFormat="1" applyFont="1" applyBorder="1" applyAlignment="1">
      <alignment vertical="center" wrapText="1"/>
    </xf>
    <xf numFmtId="3" fontId="50" fillId="0" borderId="27" xfId="0" applyNumberFormat="1" applyFont="1" applyBorder="1" applyAlignment="1">
      <alignment vertical="center" wrapText="1"/>
    </xf>
    <xf numFmtId="0" fontId="34" fillId="20" borderId="27" xfId="0" applyFont="1" applyFill="1" applyBorder="1" applyAlignment="1">
      <alignment vertical="center" wrapText="1"/>
    </xf>
    <xf numFmtId="0" fontId="34" fillId="19" borderId="15" xfId="0" applyFont="1" applyFill="1" applyBorder="1" applyAlignment="1">
      <alignment vertical="center" wrapText="1"/>
    </xf>
    <xf numFmtId="0" fontId="34" fillId="20" borderId="9" xfId="0" applyFont="1" applyFill="1" applyBorder="1" applyAlignment="1">
      <alignment vertical="center" wrapText="1"/>
    </xf>
    <xf numFmtId="0" fontId="36" fillId="0" borderId="18" xfId="0" applyFont="1" applyBorder="1" applyAlignment="1">
      <alignment wrapText="1"/>
    </xf>
    <xf numFmtId="0" fontId="50" fillId="20" borderId="20" xfId="0" applyFont="1" applyFill="1" applyBorder="1" applyAlignment="1">
      <alignment horizontal="center" vertical="center" wrapText="1"/>
    </xf>
    <xf numFmtId="0" fontId="50" fillId="16" borderId="41" xfId="0" applyFont="1" applyFill="1" applyBorder="1" applyAlignment="1">
      <alignment horizontal="center" vertical="center" wrapText="1"/>
    </xf>
    <xf numFmtId="0" fontId="50" fillId="16" borderId="40" xfId="0" applyFont="1" applyFill="1" applyBorder="1" applyAlignment="1">
      <alignment horizontal="center" vertical="center" wrapText="1"/>
    </xf>
    <xf numFmtId="0" fontId="50" fillId="16" borderId="39" xfId="0" applyFont="1" applyFill="1" applyBorder="1" applyAlignment="1">
      <alignment horizontal="center" vertical="center" wrapText="1"/>
    </xf>
    <xf numFmtId="0" fontId="16" fillId="0" borderId="23" xfId="5" applyFont="1" applyBorder="1" applyAlignment="1">
      <alignment horizontal="left" vertical="center" wrapText="1"/>
    </xf>
    <xf numFmtId="0" fontId="19" fillId="0" borderId="24" xfId="5" applyBorder="1" applyAlignment="1">
      <alignment horizontal="left" vertical="center" wrapText="1"/>
    </xf>
    <xf numFmtId="0" fontId="19" fillId="0" borderId="34" xfId="5" applyBorder="1" applyAlignment="1">
      <alignment horizontal="left" vertical="center" wrapText="1"/>
    </xf>
    <xf numFmtId="0" fontId="19" fillId="0" borderId="32" xfId="5" quotePrefix="1" applyBorder="1"/>
    <xf numFmtId="168" fontId="19" fillId="0" borderId="4" xfId="5" applyNumberFormat="1" applyBorder="1" applyAlignment="1">
      <alignment horizontal="right" vertical="center" wrapText="1"/>
    </xf>
    <xf numFmtId="168" fontId="19" fillId="0" borderId="33" xfId="5" applyNumberFormat="1" applyBorder="1" applyAlignment="1">
      <alignment horizontal="right" vertical="center" wrapText="1"/>
    </xf>
    <xf numFmtId="0" fontId="19" fillId="0" borderId="32" xfId="5" applyBorder="1"/>
    <xf numFmtId="0" fontId="19" fillId="0" borderId="38" xfId="5" applyBorder="1"/>
    <xf numFmtId="168" fontId="19" fillId="0" borderId="5" xfId="5" applyNumberFormat="1" applyBorder="1" applyAlignment="1">
      <alignment horizontal="right" vertical="center" wrapText="1"/>
    </xf>
    <xf numFmtId="0" fontId="53" fillId="31" borderId="32" xfId="5" applyFont="1" applyFill="1" applyBorder="1" applyAlignment="1">
      <alignment horizontal="center" vertical="center" wrapText="1"/>
    </xf>
    <xf numFmtId="0" fontId="53" fillId="31" borderId="4" xfId="5" applyFont="1" applyFill="1" applyBorder="1" applyAlignment="1">
      <alignment horizontal="center" vertical="center" wrapText="1"/>
    </xf>
    <xf numFmtId="0" fontId="53" fillId="31" borderId="33" xfId="5" applyFont="1" applyFill="1" applyBorder="1" applyAlignment="1">
      <alignment horizontal="center" vertical="center" wrapText="1"/>
    </xf>
    <xf numFmtId="0" fontId="53" fillId="31" borderId="23" xfId="5" applyFont="1" applyFill="1" applyBorder="1" applyAlignment="1">
      <alignment horizontal="center" vertical="center" wrapText="1"/>
    </xf>
    <xf numFmtId="168" fontId="53" fillId="31" borderId="24" xfId="5" applyNumberFormat="1" applyFont="1" applyFill="1" applyBorder="1" applyAlignment="1">
      <alignment horizontal="right" vertical="center" wrapText="1"/>
    </xf>
    <xf numFmtId="0" fontId="54" fillId="0" borderId="0" xfId="0" applyFont="1"/>
    <xf numFmtId="168" fontId="55" fillId="0" borderId="0" xfId="0" applyNumberFormat="1" applyFont="1"/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165" fontId="6" fillId="4" borderId="4" xfId="1" applyNumberFormat="1" applyFont="1" applyFill="1" applyBorder="1" applyAlignment="1">
      <alignment horizontal="center" vertical="center" wrapText="1"/>
    </xf>
    <xf numFmtId="0" fontId="6" fillId="4" borderId="6" xfId="1" applyNumberFormat="1" applyFont="1" applyFill="1" applyBorder="1" applyAlignment="1">
      <alignment horizontal="center" vertical="center" wrapText="1"/>
    </xf>
    <xf numFmtId="0" fontId="6" fillId="4" borderId="7" xfId="1" applyNumberFormat="1" applyFont="1" applyFill="1" applyBorder="1" applyAlignment="1">
      <alignment horizontal="center" vertical="center" wrapText="1"/>
    </xf>
    <xf numFmtId="0" fontId="6" fillId="4" borderId="8" xfId="1" applyNumberFormat="1" applyFont="1" applyFill="1" applyBorder="1" applyAlignment="1">
      <alignment horizontal="center" vertical="center" wrapText="1"/>
    </xf>
    <xf numFmtId="0" fontId="6" fillId="4" borderId="1" xfId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5" fontId="5" fillId="4" borderId="5" xfId="1" applyNumberFormat="1" applyFont="1" applyFill="1" applyBorder="1" applyAlignment="1">
      <alignment horizontal="center" vertical="center" wrapText="1"/>
    </xf>
    <xf numFmtId="165" fontId="5" fillId="4" borderId="2" xfId="1" applyNumberFormat="1" applyFont="1" applyFill="1" applyBorder="1" applyAlignment="1">
      <alignment horizontal="center" vertical="center" wrapText="1"/>
    </xf>
    <xf numFmtId="44" fontId="6" fillId="4" borderId="4" xfId="2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7" fillId="7" borderId="2" xfId="0" applyFont="1" applyFill="1" applyBorder="1" applyAlignment="1">
      <alignment horizontal="center" wrapText="1"/>
    </xf>
    <xf numFmtId="4" fontId="49" fillId="0" borderId="0" xfId="0" applyNumberFormat="1" applyFont="1" applyAlignment="1">
      <alignment horizontal="center"/>
    </xf>
    <xf numFmtId="0" fontId="21" fillId="11" borderId="29" xfId="4" applyFont="1" applyFill="1" applyBorder="1" applyAlignment="1">
      <alignment horizontal="left" vertical="center" wrapText="1"/>
    </xf>
    <xf numFmtId="0" fontId="21" fillId="11" borderId="30" xfId="4" applyFont="1" applyFill="1" applyBorder="1" applyAlignment="1">
      <alignment horizontal="left" vertical="center" wrapText="1"/>
    </xf>
    <xf numFmtId="0" fontId="21" fillId="11" borderId="31" xfId="4" applyFont="1" applyFill="1" applyBorder="1" applyAlignment="1">
      <alignment horizontal="left" vertical="center" wrapText="1"/>
    </xf>
    <xf numFmtId="0" fontId="22" fillId="0" borderId="35" xfId="4" applyFont="1" applyBorder="1" applyAlignment="1">
      <alignment horizontal="center" vertical="center" wrapText="1"/>
    </xf>
    <xf numFmtId="0" fontId="22" fillId="0" borderId="3" xfId="4" applyFont="1" applyBorder="1" applyAlignment="1">
      <alignment horizontal="center" vertical="center" wrapText="1"/>
    </xf>
    <xf numFmtId="0" fontId="23" fillId="11" borderId="33" xfId="4" applyFont="1" applyFill="1" applyBorder="1" applyAlignment="1">
      <alignment horizontal="center" vertical="center" wrapText="1"/>
    </xf>
    <xf numFmtId="0" fontId="23" fillId="11" borderId="32" xfId="4" applyFont="1" applyFill="1" applyBorder="1" applyAlignment="1">
      <alignment horizontal="center" vertical="center" wrapText="1"/>
    </xf>
    <xf numFmtId="0" fontId="23" fillId="11" borderId="4" xfId="4" applyFont="1" applyFill="1" applyBorder="1" applyAlignment="1">
      <alignment horizontal="center" vertical="center" wrapText="1"/>
    </xf>
    <xf numFmtId="0" fontId="23" fillId="11" borderId="4" xfId="4" applyFont="1" applyFill="1" applyBorder="1" applyAlignment="1">
      <alignment horizontal="center" vertical="center"/>
    </xf>
    <xf numFmtId="10" fontId="23" fillId="11" borderId="4" xfId="4" applyNumberFormat="1" applyFont="1" applyFill="1" applyBorder="1" applyAlignment="1">
      <alignment horizontal="center" vertical="center" wrapText="1"/>
    </xf>
    <xf numFmtId="0" fontId="21" fillId="11" borderId="4" xfId="4" applyFont="1" applyFill="1" applyBorder="1" applyAlignment="1">
      <alignment horizontal="left" vertical="center" wrapText="1"/>
    </xf>
    <xf numFmtId="0" fontId="20" fillId="0" borderId="6" xfId="4" applyFont="1" applyBorder="1" applyAlignment="1">
      <alignment horizontal="left" vertical="center" wrapText="1"/>
    </xf>
    <xf numFmtId="0" fontId="20" fillId="0" borderId="25" xfId="4" applyFont="1" applyBorder="1" applyAlignment="1">
      <alignment horizontal="left" vertical="center" wrapText="1"/>
    </xf>
    <xf numFmtId="0" fontId="20" fillId="0" borderId="7" xfId="4" applyFont="1" applyBorder="1" applyAlignment="1">
      <alignment horizontal="left" vertical="center" wrapText="1"/>
    </xf>
    <xf numFmtId="0" fontId="53" fillId="31" borderId="29" xfId="5" applyFont="1" applyFill="1" applyBorder="1" applyAlignment="1">
      <alignment horizontal="center" vertical="center" wrapText="1"/>
    </xf>
    <xf numFmtId="0" fontId="53" fillId="31" borderId="30" xfId="5" applyFont="1" applyFill="1" applyBorder="1" applyAlignment="1">
      <alignment horizontal="center" vertical="center" wrapText="1"/>
    </xf>
    <xf numFmtId="0" fontId="53" fillId="31" borderId="31" xfId="5" applyFont="1" applyFill="1" applyBorder="1" applyAlignment="1">
      <alignment horizontal="center" vertical="center" wrapText="1"/>
    </xf>
    <xf numFmtId="0" fontId="16" fillId="0" borderId="5" xfId="5" applyFont="1" applyBorder="1" applyAlignment="1">
      <alignment horizontal="center" vertical="center" wrapText="1"/>
    </xf>
    <xf numFmtId="0" fontId="16" fillId="0" borderId="13" xfId="5" applyFont="1" applyBorder="1" applyAlignment="1">
      <alignment horizontal="center" vertical="center" wrapText="1"/>
    </xf>
    <xf numFmtId="0" fontId="19" fillId="0" borderId="24" xfId="5" applyBorder="1" applyAlignment="1">
      <alignment horizontal="center" vertical="center" wrapText="1"/>
    </xf>
    <xf numFmtId="0" fontId="19" fillId="0" borderId="34" xfId="5" applyBorder="1" applyAlignment="1">
      <alignment horizontal="center" vertical="center" wrapText="1"/>
    </xf>
    <xf numFmtId="0" fontId="34" fillId="18" borderId="9" xfId="0" applyFont="1" applyFill="1" applyBorder="1" applyAlignment="1">
      <alignment vertical="center" wrapText="1"/>
    </xf>
    <xf numFmtId="0" fontId="34" fillId="18" borderId="10" xfId="0" applyFont="1" applyFill="1" applyBorder="1" applyAlignment="1">
      <alignment vertical="center" wrapText="1"/>
    </xf>
    <xf numFmtId="0" fontId="34" fillId="18" borderId="28" xfId="0" applyFont="1" applyFill="1" applyBorder="1" applyAlignment="1">
      <alignment vertical="center" wrapText="1"/>
    </xf>
    <xf numFmtId="0" fontId="34" fillId="18" borderId="11" xfId="0" applyFont="1" applyFill="1" applyBorder="1" applyAlignment="1">
      <alignment vertical="center" wrapText="1"/>
    </xf>
    <xf numFmtId="0" fontId="34" fillId="16" borderId="41" xfId="0" applyFont="1" applyFill="1" applyBorder="1" applyAlignment="1">
      <alignment horizontal="center" vertical="center" wrapText="1"/>
    </xf>
    <xf numFmtId="0" fontId="34" fillId="16" borderId="39" xfId="0" applyFont="1" applyFill="1" applyBorder="1" applyAlignment="1">
      <alignment horizontal="center" vertical="center" wrapText="1"/>
    </xf>
    <xf numFmtId="0" fontId="34" fillId="16" borderId="9" xfId="0" applyFont="1" applyFill="1" applyBorder="1" applyAlignment="1">
      <alignment horizontal="center" vertical="center" wrapText="1"/>
    </xf>
    <xf numFmtId="0" fontId="34" fillId="16" borderId="11" xfId="0" applyFont="1" applyFill="1" applyBorder="1" applyAlignment="1">
      <alignment horizontal="center" vertical="center" wrapText="1"/>
    </xf>
    <xf numFmtId="0" fontId="34" fillId="16" borderId="40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vertical="center" wrapText="1"/>
    </xf>
    <xf numFmtId="0" fontId="32" fillId="0" borderId="21" xfId="0" applyFont="1" applyBorder="1" applyAlignment="1">
      <alignment vertical="center" wrapText="1"/>
    </xf>
    <xf numFmtId="0" fontId="34" fillId="18" borderId="0" xfId="0" applyFont="1" applyFill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39" xfId="0" applyFont="1" applyBorder="1" applyAlignment="1">
      <alignment vertical="center" wrapText="1"/>
    </xf>
    <xf numFmtId="166" fontId="34" fillId="0" borderId="41" xfId="0" applyNumberFormat="1" applyFont="1" applyBorder="1" applyAlignment="1">
      <alignment horizontal="center" vertical="center" wrapText="1"/>
    </xf>
    <xf numFmtId="166" fontId="34" fillId="0" borderId="39" xfId="0" applyNumberFormat="1" applyFont="1" applyBorder="1" applyAlignment="1">
      <alignment horizontal="center" vertical="center" wrapText="1"/>
    </xf>
    <xf numFmtId="6" fontId="32" fillId="0" borderId="41" xfId="0" applyNumberFormat="1" applyFont="1" applyBorder="1" applyAlignment="1">
      <alignment horizontal="right" vertical="center" wrapText="1"/>
    </xf>
    <xf numFmtId="6" fontId="32" fillId="0" borderId="39" xfId="0" applyNumberFormat="1" applyFont="1" applyBorder="1" applyAlignment="1">
      <alignment horizontal="right" vertical="center" wrapText="1"/>
    </xf>
    <xf numFmtId="0" fontId="34" fillId="0" borderId="41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3" fontId="32" fillId="20" borderId="41" xfId="0" applyNumberFormat="1" applyFont="1" applyFill="1" applyBorder="1" applyAlignment="1">
      <alignment horizontal="right" vertical="center" wrapText="1"/>
    </xf>
    <xf numFmtId="3" fontId="32" fillId="20" borderId="39" xfId="0" applyNumberFormat="1" applyFont="1" applyFill="1" applyBorder="1" applyAlignment="1">
      <alignment horizontal="right" vertical="center" wrapText="1"/>
    </xf>
    <xf numFmtId="0" fontId="34" fillId="20" borderId="15" xfId="0" applyFont="1" applyFill="1" applyBorder="1" applyAlignment="1">
      <alignment horizontal="center" vertical="center" wrapText="1"/>
    </xf>
    <xf numFmtId="0" fontId="34" fillId="20" borderId="14" xfId="0" applyFont="1" applyFill="1" applyBorder="1" applyAlignment="1">
      <alignment horizontal="center" vertical="center" wrapText="1"/>
    </xf>
    <xf numFmtId="0" fontId="2" fillId="10" borderId="46" xfId="0" applyFont="1" applyFill="1" applyBorder="1" applyAlignment="1">
      <alignment horizontal="center" vertical="center"/>
    </xf>
    <xf numFmtId="0" fontId="2" fillId="10" borderId="47" xfId="0" applyFont="1" applyFill="1" applyBorder="1" applyAlignment="1">
      <alignment horizontal="center" vertical="center"/>
    </xf>
    <xf numFmtId="0" fontId="42" fillId="22" borderId="4" xfId="0" applyFont="1" applyFill="1" applyBorder="1" applyAlignment="1">
      <alignment horizontal="left" vertical="center" wrapText="1"/>
    </xf>
    <xf numFmtId="0" fontId="33" fillId="14" borderId="35" xfId="0" applyFont="1" applyFill="1" applyBorder="1" applyAlignment="1">
      <alignment horizontal="center" vertical="center" wrapText="1"/>
    </xf>
    <xf numFmtId="0" fontId="33" fillId="14" borderId="48" xfId="0" applyFont="1" applyFill="1" applyBorder="1" applyAlignment="1">
      <alignment horizontal="center" vertical="center" wrapText="1"/>
    </xf>
    <xf numFmtId="0" fontId="33" fillId="14" borderId="3" xfId="0" applyFont="1" applyFill="1" applyBorder="1" applyAlignment="1">
      <alignment horizontal="center" vertical="center" wrapText="1"/>
    </xf>
    <xf numFmtId="0" fontId="0" fillId="10" borderId="35" xfId="0" applyFill="1" applyBorder="1" applyAlignment="1">
      <alignment horizontal="center" vertical="center" wrapText="1"/>
    </xf>
    <xf numFmtId="0" fontId="0" fillId="10" borderId="48" xfId="0" applyFill="1" applyBorder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3" fontId="34" fillId="19" borderId="41" xfId="0" applyNumberFormat="1" applyFont="1" applyFill="1" applyBorder="1" applyAlignment="1">
      <alignment horizontal="center" vertical="center" wrapText="1"/>
    </xf>
    <xf numFmtId="3" fontId="34" fillId="19" borderId="39" xfId="0" applyNumberFormat="1" applyFont="1" applyFill="1" applyBorder="1" applyAlignment="1">
      <alignment horizontal="center" vertical="center" wrapText="1"/>
    </xf>
    <xf numFmtId="0" fontId="32" fillId="19" borderId="41" xfId="0" applyFont="1" applyFill="1" applyBorder="1" applyAlignment="1">
      <alignment horizontal="left" vertical="center" wrapText="1" indent="2"/>
    </xf>
    <xf numFmtId="0" fontId="32" fillId="19" borderId="39" xfId="0" applyFont="1" applyFill="1" applyBorder="1" applyAlignment="1">
      <alignment horizontal="left" vertical="center" wrapText="1" indent="2"/>
    </xf>
    <xf numFmtId="166" fontId="32" fillId="14" borderId="41" xfId="2" applyNumberFormat="1" applyFont="1" applyFill="1" applyBorder="1" applyAlignment="1">
      <alignment horizontal="center" vertical="center" wrapText="1"/>
    </xf>
    <xf numFmtId="166" fontId="32" fillId="14" borderId="39" xfId="2" applyNumberFormat="1" applyFont="1" applyFill="1" applyBorder="1" applyAlignment="1">
      <alignment horizontal="center" vertical="center" wrapText="1"/>
    </xf>
    <xf numFmtId="43" fontId="36" fillId="19" borderId="41" xfId="0" applyNumberFormat="1" applyFont="1" applyFill="1" applyBorder="1" applyAlignment="1">
      <alignment horizontal="center" vertical="center" wrapText="1"/>
    </xf>
    <xf numFmtId="6" fontId="36" fillId="19" borderId="39" xfId="0" applyNumberFormat="1" applyFont="1" applyFill="1" applyBorder="1" applyAlignment="1">
      <alignment horizontal="center" vertical="center" wrapText="1"/>
    </xf>
    <xf numFmtId="0" fontId="34" fillId="19" borderId="41" xfId="0" applyFont="1" applyFill="1" applyBorder="1" applyAlignment="1">
      <alignment horizontal="center" vertical="center" wrapText="1"/>
    </xf>
    <xf numFmtId="0" fontId="34" fillId="19" borderId="39" xfId="0" applyFont="1" applyFill="1" applyBorder="1" applyAlignment="1">
      <alignment horizontal="center" vertical="center" wrapText="1"/>
    </xf>
    <xf numFmtId="0" fontId="34" fillId="20" borderId="41" xfId="0" applyFont="1" applyFill="1" applyBorder="1" applyAlignment="1">
      <alignment horizontal="center" vertical="center" wrapText="1"/>
    </xf>
    <xf numFmtId="0" fontId="34" fillId="20" borderId="39" xfId="0" applyFont="1" applyFill="1" applyBorder="1" applyAlignment="1">
      <alignment horizontal="center" vertical="center" wrapText="1"/>
    </xf>
    <xf numFmtId="0" fontId="32" fillId="0" borderId="41" xfId="0" applyFont="1" applyBorder="1" applyAlignment="1">
      <alignment horizontal="left" vertical="center" wrapText="1" indent="5"/>
    </xf>
    <xf numFmtId="0" fontId="32" fillId="0" borderId="39" xfId="0" applyFont="1" applyBorder="1" applyAlignment="1">
      <alignment horizontal="left" vertical="center" wrapText="1" indent="5"/>
    </xf>
    <xf numFmtId="166" fontId="32" fillId="0" borderId="41" xfId="2" applyNumberFormat="1" applyFont="1" applyBorder="1" applyAlignment="1">
      <alignment horizontal="center" vertical="center" wrapText="1"/>
    </xf>
    <xf numFmtId="166" fontId="32" fillId="0" borderId="39" xfId="2" applyNumberFormat="1" applyFont="1" applyBorder="1" applyAlignment="1">
      <alignment horizontal="center" vertical="center" wrapText="1"/>
    </xf>
    <xf numFmtId="165" fontId="34" fillId="0" borderId="41" xfId="1" applyNumberFormat="1" applyFont="1" applyBorder="1" applyAlignment="1">
      <alignment horizontal="center" vertical="center" wrapText="1"/>
    </xf>
    <xf numFmtId="165" fontId="34" fillId="0" borderId="39" xfId="1" applyNumberFormat="1" applyFont="1" applyBorder="1" applyAlignment="1">
      <alignment horizontal="center" vertical="center" wrapText="1"/>
    </xf>
    <xf numFmtId="0" fontId="32" fillId="0" borderId="41" xfId="0" applyFont="1" applyBorder="1" applyAlignment="1">
      <alignment horizontal="left" vertical="center" wrapText="1" indent="2"/>
    </xf>
    <xf numFmtId="0" fontId="32" fillId="0" borderId="39" xfId="0" applyFont="1" applyBorder="1" applyAlignment="1">
      <alignment horizontal="left" vertical="center" wrapText="1" indent="2"/>
    </xf>
    <xf numFmtId="0" fontId="32" fillId="0" borderId="41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3" fontId="34" fillId="0" borderId="41" xfId="0" applyNumberFormat="1" applyFont="1" applyBorder="1" applyAlignment="1">
      <alignment horizontal="center" vertical="center" wrapText="1"/>
    </xf>
    <xf numFmtId="3" fontId="34" fillId="0" borderId="39" xfId="0" applyNumberFormat="1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6" fontId="32" fillId="0" borderId="41" xfId="0" applyNumberFormat="1" applyFont="1" applyBorder="1" applyAlignment="1">
      <alignment horizontal="center" vertical="center" wrapText="1"/>
    </xf>
    <xf numFmtId="6" fontId="32" fillId="0" borderId="39" xfId="0" applyNumberFormat="1" applyFont="1" applyBorder="1" applyAlignment="1">
      <alignment horizontal="center" vertical="center" wrapText="1"/>
    </xf>
    <xf numFmtId="3" fontId="32" fillId="0" borderId="41" xfId="0" applyNumberFormat="1" applyFont="1" applyBorder="1" applyAlignment="1">
      <alignment horizontal="center" vertical="center" wrapText="1"/>
    </xf>
    <xf numFmtId="3" fontId="32" fillId="0" borderId="39" xfId="0" applyNumberFormat="1" applyFont="1" applyBorder="1" applyAlignment="1">
      <alignment horizontal="center" vertical="center" wrapText="1"/>
    </xf>
  </cellXfs>
  <cellStyles count="6">
    <cellStyle name="Comma" xfId="1" builtinId="3"/>
    <cellStyle name="Currency" xfId="2" builtinId="4"/>
    <cellStyle name="Normal" xfId="0" builtinId="0"/>
    <cellStyle name="Normal 2" xfId="4" xr:uid="{00000000-0005-0000-0000-000003000000}"/>
    <cellStyle name="Normal 3" xfId="5" xr:uid="{00000000-0005-0000-0000-000004000000}"/>
    <cellStyle name="Percent" xfId="3" builtinId="5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9"/>
  <sheetViews>
    <sheetView zoomScale="85" zoomScaleNormal="85" workbookViewId="0" xr3:uid="{AEA406A1-0E4B-5B11-9CD5-51D6E497D94C}">
      <selection activeCell="E33" sqref="E33"/>
    </sheetView>
  </sheetViews>
  <sheetFormatPr defaultRowHeight="14.25"/>
  <cols>
    <col min="2" max="2" width="52" customWidth="1"/>
    <col min="3" max="3" width="13.7109375" bestFit="1" customWidth="1"/>
    <col min="4" max="4" width="6" bestFit="1" customWidth="1"/>
    <col min="5" max="5" width="13.85546875" customWidth="1"/>
    <col min="6" max="6" width="9" bestFit="1" customWidth="1"/>
  </cols>
  <sheetData>
    <row r="1" spans="2:6" ht="14.65" thickBot="1"/>
    <row r="2" spans="2:6" ht="14.65" thickBot="1">
      <c r="B2" s="428" t="s">
        <v>0</v>
      </c>
      <c r="C2" s="429"/>
      <c r="D2" s="429"/>
      <c r="E2" s="429"/>
      <c r="F2" s="430"/>
    </row>
    <row r="3" spans="2:6" ht="16.149999999999999" thickBot="1">
      <c r="B3" s="43" t="s">
        <v>1</v>
      </c>
      <c r="C3" s="44" t="s">
        <v>2</v>
      </c>
      <c r="D3" s="45" t="s">
        <v>3</v>
      </c>
      <c r="E3" s="45" t="s">
        <v>4</v>
      </c>
      <c r="F3" s="46" t="s">
        <v>5</v>
      </c>
    </row>
    <row r="4" spans="2:6" ht="38.25" customHeight="1">
      <c r="B4" s="98" t="str">
        <f>'2. Costeo Detallado'!A5</f>
        <v>Componente 1. Expansión y modernización de la oferta</v>
      </c>
      <c r="C4" s="99">
        <f>SUM(C5:C6)</f>
        <v>52700000</v>
      </c>
      <c r="D4" s="154">
        <v>0</v>
      </c>
      <c r="E4" s="99">
        <f>SUM(E5:E6)</f>
        <v>52700000</v>
      </c>
      <c r="F4" s="155">
        <f>SUM(F5:F6)</f>
        <v>0.75285714285714289</v>
      </c>
    </row>
    <row r="5" spans="2:6" ht="15" customHeight="1">
      <c r="B5" s="102" t="str">
        <f>'2. Costeo Detallado'!B7</f>
        <v xml:space="preserve">1.1 Ampliación y mejoramiento de la ETP </v>
      </c>
      <c r="C5" s="36">
        <f>'2. Costeo Detallado'!R7</f>
        <v>48500000</v>
      </c>
      <c r="D5" s="37">
        <v>0</v>
      </c>
      <c r="E5" s="37">
        <f>SUM(C5:D5)</f>
        <v>48500000</v>
      </c>
      <c r="F5" s="58">
        <f>E5/E$25</f>
        <v>0.69285714285714284</v>
      </c>
    </row>
    <row r="6" spans="2:6">
      <c r="B6" s="102" t="str">
        <f>'2. Costeo Detallado'!B33</f>
        <v>1.2 Ampliacion de la formacion dual con calidad y pertinencia</v>
      </c>
      <c r="C6" s="36">
        <f>'2. Costeo Detallado'!R33</f>
        <v>4200000</v>
      </c>
      <c r="D6" s="37">
        <v>0</v>
      </c>
      <c r="E6" s="37">
        <f>SUM(C6:D6)</f>
        <v>4200000</v>
      </c>
      <c r="F6" s="58">
        <f>E6/E$25</f>
        <v>0.06</v>
      </c>
    </row>
    <row r="7" spans="2:6" ht="7.5" customHeight="1" thickBot="1">
      <c r="B7" s="35"/>
      <c r="C7" s="36"/>
      <c r="D7" s="37"/>
      <c r="E7" s="37"/>
      <c r="F7" s="57"/>
    </row>
    <row r="8" spans="2:6" ht="31.5">
      <c r="B8" s="98" t="str">
        <f>'2. Costeo Detallado'!A43</f>
        <v>Componente 2. Innovación e investigación para mejorar la calidad docente y la gestión</v>
      </c>
      <c r="C8" s="99">
        <f>SUM(C9:C11)</f>
        <v>10000000</v>
      </c>
      <c r="D8" s="100">
        <v>0</v>
      </c>
      <c r="E8" s="99">
        <f>SUM(E9:E11)</f>
        <v>10000000</v>
      </c>
      <c r="F8" s="122">
        <f>SUM(F9:F11)</f>
        <v>0.14285714285714285</v>
      </c>
    </row>
    <row r="9" spans="2:6">
      <c r="B9" s="102" t="str">
        <f>'2. Costeo Detallado'!B44</f>
        <v>2.1 Centro de innovación</v>
      </c>
      <c r="C9" s="36">
        <f>'2. Costeo Detallado'!R44</f>
        <v>5750000</v>
      </c>
      <c r="D9" s="37">
        <v>0</v>
      </c>
      <c r="E9" s="37">
        <f>SUM(C9:D9)</f>
        <v>5750000</v>
      </c>
      <c r="F9" s="58">
        <f>E9/E$25</f>
        <v>8.2142857142857142E-2</v>
      </c>
    </row>
    <row r="10" spans="2:6" ht="14.65" thickBot="1">
      <c r="B10" s="103" t="str">
        <f>'2. Costeo Detallado'!B48</f>
        <v>2.2 Fondos Concursables</v>
      </c>
      <c r="C10" s="101">
        <f>'2. Costeo Detallado'!R48</f>
        <v>4250000</v>
      </c>
      <c r="D10" s="40">
        <v>0</v>
      </c>
      <c r="E10" s="40">
        <f t="shared" ref="E10" si="0">SUM(C10:D10)</f>
        <v>4250000</v>
      </c>
      <c r="F10" s="59">
        <f>E10/E$25</f>
        <v>6.0714285714285714E-2</v>
      </c>
    </row>
    <row r="11" spans="2:6" ht="4.5" customHeight="1" thickBot="1">
      <c r="B11" s="273"/>
      <c r="C11" s="36"/>
      <c r="D11" s="37"/>
      <c r="E11" s="37"/>
      <c r="F11" s="274"/>
    </row>
    <row r="12" spans="2:6" ht="31.5">
      <c r="B12" s="98" t="str">
        <f>'2. Costeo Detallado'!A53</f>
        <v>Componente 3. Vinculación entre educación y sector productivo.</v>
      </c>
      <c r="C12" s="99">
        <f>SUM(C13:C16)</f>
        <v>4100000</v>
      </c>
      <c r="D12" s="100">
        <v>0</v>
      </c>
      <c r="E12" s="99">
        <f>SUM(E13:E16)</f>
        <v>4100000</v>
      </c>
      <c r="F12" s="122">
        <f>SUM(F13:F16)</f>
        <v>5.8571428571428573E-2</v>
      </c>
    </row>
    <row r="13" spans="2:6" ht="26.25">
      <c r="B13" s="102" t="str">
        <f>'2. Costeo Detallado'!B54</f>
        <v xml:space="preserve"> 3.1: Mejoramiento de las pasantías y servicios de seguimiento a estudiantes y egresados </v>
      </c>
      <c r="C13" s="36">
        <f>'2. Costeo Detallado'!R54</f>
        <v>660000</v>
      </c>
      <c r="D13" s="37">
        <v>0</v>
      </c>
      <c r="E13" s="37">
        <f>SUM(C13:D13)</f>
        <v>660000</v>
      </c>
      <c r="F13" s="58">
        <f>E13/E$25</f>
        <v>9.4285714285714285E-3</v>
      </c>
    </row>
    <row r="14" spans="2:6" ht="26.25">
      <c r="B14" s="102" t="str">
        <f>'2. Costeo Detallado'!B60</f>
        <v>3.2 Establecimiento de las oficinas regionales para la gestion de pasantias</v>
      </c>
      <c r="C14" s="36">
        <f>'2. Costeo Detallado'!R60</f>
        <v>1846000</v>
      </c>
      <c r="D14" s="37">
        <v>0</v>
      </c>
      <c r="E14" s="37">
        <f>SUM(C14:D14)</f>
        <v>1846000</v>
      </c>
      <c r="F14" s="58">
        <f>E14/E$25</f>
        <v>2.637142857142857E-2</v>
      </c>
    </row>
    <row r="15" spans="2:6">
      <c r="B15" s="102" t="str">
        <f>'2. Costeo Detallado'!B65</f>
        <v>3.3 Implementación de sistemas de información para la ETP</v>
      </c>
      <c r="C15" s="36">
        <f>'2. Costeo Detallado'!R65</f>
        <v>1094000</v>
      </c>
      <c r="D15" s="37">
        <v>0</v>
      </c>
      <c r="E15" s="37">
        <f t="shared" ref="E15:E16" si="1">SUM(C15:D15)</f>
        <v>1094000</v>
      </c>
      <c r="F15" s="58">
        <f>E15/E$25</f>
        <v>1.5628571428571429E-2</v>
      </c>
    </row>
    <row r="16" spans="2:6" ht="14.65" thickBot="1">
      <c r="B16" s="103" t="str">
        <f>'2. Costeo Detallado'!B70</f>
        <v>3.4  Fortalecimiento de INFOTEP</v>
      </c>
      <c r="C16" s="101">
        <f>'2. Costeo Detallado'!R70</f>
        <v>500000</v>
      </c>
      <c r="D16" s="40">
        <v>0</v>
      </c>
      <c r="E16" s="40">
        <f t="shared" si="1"/>
        <v>500000</v>
      </c>
      <c r="F16" s="59">
        <f>E16/E$25</f>
        <v>7.1428571428571426E-3</v>
      </c>
    </row>
    <row r="17" spans="2:6" ht="7.5" customHeight="1" thickBot="1">
      <c r="B17" s="39"/>
      <c r="C17" s="36"/>
      <c r="D17" s="37"/>
      <c r="E17" s="37"/>
      <c r="F17" s="57"/>
    </row>
    <row r="18" spans="2:6" ht="18">
      <c r="B18" s="98" t="s">
        <v>6</v>
      </c>
      <c r="C18" s="105">
        <f>SUM(C19:C21)</f>
        <v>2200000</v>
      </c>
      <c r="D18" s="307">
        <f>SUM(D19:D20)</f>
        <v>0</v>
      </c>
      <c r="E18" s="105">
        <f>SUM(E19:E21)</f>
        <v>2200000</v>
      </c>
      <c r="F18" s="107">
        <f>SUM(F19:F21)</f>
        <v>3.1428571428571431E-2</v>
      </c>
    </row>
    <row r="19" spans="2:6">
      <c r="B19" s="102" t="s">
        <v>7</v>
      </c>
      <c r="C19" s="36">
        <f>SUM('2. Costeo Detallado'!Q77:Q77)</f>
        <v>144000</v>
      </c>
      <c r="D19" s="37">
        <v>0</v>
      </c>
      <c r="E19" s="37">
        <f>SUM(C19:D19)</f>
        <v>144000</v>
      </c>
      <c r="F19" s="58">
        <f>E19/E$25</f>
        <v>2.0571428571428572E-3</v>
      </c>
    </row>
    <row r="20" spans="2:6">
      <c r="B20" s="102" t="s">
        <v>8</v>
      </c>
      <c r="C20" s="36">
        <f>SUM('2. Costeo Detallado'!Q78)</f>
        <v>1756000</v>
      </c>
      <c r="D20" s="37">
        <v>0</v>
      </c>
      <c r="E20" s="37">
        <f t="shared" ref="E20:E21" si="2">SUM(C20:D20)</f>
        <v>1756000</v>
      </c>
      <c r="F20" s="58">
        <f>E20/E$25</f>
        <v>2.5085714285714284E-2</v>
      </c>
    </row>
    <row r="21" spans="2:6" ht="14.65" thickBot="1">
      <c r="B21" s="103" t="s">
        <v>9</v>
      </c>
      <c r="C21" s="101">
        <f>SUM('2. Costeo Detallado'!Q79)</f>
        <v>300000</v>
      </c>
      <c r="D21" s="40">
        <v>0</v>
      </c>
      <c r="E21" s="40">
        <f t="shared" si="2"/>
        <v>300000</v>
      </c>
      <c r="F21" s="59">
        <f>E21/E$25</f>
        <v>4.2857142857142859E-3</v>
      </c>
    </row>
    <row r="22" spans="2:6" ht="7.5" customHeight="1" thickBot="1">
      <c r="B22" s="273"/>
      <c r="C22" s="36"/>
      <c r="D22" s="37"/>
      <c r="E22" s="37"/>
      <c r="F22" s="274"/>
    </row>
    <row r="23" spans="2:6" ht="16.149999999999999" thickBot="1">
      <c r="B23" s="305" t="s">
        <v>10</v>
      </c>
      <c r="C23" s="308">
        <f>'2. Costeo Detallado'!S81</f>
        <v>1000000</v>
      </c>
      <c r="D23" s="306">
        <v>0</v>
      </c>
      <c r="E23" s="308">
        <f>SUM(C23:D23)</f>
        <v>1000000</v>
      </c>
      <c r="F23" s="309">
        <f>E23/E$25</f>
        <v>1.4285714285714285E-2</v>
      </c>
    </row>
    <row r="24" spans="2:6" ht="7.5" customHeight="1">
      <c r="B24" s="35"/>
      <c r="C24" s="36"/>
      <c r="D24" s="37"/>
      <c r="E24" s="37"/>
      <c r="F24" s="38"/>
    </row>
    <row r="25" spans="2:6" ht="16.149999999999999" thickBot="1">
      <c r="B25" s="41" t="s">
        <v>4</v>
      </c>
      <c r="C25" s="42">
        <f>SUM(C4,C8,C12,C18,C23)</f>
        <v>70000000</v>
      </c>
      <c r="D25" s="42">
        <f>SUM(D4,D8,D18)</f>
        <v>0</v>
      </c>
      <c r="E25" s="42">
        <f>SUM(E4,E8,E12,E18,E23)</f>
        <v>70000000</v>
      </c>
      <c r="F25" s="310">
        <f>SUM(F4,F8,F12,F18,F23)</f>
        <v>1</v>
      </c>
    </row>
    <row r="27" spans="2:6" ht="15.75">
      <c r="E27" s="123"/>
    </row>
    <row r="28" spans="2:6">
      <c r="E28" s="106"/>
    </row>
    <row r="29" spans="2:6">
      <c r="E29" s="106"/>
    </row>
  </sheetData>
  <mergeCells count="1">
    <mergeCell ref="B2:F2"/>
  </mergeCell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0"/>
  <sheetViews>
    <sheetView zoomScale="115" zoomScaleNormal="115" workbookViewId="0" xr3:uid="{78B4E459-6924-5F8B-B7BA-2DD04133E49E}">
      <selection activeCell="M6" sqref="M6"/>
    </sheetView>
  </sheetViews>
  <sheetFormatPr defaultRowHeight="14.25"/>
  <cols>
    <col min="1" max="1" width="17.42578125" customWidth="1"/>
    <col min="2" max="2" width="10.5703125" customWidth="1"/>
    <col min="3" max="3" width="11.28515625" bestFit="1" customWidth="1"/>
    <col min="4" max="4" width="12.28515625" bestFit="1" customWidth="1"/>
    <col min="5" max="5" width="11.28515625" bestFit="1" customWidth="1"/>
    <col min="6" max="6" width="13.42578125" bestFit="1" customWidth="1"/>
    <col min="7" max="7" width="11.28515625" bestFit="1" customWidth="1"/>
    <col min="8" max="8" width="13.42578125" bestFit="1" customWidth="1"/>
    <col min="9" max="9" width="9.42578125" bestFit="1" customWidth="1"/>
    <col min="10" max="10" width="12.28515625" customWidth="1"/>
    <col min="12" max="12" width="12.140625" bestFit="1" customWidth="1"/>
    <col min="13" max="13" width="13.28515625" bestFit="1" customWidth="1"/>
    <col min="14" max="14" width="11.140625" bestFit="1" customWidth="1"/>
    <col min="16" max="16" width="11.140625" bestFit="1" customWidth="1"/>
    <col min="18" max="18" width="11.140625" bestFit="1" customWidth="1"/>
    <col min="20" max="21" width="12.140625" bestFit="1" customWidth="1"/>
  </cols>
  <sheetData>
    <row r="1" spans="1:21" ht="20.65" thickBot="1">
      <c r="A1" s="126" t="s">
        <v>256</v>
      </c>
      <c r="B1" s="478" t="s">
        <v>257</v>
      </c>
      <c r="C1" s="480" t="s">
        <v>20</v>
      </c>
      <c r="D1" s="481"/>
      <c r="E1" s="480" t="s">
        <v>21</v>
      </c>
      <c r="F1" s="481"/>
      <c r="G1" s="480" t="s">
        <v>22</v>
      </c>
      <c r="H1" s="481"/>
      <c r="I1" s="480" t="s">
        <v>23</v>
      </c>
      <c r="J1" s="481"/>
      <c r="K1" s="127" t="s">
        <v>258</v>
      </c>
      <c r="L1" s="127" t="s">
        <v>259</v>
      </c>
    </row>
    <row r="2" spans="1:21" ht="14.65" thickBot="1">
      <c r="A2" s="128" t="s">
        <v>260</v>
      </c>
      <c r="B2" s="479"/>
      <c r="C2" s="129" t="s">
        <v>261</v>
      </c>
      <c r="D2" s="129" t="s">
        <v>262</v>
      </c>
      <c r="E2" s="129" t="s">
        <v>261</v>
      </c>
      <c r="F2" s="129" t="s">
        <v>262</v>
      </c>
      <c r="G2" s="129" t="s">
        <v>261</v>
      </c>
      <c r="H2" s="129" t="s">
        <v>262</v>
      </c>
      <c r="I2" s="129" t="s">
        <v>261</v>
      </c>
      <c r="J2" s="129" t="s">
        <v>262</v>
      </c>
      <c r="K2" s="129"/>
      <c r="L2" s="129"/>
    </row>
    <row r="3" spans="1:21" ht="14.65" thickBot="1">
      <c r="A3" s="474" t="s">
        <v>388</v>
      </c>
      <c r="B3" s="475"/>
      <c r="C3" s="475"/>
      <c r="D3" s="475"/>
      <c r="E3" s="475"/>
      <c r="F3" s="475"/>
      <c r="G3" s="475"/>
      <c r="H3" s="475"/>
      <c r="I3" s="475"/>
      <c r="J3" s="475"/>
      <c r="K3" s="475"/>
      <c r="L3" s="477"/>
    </row>
    <row r="4" spans="1:21" ht="26.25" customHeight="1">
      <c r="A4" s="510" t="s">
        <v>389</v>
      </c>
      <c r="B4" s="512" t="e">
        <f>SUM(C4,E4,G4,I4)</f>
        <v>#REF!</v>
      </c>
      <c r="C4" s="514" t="e">
        <f t="shared" ref="C4:I4" si="0">SUM(C6:C9)</f>
        <v>#REF!</v>
      </c>
      <c r="D4" s="508">
        <f t="shared" si="0"/>
        <v>0.25</v>
      </c>
      <c r="E4" s="514" t="e">
        <f t="shared" si="0"/>
        <v>#REF!</v>
      </c>
      <c r="F4" s="508">
        <f t="shared" si="0"/>
        <v>0.75</v>
      </c>
      <c r="G4" s="514" t="e">
        <f t="shared" si="0"/>
        <v>#REF!</v>
      </c>
      <c r="H4" s="508">
        <f t="shared" si="0"/>
        <v>0</v>
      </c>
      <c r="I4" s="514" t="e">
        <f t="shared" si="0"/>
        <v>#REF!</v>
      </c>
      <c r="J4" s="516"/>
      <c r="K4" s="131">
        <f>SUM(K6,K8)</f>
        <v>109530</v>
      </c>
      <c r="L4" s="486" t="s">
        <v>390</v>
      </c>
    </row>
    <row r="5" spans="1:21" ht="26.25" customHeight="1" thickBot="1">
      <c r="A5" s="511"/>
      <c r="B5" s="513"/>
      <c r="C5" s="515"/>
      <c r="D5" s="509"/>
      <c r="E5" s="515"/>
      <c r="F5" s="509"/>
      <c r="G5" s="515"/>
      <c r="H5" s="509"/>
      <c r="I5" s="515"/>
      <c r="J5" s="517"/>
      <c r="K5" s="132" t="s">
        <v>391</v>
      </c>
      <c r="L5" s="532"/>
      <c r="N5" s="130" t="e">
        <f>C4-N6</f>
        <v>#REF!</v>
      </c>
      <c r="P5" s="130" t="e">
        <f>E4-P6</f>
        <v>#REF!</v>
      </c>
      <c r="R5" s="130" t="e">
        <f>G4-R6</f>
        <v>#REF!</v>
      </c>
      <c r="T5" s="130" t="e">
        <f>I4-T6</f>
        <v>#REF!</v>
      </c>
    </row>
    <row r="6" spans="1:21">
      <c r="A6" s="520" t="s">
        <v>392</v>
      </c>
      <c r="B6" s="522" t="e">
        <f>SUM(C6,E6,G6,I6)</f>
        <v>#REF!</v>
      </c>
      <c r="C6" s="522" t="e">
        <f>SUM('2. Costeo Detallado'!#REF!,'6. Tabla PMR'!B30)</f>
        <v>#REF!</v>
      </c>
      <c r="D6" s="524">
        <f>'2. Costeo Detallado'!I7</f>
        <v>0</v>
      </c>
      <c r="E6" s="522" t="e">
        <f>SUM('2. Costeo Detallado'!#REF!,'6. Tabla PMR'!D30)</f>
        <v>#REF!</v>
      </c>
      <c r="F6" s="524">
        <f>'2. Costeo Detallado'!K7</f>
        <v>0</v>
      </c>
      <c r="G6" s="522" t="e">
        <f>SUM('2. Costeo Detallado'!#REF!,'6. Tabla PMR'!F30)</f>
        <v>#REF!</v>
      </c>
      <c r="H6" s="524">
        <f>'2. Costeo Detallado'!M7</f>
        <v>0</v>
      </c>
      <c r="I6" s="522" t="e">
        <f>SUM('2. Costeo Detallado'!#REF!,'6. Tabla PMR'!H30)</f>
        <v>#REF!</v>
      </c>
      <c r="J6" s="518"/>
      <c r="K6" s="133">
        <v>18540</v>
      </c>
      <c r="L6" s="532"/>
      <c r="N6" s="30" t="e">
        <f>SUM(C6:C9)</f>
        <v>#REF!</v>
      </c>
      <c r="P6" s="30" t="e">
        <f>SUM(E6:E9)</f>
        <v>#REF!</v>
      </c>
      <c r="R6" s="30" t="e">
        <f>SUM(G6:G9)</f>
        <v>#REF!</v>
      </c>
      <c r="T6" s="30" t="e">
        <f>SUM(I6:I9)</f>
        <v>#REF!</v>
      </c>
      <c r="U6" s="30" t="e">
        <f>SUM(N6:T6)</f>
        <v>#REF!</v>
      </c>
    </row>
    <row r="7" spans="1:21" ht="14.65" thickBot="1">
      <c r="A7" s="521"/>
      <c r="B7" s="523"/>
      <c r="C7" s="523"/>
      <c r="D7" s="525"/>
      <c r="E7" s="523"/>
      <c r="F7" s="525"/>
      <c r="G7" s="523"/>
      <c r="H7" s="525"/>
      <c r="I7" s="523"/>
      <c r="J7" s="519"/>
      <c r="K7" s="134" t="s">
        <v>391</v>
      </c>
      <c r="L7" s="532"/>
    </row>
    <row r="8" spans="1:21">
      <c r="A8" s="520" t="s">
        <v>393</v>
      </c>
      <c r="B8" s="522" t="e">
        <f>SUM(C8,E8,G8,I8)</f>
        <v>#REF!</v>
      </c>
      <c r="C8" s="522" t="e">
        <f>SUM('2. Costeo Detallado'!#REF!,'6. Tabla PMR'!B30)</f>
        <v>#REF!</v>
      </c>
      <c r="D8" s="524">
        <f>'2. Costeo Detallado'!I9</f>
        <v>0.25</v>
      </c>
      <c r="E8" s="522" t="e">
        <f>SUM('2. Costeo Detallado'!#REF!,'6. Tabla PMR'!D30)</f>
        <v>#REF!</v>
      </c>
      <c r="F8" s="524">
        <f>'2. Costeo Detallado'!K9</f>
        <v>0.75</v>
      </c>
      <c r="G8" s="522" t="e">
        <f>SUM('2. Costeo Detallado'!#REF!,'6. Tabla PMR'!F30)</f>
        <v>#REF!</v>
      </c>
      <c r="H8" s="524">
        <f>'2. Costeo Detallado'!M9</f>
        <v>0</v>
      </c>
      <c r="I8" s="522" t="e">
        <f>SUM('2. Costeo Detallado'!#REF!,'6. Tabla PMR'!H30)</f>
        <v>#REF!</v>
      </c>
      <c r="J8" s="518"/>
      <c r="K8" s="133">
        <v>90990</v>
      </c>
      <c r="L8" s="532"/>
    </row>
    <row r="9" spans="1:21" ht="14.65" thickBot="1">
      <c r="A9" s="521"/>
      <c r="B9" s="523"/>
      <c r="C9" s="523"/>
      <c r="D9" s="525"/>
      <c r="E9" s="523"/>
      <c r="F9" s="525"/>
      <c r="G9" s="523"/>
      <c r="H9" s="525"/>
      <c r="I9" s="523"/>
      <c r="J9" s="519"/>
      <c r="K9" s="134" t="s">
        <v>391</v>
      </c>
      <c r="L9" s="487"/>
    </row>
    <row r="10" spans="1:21">
      <c r="A10" s="526" t="s">
        <v>394</v>
      </c>
      <c r="B10" s="528" t="s">
        <v>395</v>
      </c>
      <c r="C10" s="528" t="s">
        <v>35</v>
      </c>
      <c r="D10" s="530">
        <v>13223</v>
      </c>
      <c r="E10" s="528" t="s">
        <v>35</v>
      </c>
      <c r="F10" s="530">
        <v>26467</v>
      </c>
      <c r="G10" s="528" t="s">
        <v>35</v>
      </c>
      <c r="H10" s="530">
        <v>39701</v>
      </c>
      <c r="I10" s="518"/>
      <c r="J10" s="518"/>
      <c r="K10" s="133">
        <v>39701</v>
      </c>
      <c r="L10" s="486" t="s">
        <v>396</v>
      </c>
    </row>
    <row r="11" spans="1:21" ht="20.65" thickBot="1">
      <c r="A11" s="527"/>
      <c r="B11" s="529"/>
      <c r="C11" s="529"/>
      <c r="D11" s="531"/>
      <c r="E11" s="529"/>
      <c r="F11" s="531"/>
      <c r="G11" s="529"/>
      <c r="H11" s="531"/>
      <c r="I11" s="519"/>
      <c r="J11" s="519"/>
      <c r="K11" s="134" t="s">
        <v>397</v>
      </c>
      <c r="L11" s="487"/>
    </row>
    <row r="12" spans="1:21">
      <c r="A12" s="526" t="s">
        <v>398</v>
      </c>
      <c r="B12" s="528" t="s">
        <v>395</v>
      </c>
      <c r="C12" s="528" t="s">
        <v>35</v>
      </c>
      <c r="D12" s="530">
        <v>4019</v>
      </c>
      <c r="E12" s="528" t="s">
        <v>35</v>
      </c>
      <c r="F12" s="530">
        <v>5729</v>
      </c>
      <c r="G12" s="528" t="s">
        <v>35</v>
      </c>
      <c r="H12" s="530">
        <v>5729</v>
      </c>
      <c r="I12" s="518"/>
      <c r="J12" s="518"/>
      <c r="K12" s="133">
        <v>5729</v>
      </c>
      <c r="L12" s="486" t="s">
        <v>396</v>
      </c>
    </row>
    <row r="13" spans="1:21" ht="20.65" thickBot="1">
      <c r="A13" s="527"/>
      <c r="B13" s="529"/>
      <c r="C13" s="529"/>
      <c r="D13" s="531"/>
      <c r="E13" s="529"/>
      <c r="F13" s="531"/>
      <c r="G13" s="529"/>
      <c r="H13" s="531"/>
      <c r="I13" s="519"/>
      <c r="J13" s="519"/>
      <c r="K13" s="134" t="s">
        <v>399</v>
      </c>
      <c r="L13" s="487"/>
    </row>
    <row r="14" spans="1:21" ht="14.65" thickBot="1">
      <c r="A14" s="474" t="s">
        <v>400</v>
      </c>
      <c r="B14" s="475"/>
      <c r="C14" s="475"/>
      <c r="D14" s="475"/>
      <c r="E14" s="475"/>
      <c r="F14" s="475"/>
      <c r="G14" s="475"/>
      <c r="H14" s="475"/>
      <c r="I14" s="475"/>
      <c r="J14" s="475"/>
      <c r="K14" s="475"/>
      <c r="L14" s="477"/>
    </row>
    <row r="15" spans="1:21">
      <c r="A15" s="526" t="s">
        <v>401</v>
      </c>
      <c r="B15" s="522">
        <f>SUM(C15,E15,G15,I15)</f>
        <v>1094000</v>
      </c>
      <c r="C15" s="533">
        <f>SUM('2. Costeo Detallado'!J66:J70)</f>
        <v>291000</v>
      </c>
      <c r="D15" s="135">
        <v>1</v>
      </c>
      <c r="E15" s="533">
        <f>SUM('2. Costeo Detallado'!L66:L70)</f>
        <v>465600</v>
      </c>
      <c r="F15" s="492"/>
      <c r="G15" s="533">
        <f>SUM('2. Costeo Detallado'!N66:N70)</f>
        <v>337400</v>
      </c>
      <c r="H15" s="492"/>
      <c r="I15" s="533">
        <f>SUM('2. Costeo Detallado'!P66:P70)</f>
        <v>0</v>
      </c>
      <c r="J15" s="518"/>
      <c r="K15" s="478">
        <v>1</v>
      </c>
      <c r="L15" s="486" t="s">
        <v>402</v>
      </c>
    </row>
    <row r="16" spans="1:21" ht="51.75" customHeight="1" thickBot="1">
      <c r="A16" s="527"/>
      <c r="B16" s="523"/>
      <c r="C16" s="534"/>
      <c r="D16" s="136" t="s">
        <v>403</v>
      </c>
      <c r="E16" s="534"/>
      <c r="F16" s="493"/>
      <c r="G16" s="534"/>
      <c r="H16" s="493"/>
      <c r="I16" s="534"/>
      <c r="J16" s="519"/>
      <c r="K16" s="479"/>
      <c r="L16" s="487"/>
    </row>
    <row r="17" spans="1:13" ht="30.75" thickBot="1">
      <c r="A17" s="137" t="s">
        <v>404</v>
      </c>
      <c r="B17" s="138" t="e">
        <f>SUM(C17,E17,G17,I17)</f>
        <v>#REF!</v>
      </c>
      <c r="C17" s="138" t="e">
        <f>'2. Costeo Detallado'!#REF!</f>
        <v>#REF!</v>
      </c>
      <c r="D17" s="136"/>
      <c r="E17" s="138" t="e">
        <f>'2. Costeo Detallado'!#REF!</f>
        <v>#REF!</v>
      </c>
      <c r="F17" s="136">
        <v>1</v>
      </c>
      <c r="G17" s="138" t="e">
        <f>'2. Costeo Detallado'!#REF!</f>
        <v>#REF!</v>
      </c>
      <c r="H17" s="136"/>
      <c r="I17" s="140"/>
      <c r="J17" s="140"/>
      <c r="K17" s="141">
        <v>1</v>
      </c>
      <c r="L17" s="142" t="s">
        <v>405</v>
      </c>
    </row>
    <row r="18" spans="1:13">
      <c r="A18" s="526" t="s">
        <v>406</v>
      </c>
      <c r="B18" s="533" t="e">
        <f>SUM(C18,E18,G18,I18)</f>
        <v>#REF!</v>
      </c>
      <c r="C18" s="535" t="e">
        <f>'2. Costeo Detallado'!#REF!</f>
        <v>#REF!</v>
      </c>
      <c r="D18" s="135">
        <v>1</v>
      </c>
      <c r="E18" s="522">
        <f>SUM('2. Costeo Detallado'!L75:L75)</f>
        <v>0</v>
      </c>
      <c r="F18" s="492"/>
      <c r="G18" s="535">
        <f>SUM('2. Costeo Detallado'!N75:N75)</f>
        <v>0</v>
      </c>
      <c r="H18" s="492"/>
      <c r="I18" s="535">
        <f>SUM('2. Costeo Detallado'!P75:P75)</f>
        <v>0</v>
      </c>
      <c r="J18" s="518"/>
      <c r="K18" s="478">
        <v>1</v>
      </c>
      <c r="L18" s="486" t="s">
        <v>405</v>
      </c>
    </row>
    <row r="19" spans="1:13" ht="20.65" thickBot="1">
      <c r="A19" s="527"/>
      <c r="B19" s="534"/>
      <c r="C19" s="536"/>
      <c r="D19" s="136" t="s">
        <v>403</v>
      </c>
      <c r="E19" s="523"/>
      <c r="F19" s="493"/>
      <c r="G19" s="536"/>
      <c r="H19" s="493"/>
      <c r="I19" s="536"/>
      <c r="J19" s="519"/>
      <c r="K19" s="479"/>
      <c r="L19" s="487"/>
    </row>
    <row r="20" spans="1:13" ht="20.65" thickBot="1">
      <c r="A20" s="137" t="s">
        <v>407</v>
      </c>
      <c r="B20" s="151">
        <f>SUM(C20,E20,G20,I20)</f>
        <v>1000000</v>
      </c>
      <c r="C20" s="150">
        <f>SUM('2. Costeo Detallado'!J45,'2. Costeo Detallado'!J53)</f>
        <v>200000</v>
      </c>
      <c r="D20" s="136"/>
      <c r="E20" s="150">
        <f>SUM('2. Costeo Detallado'!L45,'2. Costeo Detallado'!L53)</f>
        <v>800000</v>
      </c>
      <c r="F20" s="149">
        <f>SUM('2. Costeo Detallado'!J45,'2. Costeo Detallado'!J53)</f>
        <v>200000</v>
      </c>
      <c r="G20" s="150">
        <f>SUM('2. Costeo Detallado'!N45,'2. Costeo Detallado'!N53)</f>
        <v>0</v>
      </c>
      <c r="H20" s="136">
        <v>1</v>
      </c>
      <c r="I20" s="150">
        <f>SUM('2. Costeo Detallado'!P45,'2. Costeo Detallado'!P53)</f>
        <v>0</v>
      </c>
      <c r="J20" s="140"/>
      <c r="K20" s="141">
        <v>1</v>
      </c>
      <c r="L20" s="139" t="s">
        <v>405</v>
      </c>
    </row>
    <row r="21" spans="1:13" ht="40.9" thickBot="1">
      <c r="A21" s="137" t="s">
        <v>408</v>
      </c>
      <c r="B21" s="138">
        <f>SUM(C21,E21,G21,I21)</f>
        <v>4074000</v>
      </c>
      <c r="C21" s="143">
        <f>SUM('2. Costeo Detallado'!J46:J46)</f>
        <v>814800</v>
      </c>
      <c r="D21" s="136">
        <v>51</v>
      </c>
      <c r="E21" s="143">
        <f>SUM('2. Costeo Detallado'!L46:L46)</f>
        <v>1629600</v>
      </c>
      <c r="F21" s="136">
        <v>46</v>
      </c>
      <c r="G21" s="143">
        <f>SUM('2. Costeo Detallado'!N46:N46)</f>
        <v>1629600</v>
      </c>
      <c r="H21" s="136"/>
      <c r="I21" s="143">
        <f>SUM('2. Costeo Detallado'!P46:P46)</f>
        <v>0</v>
      </c>
      <c r="J21" s="140"/>
      <c r="K21" s="141">
        <v>87</v>
      </c>
      <c r="L21" s="139" t="s">
        <v>409</v>
      </c>
    </row>
    <row r="22" spans="1:13" ht="14.65" thickBot="1">
      <c r="A22" s="474" t="s">
        <v>410</v>
      </c>
      <c r="B22" s="475"/>
      <c r="C22" s="475"/>
      <c r="D22" s="475"/>
      <c r="E22" s="475"/>
      <c r="F22" s="475"/>
      <c r="G22" s="475"/>
      <c r="H22" s="475"/>
      <c r="I22" s="475"/>
      <c r="J22" s="475"/>
      <c r="K22" s="475"/>
      <c r="L22" s="477"/>
    </row>
    <row r="23" spans="1:13" ht="14.65" thickBot="1">
      <c r="A23" s="137" t="e">
        <f>'2. Costeo Detallado'!#REF!</f>
        <v>#REF!</v>
      </c>
      <c r="B23" s="151" t="e">
        <f>SUM(C23,E23,G23,I23)</f>
        <v>#REF!</v>
      </c>
      <c r="C23" s="144" t="e">
        <f>SUM('2. Costeo Detallado'!#REF!)</f>
        <v>#REF!</v>
      </c>
      <c r="D23" s="136"/>
      <c r="E23" s="144" t="e">
        <f>SUM('2. Costeo Detallado'!#REF!)</f>
        <v>#REF!</v>
      </c>
      <c r="F23" s="136"/>
      <c r="G23" s="144" t="e">
        <f>SUM('2. Costeo Detallado'!#REF!)</f>
        <v>#REF!</v>
      </c>
      <c r="H23" s="136"/>
      <c r="I23" s="144" t="e">
        <f>SUM('2. Costeo Detallado'!#REF!)</f>
        <v>#REF!</v>
      </c>
      <c r="J23" s="140"/>
      <c r="K23" s="141" t="s">
        <v>35</v>
      </c>
      <c r="L23" s="139"/>
    </row>
    <row r="24" spans="1:13" ht="14.65" thickBot="1">
      <c r="A24" s="164" t="s">
        <v>298</v>
      </c>
      <c r="B24" s="165">
        <f>SUM(C24,E24,G24,I24)</f>
        <v>144000</v>
      </c>
      <c r="C24" s="166">
        <f>'2. Costeo Detallado'!J77</f>
        <v>32000</v>
      </c>
      <c r="D24" s="135"/>
      <c r="E24" s="166">
        <f>'2. Costeo Detallado'!L77</f>
        <v>56000.000000000007</v>
      </c>
      <c r="F24" s="135"/>
      <c r="G24" s="166">
        <f>'2. Costeo Detallado'!N77</f>
        <v>56000.000000000007</v>
      </c>
      <c r="H24" s="135"/>
      <c r="I24" s="166">
        <f>'2. Costeo Detallado'!P77</f>
        <v>0</v>
      </c>
      <c r="J24" s="167"/>
      <c r="K24" s="168" t="s">
        <v>35</v>
      </c>
      <c r="L24" s="169"/>
    </row>
    <row r="25" spans="1:13" ht="14.65" thickBot="1">
      <c r="A25" s="173" t="s">
        <v>300</v>
      </c>
      <c r="B25" s="170" t="e">
        <f>SUM(B4,B15:B24)</f>
        <v>#REF!</v>
      </c>
      <c r="C25" s="170" t="e">
        <f>SUM(C4,C15:C21,C23:C24)</f>
        <v>#REF!</v>
      </c>
      <c r="D25" s="170"/>
      <c r="E25" s="170" t="e">
        <f>SUM(E4,E15:E24)</f>
        <v>#REF!</v>
      </c>
      <c r="F25" s="170"/>
      <c r="G25" s="170" t="e">
        <f>SUM(G4,G15:G24)</f>
        <v>#REF!</v>
      </c>
      <c r="H25" s="170"/>
      <c r="I25" s="170" t="e">
        <f>SUM(I4,I15:I24)</f>
        <v>#REF!</v>
      </c>
      <c r="J25" s="171"/>
      <c r="K25" s="171"/>
      <c r="L25" s="172"/>
      <c r="M25" s="174" t="e">
        <f>SUM(C25:I25)</f>
        <v>#REF!</v>
      </c>
    </row>
    <row r="26" spans="1:13">
      <c r="B26" s="152" t="e">
        <f>SUM(B15:B21,B6:B9)</f>
        <v>#REF!</v>
      </c>
      <c r="C26" s="152" t="e">
        <f>SUM(C4,C15:C21)</f>
        <v>#REF!</v>
      </c>
      <c r="D26" s="152"/>
      <c r="E26" s="152" t="e">
        <f>SUM(E15:E21,E6:E9)</f>
        <v>#REF!</v>
      </c>
      <c r="F26" s="152"/>
      <c r="G26" s="152" t="e">
        <f>SUM(G15:G21,G6:G9)</f>
        <v>#REF!</v>
      </c>
      <c r="H26" s="152"/>
      <c r="I26" s="152" t="e">
        <f>SUM(I15:I21,I6:I9)</f>
        <v>#REF!</v>
      </c>
      <c r="J26" s="145"/>
      <c r="K26" s="145"/>
      <c r="M26" s="153" t="e">
        <f>SUM(C26:I26)</f>
        <v>#REF!</v>
      </c>
    </row>
    <row r="27" spans="1:13">
      <c r="A27" s="158">
        <f>'2. Costeo Detallado'!D12</f>
        <v>0</v>
      </c>
      <c r="B27" s="159">
        <f>'2. Costeo Detallado'!J13</f>
        <v>614583.33750000002</v>
      </c>
      <c r="C27" s="159"/>
      <c r="D27" s="159">
        <f>'2. Costeo Detallado'!L13</f>
        <v>1843750.0125000002</v>
      </c>
      <c r="E27" s="159"/>
      <c r="F27" s="159">
        <f>'2. Costeo Detallado'!N13</f>
        <v>0</v>
      </c>
      <c r="G27" s="159"/>
      <c r="H27" s="161">
        <f>'2. Costeo Detallado'!P13</f>
        <v>0</v>
      </c>
      <c r="I27" s="159"/>
      <c r="J27" s="160">
        <f>SUM(B27:H27)</f>
        <v>2458333.35</v>
      </c>
      <c r="K27" s="145"/>
      <c r="L27" s="153"/>
    </row>
    <row r="28" spans="1:13" s="21" customFormat="1" ht="28.5">
      <c r="A28" s="156" t="s">
        <v>411</v>
      </c>
      <c r="B28" s="162" t="e">
        <f>SUM('2. Costeo Detallado'!#REF!)</f>
        <v>#REF!</v>
      </c>
      <c r="C28" s="162"/>
      <c r="D28" s="162" t="e">
        <f>SUM('2. Costeo Detallado'!#REF!)</f>
        <v>#REF!</v>
      </c>
      <c r="E28" s="162"/>
      <c r="F28" s="162" t="e">
        <f>SUM('2. Costeo Detallado'!#REF!)</f>
        <v>#REF!</v>
      </c>
      <c r="G28" s="162"/>
      <c r="H28" s="162" t="e">
        <f>SUM('2. Costeo Detallado'!#REF!)</f>
        <v>#REF!</v>
      </c>
      <c r="I28" s="157"/>
      <c r="J28" s="160" t="e">
        <f>SUM(B28:H28)</f>
        <v>#REF!</v>
      </c>
    </row>
    <row r="29" spans="1:13" s="21" customFormat="1" ht="28.9" thickBot="1">
      <c r="A29" s="146" t="s">
        <v>412</v>
      </c>
      <c r="B29" s="163">
        <f>SUM('2. Costeo Detallado'!J78)</f>
        <v>702400</v>
      </c>
      <c r="C29" s="163"/>
      <c r="D29" s="163">
        <f>SUM('2. Costeo Detallado'!L78)</f>
        <v>0</v>
      </c>
      <c r="E29" s="163"/>
      <c r="F29" s="163">
        <f>SUM('2. Costeo Detallado'!N78)</f>
        <v>1053600</v>
      </c>
      <c r="G29" s="163"/>
      <c r="H29" s="163">
        <f>SUM('2. Costeo Detallado'!P78)</f>
        <v>0</v>
      </c>
      <c r="I29" s="147"/>
      <c r="J29" s="160">
        <f>SUM(B29:H29)</f>
        <v>1756000</v>
      </c>
    </row>
    <row r="30" spans="1:13" s="21" customFormat="1" ht="42.75">
      <c r="A30" s="91" t="s">
        <v>413</v>
      </c>
      <c r="B30" s="148" t="e">
        <f>(B27+B28+B29)*0.5</f>
        <v>#REF!</v>
      </c>
      <c r="C30" s="148"/>
      <c r="D30" s="148" t="e">
        <f>(D27+D28+D29)*0.5</f>
        <v>#REF!</v>
      </c>
      <c r="E30" s="148"/>
      <c r="F30" s="148" t="e">
        <f>(F27+F28+F29)*0.5</f>
        <v>#REF!</v>
      </c>
      <c r="G30" s="148"/>
      <c r="H30" s="148" t="e">
        <f>(H27+H28+H29)*0.5</f>
        <v>#REF!</v>
      </c>
      <c r="J30" s="148" t="e">
        <f>(J27+J28+J29)*0.5</f>
        <v>#REF!</v>
      </c>
    </row>
  </sheetData>
  <mergeCells count="83">
    <mergeCell ref="K15:K16"/>
    <mergeCell ref="L15:L16"/>
    <mergeCell ref="A22:L22"/>
    <mergeCell ref="G18:G19"/>
    <mergeCell ref="H18:H19"/>
    <mergeCell ref="I18:I19"/>
    <mergeCell ref="J18:J19"/>
    <mergeCell ref="K18:K19"/>
    <mergeCell ref="L18:L19"/>
    <mergeCell ref="A18:A19"/>
    <mergeCell ref="B18:B19"/>
    <mergeCell ref="C18:C19"/>
    <mergeCell ref="E18:E19"/>
    <mergeCell ref="F18:F19"/>
    <mergeCell ref="A15:A16"/>
    <mergeCell ref="B15:B16"/>
    <mergeCell ref="H15:H16"/>
    <mergeCell ref="I15:I16"/>
    <mergeCell ref="J15:J16"/>
    <mergeCell ref="C15:C16"/>
    <mergeCell ref="E15:E16"/>
    <mergeCell ref="F15:F16"/>
    <mergeCell ref="G15:G16"/>
    <mergeCell ref="L12:L13"/>
    <mergeCell ref="A14:L14"/>
    <mergeCell ref="A12:A13"/>
    <mergeCell ref="B12:B13"/>
    <mergeCell ref="C12:C13"/>
    <mergeCell ref="D12:D13"/>
    <mergeCell ref="E12:E13"/>
    <mergeCell ref="F12:F13"/>
    <mergeCell ref="H12:H13"/>
    <mergeCell ref="I12:I13"/>
    <mergeCell ref="J12:J13"/>
    <mergeCell ref="G12:G13"/>
    <mergeCell ref="L10:L11"/>
    <mergeCell ref="F8:F9"/>
    <mergeCell ref="G8:G9"/>
    <mergeCell ref="H8:H9"/>
    <mergeCell ref="I8:I9"/>
    <mergeCell ref="J8:J9"/>
    <mergeCell ref="F10:F11"/>
    <mergeCell ref="G10:G11"/>
    <mergeCell ref="H10:H11"/>
    <mergeCell ref="I10:I11"/>
    <mergeCell ref="J10:J11"/>
    <mergeCell ref="L4:L9"/>
    <mergeCell ref="F6:F7"/>
    <mergeCell ref="G6:G7"/>
    <mergeCell ref="H6:H7"/>
    <mergeCell ref="I6:I7"/>
    <mergeCell ref="A10:A11"/>
    <mergeCell ref="B10:B11"/>
    <mergeCell ref="C10:C11"/>
    <mergeCell ref="D10:D11"/>
    <mergeCell ref="E10:E11"/>
    <mergeCell ref="A8:A9"/>
    <mergeCell ref="B8:B9"/>
    <mergeCell ref="C8:C9"/>
    <mergeCell ref="D8:D9"/>
    <mergeCell ref="E8:E9"/>
    <mergeCell ref="J6:J7"/>
    <mergeCell ref="A6:A7"/>
    <mergeCell ref="B6:B7"/>
    <mergeCell ref="C6:C7"/>
    <mergeCell ref="D6:D7"/>
    <mergeCell ref="E6:E7"/>
    <mergeCell ref="I1:J1"/>
    <mergeCell ref="A3:L3"/>
    <mergeCell ref="F4:F5"/>
    <mergeCell ref="B1:B2"/>
    <mergeCell ref="C1:D1"/>
    <mergeCell ref="E1:F1"/>
    <mergeCell ref="G1:H1"/>
    <mergeCell ref="A4:A5"/>
    <mergeCell ref="B4:B5"/>
    <mergeCell ref="C4:C5"/>
    <mergeCell ref="D4:D5"/>
    <mergeCell ref="E4:E5"/>
    <mergeCell ref="G4:G5"/>
    <mergeCell ref="H4:H5"/>
    <mergeCell ref="I4:I5"/>
    <mergeCell ref="J4:J5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89"/>
  <sheetViews>
    <sheetView zoomScale="85" zoomScaleNormal="85" workbookViewId="0" xr3:uid="{958C4451-9541-5A59-BF78-D2F731DF1C81}">
      <pane xSplit="1" ySplit="4" topLeftCell="B54" activePane="bottomRight" state="frozen"/>
      <selection pane="bottomRight" activeCell="H49" sqref="H49"/>
      <selection pane="bottomLeft" activeCell="A5" sqref="A5"/>
      <selection pane="topRight" activeCell="B1" sqref="B1"/>
    </sheetView>
  </sheetViews>
  <sheetFormatPr defaultRowHeight="14.25"/>
  <cols>
    <col min="2" max="2" width="18.7109375" customWidth="1"/>
    <col min="3" max="3" width="26" customWidth="1"/>
    <col min="4" max="4" width="30.85546875" customWidth="1"/>
    <col min="5" max="5" width="18.5703125" bestFit="1" customWidth="1"/>
    <col min="6" max="6" width="13.42578125" customWidth="1"/>
    <col min="7" max="7" width="15.7109375" customWidth="1"/>
    <col min="8" max="8" width="12.28515625" bestFit="1" customWidth="1"/>
    <col min="9" max="9" width="7.7109375" bestFit="1" customWidth="1"/>
    <col min="10" max="10" width="13.42578125" bestFit="1" customWidth="1"/>
    <col min="11" max="11" width="8.5703125" bestFit="1" customWidth="1"/>
    <col min="12" max="12" width="13.42578125" bestFit="1" customWidth="1"/>
    <col min="13" max="13" width="8.140625" bestFit="1" customWidth="1"/>
    <col min="14" max="14" width="13.42578125" bestFit="1" customWidth="1"/>
    <col min="15" max="15" width="4.85546875" hidden="1" customWidth="1"/>
    <col min="16" max="16" width="12.140625" hidden="1" customWidth="1"/>
    <col min="17" max="17" width="17.7109375" bestFit="1" customWidth="1"/>
    <col min="18" max="18" width="23.28515625" bestFit="1" customWidth="1"/>
    <col min="19" max="19" width="29.140625" bestFit="1" customWidth="1"/>
    <col min="24" max="24" width="14.7109375" bestFit="1" customWidth="1"/>
    <col min="26" max="26" width="13.28515625" bestFit="1" customWidth="1"/>
    <col min="28" max="28" width="11.5703125" bestFit="1" customWidth="1"/>
    <col min="29" max="29" width="13.42578125" customWidth="1"/>
    <col min="30" max="30" width="12.140625" customWidth="1"/>
  </cols>
  <sheetData>
    <row r="1" spans="1:31">
      <c r="A1" s="431" t="s">
        <v>11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  <c r="R1" s="1"/>
      <c r="S1" s="2"/>
      <c r="T1" s="1"/>
      <c r="U1" s="2"/>
      <c r="V1" s="3"/>
    </row>
    <row r="2" spans="1:31">
      <c r="A2" s="433" t="s">
        <v>12</v>
      </c>
      <c r="B2" s="434" t="s">
        <v>13</v>
      </c>
      <c r="C2" s="434" t="s">
        <v>14</v>
      </c>
      <c r="D2" s="435" t="s">
        <v>15</v>
      </c>
      <c r="E2" s="434" t="s">
        <v>16</v>
      </c>
      <c r="F2" s="437" t="s">
        <v>17</v>
      </c>
      <c r="G2" s="437" t="s">
        <v>18</v>
      </c>
      <c r="H2" s="438" t="s">
        <v>19</v>
      </c>
      <c r="I2" s="439" t="s">
        <v>20</v>
      </c>
      <c r="J2" s="440"/>
      <c r="K2" s="439" t="s">
        <v>21</v>
      </c>
      <c r="L2" s="440"/>
      <c r="M2" s="439" t="s">
        <v>22</v>
      </c>
      <c r="N2" s="440"/>
      <c r="O2" s="439" t="s">
        <v>23</v>
      </c>
      <c r="P2" s="440"/>
      <c r="Q2" s="447" t="s">
        <v>24</v>
      </c>
      <c r="R2" s="443" t="s">
        <v>25</v>
      </c>
      <c r="S2" s="443" t="s">
        <v>26</v>
      </c>
      <c r="T2" s="443" t="s">
        <v>27</v>
      </c>
      <c r="U2" s="443" t="s">
        <v>28</v>
      </c>
      <c r="V2" s="445" t="s">
        <v>29</v>
      </c>
    </row>
    <row r="3" spans="1:31">
      <c r="A3" s="433"/>
      <c r="B3" s="434"/>
      <c r="C3" s="434"/>
      <c r="D3" s="436"/>
      <c r="E3" s="434"/>
      <c r="F3" s="437"/>
      <c r="G3" s="437"/>
      <c r="H3" s="438"/>
      <c r="I3" s="441"/>
      <c r="J3" s="442"/>
      <c r="K3" s="441"/>
      <c r="L3" s="442"/>
      <c r="M3" s="441"/>
      <c r="N3" s="442"/>
      <c r="O3" s="441"/>
      <c r="P3" s="442"/>
      <c r="Q3" s="447"/>
      <c r="R3" s="444"/>
      <c r="S3" s="444"/>
      <c r="T3" s="444"/>
      <c r="U3" s="444"/>
      <c r="V3" s="446"/>
    </row>
    <row r="4" spans="1:31">
      <c r="A4" s="4"/>
      <c r="B4" s="5"/>
      <c r="C4" s="5"/>
      <c r="D4" s="6"/>
      <c r="E4" s="5"/>
      <c r="F4" s="7">
        <v>13.65</v>
      </c>
      <c r="G4" s="7"/>
      <c r="H4" s="8"/>
      <c r="I4" s="7" t="s">
        <v>30</v>
      </c>
      <c r="J4" s="7" t="s">
        <v>31</v>
      </c>
      <c r="K4" s="7" t="s">
        <v>30</v>
      </c>
      <c r="L4" s="7" t="s">
        <v>31</v>
      </c>
      <c r="M4" s="7" t="s">
        <v>30</v>
      </c>
      <c r="N4" s="7" t="s">
        <v>31</v>
      </c>
      <c r="O4" s="7" t="s">
        <v>30</v>
      </c>
      <c r="P4" s="7" t="s">
        <v>31</v>
      </c>
      <c r="Q4" s="7" t="s">
        <v>31</v>
      </c>
      <c r="R4" s="7" t="s">
        <v>31</v>
      </c>
      <c r="S4" s="7" t="s">
        <v>31</v>
      </c>
      <c r="T4" s="7" t="s">
        <v>31</v>
      </c>
      <c r="U4" s="7" t="s">
        <v>31</v>
      </c>
      <c r="V4" s="8" t="s">
        <v>31</v>
      </c>
    </row>
    <row r="5" spans="1:31" ht="22.9">
      <c r="A5" s="9" t="s">
        <v>32</v>
      </c>
      <c r="B5" s="10"/>
      <c r="C5" s="10"/>
      <c r="D5" s="11"/>
      <c r="E5" s="12"/>
      <c r="F5" s="13"/>
      <c r="G5" s="13"/>
      <c r="H5" s="14"/>
      <c r="I5" s="13"/>
      <c r="J5" s="13"/>
      <c r="K5" s="13"/>
      <c r="L5" s="13"/>
      <c r="M5" s="13"/>
      <c r="N5" s="13"/>
      <c r="O5" s="13"/>
      <c r="P5" s="13"/>
      <c r="Q5" s="15"/>
      <c r="R5" s="16"/>
      <c r="S5" s="17"/>
      <c r="T5" s="16"/>
      <c r="U5" s="18"/>
      <c r="V5" s="19"/>
    </row>
    <row r="6" spans="1:31" s="20" customFormat="1"/>
    <row r="7" spans="1:31" s="20" customFormat="1" ht="71.25">
      <c r="B7" s="270" t="s">
        <v>33</v>
      </c>
      <c r="C7" s="264"/>
      <c r="D7" s="264" t="s">
        <v>34</v>
      </c>
      <c r="E7" s="264" t="s">
        <v>35</v>
      </c>
      <c r="F7" s="265"/>
      <c r="G7" s="264" t="s">
        <v>36</v>
      </c>
      <c r="H7" s="266">
        <f>SUM(I7,K7,M7,O7)</f>
        <v>0</v>
      </c>
      <c r="I7" s="266"/>
      <c r="J7" s="267">
        <f>$F7*I7</f>
        <v>0</v>
      </c>
      <c r="K7" s="266"/>
      <c r="L7" s="267">
        <f>$F7*K7</f>
        <v>0</v>
      </c>
      <c r="M7" s="266"/>
      <c r="N7" s="267">
        <f>$F7*M7</f>
        <v>0</v>
      </c>
      <c r="O7" s="267">
        <v>0</v>
      </c>
      <c r="P7" s="267">
        <f>$F7*O7</f>
        <v>0</v>
      </c>
      <c r="Q7" s="265">
        <f t="shared" ref="Q7" si="0">SUM(J7,L7,N7,P7)</f>
        <v>0</v>
      </c>
      <c r="R7" s="269">
        <f>SUM(Q7:Q32)</f>
        <v>48500000</v>
      </c>
      <c r="S7" s="264"/>
      <c r="T7" s="264"/>
      <c r="U7" s="264"/>
      <c r="V7" s="264"/>
      <c r="AB7" s="124" t="e">
        <f>SUM(#REF!,#REF!)</f>
        <v>#REF!</v>
      </c>
      <c r="AC7" s="124" t="e">
        <f>SUM(#REF!,#REF!)</f>
        <v>#REF!</v>
      </c>
      <c r="AD7" s="124" t="e">
        <f>SUM(#REF!,#REF!)</f>
        <v>#REF!</v>
      </c>
      <c r="AE7" s="92"/>
    </row>
    <row r="8" spans="1:31" s="20" customFormat="1" ht="35.25">
      <c r="C8" s="277" t="s">
        <v>37</v>
      </c>
      <c r="D8" s="284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</row>
    <row r="9" spans="1:31" s="20" customFormat="1" ht="28.5">
      <c r="A9" s="369">
        <v>1.1000000000000001</v>
      </c>
      <c r="C9" s="175" t="s">
        <v>38</v>
      </c>
      <c r="D9" s="20" t="s">
        <v>39</v>
      </c>
      <c r="E9" s="20" t="s">
        <v>40</v>
      </c>
      <c r="F9" s="26">
        <f>SUM(J9,L9,N9)</f>
        <v>15591666.75</v>
      </c>
      <c r="H9" s="104">
        <f>SUM(I9,K9,M9,O9)</f>
        <v>1</v>
      </c>
      <c r="I9" s="104">
        <v>0.25</v>
      </c>
      <c r="J9" s="24">
        <f>I9*('Planilla Costos Talleres TecPro'!$J$17+'Planilla Costos Talleres TecPro'!$J$18)</f>
        <v>3897916.6875</v>
      </c>
      <c r="K9" s="104">
        <v>0.75</v>
      </c>
      <c r="L9" s="24">
        <f>K9*('Planilla Costos Talleres TecPro'!$J$17+'Planilla Costos Talleres TecPro'!$J$18)</f>
        <v>11693750.0625</v>
      </c>
      <c r="M9" s="104"/>
      <c r="N9" s="24"/>
      <c r="O9" s="24">
        <v>0</v>
      </c>
      <c r="P9" s="24">
        <f>$F9*O9</f>
        <v>0</v>
      </c>
      <c r="Q9" s="330">
        <f>SUM(J9,L9,N9,P9)</f>
        <v>15591666.75</v>
      </c>
    </row>
    <row r="10" spans="1:31" s="20" customFormat="1" ht="28.5">
      <c r="A10" s="369">
        <v>1.1000000000000001</v>
      </c>
      <c r="C10" s="175"/>
      <c r="D10" s="20" t="s">
        <v>41</v>
      </c>
      <c r="E10" s="20" t="s">
        <v>40</v>
      </c>
      <c r="F10" s="26">
        <f>SUM(J10,L10,N10)</f>
        <v>7550000.040000001</v>
      </c>
      <c r="H10" s="104">
        <f>SUM(I10,K10,M10,O10)</f>
        <v>1</v>
      </c>
      <c r="I10" s="104"/>
      <c r="J10" s="24">
        <f>I10*'Planilla Costos Talleres TecPro'!$J$17</f>
        <v>0</v>
      </c>
      <c r="K10" s="104">
        <v>0.65</v>
      </c>
      <c r="L10" s="24">
        <f>K10*('Planilla Costos Talleres TecPro'!$K$17+'Planilla Costos Talleres TecPro'!$K$18)</f>
        <v>4907500.0260000005</v>
      </c>
      <c r="M10" s="104">
        <v>0.35</v>
      </c>
      <c r="N10" s="24">
        <f>M10*('Planilla Costos Talleres TecPro'!$K$17+'Planilla Costos Talleres TecPro'!$K$18)</f>
        <v>2642500.014</v>
      </c>
      <c r="O10" s="24">
        <v>0</v>
      </c>
      <c r="P10" s="24">
        <f>$F10*O10</f>
        <v>0</v>
      </c>
      <c r="Q10" s="330">
        <f t="shared" ref="Q10:Q15" si="1">SUM(J10,L10,N10,P10)</f>
        <v>7550000.040000001</v>
      </c>
    </row>
    <row r="11" spans="1:31" s="20" customFormat="1" ht="114">
      <c r="A11" s="369">
        <v>1.2</v>
      </c>
      <c r="C11" s="175" t="s">
        <v>42</v>
      </c>
      <c r="D11" s="20" t="s">
        <v>43</v>
      </c>
      <c r="E11" s="20" t="s">
        <v>44</v>
      </c>
      <c r="F11" s="26">
        <f>'Planilla Costos Talleres TecPro'!E30</f>
        <v>15103000</v>
      </c>
      <c r="H11" s="104">
        <f>SUM(I11,K11,M11,O11)</f>
        <v>1</v>
      </c>
      <c r="I11" s="104">
        <f>SUM(J9:J10)/SUM($Q9:$Q10)</f>
        <v>0.16843716240804105</v>
      </c>
      <c r="J11" s="24">
        <f>$F11*I11</f>
        <v>2543906.4638486439</v>
      </c>
      <c r="K11" s="104">
        <f>SUM(L9:L10)/SUM($Q9:$Q10)</f>
        <v>0.71737486496321645</v>
      </c>
      <c r="L11" s="24">
        <f>$F11*K11</f>
        <v>10834512.585539458</v>
      </c>
      <c r="M11" s="104">
        <f>SUM(N9:N10)/SUM($Q9:$Q10)</f>
        <v>0.11418797262874253</v>
      </c>
      <c r="N11" s="24">
        <f>$F11*M11</f>
        <v>1724580.9506118984</v>
      </c>
      <c r="O11" s="24">
        <v>0</v>
      </c>
      <c r="P11" s="24">
        <f>$F11*O11</f>
        <v>0</v>
      </c>
      <c r="Q11" s="330">
        <f t="shared" si="1"/>
        <v>15103000.000000002</v>
      </c>
    </row>
    <row r="12" spans="1:31" s="20" customFormat="1" ht="32.25">
      <c r="C12" s="277" t="s">
        <v>45</v>
      </c>
      <c r="D12" s="278"/>
      <c r="E12" s="278"/>
      <c r="F12" s="278"/>
      <c r="G12" s="278"/>
      <c r="H12" s="283"/>
      <c r="I12" s="278"/>
      <c r="J12" s="278"/>
      <c r="K12" s="278"/>
      <c r="L12" s="278"/>
      <c r="M12" s="278"/>
      <c r="N12" s="278"/>
      <c r="O12" s="278"/>
      <c r="P12" s="278"/>
      <c r="Q12" s="278"/>
    </row>
    <row r="13" spans="1:31" s="20" customFormat="1" ht="28.5">
      <c r="A13" s="369">
        <v>1.1000000000000001</v>
      </c>
      <c r="C13" s="263" t="s">
        <v>46</v>
      </c>
      <c r="D13" s="20" t="s">
        <v>39</v>
      </c>
      <c r="E13" s="20" t="s">
        <v>40</v>
      </c>
      <c r="F13" s="26">
        <f>SUM(J13,L13,N13)</f>
        <v>2458333.35</v>
      </c>
      <c r="H13" s="104">
        <f>SUM(I13,K13,M13,O13)</f>
        <v>1</v>
      </c>
      <c r="I13" s="104">
        <v>0.25</v>
      </c>
      <c r="J13" s="24">
        <f>I13*('Planilla Costos Talleres ARTES'!$E$17)</f>
        <v>614583.33750000002</v>
      </c>
      <c r="K13" s="104">
        <v>0.75</v>
      </c>
      <c r="L13" s="24">
        <f>K13*('Planilla Costos Talleres ARTES'!$E$17)</f>
        <v>1843750.0125000002</v>
      </c>
      <c r="M13" s="104"/>
      <c r="N13" s="24"/>
      <c r="O13" s="24">
        <v>0</v>
      </c>
      <c r="P13" s="24">
        <f>$F13*O13</f>
        <v>0</v>
      </c>
      <c r="Q13" s="330">
        <f t="shared" si="1"/>
        <v>2458333.35</v>
      </c>
      <c r="S13" s="176"/>
    </row>
    <row r="14" spans="1:31" s="20" customFormat="1" ht="28.5">
      <c r="A14" s="369">
        <v>1.1000000000000001</v>
      </c>
      <c r="C14" s="263"/>
      <c r="D14" s="20" t="s">
        <v>41</v>
      </c>
      <c r="E14" s="20" t="s">
        <v>40</v>
      </c>
      <c r="F14" s="26">
        <f>SUM(J14,L14,N14)</f>
        <v>1966666.68</v>
      </c>
      <c r="H14" s="104">
        <f>SUM(I14,K14,M14,O14)</f>
        <v>1</v>
      </c>
      <c r="I14" s="104"/>
      <c r="J14" s="24">
        <f>I14*'Planilla Costos Talleres TecPro'!$J$17</f>
        <v>0</v>
      </c>
      <c r="K14" s="104">
        <v>0.65</v>
      </c>
      <c r="L14" s="24">
        <f>K14*('Planilla Costos Talleres ARTES'!$F$17)</f>
        <v>1278333.3419999999</v>
      </c>
      <c r="M14" s="104">
        <v>0.35</v>
      </c>
      <c r="N14" s="24">
        <f>M14*('Planilla Costos Talleres ARTES'!$F$17)</f>
        <v>688333.33799999999</v>
      </c>
      <c r="O14" s="24">
        <v>0</v>
      </c>
      <c r="P14" s="24">
        <f>$F14*O14</f>
        <v>0</v>
      </c>
      <c r="Q14" s="330">
        <f t="shared" si="1"/>
        <v>1966666.68</v>
      </c>
      <c r="S14" s="176"/>
    </row>
    <row r="15" spans="1:31" s="20" customFormat="1" ht="114">
      <c r="A15" s="369">
        <v>1.2</v>
      </c>
      <c r="C15" s="263" t="s">
        <v>47</v>
      </c>
      <c r="D15" s="20" t="s">
        <v>43</v>
      </c>
      <c r="E15" s="20" t="s">
        <v>44</v>
      </c>
      <c r="F15" s="26">
        <f>'Planilla Costos Talleres ARTES'!E13</f>
        <v>1091126.1625000001</v>
      </c>
      <c r="H15" s="104">
        <f>SUM(I15,K15,M15,O15)</f>
        <v>1</v>
      </c>
      <c r="I15" s="104">
        <f>SUM(J13:J14)/SUM($Q13:$Q14)</f>
        <v>0.1388888888888889</v>
      </c>
      <c r="J15" s="24">
        <f>$F15*I15</f>
        <v>151545.30034722225</v>
      </c>
      <c r="K15" s="104">
        <f>SUM(L13:L14)/SUM($Q13:$Q14)</f>
        <v>0.7055555555555556</v>
      </c>
      <c r="L15" s="24">
        <f>$F15*K15</f>
        <v>769850.12576388905</v>
      </c>
      <c r="M15" s="104">
        <f>SUM(N13:N14)/SUM($Q13:$Q14)</f>
        <v>0.15555555555555553</v>
      </c>
      <c r="N15" s="24">
        <f>$F15*M15</f>
        <v>169730.73638888888</v>
      </c>
      <c r="O15" s="24">
        <v>0</v>
      </c>
      <c r="P15" s="24">
        <f>$F15*O15</f>
        <v>0</v>
      </c>
      <c r="Q15" s="330">
        <f t="shared" si="1"/>
        <v>1091126.1625000001</v>
      </c>
      <c r="S15" s="176"/>
      <c r="X15" s="121"/>
    </row>
    <row r="16" spans="1:31" s="20" customFormat="1" ht="28.5">
      <c r="A16" s="35"/>
      <c r="C16" s="277" t="s">
        <v>48</v>
      </c>
      <c r="D16" s="278" t="s">
        <v>49</v>
      </c>
      <c r="E16" s="278"/>
      <c r="F16" s="278"/>
      <c r="G16" s="278"/>
      <c r="H16" s="279"/>
      <c r="I16" s="280"/>
      <c r="J16" s="281"/>
      <c r="K16" s="280"/>
      <c r="L16" s="281"/>
      <c r="M16" s="280"/>
      <c r="N16" s="281"/>
      <c r="O16" s="281"/>
      <c r="P16" s="281"/>
      <c r="Q16" s="282"/>
      <c r="S16" s="176"/>
    </row>
    <row r="17" spans="1:24" s="20" customFormat="1" ht="25.5">
      <c r="A17" s="315"/>
      <c r="D17" s="20" t="s">
        <v>50</v>
      </c>
      <c r="E17" s="20" t="s">
        <v>51</v>
      </c>
      <c r="H17" s="23"/>
      <c r="R17" s="188"/>
      <c r="S17" s="176"/>
    </row>
    <row r="18" spans="1:24" s="20" customFormat="1" ht="25.5">
      <c r="A18" s="369">
        <v>1.1000000000000001</v>
      </c>
      <c r="F18" s="22">
        <f>('Planilla Costos Talleres TecPro'!H17)*Parametros!$F$14</f>
        <v>19666.666799999999</v>
      </c>
      <c r="G18" s="20" t="s">
        <v>52</v>
      </c>
      <c r="H18" s="104">
        <f>SUM(I18,K18,M18,O18)</f>
        <v>62</v>
      </c>
      <c r="I18" s="104"/>
      <c r="J18" s="24">
        <f>$F18*I18</f>
        <v>0</v>
      </c>
      <c r="K18" s="104">
        <f>SUM(Parametros!G18)</f>
        <v>25</v>
      </c>
      <c r="L18" s="24">
        <f>$F18*K18</f>
        <v>491666.67</v>
      </c>
      <c r="M18" s="104">
        <f>K18+Parametros!H18</f>
        <v>37</v>
      </c>
      <c r="N18" s="24">
        <f>$F18*M18</f>
        <v>727666.6716</v>
      </c>
      <c r="O18" s="104"/>
      <c r="P18" s="24">
        <f>$F18*O18</f>
        <v>0</v>
      </c>
      <c r="Q18" s="330">
        <f>SUM(J18,L18,N18,P18)</f>
        <v>1219333.3415999999</v>
      </c>
      <c r="R18" s="188"/>
      <c r="S18" s="176"/>
    </row>
    <row r="19" spans="1:24" s="20" customFormat="1" ht="25.5">
      <c r="A19" s="369">
        <v>1.1000000000000001</v>
      </c>
      <c r="F19" s="22">
        <f>('Planilla Costos Talleres TecPro'!H18)*Parametros!$F$14</f>
        <v>11000</v>
      </c>
      <c r="G19" s="20" t="s">
        <v>52</v>
      </c>
      <c r="H19" s="104">
        <f>SUM(I19,K19,M19,O19)</f>
        <v>30</v>
      </c>
      <c r="I19" s="104"/>
      <c r="J19" s="24">
        <f>$F19*I19</f>
        <v>0</v>
      </c>
      <c r="K19" s="104">
        <f>SUM(Parametros!G19)</f>
        <v>12</v>
      </c>
      <c r="L19" s="24">
        <f>$F19*K19</f>
        <v>132000</v>
      </c>
      <c r="M19" s="104">
        <f>K19+Parametros!H19</f>
        <v>18</v>
      </c>
      <c r="N19" s="24">
        <f>$F19*M19</f>
        <v>198000</v>
      </c>
      <c r="O19" s="104"/>
      <c r="P19" s="24">
        <f>$F19*O19</f>
        <v>0</v>
      </c>
      <c r="Q19" s="330">
        <f t="shared" ref="Q19:Q20" si="2">SUM(J19,L19,N19,P19)</f>
        <v>330000</v>
      </c>
      <c r="R19" s="188"/>
      <c r="S19" s="176"/>
    </row>
    <row r="20" spans="1:24" s="20" customFormat="1" ht="25.5">
      <c r="A20" s="369">
        <v>1.1000000000000001</v>
      </c>
      <c r="D20" s="20" t="s">
        <v>53</v>
      </c>
      <c r="E20" s="20" t="s">
        <v>51</v>
      </c>
      <c r="F20" s="22">
        <f>('Planilla Costos Talleres ARTES'!C17)*Parametros!$F$14</f>
        <v>19666.666799999999</v>
      </c>
      <c r="G20" s="20" t="s">
        <v>52</v>
      </c>
      <c r="H20" s="104">
        <f t="shared" ref="H20" si="3">SUM(I20,K20,M20,O20)</f>
        <v>14</v>
      </c>
      <c r="I20" s="104"/>
      <c r="J20" s="24">
        <f>$F20*I20</f>
        <v>0</v>
      </c>
      <c r="K20" s="104">
        <f>SUM(Parametros!G20)</f>
        <v>5</v>
      </c>
      <c r="L20" s="24">
        <f>$F20*K20</f>
        <v>98333.334000000003</v>
      </c>
      <c r="M20" s="104">
        <f>SUM(Parametros!I20)</f>
        <v>9</v>
      </c>
      <c r="N20" s="24">
        <f>$F20*M20</f>
        <v>177000.0012</v>
      </c>
      <c r="O20" s="104"/>
      <c r="P20" s="24">
        <f>$F20*O20</f>
        <v>0</v>
      </c>
      <c r="Q20" s="330">
        <f t="shared" si="2"/>
        <v>275333.33519999997</v>
      </c>
      <c r="R20" s="188"/>
      <c r="S20" s="176"/>
    </row>
    <row r="21" spans="1:24" s="20" customFormat="1" ht="42.75">
      <c r="C21" s="277" t="s">
        <v>54</v>
      </c>
      <c r="D21" s="278"/>
      <c r="E21" s="278"/>
      <c r="F21" s="285"/>
      <c r="G21" s="278"/>
      <c r="H21" s="280"/>
      <c r="I21" s="279"/>
      <c r="J21" s="281"/>
      <c r="K21" s="279"/>
      <c r="L21" s="281"/>
      <c r="M21" s="279"/>
      <c r="N21" s="281"/>
      <c r="O21" s="283"/>
      <c r="P21" s="281"/>
      <c r="Q21" s="282"/>
      <c r="S21" s="176"/>
    </row>
    <row r="22" spans="1:24" s="20" customFormat="1" ht="28.5">
      <c r="A22" s="369">
        <v>1.1000000000000001</v>
      </c>
      <c r="D22" s="20" t="s">
        <v>55</v>
      </c>
      <c r="E22" s="90" t="s">
        <v>56</v>
      </c>
      <c r="F22" s="26">
        <v>2000</v>
      </c>
      <c r="G22" s="20" t="s">
        <v>57</v>
      </c>
      <c r="H22" s="262">
        <f t="shared" ref="H22" si="4">SUM(I22,K22,M22,O22)</f>
        <v>48</v>
      </c>
      <c r="I22" s="104">
        <v>48</v>
      </c>
      <c r="J22" s="24">
        <f>$F22*I22</f>
        <v>96000</v>
      </c>
      <c r="K22" s="104"/>
      <c r="L22" s="24">
        <f>$F22*K22</f>
        <v>0</v>
      </c>
      <c r="M22" s="104">
        <f>SUM(M9,M13)</f>
        <v>0</v>
      </c>
      <c r="N22" s="24">
        <f>$F22*M22</f>
        <v>0</v>
      </c>
      <c r="O22" s="104"/>
      <c r="P22" s="24">
        <f>$F22*O22</f>
        <v>0</v>
      </c>
      <c r="Q22" s="332">
        <f>SUM(J22,L22,N22,P22)</f>
        <v>96000</v>
      </c>
      <c r="S22" s="176"/>
    </row>
    <row r="23" spans="1:24" s="20" customFormat="1" ht="61.5" customHeight="1">
      <c r="A23" s="369">
        <v>1.1000000000000001</v>
      </c>
      <c r="C23" s="278" t="s">
        <v>58</v>
      </c>
      <c r="D23" s="278" t="s">
        <v>59</v>
      </c>
      <c r="E23" s="278" t="s">
        <v>44</v>
      </c>
      <c r="F23" s="285">
        <v>575000</v>
      </c>
      <c r="G23" s="278" t="s">
        <v>60</v>
      </c>
      <c r="H23" s="279">
        <f t="shared" ref="H23" si="5">SUM(I23,K23,M23,O23)</f>
        <v>2</v>
      </c>
      <c r="I23" s="279"/>
      <c r="J23" s="281">
        <f>$F23*I23</f>
        <v>0</v>
      </c>
      <c r="K23" s="279">
        <v>1</v>
      </c>
      <c r="L23" s="281">
        <f>$F23*K23</f>
        <v>575000</v>
      </c>
      <c r="M23" s="279">
        <v>1</v>
      </c>
      <c r="N23" s="281">
        <f>$F23*M23</f>
        <v>575000</v>
      </c>
      <c r="O23" s="279"/>
      <c r="P23" s="281">
        <f>$F23*O23</f>
        <v>0</v>
      </c>
      <c r="Q23" s="330">
        <f>SUM(J23,L23,N23,P23)</f>
        <v>1150000</v>
      </c>
      <c r="S23" s="176"/>
    </row>
    <row r="24" spans="1:24" s="20" customFormat="1" ht="47.25">
      <c r="C24" s="312" t="s">
        <v>61</v>
      </c>
      <c r="F24" s="26"/>
      <c r="H24" s="104"/>
      <c r="I24" s="104"/>
      <c r="J24" s="24"/>
      <c r="K24" s="104"/>
      <c r="L24" s="24"/>
      <c r="M24" s="104"/>
      <c r="N24" s="24"/>
      <c r="O24" s="23"/>
      <c r="P24" s="24"/>
      <c r="Q24" s="22"/>
      <c r="R24" s="345"/>
      <c r="S24" s="176"/>
    </row>
    <row r="25" spans="1:24" s="20" customFormat="1" ht="25.5">
      <c r="B25" s="91"/>
      <c r="S25" s="176"/>
    </row>
    <row r="26" spans="1:24" s="20" customFormat="1" ht="42.75">
      <c r="B26" s="91"/>
      <c r="C26" s="20" t="s">
        <v>62</v>
      </c>
      <c r="D26" s="20" t="s">
        <v>63</v>
      </c>
      <c r="S26" s="176"/>
    </row>
    <row r="27" spans="1:24" s="20" customFormat="1" ht="28.5">
      <c r="A27" s="369">
        <v>1.3</v>
      </c>
      <c r="B27" s="91"/>
      <c r="D27" s="263" t="s">
        <v>64</v>
      </c>
      <c r="E27" s="20" t="s">
        <v>51</v>
      </c>
      <c r="F27" s="189">
        <v>50000</v>
      </c>
      <c r="G27" s="20" t="s">
        <v>57</v>
      </c>
      <c r="H27" s="104">
        <f>SUM(I27,K27,M27,O27)</f>
        <v>1</v>
      </c>
      <c r="I27" s="104">
        <v>0.4</v>
      </c>
      <c r="J27" s="24">
        <f>$F27*I27</f>
        <v>20000</v>
      </c>
      <c r="K27" s="104">
        <v>0.6</v>
      </c>
      <c r="L27" s="24">
        <f>$F27*K27</f>
        <v>30000</v>
      </c>
      <c r="M27" s="104"/>
      <c r="N27" s="24">
        <f>$F27*M27</f>
        <v>0</v>
      </c>
      <c r="O27" s="104"/>
      <c r="P27" s="24">
        <f>$F27*O27</f>
        <v>0</v>
      </c>
      <c r="Q27" s="330">
        <f t="shared" ref="Q27" si="6">SUM(J27,L27,N27,P27)</f>
        <v>50000</v>
      </c>
      <c r="S27" s="176"/>
    </row>
    <row r="28" spans="1:24" s="20" customFormat="1" ht="28.5">
      <c r="A28" s="369">
        <v>1.5</v>
      </c>
      <c r="D28" s="263" t="s">
        <v>65</v>
      </c>
      <c r="E28" s="20" t="s">
        <v>51</v>
      </c>
      <c r="F28" s="189">
        <v>1979.1666666666667</v>
      </c>
      <c r="G28" s="20" t="s">
        <v>57</v>
      </c>
      <c r="H28" s="104">
        <f>SUM(I28,K28,M28,O28)</f>
        <v>96</v>
      </c>
      <c r="I28" s="104"/>
      <c r="J28" s="24">
        <f>$F28*I28</f>
        <v>0</v>
      </c>
      <c r="K28" s="104">
        <f>H22</f>
        <v>48</v>
      </c>
      <c r="L28" s="24">
        <f>$F28*K28</f>
        <v>95000</v>
      </c>
      <c r="M28" s="104">
        <f>K28</f>
        <v>48</v>
      </c>
      <c r="N28" s="24">
        <f>$F28*M28</f>
        <v>95000</v>
      </c>
      <c r="O28" s="104"/>
      <c r="P28" s="24">
        <f>$F28*O28</f>
        <v>0</v>
      </c>
      <c r="Q28" s="330">
        <f t="shared" ref="Q28" si="7">SUM(J28,L28,N28,P28)</f>
        <v>190000</v>
      </c>
      <c r="S28" s="176"/>
    </row>
    <row r="29" spans="1:24" s="20" customFormat="1" ht="85.5">
      <c r="A29" s="369">
        <v>1.4</v>
      </c>
      <c r="C29" s="20" t="s">
        <v>66</v>
      </c>
      <c r="D29" s="20" t="s">
        <v>67</v>
      </c>
      <c r="E29" s="20" t="s">
        <v>51</v>
      </c>
      <c r="F29" s="189">
        <v>553.40743331388603</v>
      </c>
      <c r="G29" s="20" t="s">
        <v>68</v>
      </c>
      <c r="H29" s="104">
        <f>SUM(I29,K29,M29,O29)</f>
        <v>809</v>
      </c>
      <c r="I29" s="104">
        <f>Parametros!F32</f>
        <v>171</v>
      </c>
      <c r="J29" s="24">
        <f>$F29*I29</f>
        <v>94632.671096674516</v>
      </c>
      <c r="K29" s="104">
        <f>Parametros!G32</f>
        <v>310</v>
      </c>
      <c r="L29" s="24">
        <f>$F29*K29</f>
        <v>171556.30432730468</v>
      </c>
      <c r="M29" s="104">
        <f>Parametros!H32</f>
        <v>328</v>
      </c>
      <c r="N29" s="24">
        <f>$F29*M29</f>
        <v>181517.63812695461</v>
      </c>
      <c r="O29" s="104"/>
      <c r="P29" s="24">
        <f>$F29*O29</f>
        <v>0</v>
      </c>
      <c r="Q29" s="330">
        <f>SUM(J29,L29,N29,P29)</f>
        <v>447706.61355093383</v>
      </c>
      <c r="S29" s="176"/>
    </row>
    <row r="30" spans="1:24" s="20" customFormat="1" ht="28.5">
      <c r="A30" s="369">
        <v>1.4</v>
      </c>
      <c r="D30" s="20" t="s">
        <v>69</v>
      </c>
      <c r="E30" s="20" t="s">
        <v>51</v>
      </c>
      <c r="F30" s="189">
        <f>F29</f>
        <v>553.40743331388603</v>
      </c>
      <c r="G30" s="20" t="s">
        <v>70</v>
      </c>
      <c r="H30" s="104">
        <f>SUM(I30,K30,M30,O30)</f>
        <v>905</v>
      </c>
      <c r="I30" s="104">
        <f>I29</f>
        <v>171</v>
      </c>
      <c r="J30" s="24">
        <f>$F30*I30</f>
        <v>94632.671096674516</v>
      </c>
      <c r="K30" s="104">
        <f>K29+K28</f>
        <v>358</v>
      </c>
      <c r="L30" s="24">
        <f>$F30*K30</f>
        <v>198119.86112637119</v>
      </c>
      <c r="M30" s="104">
        <f>M29+M28</f>
        <v>376</v>
      </c>
      <c r="N30" s="24">
        <f>$F30*M30</f>
        <v>208081.19492602115</v>
      </c>
      <c r="O30" s="104"/>
      <c r="P30" s="24">
        <f>$F30*O30</f>
        <v>0</v>
      </c>
      <c r="Q30" s="330">
        <f t="shared" ref="Q30" si="8">SUM(J30,L30,N30,P30)</f>
        <v>500833.72714906686</v>
      </c>
      <c r="S30" s="176"/>
    </row>
    <row r="31" spans="1:24" s="20" customFormat="1" ht="25.5">
      <c r="S31" s="176"/>
    </row>
    <row r="32" spans="1:24" s="20" customFormat="1" ht="25.5">
      <c r="A32" s="369">
        <v>1.1000000000000001</v>
      </c>
      <c r="C32" s="344" t="s">
        <v>71</v>
      </c>
      <c r="E32" s="20" t="s">
        <v>72</v>
      </c>
      <c r="F32" s="189">
        <v>10000</v>
      </c>
      <c r="G32" s="20" t="s">
        <v>73</v>
      </c>
      <c r="H32" s="104">
        <f>SUM(I32,K32,M32,O32)</f>
        <v>48</v>
      </c>
      <c r="I32" s="104"/>
      <c r="J32" s="24"/>
      <c r="K32" s="104">
        <f>K28</f>
        <v>48</v>
      </c>
      <c r="L32" s="24">
        <f>$F32*K32</f>
        <v>480000</v>
      </c>
      <c r="M32" s="104"/>
      <c r="N32" s="24">
        <f>$F32*M32</f>
        <v>0</v>
      </c>
      <c r="O32" s="104"/>
      <c r="P32" s="24">
        <f>$F32*O32</f>
        <v>0</v>
      </c>
      <c r="Q32" s="348">
        <f t="shared" ref="Q32" si="9">SUM(J32,L32,N32,P32)</f>
        <v>480000</v>
      </c>
      <c r="R32" s="179"/>
      <c r="S32" s="176"/>
      <c r="X32" s="121">
        <f>SUM(R7:R33)</f>
        <v>52700000</v>
      </c>
    </row>
    <row r="33" spans="1:32" s="20" customFormat="1" ht="63">
      <c r="B33" s="270" t="s">
        <v>74</v>
      </c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269">
        <f>SUM(Q35:Q41)</f>
        <v>4200000</v>
      </c>
      <c r="X33" s="121"/>
    </row>
    <row r="34" spans="1:32" s="20" customFormat="1" ht="28.5">
      <c r="B34" s="312"/>
      <c r="C34" s="20" t="s">
        <v>75</v>
      </c>
      <c r="S34" s="176"/>
      <c r="X34" s="121"/>
    </row>
    <row r="35" spans="1:32" s="20" customFormat="1" ht="28.5">
      <c r="A35" s="369">
        <v>1.6</v>
      </c>
      <c r="B35" s="312"/>
      <c r="D35" s="346" t="s">
        <v>76</v>
      </c>
      <c r="E35" s="20" t="s">
        <v>51</v>
      </c>
      <c r="F35" s="26">
        <v>123300</v>
      </c>
      <c r="G35" s="20" t="s">
        <v>73</v>
      </c>
      <c r="H35" s="104">
        <f t="shared" ref="H35" si="10">SUM(I35,K35,M35,O35)</f>
        <v>1</v>
      </c>
      <c r="I35" s="20">
        <v>0.17</v>
      </c>
      <c r="J35" s="24">
        <f>$F35*I35</f>
        <v>20961</v>
      </c>
      <c r="K35" s="20">
        <v>0.33</v>
      </c>
      <c r="L35" s="24">
        <f>$F35*K35</f>
        <v>40689</v>
      </c>
      <c r="M35" s="20">
        <v>0.5</v>
      </c>
      <c r="N35" s="24">
        <f>$F35*M35</f>
        <v>61650</v>
      </c>
      <c r="Q35" s="330">
        <f t="shared" ref="Q35:Q36" si="11">SUM(J35,L35,N35,P35)</f>
        <v>123300</v>
      </c>
      <c r="R35" s="179"/>
      <c r="S35" s="176"/>
      <c r="X35" s="121"/>
    </row>
    <row r="36" spans="1:32" s="20" customFormat="1" ht="28.5">
      <c r="A36" s="369">
        <v>1.6</v>
      </c>
      <c r="B36" s="312"/>
      <c r="D36" s="363" t="s">
        <v>77</v>
      </c>
      <c r="E36" s="20" t="s">
        <v>51</v>
      </c>
      <c r="F36" s="189">
        <v>205000</v>
      </c>
      <c r="G36" s="20" t="s">
        <v>73</v>
      </c>
      <c r="H36" s="104">
        <f t="shared" ref="H36" si="12">SUM(I36,K36,M36,O36)</f>
        <v>1</v>
      </c>
      <c r="I36" s="20">
        <v>0.34</v>
      </c>
      <c r="J36" s="24">
        <f>$F36*I36</f>
        <v>69700</v>
      </c>
      <c r="K36" s="20">
        <v>0.33</v>
      </c>
      <c r="L36" s="24">
        <f>$F36*K36</f>
        <v>67650</v>
      </c>
      <c r="M36" s="20">
        <v>0.33</v>
      </c>
      <c r="N36" s="24">
        <f>$F36*M36</f>
        <v>67650</v>
      </c>
      <c r="O36" s="104"/>
      <c r="P36" s="24"/>
      <c r="Q36" s="330">
        <f t="shared" si="11"/>
        <v>205000</v>
      </c>
      <c r="R36" s="179"/>
      <c r="S36" s="176"/>
      <c r="X36" s="121"/>
    </row>
    <row r="37" spans="1:32" s="20" customFormat="1" ht="28.5">
      <c r="A37" s="369">
        <v>1.6</v>
      </c>
      <c r="B37" s="312"/>
      <c r="D37" s="20" t="s">
        <v>78</v>
      </c>
      <c r="E37" s="20" t="s">
        <v>51</v>
      </c>
      <c r="F37" s="189">
        <v>210000</v>
      </c>
      <c r="G37" s="20" t="s">
        <v>73</v>
      </c>
      <c r="H37" s="104">
        <f t="shared" ref="H37" si="13">SUM(I37,K37,M37,O37)</f>
        <v>1</v>
      </c>
      <c r="I37" s="20">
        <v>0.34</v>
      </c>
      <c r="J37" s="24">
        <f>$F37*I37</f>
        <v>71400</v>
      </c>
      <c r="K37" s="20">
        <v>0.33</v>
      </c>
      <c r="L37" s="24">
        <f>$F37*K37</f>
        <v>69300</v>
      </c>
      <c r="M37" s="20">
        <v>0.33</v>
      </c>
      <c r="N37" s="24">
        <f>$F37*M37</f>
        <v>69300</v>
      </c>
      <c r="O37" s="104"/>
      <c r="P37" s="24"/>
      <c r="Q37" s="330">
        <f>SUM(J37,L37,N37,P37)</f>
        <v>210000</v>
      </c>
      <c r="R37" s="179"/>
      <c r="S37" s="176"/>
      <c r="X37" s="121"/>
    </row>
    <row r="38" spans="1:32" s="20" customFormat="1" ht="25.5">
      <c r="B38" s="312"/>
      <c r="C38" s="20" t="s">
        <v>79</v>
      </c>
      <c r="R38" s="179"/>
      <c r="S38" s="176"/>
      <c r="X38" s="121"/>
    </row>
    <row r="39" spans="1:32" s="20" customFormat="1" ht="28.5">
      <c r="A39" s="369">
        <v>1.7</v>
      </c>
      <c r="B39" s="312"/>
      <c r="D39" s="346" t="s">
        <v>80</v>
      </c>
      <c r="E39" s="20" t="s">
        <v>72</v>
      </c>
      <c r="F39" s="26">
        <v>1978700</v>
      </c>
      <c r="H39" s="104">
        <f t="shared" ref="H39:H40" si="14">SUM(I39,K39,M39,O39)</f>
        <v>1</v>
      </c>
      <c r="I39" s="20">
        <v>0.34</v>
      </c>
      <c r="J39" s="24">
        <f t="shared" ref="J39:J40" si="15">$F39*I39</f>
        <v>672758</v>
      </c>
      <c r="K39" s="20">
        <v>0.33</v>
      </c>
      <c r="L39" s="24">
        <f t="shared" ref="L39:L40" si="16">$F39*K39</f>
        <v>652971</v>
      </c>
      <c r="M39" s="20">
        <v>0.33</v>
      </c>
      <c r="N39" s="24">
        <f t="shared" ref="N39:N40" si="17">$F39*M39</f>
        <v>652971</v>
      </c>
      <c r="O39" s="104"/>
      <c r="P39" s="24"/>
      <c r="Q39" s="348">
        <f>SUM(J39,L39,N39,P39)</f>
        <v>1978700</v>
      </c>
      <c r="R39" s="179"/>
      <c r="S39" s="176"/>
      <c r="X39" s="121"/>
    </row>
    <row r="40" spans="1:32" s="20" customFormat="1" ht="25.5">
      <c r="A40" s="369">
        <v>1.7</v>
      </c>
      <c r="B40" s="312"/>
      <c r="D40" s="346" t="s">
        <v>81</v>
      </c>
      <c r="E40" s="20" t="s">
        <v>82</v>
      </c>
      <c r="F40" s="26">
        <v>183000</v>
      </c>
      <c r="H40" s="104">
        <f t="shared" si="14"/>
        <v>1</v>
      </c>
      <c r="I40" s="20">
        <v>0.4</v>
      </c>
      <c r="J40" s="24">
        <f t="shared" si="15"/>
        <v>73200</v>
      </c>
      <c r="K40" s="20">
        <v>0.3</v>
      </c>
      <c r="L40" s="24">
        <f t="shared" si="16"/>
        <v>54900</v>
      </c>
      <c r="M40" s="20">
        <v>0.3</v>
      </c>
      <c r="N40" s="24">
        <f t="shared" si="17"/>
        <v>54900</v>
      </c>
      <c r="O40" s="104"/>
      <c r="P40" s="24"/>
      <c r="Q40" s="348">
        <f>SUM(J40,L40,N40,P40)</f>
        <v>183000</v>
      </c>
      <c r="R40" s="179"/>
      <c r="S40" s="176"/>
      <c r="X40" s="121"/>
    </row>
    <row r="41" spans="1:32" s="20" customFormat="1" ht="21.4" thickBot="1">
      <c r="A41" s="20">
        <v>3.3</v>
      </c>
      <c r="B41" s="312"/>
      <c r="C41" s="20" t="s">
        <v>83</v>
      </c>
      <c r="D41" s="20" t="s">
        <v>84</v>
      </c>
      <c r="E41" s="20" t="s">
        <v>44</v>
      </c>
      <c r="F41" s="26">
        <v>1500000</v>
      </c>
      <c r="H41" s="104">
        <f t="shared" ref="H41" si="18">SUM(I41,K41,M41,O41)</f>
        <v>1</v>
      </c>
      <c r="I41" s="27">
        <v>0.4</v>
      </c>
      <c r="J41" s="24">
        <f>$F41*I41</f>
        <v>600000</v>
      </c>
      <c r="K41" s="190">
        <v>0.6</v>
      </c>
      <c r="L41" s="24">
        <f>$F41*K41</f>
        <v>900000</v>
      </c>
      <c r="M41" s="190"/>
      <c r="N41" s="24">
        <f>$F41*M41</f>
        <v>0</v>
      </c>
      <c r="O41" s="27"/>
      <c r="P41" s="24">
        <f>$F41*O41</f>
        <v>0</v>
      </c>
      <c r="Q41" s="22">
        <f t="shared" ref="Q41" si="19">SUM(J41,L41,N41,P41)</f>
        <v>1500000</v>
      </c>
      <c r="R41" s="179"/>
      <c r="X41" s="121"/>
    </row>
    <row r="42" spans="1:32" s="20" customFormat="1" ht="25.9" thickBot="1">
      <c r="S42" s="177">
        <f>SUM(Q6:Q42)</f>
        <v>52700000</v>
      </c>
    </row>
    <row r="43" spans="1:32" ht="22.9">
      <c r="A43" s="9" t="s">
        <v>85</v>
      </c>
      <c r="B43" s="10"/>
      <c r="C43" s="10"/>
      <c r="D43" s="11"/>
      <c r="E43" s="12"/>
      <c r="F43" s="13"/>
      <c r="G43" s="13"/>
      <c r="H43" s="14"/>
      <c r="I43" s="13"/>
      <c r="J43" s="13"/>
      <c r="K43" s="13"/>
      <c r="L43" s="13"/>
      <c r="M43" s="13"/>
      <c r="N43" s="13"/>
      <c r="O43" s="13"/>
      <c r="P43" s="13"/>
      <c r="Q43" s="15"/>
      <c r="R43" s="16"/>
      <c r="S43" s="2"/>
      <c r="T43" s="16"/>
      <c r="U43" s="18"/>
      <c r="V43" s="19"/>
    </row>
    <row r="44" spans="1:32" s="20" customFormat="1" ht="57">
      <c r="A44" s="315">
        <v>2.2000000000000002</v>
      </c>
      <c r="B44" s="270" t="s">
        <v>86</v>
      </c>
      <c r="C44" s="264" t="s">
        <v>87</v>
      </c>
      <c r="D44" s="264" t="s">
        <v>88</v>
      </c>
      <c r="E44" s="264" t="s">
        <v>51</v>
      </c>
      <c r="F44" s="268">
        <v>570000</v>
      </c>
      <c r="G44" s="264" t="s">
        <v>89</v>
      </c>
      <c r="H44" s="271">
        <f t="shared" ref="H44" si="20">SUM(I44,K44,M44,O44)</f>
        <v>1</v>
      </c>
      <c r="I44" s="272">
        <v>0.35</v>
      </c>
      <c r="J44" s="267">
        <f t="shared" ref="J44" si="21">$F44*I44</f>
        <v>199500</v>
      </c>
      <c r="K44" s="272">
        <v>0.35</v>
      </c>
      <c r="L44" s="267">
        <f t="shared" ref="L44" si="22">$F44*K44</f>
        <v>199500</v>
      </c>
      <c r="M44" s="272">
        <v>0.3</v>
      </c>
      <c r="N44" s="267">
        <f t="shared" ref="N44:N52" si="23">$F44*M44</f>
        <v>171000</v>
      </c>
      <c r="O44" s="272"/>
      <c r="P44" s="267">
        <f t="shared" ref="P44:P52" si="24">$F44*O44</f>
        <v>0</v>
      </c>
      <c r="Q44" s="330">
        <f>SUM(J44,L44,N44,P44)</f>
        <v>570000</v>
      </c>
      <c r="R44" s="269">
        <f>SUM(Q44:Q47)</f>
        <v>5750000</v>
      </c>
      <c r="S44" s="264"/>
      <c r="T44" s="264"/>
      <c r="U44" s="264"/>
      <c r="V44" s="264"/>
    </row>
    <row r="45" spans="1:32" s="20" customFormat="1" ht="85.5">
      <c r="A45" s="315">
        <v>2.1</v>
      </c>
      <c r="C45" s="20" t="s">
        <v>90</v>
      </c>
      <c r="D45" s="20" t="s">
        <v>91</v>
      </c>
      <c r="E45" s="20" t="s">
        <v>44</v>
      </c>
      <c r="F45" s="26">
        <v>1000000</v>
      </c>
      <c r="H45" s="104">
        <f t="shared" ref="H45:H66" si="25">SUM(I45,K45,M45,O45)</f>
        <v>1</v>
      </c>
      <c r="I45" s="27">
        <v>0.2</v>
      </c>
      <c r="J45" s="24">
        <f t="shared" ref="J45:J66" si="26">$F45*I45</f>
        <v>200000</v>
      </c>
      <c r="K45" s="27">
        <v>0.8</v>
      </c>
      <c r="L45" s="24">
        <f t="shared" ref="L45:L66" si="27">$F45*K45</f>
        <v>800000</v>
      </c>
      <c r="M45" s="27"/>
      <c r="N45" s="24">
        <f t="shared" si="23"/>
        <v>0</v>
      </c>
      <c r="O45" s="27"/>
      <c r="P45" s="24">
        <f t="shared" si="24"/>
        <v>0</v>
      </c>
      <c r="Q45" s="330">
        <f t="shared" ref="Q45:Q52" si="28">SUM(J45,L45,N45,P45)</f>
        <v>1000000</v>
      </c>
      <c r="X45" s="121"/>
      <c r="Y45" s="92"/>
      <c r="AA45" s="92"/>
      <c r="AC45" s="92">
        <f>SUM(N45,N53)</f>
        <v>0</v>
      </c>
      <c r="AE45" s="92">
        <f>SUM(P45,P53)</f>
        <v>0</v>
      </c>
      <c r="AF45" s="92">
        <f>SUM(Y45:AE45)</f>
        <v>0</v>
      </c>
    </row>
    <row r="46" spans="1:32" s="20" customFormat="1" ht="156.75">
      <c r="A46" s="315">
        <v>2.1</v>
      </c>
      <c r="C46" s="20" t="s">
        <v>92</v>
      </c>
      <c r="D46" s="20" t="s">
        <v>93</v>
      </c>
      <c r="E46" s="20" t="s">
        <v>51</v>
      </c>
      <c r="F46" s="26">
        <v>1629600</v>
      </c>
      <c r="G46" s="20" t="s">
        <v>94</v>
      </c>
      <c r="H46" s="104">
        <f t="shared" ref="H46" si="29">SUM(I46,K46,M46,O46)</f>
        <v>2.5</v>
      </c>
      <c r="I46" s="27">
        <v>0.5</v>
      </c>
      <c r="J46" s="24">
        <f>$F46*I46</f>
        <v>814800</v>
      </c>
      <c r="K46" s="27">
        <v>1</v>
      </c>
      <c r="L46" s="24">
        <f>$F46*K46</f>
        <v>1629600</v>
      </c>
      <c r="M46" s="27">
        <v>1</v>
      </c>
      <c r="N46" s="24">
        <f t="shared" si="23"/>
        <v>1629600</v>
      </c>
      <c r="O46" s="27"/>
      <c r="P46" s="24">
        <f t="shared" si="24"/>
        <v>0</v>
      </c>
      <c r="Q46" s="330">
        <f t="shared" si="28"/>
        <v>4074000</v>
      </c>
      <c r="X46" s="121"/>
      <c r="Y46" s="92"/>
      <c r="Z46" s="92"/>
      <c r="AA46" s="92"/>
      <c r="AB46" s="92"/>
      <c r="AC46" s="92">
        <f>SUM(N46:N46)</f>
        <v>1629600</v>
      </c>
      <c r="AF46" s="92">
        <f>SUM(Y46:AE46)</f>
        <v>1629600</v>
      </c>
    </row>
    <row r="47" spans="1:32" s="20" customFormat="1" ht="42.75">
      <c r="A47" s="316">
        <v>2.1</v>
      </c>
      <c r="C47" s="20" t="s">
        <v>95</v>
      </c>
      <c r="D47" s="20" t="s">
        <v>96</v>
      </c>
      <c r="E47" s="20" t="s">
        <v>97</v>
      </c>
      <c r="F47" s="26">
        <v>1000</v>
      </c>
      <c r="G47" s="20" t="s">
        <v>98</v>
      </c>
      <c r="H47" s="104">
        <f t="shared" ref="H47" si="30">SUM(I47,K47,M47,O47)</f>
        <v>106</v>
      </c>
      <c r="I47" s="27"/>
      <c r="J47" s="24">
        <f>$F47*I47</f>
        <v>0</v>
      </c>
      <c r="K47" s="191">
        <f>SUM(Parametros!G17,Parametros!G20)</f>
        <v>42</v>
      </c>
      <c r="L47" s="24">
        <f>$F47*K47</f>
        <v>42000</v>
      </c>
      <c r="M47" s="191">
        <f>SUM(K47,Parametros!H17,Parametros!H20)</f>
        <v>64</v>
      </c>
      <c r="N47" s="24">
        <f t="shared" si="23"/>
        <v>64000</v>
      </c>
      <c r="O47" s="27"/>
      <c r="P47" s="24">
        <f t="shared" si="24"/>
        <v>0</v>
      </c>
      <c r="Q47" s="332">
        <f t="shared" ref="Q47" si="31">SUM(J47,L47,N47,P47)</f>
        <v>106000</v>
      </c>
      <c r="X47" s="121"/>
      <c r="Y47" s="92"/>
      <c r="Z47" s="92"/>
      <c r="AA47" s="92"/>
      <c r="AB47" s="92"/>
      <c r="AC47" s="92"/>
      <c r="AF47" s="92"/>
    </row>
    <row r="48" spans="1:32" s="20" customFormat="1" ht="31.5">
      <c r="B48" s="270" t="s">
        <v>99</v>
      </c>
      <c r="C48" s="264" t="s">
        <v>100</v>
      </c>
      <c r="D48" s="264"/>
      <c r="E48" s="264"/>
      <c r="F48" s="268"/>
      <c r="G48" s="264"/>
      <c r="H48" s="271"/>
      <c r="I48" s="272"/>
      <c r="J48" s="267"/>
      <c r="K48" s="272"/>
      <c r="L48" s="267"/>
      <c r="M48" s="272"/>
      <c r="N48" s="267"/>
      <c r="O48" s="272"/>
      <c r="P48" s="267"/>
      <c r="Q48" s="265"/>
      <c r="R48" s="269">
        <f>SUM(Q48:Q52)</f>
        <v>4250000</v>
      </c>
      <c r="S48" s="264"/>
      <c r="T48" s="264"/>
      <c r="U48" s="264"/>
      <c r="V48" s="264"/>
      <c r="X48" s="121">
        <f>SUM(R44:R48)</f>
        <v>10000000</v>
      </c>
      <c r="Y48" s="92"/>
      <c r="Z48" s="92"/>
      <c r="AA48" s="92"/>
      <c r="AB48" s="92"/>
      <c r="AC48" s="92"/>
      <c r="AF48" s="92"/>
    </row>
    <row r="49" spans="1:32" s="20" customFormat="1" ht="21">
      <c r="A49" s="316">
        <v>2.1</v>
      </c>
      <c r="B49" s="312"/>
      <c r="D49" s="20" t="s">
        <v>101</v>
      </c>
      <c r="E49" s="264" t="s">
        <v>102</v>
      </c>
      <c r="F49" s="268">
        <v>1000000</v>
      </c>
      <c r="G49" s="264" t="s">
        <v>35</v>
      </c>
      <c r="H49" s="271">
        <f t="shared" ref="H49:H50" si="32">SUM(I49,K49,M49,O49)</f>
        <v>1</v>
      </c>
      <c r="I49" s="272">
        <v>0.25</v>
      </c>
      <c r="J49" s="267">
        <f t="shared" ref="J49:J50" si="33">$F49*I49</f>
        <v>250000</v>
      </c>
      <c r="K49" s="272">
        <v>0.4</v>
      </c>
      <c r="L49" s="267">
        <f t="shared" ref="L49:L50" si="34">$F49*K49</f>
        <v>400000</v>
      </c>
      <c r="M49" s="272">
        <v>0.35</v>
      </c>
      <c r="N49" s="267">
        <f t="shared" ref="N49:N50" si="35">$F49*M49</f>
        <v>350000</v>
      </c>
      <c r="O49" s="272"/>
      <c r="P49" s="267">
        <f t="shared" ref="P49:P50" si="36">$F49*O49</f>
        <v>0</v>
      </c>
      <c r="Q49" s="332">
        <f t="shared" ref="Q49:Q50" si="37">SUM(J49,L49,N49,P49)</f>
        <v>1000000</v>
      </c>
      <c r="R49" s="179"/>
      <c r="X49" s="121"/>
      <c r="Y49" s="92"/>
      <c r="Z49" s="92"/>
      <c r="AA49" s="92"/>
      <c r="AB49" s="92"/>
      <c r="AC49" s="92"/>
      <c r="AF49" s="92"/>
    </row>
    <row r="50" spans="1:32" s="20" customFormat="1" ht="21">
      <c r="A50" s="316">
        <v>2.1</v>
      </c>
      <c r="B50" s="312"/>
      <c r="D50" s="20" t="s">
        <v>103</v>
      </c>
      <c r="E50" s="264" t="s">
        <v>102</v>
      </c>
      <c r="F50" s="268">
        <v>3000000</v>
      </c>
      <c r="G50" s="264" t="s">
        <v>35</v>
      </c>
      <c r="H50" s="271">
        <f t="shared" si="32"/>
        <v>1</v>
      </c>
      <c r="I50" s="272">
        <v>0.25</v>
      </c>
      <c r="J50" s="267">
        <f t="shared" si="33"/>
        <v>750000</v>
      </c>
      <c r="K50" s="272">
        <v>0.4</v>
      </c>
      <c r="L50" s="267">
        <f t="shared" si="34"/>
        <v>1200000</v>
      </c>
      <c r="M50" s="272">
        <v>0.35</v>
      </c>
      <c r="N50" s="267">
        <f t="shared" si="35"/>
        <v>1050000</v>
      </c>
      <c r="O50" s="272"/>
      <c r="P50" s="267">
        <f t="shared" si="36"/>
        <v>0</v>
      </c>
      <c r="Q50" s="332">
        <f t="shared" si="37"/>
        <v>3000000</v>
      </c>
      <c r="R50" s="179"/>
      <c r="X50" s="121"/>
      <c r="Y50" s="92"/>
      <c r="Z50" s="92"/>
      <c r="AA50" s="92"/>
      <c r="AB50" s="92"/>
      <c r="AC50" s="92"/>
      <c r="AF50" s="92"/>
    </row>
    <row r="51" spans="1:32" s="20" customFormat="1" ht="21.4" thickBot="1">
      <c r="A51" s="316">
        <v>2.1</v>
      </c>
      <c r="B51" s="312"/>
      <c r="E51" s="264"/>
      <c r="F51" s="268"/>
      <c r="G51" s="264"/>
      <c r="H51" s="271"/>
      <c r="I51" s="272"/>
      <c r="J51" s="267"/>
      <c r="K51" s="272"/>
      <c r="L51" s="267"/>
      <c r="M51" s="272"/>
      <c r="N51" s="267"/>
      <c r="O51" s="272"/>
      <c r="P51" s="267"/>
      <c r="Q51" s="332"/>
      <c r="R51" s="179"/>
      <c r="X51" s="121"/>
      <c r="Y51" s="92"/>
      <c r="Z51" s="92"/>
      <c r="AA51" s="92"/>
      <c r="AB51" s="92"/>
      <c r="AC51" s="92"/>
      <c r="AF51" s="92"/>
    </row>
    <row r="52" spans="1:32" s="20" customFormat="1" ht="28.9" thickBot="1">
      <c r="A52" s="315">
        <v>2.1</v>
      </c>
      <c r="C52" s="20" t="s">
        <v>104</v>
      </c>
      <c r="D52" s="20" t="s">
        <v>105</v>
      </c>
      <c r="E52" s="20" t="s">
        <v>51</v>
      </c>
      <c r="F52" s="26">
        <v>250000</v>
      </c>
      <c r="G52" s="20" t="s">
        <v>89</v>
      </c>
      <c r="H52" s="104">
        <f t="shared" ref="H52" si="38">SUM(I52,K52,M52,O52)</f>
        <v>1</v>
      </c>
      <c r="I52" s="27">
        <v>0.4</v>
      </c>
      <c r="J52" s="24">
        <f>$F52*I52</f>
        <v>100000</v>
      </c>
      <c r="K52" s="27">
        <v>0.3</v>
      </c>
      <c r="L52" s="24">
        <f>$F52*K52</f>
        <v>75000</v>
      </c>
      <c r="M52" s="27">
        <v>0.3</v>
      </c>
      <c r="N52" s="24">
        <f t="shared" si="23"/>
        <v>75000</v>
      </c>
      <c r="O52" s="27"/>
      <c r="P52" s="24">
        <f t="shared" si="24"/>
        <v>0</v>
      </c>
      <c r="Q52" s="330">
        <f t="shared" si="28"/>
        <v>250000</v>
      </c>
      <c r="S52" s="177">
        <f>SUM(Q44:Q52)</f>
        <v>10000000</v>
      </c>
    </row>
    <row r="53" spans="1:32" s="20" customFormat="1" ht="22.9">
      <c r="A53" s="9" t="s">
        <v>106</v>
      </c>
      <c r="B53" s="10"/>
      <c r="C53" s="10"/>
      <c r="D53" s="11"/>
      <c r="E53" s="12"/>
      <c r="F53" s="13"/>
      <c r="G53" s="13"/>
      <c r="H53" s="14"/>
      <c r="I53" s="13"/>
      <c r="J53" s="13"/>
      <c r="K53" s="13"/>
      <c r="L53" s="13"/>
      <c r="M53" s="13"/>
      <c r="N53" s="13"/>
      <c r="O53" s="13"/>
      <c r="P53" s="13"/>
      <c r="Q53" s="15"/>
      <c r="R53" s="16"/>
      <c r="S53" s="2"/>
      <c r="T53" s="16"/>
      <c r="U53" s="18"/>
      <c r="V53" s="19"/>
    </row>
    <row r="54" spans="1:32" s="20" customFormat="1" ht="94.5">
      <c r="B54" s="270" t="s">
        <v>107</v>
      </c>
      <c r="C54" s="264"/>
      <c r="D54" s="264"/>
      <c r="E54" s="264"/>
      <c r="F54" s="268"/>
      <c r="G54" s="264"/>
      <c r="H54" s="271"/>
      <c r="I54" s="272"/>
      <c r="J54" s="267"/>
      <c r="K54" s="272"/>
      <c r="L54" s="267"/>
      <c r="M54" s="272"/>
      <c r="N54" s="267"/>
      <c r="O54" s="272"/>
      <c r="P54" s="267"/>
      <c r="Q54" s="265"/>
      <c r="R54" s="269">
        <f>SUM(Q55:Q59)</f>
        <v>660000</v>
      </c>
      <c r="S54" s="264"/>
      <c r="T54" s="264"/>
      <c r="U54" s="264"/>
      <c r="V54" s="264"/>
      <c r="X54" s="124"/>
      <c r="Y54" s="125"/>
      <c r="Z54" s="124"/>
      <c r="AA54" s="125"/>
      <c r="AB54" s="124">
        <f>SUM(N66:N70)</f>
        <v>337400</v>
      </c>
      <c r="AC54" s="125"/>
      <c r="AD54" s="124">
        <f>SUM(P66:P70)</f>
        <v>0</v>
      </c>
    </row>
    <row r="55" spans="1:32" s="20" customFormat="1" ht="132" customHeight="1">
      <c r="A55" s="315">
        <v>3.2</v>
      </c>
      <c r="C55" s="20" t="s">
        <v>108</v>
      </c>
      <c r="D55" s="20" t="s">
        <v>109</v>
      </c>
      <c r="E55" s="20" t="s">
        <v>51</v>
      </c>
      <c r="F55" s="26">
        <v>400000</v>
      </c>
      <c r="G55" s="20" t="s">
        <v>89</v>
      </c>
      <c r="H55" s="104">
        <f t="shared" ref="H55" si="39">SUM(I55,K55,M55,O55)</f>
        <v>1</v>
      </c>
      <c r="I55" s="27">
        <v>0.2</v>
      </c>
      <c r="J55" s="24">
        <f t="shared" ref="J55" si="40">$F55*I55</f>
        <v>80000</v>
      </c>
      <c r="K55" s="27">
        <v>0.8</v>
      </c>
      <c r="L55" s="24">
        <f t="shared" ref="L55" si="41">$F55*K55</f>
        <v>320000</v>
      </c>
      <c r="M55" s="27"/>
      <c r="N55" s="24">
        <f>$F55*M55</f>
        <v>0</v>
      </c>
      <c r="O55" s="27"/>
      <c r="P55" s="24">
        <f>$F55*O55</f>
        <v>0</v>
      </c>
      <c r="Q55" s="330">
        <f t="shared" ref="Q55" si="42">SUM(J55,L55,N55,P55)</f>
        <v>400000</v>
      </c>
      <c r="R55" s="179"/>
      <c r="X55" s="124"/>
      <c r="Y55" s="125"/>
      <c r="Z55" s="124"/>
      <c r="AA55" s="125"/>
      <c r="AB55" s="124"/>
      <c r="AC55" s="125"/>
      <c r="AD55" s="124"/>
    </row>
    <row r="56" spans="1:32" s="20" customFormat="1" ht="71.25">
      <c r="A56" s="315">
        <v>3.2</v>
      </c>
      <c r="D56" s="20" t="s">
        <v>110</v>
      </c>
      <c r="E56" s="20" t="s">
        <v>51</v>
      </c>
      <c r="F56" s="26">
        <v>10000</v>
      </c>
      <c r="G56" s="20" t="s">
        <v>111</v>
      </c>
      <c r="H56" s="104">
        <f t="shared" ref="H56" si="43">SUM(I56,K56,M56,O56)</f>
        <v>10</v>
      </c>
      <c r="I56" s="27">
        <v>10</v>
      </c>
      <c r="J56" s="24">
        <f t="shared" ref="J56" si="44">$F56*I56</f>
        <v>100000</v>
      </c>
      <c r="K56" s="27"/>
      <c r="L56" s="24">
        <f t="shared" ref="L56" si="45">$F56*K56</f>
        <v>0</v>
      </c>
      <c r="M56" s="27"/>
      <c r="N56" s="24">
        <f>$F56*M56</f>
        <v>0</v>
      </c>
      <c r="O56" s="27"/>
      <c r="P56" s="24">
        <f>$F56*O56</f>
        <v>0</v>
      </c>
      <c r="Q56" s="330">
        <f t="shared" ref="Q56" si="46">SUM(J56,L56,N56,P56)</f>
        <v>100000</v>
      </c>
      <c r="R56" s="179"/>
      <c r="X56" s="124"/>
      <c r="Y56" s="125"/>
      <c r="Z56" s="124"/>
      <c r="AA56" s="125"/>
      <c r="AB56" s="124"/>
      <c r="AC56" s="125"/>
      <c r="AD56" s="124"/>
    </row>
    <row r="57" spans="1:32" ht="85.5">
      <c r="A57" s="315">
        <v>3.2</v>
      </c>
      <c r="C57" s="343" t="s">
        <v>112</v>
      </c>
      <c r="D57" s="343" t="s">
        <v>113</v>
      </c>
      <c r="E57" s="20" t="s">
        <v>51</v>
      </c>
      <c r="F57" s="26">
        <v>60000</v>
      </c>
      <c r="G57" s="20" t="s">
        <v>89</v>
      </c>
      <c r="H57" s="104">
        <f t="shared" ref="H57:H58" si="47">SUM(I57,K57,M57,O57)</f>
        <v>1</v>
      </c>
      <c r="I57" s="27">
        <v>0.6</v>
      </c>
      <c r="J57" s="24">
        <f t="shared" ref="J57:J58" si="48">$F57*I57</f>
        <v>36000</v>
      </c>
      <c r="K57" s="27">
        <v>0.4</v>
      </c>
      <c r="L57" s="24">
        <f t="shared" ref="L57:L58" si="49">$F57*K57</f>
        <v>24000</v>
      </c>
      <c r="M57" s="27"/>
      <c r="N57" s="24">
        <f t="shared" ref="N57:N58" si="50">$F57*M57</f>
        <v>0</v>
      </c>
      <c r="O57" s="27"/>
      <c r="P57" s="24">
        <f t="shared" ref="P57:P58" si="51">$F57*O57</f>
        <v>0</v>
      </c>
      <c r="Q57" s="330">
        <f>SUM(J57,L57,N57,P57)</f>
        <v>60000</v>
      </c>
    </row>
    <row r="58" spans="1:32" ht="42.75">
      <c r="A58" s="315">
        <v>3.2</v>
      </c>
      <c r="C58" s="343" t="s">
        <v>114</v>
      </c>
      <c r="D58" s="343" t="s">
        <v>115</v>
      </c>
      <c r="E58" s="20" t="s">
        <v>51</v>
      </c>
      <c r="F58" s="26">
        <v>100000</v>
      </c>
      <c r="G58" s="20" t="s">
        <v>89</v>
      </c>
      <c r="H58" s="104">
        <f t="shared" si="47"/>
        <v>1</v>
      </c>
      <c r="I58" s="27">
        <v>0.4</v>
      </c>
      <c r="J58" s="24">
        <f t="shared" si="48"/>
        <v>40000</v>
      </c>
      <c r="K58" s="27">
        <v>0.6</v>
      </c>
      <c r="L58" s="24">
        <f t="shared" si="49"/>
        <v>60000</v>
      </c>
      <c r="M58" s="27"/>
      <c r="N58" s="24">
        <f t="shared" si="50"/>
        <v>0</v>
      </c>
      <c r="O58" s="27"/>
      <c r="P58" s="24">
        <f t="shared" si="51"/>
        <v>0</v>
      </c>
      <c r="Q58" s="22">
        <f t="shared" ref="Q58" si="52">SUM(J58,L58,N58,P58)</f>
        <v>100000</v>
      </c>
    </row>
    <row r="59" spans="1:32">
      <c r="C59" s="319"/>
    </row>
    <row r="60" spans="1:32" s="20" customFormat="1" ht="78.75">
      <c r="B60" s="270" t="s">
        <v>116</v>
      </c>
      <c r="C60" s="264"/>
      <c r="D60" s="264"/>
      <c r="E60" s="264"/>
      <c r="F60" s="268"/>
      <c r="G60" s="264"/>
      <c r="H60" s="271"/>
      <c r="I60" s="272"/>
      <c r="J60" s="267"/>
      <c r="K60" s="272"/>
      <c r="L60" s="267"/>
      <c r="M60" s="272"/>
      <c r="N60" s="267"/>
      <c r="O60" s="272"/>
      <c r="P60" s="267"/>
      <c r="Q60" s="265"/>
      <c r="R60" s="269">
        <f>SUM(Q62:Q64)</f>
        <v>1846000</v>
      </c>
      <c r="S60" s="264"/>
      <c r="T60" s="264"/>
      <c r="U60" s="264"/>
      <c r="V60" s="264"/>
      <c r="X60" s="124"/>
      <c r="Y60" s="125"/>
      <c r="Z60" s="124"/>
      <c r="AA60" s="125"/>
      <c r="AB60" s="124"/>
      <c r="AC60" s="125"/>
      <c r="AD60" s="124"/>
    </row>
    <row r="61" spans="1:32" s="20" customFormat="1" ht="28.5">
      <c r="B61" s="312"/>
      <c r="C61" s="20" t="s">
        <v>117</v>
      </c>
      <c r="F61" s="26"/>
      <c r="H61" s="104"/>
      <c r="I61" s="27"/>
      <c r="J61" s="24"/>
      <c r="K61" s="27"/>
      <c r="L61" s="24"/>
      <c r="M61" s="27"/>
      <c r="N61" s="24"/>
      <c r="O61" s="27"/>
      <c r="P61" s="24"/>
      <c r="Q61" s="22"/>
      <c r="R61" s="179"/>
      <c r="X61" s="124"/>
      <c r="Y61" s="125"/>
      <c r="Z61" s="124"/>
      <c r="AA61" s="125"/>
      <c r="AB61" s="124"/>
      <c r="AC61" s="125"/>
      <c r="AD61" s="124"/>
    </row>
    <row r="62" spans="1:32" s="20" customFormat="1" ht="57">
      <c r="A62" s="315">
        <v>3.1</v>
      </c>
      <c r="C62" s="263" t="s">
        <v>118</v>
      </c>
      <c r="D62" s="20" t="s">
        <v>119</v>
      </c>
      <c r="E62" s="20" t="s">
        <v>44</v>
      </c>
      <c r="F62" s="26">
        <v>10000</v>
      </c>
      <c r="G62" s="20" t="s">
        <v>111</v>
      </c>
      <c r="H62" s="104">
        <f t="shared" ref="H62" si="53">SUM(I62,K62,M62,O62)</f>
        <v>10</v>
      </c>
      <c r="I62" s="27">
        <v>10</v>
      </c>
      <c r="J62" s="24">
        <f>$F62*I62</f>
        <v>100000</v>
      </c>
      <c r="K62" s="27"/>
      <c r="L62" s="24">
        <f>$F62*K62</f>
        <v>0</v>
      </c>
      <c r="M62" s="27"/>
      <c r="N62" s="24">
        <f>$F62*M62</f>
        <v>0</v>
      </c>
      <c r="O62" s="27"/>
      <c r="P62" s="24">
        <f>$F62*O62</f>
        <v>0</v>
      </c>
      <c r="Q62" s="330">
        <f t="shared" ref="Q62" si="54">SUM(J62,L62,N62,P62)</f>
        <v>100000</v>
      </c>
      <c r="R62" s="179"/>
      <c r="X62" s="124"/>
      <c r="Y62" s="125"/>
      <c r="Z62" s="124"/>
      <c r="AA62" s="125"/>
      <c r="AB62" s="124"/>
      <c r="AC62" s="125"/>
      <c r="AD62" s="124"/>
    </row>
    <row r="63" spans="1:32" s="20" customFormat="1" ht="57">
      <c r="A63" s="315">
        <v>3.2</v>
      </c>
      <c r="C63" s="263" t="s">
        <v>120</v>
      </c>
      <c r="D63" s="20" t="s">
        <v>121</v>
      </c>
      <c r="E63" s="20" t="s">
        <v>122</v>
      </c>
      <c r="F63" s="26">
        <v>57600</v>
      </c>
      <c r="G63" s="20" t="s">
        <v>123</v>
      </c>
      <c r="H63" s="104">
        <f t="shared" ref="H63" si="55">SUM(I63,K63,M63,O63)</f>
        <v>30</v>
      </c>
      <c r="I63" s="27">
        <v>10</v>
      </c>
      <c r="J63" s="24">
        <f>$F63*I63</f>
        <v>576000</v>
      </c>
      <c r="K63" s="27">
        <v>10</v>
      </c>
      <c r="L63" s="24">
        <f>$F63*K63</f>
        <v>576000</v>
      </c>
      <c r="M63" s="27">
        <v>10</v>
      </c>
      <c r="N63" s="24">
        <f>$F63*M63</f>
        <v>576000</v>
      </c>
      <c r="O63" s="27"/>
      <c r="P63" s="24">
        <f>$F63*O63</f>
        <v>0</v>
      </c>
      <c r="Q63" s="330">
        <f t="shared" ref="Q63" si="56">SUM(J63,L63,N63,P63)</f>
        <v>1728000</v>
      </c>
      <c r="R63" s="179"/>
      <c r="X63" s="124"/>
      <c r="Y63" s="125"/>
      <c r="Z63" s="124"/>
      <c r="AA63" s="125"/>
      <c r="AB63" s="124"/>
      <c r="AC63" s="125"/>
      <c r="AD63" s="124"/>
    </row>
    <row r="64" spans="1:32" s="20" customFormat="1" ht="28.5">
      <c r="A64" s="316">
        <v>3.2</v>
      </c>
      <c r="C64" s="263" t="s">
        <v>124</v>
      </c>
      <c r="D64" s="20" t="s">
        <v>125</v>
      </c>
      <c r="E64" s="20" t="s">
        <v>56</v>
      </c>
      <c r="F64" s="26">
        <v>500</v>
      </c>
      <c r="G64" s="20" t="s">
        <v>126</v>
      </c>
      <c r="H64" s="104">
        <f t="shared" ref="H64" si="57">SUM(I64,K64,M64,O64)</f>
        <v>36</v>
      </c>
      <c r="I64" s="27">
        <v>12</v>
      </c>
      <c r="J64" s="24">
        <f>$F64*I64</f>
        <v>6000</v>
      </c>
      <c r="K64" s="27">
        <v>12</v>
      </c>
      <c r="L64" s="24">
        <f>$F64*K64</f>
        <v>6000</v>
      </c>
      <c r="M64" s="27">
        <v>12</v>
      </c>
      <c r="N64" s="24">
        <f>$F64*M64</f>
        <v>6000</v>
      </c>
      <c r="O64" s="27"/>
      <c r="P64" s="24">
        <f>$F64*O64</f>
        <v>0</v>
      </c>
      <c r="Q64" s="22">
        <f t="shared" ref="Q64" si="58">SUM(J64,L64,N64,P64)</f>
        <v>18000</v>
      </c>
      <c r="R64" s="179"/>
      <c r="X64" s="124"/>
      <c r="Y64" s="125"/>
      <c r="Z64" s="124"/>
      <c r="AA64" s="125"/>
      <c r="AB64" s="124"/>
      <c r="AC64" s="125"/>
      <c r="AD64" s="124"/>
    </row>
    <row r="65" spans="1:30" s="20" customFormat="1" ht="63">
      <c r="B65" s="270" t="s">
        <v>127</v>
      </c>
      <c r="C65" s="264"/>
      <c r="D65" s="264"/>
      <c r="E65" s="264"/>
      <c r="F65" s="268"/>
      <c r="G65" s="264"/>
      <c r="H65" s="271"/>
      <c r="I65" s="272"/>
      <c r="J65" s="267"/>
      <c r="K65" s="272"/>
      <c r="L65" s="267"/>
      <c r="M65" s="272"/>
      <c r="N65" s="267"/>
      <c r="O65" s="272"/>
      <c r="P65" s="267"/>
      <c r="Q65" s="265"/>
      <c r="R65" s="269">
        <f>SUM(Q66:Q69)</f>
        <v>1094000</v>
      </c>
      <c r="S65" s="264"/>
      <c r="T65" s="264"/>
      <c r="U65" s="264"/>
      <c r="V65" s="264"/>
      <c r="X65" s="124"/>
      <c r="Y65" s="125"/>
      <c r="Z65" s="124"/>
      <c r="AA65" s="125"/>
      <c r="AB65" s="124"/>
      <c r="AC65" s="125"/>
      <c r="AD65" s="124"/>
    </row>
    <row r="66" spans="1:30" s="20" customFormat="1" ht="57">
      <c r="A66" s="315">
        <v>3.4</v>
      </c>
      <c r="C66" s="20" t="s">
        <v>128</v>
      </c>
      <c r="D66" s="20" t="s">
        <v>129</v>
      </c>
      <c r="E66" s="20" t="s">
        <v>51</v>
      </c>
      <c r="F66" s="26">
        <v>30000</v>
      </c>
      <c r="H66" s="104">
        <f t="shared" si="25"/>
        <v>1</v>
      </c>
      <c r="I66" s="27">
        <v>1</v>
      </c>
      <c r="J66" s="24">
        <f t="shared" si="26"/>
        <v>30000</v>
      </c>
      <c r="K66" s="27"/>
      <c r="L66" s="24">
        <f t="shared" si="27"/>
        <v>0</v>
      </c>
      <c r="M66" s="27"/>
      <c r="N66" s="24">
        <f>$F66*M66</f>
        <v>0</v>
      </c>
      <c r="O66" s="27"/>
      <c r="P66" s="24">
        <f>$F66*O66</f>
        <v>0</v>
      </c>
      <c r="Q66" s="330">
        <f t="shared" ref="Q66" si="59">SUM(J66,L66,N66,P66)</f>
        <v>30000</v>
      </c>
    </row>
    <row r="67" spans="1:30" s="20" customFormat="1" ht="28.5">
      <c r="A67" s="315">
        <v>3.4</v>
      </c>
      <c r="D67" s="20" t="s">
        <v>130</v>
      </c>
      <c r="E67" s="20" t="s">
        <v>51</v>
      </c>
      <c r="F67" s="22">
        <v>500000</v>
      </c>
      <c r="H67" s="104">
        <f>SUM(I67,K67,M67,O67)</f>
        <v>1</v>
      </c>
      <c r="I67" s="27">
        <v>0.25</v>
      </c>
      <c r="J67" s="24">
        <f t="shared" ref="J67" si="60">$F67*I67</f>
        <v>125000</v>
      </c>
      <c r="K67" s="190">
        <v>0.4</v>
      </c>
      <c r="L67" s="24">
        <f t="shared" ref="L67" si="61">$F67*K67</f>
        <v>200000</v>
      </c>
      <c r="M67" s="190">
        <v>0.35</v>
      </c>
      <c r="N67" s="24">
        <f>$F67*M67</f>
        <v>175000</v>
      </c>
      <c r="O67" s="27"/>
      <c r="P67" s="24">
        <f>$F67*O67</f>
        <v>0</v>
      </c>
      <c r="Q67" s="330">
        <f t="shared" ref="Q67" si="62">SUM(J67,L67,N67,P67)</f>
        <v>500000</v>
      </c>
    </row>
    <row r="68" spans="1:30" s="20" customFormat="1" ht="71.25">
      <c r="A68" s="315">
        <v>3.5</v>
      </c>
      <c r="C68" s="20" t="s">
        <v>131</v>
      </c>
      <c r="D68" s="20" t="s">
        <v>132</v>
      </c>
      <c r="E68" s="20" t="s">
        <v>51</v>
      </c>
      <c r="F68" s="22">
        <v>464000</v>
      </c>
      <c r="H68" s="104">
        <f t="shared" ref="H68" si="63">SUM(I68,K68,M68,O68)</f>
        <v>1</v>
      </c>
      <c r="I68" s="27">
        <v>0.25</v>
      </c>
      <c r="J68" s="24">
        <f t="shared" ref="J68" si="64">$F68*I68</f>
        <v>116000</v>
      </c>
      <c r="K68" s="190">
        <v>0.4</v>
      </c>
      <c r="L68" s="24">
        <f t="shared" ref="L68" si="65">$F68*K68</f>
        <v>185600</v>
      </c>
      <c r="M68" s="190">
        <v>0.35</v>
      </c>
      <c r="N68" s="24">
        <f>$F68*M68</f>
        <v>162400</v>
      </c>
      <c r="O68" s="27"/>
      <c r="P68" s="24">
        <f>$F68*O68</f>
        <v>0</v>
      </c>
      <c r="Q68" s="330">
        <f t="shared" ref="Q68" si="66">SUM(J68,L68,N68,P68)</f>
        <v>464000</v>
      </c>
      <c r="X68" s="121"/>
    </row>
    <row r="69" spans="1:30" s="20" customFormat="1" ht="28.5">
      <c r="A69" s="315">
        <v>3.5</v>
      </c>
      <c r="C69" s="20" t="s">
        <v>133</v>
      </c>
      <c r="D69" s="20" t="s">
        <v>105</v>
      </c>
      <c r="E69" s="20" t="s">
        <v>51</v>
      </c>
      <c r="F69" s="26">
        <v>100000</v>
      </c>
      <c r="H69" s="104">
        <f t="shared" ref="H69" si="67">SUM(I69,K69,M69,O69)</f>
        <v>1</v>
      </c>
      <c r="I69" s="27">
        <v>0.2</v>
      </c>
      <c r="J69" s="24">
        <f t="shared" ref="J69" si="68">$F69*I69</f>
        <v>20000</v>
      </c>
      <c r="K69" s="190">
        <v>0.8</v>
      </c>
      <c r="L69" s="24">
        <f t="shared" ref="L69" si="69">$F69*K69</f>
        <v>80000</v>
      </c>
      <c r="M69" s="190"/>
      <c r="N69" s="24">
        <f>$F69*M69</f>
        <v>0</v>
      </c>
      <c r="O69" s="27"/>
      <c r="P69" s="24">
        <f>$F69*O69</f>
        <v>0</v>
      </c>
      <c r="Q69" s="330">
        <f t="shared" ref="Q69" si="70">SUM(J69,L69,N69,P69)</f>
        <v>100000</v>
      </c>
    </row>
    <row r="70" spans="1:30" s="20" customFormat="1" ht="31.5">
      <c r="B70" s="270" t="s">
        <v>134</v>
      </c>
      <c r="C70" s="264"/>
      <c r="D70" s="264"/>
      <c r="E70" s="264"/>
      <c r="F70" s="268"/>
      <c r="G70" s="264"/>
      <c r="H70" s="271"/>
      <c r="I70" s="272"/>
      <c r="J70" s="267"/>
      <c r="K70" s="327"/>
      <c r="L70" s="267"/>
      <c r="M70" s="327"/>
      <c r="N70" s="267"/>
      <c r="O70" s="272"/>
      <c r="P70" s="267"/>
      <c r="Q70" s="330"/>
      <c r="R70" s="269">
        <f>SUM(P71:Q75)</f>
        <v>500000</v>
      </c>
      <c r="S70" s="264"/>
      <c r="T70" s="264"/>
      <c r="U70" s="264"/>
      <c r="V70" s="264"/>
      <c r="X70" s="121">
        <f>SUM(R54:R75)</f>
        <v>4100000</v>
      </c>
    </row>
    <row r="71" spans="1:30" s="20" customFormat="1" ht="57">
      <c r="A71" s="20" t="s">
        <v>135</v>
      </c>
      <c r="B71" s="312"/>
      <c r="C71" s="20" t="s">
        <v>136</v>
      </c>
      <c r="D71" s="20" t="s">
        <v>137</v>
      </c>
      <c r="E71" s="20" t="s">
        <v>51</v>
      </c>
      <c r="F71" s="26">
        <v>250000</v>
      </c>
      <c r="H71" s="104">
        <f t="shared" ref="H71" si="71">SUM(I71,K71,M71,O71)</f>
        <v>1</v>
      </c>
      <c r="I71" s="27">
        <v>0.5</v>
      </c>
      <c r="J71" s="24">
        <f t="shared" ref="J71" si="72">$F71*I71</f>
        <v>125000</v>
      </c>
      <c r="K71" s="190">
        <v>0.25</v>
      </c>
      <c r="L71" s="24">
        <f t="shared" ref="L71" si="73">$F71*K71</f>
        <v>62500</v>
      </c>
      <c r="M71" s="190">
        <v>0.25</v>
      </c>
      <c r="N71" s="24">
        <f>$F71*M71</f>
        <v>62500</v>
      </c>
      <c r="O71" s="27"/>
      <c r="P71" s="24">
        <f>$F71*O71</f>
        <v>0</v>
      </c>
      <c r="Q71" s="22">
        <f t="shared" ref="Q71" si="74">SUM(J71,L71,N71,P71)</f>
        <v>250000</v>
      </c>
      <c r="R71" s="179"/>
      <c r="X71" s="121"/>
    </row>
    <row r="72" spans="1:30" s="20" customFormat="1" ht="28.5">
      <c r="A72" s="20">
        <v>3.3</v>
      </c>
      <c r="B72" s="312"/>
      <c r="C72" s="20" t="s">
        <v>138</v>
      </c>
      <c r="D72" s="20" t="s">
        <v>139</v>
      </c>
      <c r="E72" s="20" t="s">
        <v>51</v>
      </c>
      <c r="F72" s="26">
        <v>250000</v>
      </c>
      <c r="H72" s="104">
        <f t="shared" ref="H72" si="75">SUM(I72,K72,M72,O72)</f>
        <v>1</v>
      </c>
      <c r="I72" s="27">
        <v>0.17</v>
      </c>
      <c r="J72" s="24">
        <f t="shared" ref="J72" si="76">$F72*I72</f>
        <v>42500</v>
      </c>
      <c r="K72" s="190">
        <v>0.33</v>
      </c>
      <c r="L72" s="24">
        <f t="shared" ref="L72" si="77">$F72*K72</f>
        <v>82500</v>
      </c>
      <c r="M72" s="190">
        <v>0.5</v>
      </c>
      <c r="N72" s="24">
        <f>$F72*M72</f>
        <v>125000</v>
      </c>
      <c r="O72" s="27"/>
      <c r="P72" s="24">
        <f>$F72*O72</f>
        <v>0</v>
      </c>
      <c r="Q72" s="22">
        <f t="shared" ref="Q72" si="78">SUM(J72,L72,N72,P72)</f>
        <v>250000</v>
      </c>
      <c r="R72" s="179"/>
      <c r="X72" s="121"/>
    </row>
    <row r="74" spans="1:30" s="20" customFormat="1" ht="21.4" thickBot="1">
      <c r="B74" s="312"/>
      <c r="F74" s="26"/>
      <c r="H74" s="104"/>
      <c r="I74" s="27"/>
      <c r="J74" s="24"/>
      <c r="K74" s="190"/>
      <c r="L74" s="24"/>
      <c r="M74" s="190"/>
      <c r="N74" s="24"/>
      <c r="O74" s="27"/>
      <c r="P74" s="24"/>
      <c r="Q74" s="22"/>
      <c r="R74" s="179"/>
      <c r="X74" s="121"/>
    </row>
    <row r="75" spans="1:30" s="20" customFormat="1" ht="25.9" thickBot="1">
      <c r="B75" s="90"/>
      <c r="C75" s="90"/>
      <c r="D75" s="180"/>
      <c r="F75" s="22"/>
      <c r="H75" s="25">
        <f>SUM(I75,K75,M75,O75)</f>
        <v>0</v>
      </c>
      <c r="I75" s="27"/>
      <c r="J75" s="24">
        <f t="shared" ref="J75" si="79">$F75*I75</f>
        <v>0</v>
      </c>
      <c r="K75" s="27"/>
      <c r="L75" s="24">
        <f t="shared" ref="L75:N75" si="80">$F75*K75</f>
        <v>0</v>
      </c>
      <c r="M75" s="27"/>
      <c r="N75" s="24">
        <f t="shared" si="80"/>
        <v>0</v>
      </c>
      <c r="O75" s="27"/>
      <c r="P75" s="24"/>
      <c r="Q75" s="22"/>
      <c r="S75" s="177">
        <f>SUM(Q54:Q75)</f>
        <v>4100000</v>
      </c>
      <c r="X75" s="121"/>
    </row>
    <row r="76" spans="1:30" ht="22.9">
      <c r="A76" s="9" t="s">
        <v>140</v>
      </c>
      <c r="B76" s="10"/>
      <c r="C76" s="10"/>
      <c r="D76" s="11"/>
      <c r="E76" s="12"/>
      <c r="F76" s="13"/>
      <c r="G76" s="13"/>
      <c r="H76" s="14"/>
      <c r="I76" s="13"/>
      <c r="J76" s="13"/>
      <c r="K76" s="13"/>
      <c r="L76" s="13"/>
      <c r="M76" s="13"/>
      <c r="N76" s="13"/>
      <c r="O76" s="13"/>
      <c r="P76" s="13"/>
      <c r="Q76" s="15"/>
      <c r="R76" s="16"/>
      <c r="S76" s="17"/>
      <c r="T76" s="16"/>
      <c r="U76" s="18"/>
      <c r="V76" s="19"/>
    </row>
    <row r="77" spans="1:30" s="20" customFormat="1" ht="28.9" thickBot="1">
      <c r="A77" s="315"/>
      <c r="B77" s="20" t="s">
        <v>141</v>
      </c>
      <c r="D77" s="20" t="s">
        <v>142</v>
      </c>
      <c r="E77" s="20" t="s">
        <v>143</v>
      </c>
      <c r="F77" s="23">
        <v>200000</v>
      </c>
      <c r="G77" s="20" t="s">
        <v>73</v>
      </c>
      <c r="H77" s="104">
        <f t="shared" ref="H77:H78" si="81">SUM(I77,K77,M77,O77)</f>
        <v>0.72000000000000008</v>
      </c>
      <c r="I77" s="27">
        <v>0.16</v>
      </c>
      <c r="J77" s="24">
        <f>I77*$F77</f>
        <v>32000</v>
      </c>
      <c r="K77" s="27">
        <v>0.28000000000000003</v>
      </c>
      <c r="L77" s="24">
        <f>$F77*K77</f>
        <v>56000.000000000007</v>
      </c>
      <c r="M77" s="27">
        <f>K77</f>
        <v>0.28000000000000003</v>
      </c>
      <c r="N77" s="24">
        <f t="shared" ref="N77:N78" si="82">$F77*M77</f>
        <v>56000.000000000007</v>
      </c>
      <c r="O77" s="27"/>
      <c r="P77" s="24">
        <f t="shared" ref="P77:P78" si="83">$F77*O77</f>
        <v>0</v>
      </c>
      <c r="Q77" s="330">
        <f t="shared" ref="Q77:Q78" si="84">SUM(J77,L77,N77,P77)</f>
        <v>144000</v>
      </c>
    </row>
    <row r="78" spans="1:30" s="21" customFormat="1" ht="185.65" thickBot="1">
      <c r="A78" s="322"/>
      <c r="B78" s="20" t="s">
        <v>144</v>
      </c>
      <c r="D78" s="20" t="s">
        <v>145</v>
      </c>
      <c r="E78" s="20" t="s">
        <v>146</v>
      </c>
      <c r="F78" s="28">
        <v>1756000</v>
      </c>
      <c r="G78" s="20" t="s">
        <v>73</v>
      </c>
      <c r="H78" s="25">
        <f t="shared" si="81"/>
        <v>1</v>
      </c>
      <c r="I78" s="27">
        <v>0.4</v>
      </c>
      <c r="J78" s="24">
        <f>$F78*I78</f>
        <v>702400</v>
      </c>
      <c r="K78" s="27"/>
      <c r="L78" s="24">
        <f t="shared" ref="L78" si="85">$F78*K78</f>
        <v>0</v>
      </c>
      <c r="M78" s="27">
        <v>0.6</v>
      </c>
      <c r="N78" s="24">
        <f t="shared" si="82"/>
        <v>1053600</v>
      </c>
      <c r="O78" s="27"/>
      <c r="P78" s="24">
        <f t="shared" si="83"/>
        <v>0</v>
      </c>
      <c r="Q78" s="330">
        <f t="shared" si="84"/>
        <v>1756000</v>
      </c>
      <c r="S78" s="177">
        <f>SUM(Q77:Q79)</f>
        <v>2200000</v>
      </c>
    </row>
    <row r="79" spans="1:30" s="21" customFormat="1" ht="28.5">
      <c r="A79" s="322"/>
      <c r="B79" s="20" t="s">
        <v>147</v>
      </c>
      <c r="D79" s="20" t="s">
        <v>148</v>
      </c>
      <c r="E79" s="20" t="s">
        <v>146</v>
      </c>
      <c r="F79" s="28">
        <v>300000</v>
      </c>
      <c r="G79" s="20" t="s">
        <v>73</v>
      </c>
      <c r="H79" s="25">
        <f t="shared" ref="H79" si="86">SUM(I79,K79,M79,O79)</f>
        <v>1</v>
      </c>
      <c r="I79" s="27">
        <v>0.4</v>
      </c>
      <c r="J79" s="24">
        <f>$F79*I79</f>
        <v>120000</v>
      </c>
      <c r="K79" s="27"/>
      <c r="L79" s="24">
        <f t="shared" ref="L79" si="87">$F79*K79</f>
        <v>0</v>
      </c>
      <c r="M79" s="27">
        <v>0.6</v>
      </c>
      <c r="N79" s="24">
        <f t="shared" ref="N79" si="88">$F79*M79</f>
        <v>180000</v>
      </c>
      <c r="O79" s="27"/>
      <c r="P79" s="24">
        <f t="shared" ref="P79" si="89">$F79*O79</f>
        <v>0</v>
      </c>
      <c r="Q79" s="330">
        <f t="shared" ref="Q79" si="90">SUM(J79,L79,N79,P79)</f>
        <v>300000</v>
      </c>
      <c r="S79" s="347"/>
    </row>
    <row r="80" spans="1:30" s="21" customFormat="1" ht="23.25" thickBot="1">
      <c r="A80" s="9" t="s">
        <v>10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</row>
    <row r="81" spans="2:19" ht="25.9" thickBot="1">
      <c r="B81" s="20"/>
      <c r="F81" s="23">
        <f>Parametros!F3*Parametros!F4</f>
        <v>1000000</v>
      </c>
      <c r="H81" s="25">
        <f t="shared" ref="H81" si="91">SUM(I81,K81,M81,O81)</f>
        <v>1</v>
      </c>
      <c r="I81" s="27"/>
      <c r="J81" s="24">
        <f>$F81*I81</f>
        <v>0</v>
      </c>
      <c r="K81" s="27"/>
      <c r="L81" s="24">
        <f t="shared" ref="L81" si="92">$F81*K81</f>
        <v>0</v>
      </c>
      <c r="M81" s="27">
        <v>1</v>
      </c>
      <c r="N81" s="24">
        <f>$F81*M81</f>
        <v>1000000</v>
      </c>
      <c r="O81" s="27"/>
      <c r="P81" s="24">
        <f t="shared" ref="P81" si="93">$F81*O81</f>
        <v>0</v>
      </c>
      <c r="Q81" s="22">
        <f t="shared" ref="Q81" si="94">SUM(J81,L81,N81,P81)</f>
        <v>1000000</v>
      </c>
      <c r="S81" s="177">
        <f>Q81</f>
        <v>1000000</v>
      </c>
    </row>
    <row r="83" spans="2:19" ht="14.65" thickBot="1">
      <c r="F83">
        <v>-414393.53000000119</v>
      </c>
    </row>
    <row r="84" spans="2:19" ht="25.9" thickBot="1">
      <c r="J84" s="31">
        <f>SUM(J7:J42,J44:J52,J54:J75,J77:J79,J81)</f>
        <v>13586436.131389216</v>
      </c>
      <c r="K84" s="31"/>
      <c r="L84" s="31">
        <f>SUM(L7:L42,L44:L52,L54:L75,L77:L79,L81)</f>
        <v>41383582.323757023</v>
      </c>
      <c r="M84" s="31"/>
      <c r="N84" s="31">
        <f>SUM(N7:N42,N44:N52,N54:N75,N77:N79,N81)</f>
        <v>15029981.544853764</v>
      </c>
      <c r="O84" s="31"/>
      <c r="P84" s="31"/>
      <c r="Q84" s="31">
        <f>SUM(Q7:Q42,Q44:Q52,Q54:Q75,Q77:Q79,Q81)</f>
        <v>70000000</v>
      </c>
      <c r="S84" s="177">
        <f>SUM(S42,S52,S75,S78,S81)</f>
        <v>70000000</v>
      </c>
    </row>
    <row r="85" spans="2:19" ht="21">
      <c r="J85" s="33">
        <f>J84/$Q84</f>
        <v>0.19409194473413166</v>
      </c>
      <c r="K85" s="34"/>
      <c r="L85" s="33">
        <f>L84/$Q84</f>
        <v>0.59119403319652886</v>
      </c>
      <c r="M85" s="34"/>
      <c r="N85" s="33">
        <f>N84/$Q84</f>
        <v>0.21471402206933948</v>
      </c>
      <c r="O85" s="34"/>
      <c r="P85" s="33"/>
      <c r="Q85" s="32">
        <f>Q84/$Q84</f>
        <v>1</v>
      </c>
      <c r="S85" s="30">
        <f>SUM(J84:P84)</f>
        <v>70000000</v>
      </c>
    </row>
    <row r="86" spans="2:19">
      <c r="H86" s="94"/>
      <c r="I86" s="94"/>
      <c r="J86" s="93"/>
      <c r="L86" s="93"/>
      <c r="N86" s="93"/>
      <c r="P86" s="93"/>
      <c r="Q86" s="93"/>
      <c r="S86" s="181">
        <f>S87-S84</f>
        <v>0</v>
      </c>
    </row>
    <row r="87" spans="2:19">
      <c r="H87" s="94"/>
      <c r="I87" s="94"/>
      <c r="J87" s="93"/>
      <c r="L87" s="93"/>
      <c r="N87" s="93"/>
      <c r="P87" s="93"/>
      <c r="Q87" s="187"/>
      <c r="S87" s="55">
        <v>70000000</v>
      </c>
    </row>
    <row r="89" spans="2:19">
      <c r="S89" s="56"/>
    </row>
  </sheetData>
  <mergeCells count="19">
    <mergeCell ref="T2:T3"/>
    <mergeCell ref="U2:U3"/>
    <mergeCell ref="V2:V3"/>
    <mergeCell ref="K2:L3"/>
    <mergeCell ref="M2:N3"/>
    <mergeCell ref="O2:P3"/>
    <mergeCell ref="Q2:Q3"/>
    <mergeCell ref="R2:R3"/>
    <mergeCell ref="S2:S3"/>
    <mergeCell ref="A1:Q1"/>
    <mergeCell ref="A2:A3"/>
    <mergeCell ref="B2:B3"/>
    <mergeCell ref="C2:C3"/>
    <mergeCell ref="D2:D3"/>
    <mergeCell ref="E2:E3"/>
    <mergeCell ref="F2:F3"/>
    <mergeCell ref="G2:G3"/>
    <mergeCell ref="H2:H3"/>
    <mergeCell ref="I2:J3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8"/>
  <sheetViews>
    <sheetView zoomScale="115" zoomScaleNormal="115" workbookViewId="0" xr3:uid="{842E5F09-E766-5B8D-85AF-A39847EA96FD}">
      <selection activeCell="L12" sqref="L12"/>
    </sheetView>
  </sheetViews>
  <sheetFormatPr defaultRowHeight="14.25"/>
  <cols>
    <col min="3" max="3" width="12.28515625" bestFit="1" customWidth="1"/>
    <col min="5" max="5" width="12.28515625" bestFit="1" customWidth="1"/>
    <col min="7" max="7" width="12.28515625" bestFit="1" customWidth="1"/>
    <col min="9" max="9" width="9.5703125" hidden="1" customWidth="1"/>
    <col min="10" max="10" width="0" hidden="1" customWidth="1"/>
    <col min="11" max="11" width="13.42578125" bestFit="1" customWidth="1"/>
  </cols>
  <sheetData>
    <row r="2" spans="2:12" ht="14.65" thickBot="1"/>
    <row r="3" spans="2:12" ht="14.65" thickBot="1">
      <c r="B3" s="448" t="s">
        <v>149</v>
      </c>
      <c r="C3" s="449"/>
      <c r="D3" s="449"/>
      <c r="E3" s="449"/>
      <c r="F3" s="449"/>
      <c r="G3" s="449"/>
      <c r="H3" s="449"/>
      <c r="I3" s="449"/>
      <c r="J3" s="449"/>
      <c r="K3" s="449"/>
      <c r="L3" s="450"/>
    </row>
    <row r="4" spans="2:12">
      <c r="B4" s="47" t="s">
        <v>150</v>
      </c>
      <c r="C4" s="451" t="s">
        <v>151</v>
      </c>
      <c r="D4" s="451"/>
      <c r="E4" s="451" t="s">
        <v>152</v>
      </c>
      <c r="F4" s="451"/>
      <c r="G4" s="451" t="s">
        <v>153</v>
      </c>
      <c r="H4" s="451"/>
      <c r="I4" s="451" t="s">
        <v>154</v>
      </c>
      <c r="J4" s="451"/>
      <c r="K4" s="451" t="s">
        <v>4</v>
      </c>
      <c r="L4" s="451"/>
    </row>
    <row r="5" spans="2:12">
      <c r="B5" s="48"/>
      <c r="C5" s="49" t="s">
        <v>155</v>
      </c>
      <c r="D5" s="49" t="s">
        <v>5</v>
      </c>
      <c r="E5" s="49" t="s">
        <v>155</v>
      </c>
      <c r="F5" s="49" t="s">
        <v>5</v>
      </c>
      <c r="G5" s="49" t="s">
        <v>155</v>
      </c>
      <c r="H5" s="49" t="s">
        <v>5</v>
      </c>
      <c r="I5" s="49" t="s">
        <v>155</v>
      </c>
      <c r="J5" s="49" t="s">
        <v>5</v>
      </c>
      <c r="K5" s="49" t="s">
        <v>155</v>
      </c>
      <c r="L5" s="49" t="s">
        <v>5</v>
      </c>
    </row>
    <row r="6" spans="2:12">
      <c r="B6" s="50" t="s">
        <v>156</v>
      </c>
      <c r="C6" s="51">
        <f>'2. Costeo Detallado'!$J$84</f>
        <v>13586436.131389216</v>
      </c>
      <c r="D6" s="52">
        <f>C6/$K$8</f>
        <v>0.19409194473413166</v>
      </c>
      <c r="E6" s="51">
        <f>'2. Costeo Detallado'!$L$84</f>
        <v>41383582.323757023</v>
      </c>
      <c r="F6" s="52">
        <f>E6/$K$8</f>
        <v>0.59119403319652886</v>
      </c>
      <c r="G6" s="51">
        <f>'2. Costeo Detallado'!$N$84</f>
        <v>15029981.544853764</v>
      </c>
      <c r="H6" s="52">
        <f>G6/$K$8</f>
        <v>0.21471402206933948</v>
      </c>
      <c r="I6" s="51">
        <f>'2. Costeo Detallado'!$P$84</f>
        <v>0</v>
      </c>
      <c r="J6" s="52">
        <f>I6/$K$8</f>
        <v>0</v>
      </c>
      <c r="K6" s="51">
        <f>SUM(C6,E6,G6,I6)</f>
        <v>70000000</v>
      </c>
      <c r="L6" s="52">
        <f>K6/$K$8</f>
        <v>1</v>
      </c>
    </row>
    <row r="7" spans="2:12">
      <c r="B7" s="50" t="s">
        <v>3</v>
      </c>
      <c r="C7" s="51">
        <v>0</v>
      </c>
      <c r="D7" s="52">
        <v>0</v>
      </c>
      <c r="E7" s="51">
        <v>0</v>
      </c>
      <c r="F7" s="52">
        <v>0</v>
      </c>
      <c r="G7" s="51">
        <v>0</v>
      </c>
      <c r="H7" s="52">
        <v>0</v>
      </c>
      <c r="I7" s="51">
        <v>0</v>
      </c>
      <c r="J7" s="52">
        <v>0</v>
      </c>
      <c r="K7" s="51">
        <v>0</v>
      </c>
      <c r="L7" s="52">
        <v>0</v>
      </c>
    </row>
    <row r="8" spans="2:12">
      <c r="B8" s="50" t="s">
        <v>157</v>
      </c>
      <c r="C8" s="53">
        <f>SUM(C6:C7)</f>
        <v>13586436.131389216</v>
      </c>
      <c r="D8" s="54">
        <f>SUM(D6:D7)</f>
        <v>0.19409194473413166</v>
      </c>
      <c r="E8" s="53">
        <f t="shared" ref="E8:J8" si="0">SUM(E6:E7)</f>
        <v>41383582.323757023</v>
      </c>
      <c r="F8" s="54">
        <f t="shared" si="0"/>
        <v>0.59119403319652886</v>
      </c>
      <c r="G8" s="53">
        <f t="shared" si="0"/>
        <v>15029981.544853764</v>
      </c>
      <c r="H8" s="54">
        <f t="shared" si="0"/>
        <v>0.21471402206933948</v>
      </c>
      <c r="I8" s="53">
        <f t="shared" si="0"/>
        <v>0</v>
      </c>
      <c r="J8" s="54">
        <f t="shared" si="0"/>
        <v>0</v>
      </c>
      <c r="K8" s="53">
        <f>SUM(K6:K7)</f>
        <v>70000000</v>
      </c>
      <c r="L8" s="54">
        <f t="shared" ref="L8" si="1">SUM(L6:L7)</f>
        <v>1</v>
      </c>
    </row>
  </sheetData>
  <mergeCells count="6">
    <mergeCell ref="B3:L3"/>
    <mergeCell ref="C4:D4"/>
    <mergeCell ref="E4:F4"/>
    <mergeCell ref="G4:H4"/>
    <mergeCell ref="I4:J4"/>
    <mergeCell ref="K4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9"/>
  <sheetViews>
    <sheetView tabSelected="1" zoomScale="85" zoomScaleNormal="85" workbookViewId="0" xr3:uid="{51F8DEE0-4D01-5F28-A812-FC0BD7CAC4A5}"/>
  </sheetViews>
  <sheetFormatPr defaultRowHeight="14.25"/>
  <cols>
    <col min="1" max="1" width="15.140625" customWidth="1"/>
    <col min="2" max="2" width="15.7109375" customWidth="1"/>
    <col min="3" max="3" width="28.140625" customWidth="1"/>
    <col min="4" max="4" width="36.7109375" customWidth="1"/>
    <col min="5" max="5" width="12.85546875" customWidth="1"/>
    <col min="6" max="6" width="14.42578125" customWidth="1"/>
    <col min="7" max="7" width="15.7109375" style="76" customWidth="1"/>
    <col min="8" max="9" width="15.7109375" style="77" customWidth="1"/>
    <col min="10" max="10" width="27.5703125" customWidth="1"/>
    <col min="11" max="11" width="19.5703125" customWidth="1"/>
    <col min="12" max="12" width="15.5703125" customWidth="1"/>
    <col min="13" max="13" width="15" customWidth="1"/>
    <col min="14" max="14" width="24.28515625" customWidth="1"/>
    <col min="17" max="17" width="68.5703125" hidden="1" customWidth="1"/>
    <col min="18" max="18" width="57.42578125" hidden="1" customWidth="1"/>
  </cols>
  <sheetData>
    <row r="1" spans="1:20" ht="15.75">
      <c r="A1" s="464" t="s">
        <v>158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6"/>
      <c r="O1" s="60"/>
      <c r="P1" s="60"/>
      <c r="Q1" s="61"/>
      <c r="R1" s="60"/>
      <c r="S1" s="60"/>
      <c r="T1" s="60"/>
    </row>
    <row r="2" spans="1:20" ht="15.75">
      <c r="A2" s="453" t="s">
        <v>159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5"/>
      <c r="O2" s="60"/>
      <c r="P2" s="60"/>
      <c r="Q2" s="62" t="s">
        <v>160</v>
      </c>
      <c r="R2" s="60"/>
      <c r="S2" s="60"/>
      <c r="T2" s="60"/>
    </row>
    <row r="3" spans="1:20">
      <c r="A3" s="459" t="s">
        <v>161</v>
      </c>
      <c r="B3" s="460" t="s">
        <v>162</v>
      </c>
      <c r="C3" s="460" t="s">
        <v>163</v>
      </c>
      <c r="D3" s="460" t="s">
        <v>164</v>
      </c>
      <c r="E3" s="460" t="s">
        <v>165</v>
      </c>
      <c r="F3" s="460" t="s">
        <v>166</v>
      </c>
      <c r="G3" s="461" t="s">
        <v>167</v>
      </c>
      <c r="H3" s="461"/>
      <c r="I3" s="461"/>
      <c r="J3" s="460" t="s">
        <v>168</v>
      </c>
      <c r="K3" s="460" t="s">
        <v>169</v>
      </c>
      <c r="L3" s="460" t="s">
        <v>170</v>
      </c>
      <c r="M3" s="460"/>
      <c r="N3" s="458" t="s">
        <v>171</v>
      </c>
      <c r="O3" s="60"/>
      <c r="P3" s="60"/>
      <c r="Q3" s="62" t="s">
        <v>172</v>
      </c>
      <c r="R3" s="60"/>
      <c r="S3" s="60"/>
      <c r="T3" s="60"/>
    </row>
    <row r="4" spans="1:20" ht="33" customHeight="1">
      <c r="A4" s="459"/>
      <c r="B4" s="460"/>
      <c r="C4" s="460"/>
      <c r="D4" s="460"/>
      <c r="E4" s="460"/>
      <c r="F4" s="460"/>
      <c r="G4" s="63" t="s">
        <v>173</v>
      </c>
      <c r="H4" s="64" t="s">
        <v>174</v>
      </c>
      <c r="I4" s="64" t="s">
        <v>175</v>
      </c>
      <c r="J4" s="460"/>
      <c r="K4" s="460"/>
      <c r="L4" s="65" t="s">
        <v>176</v>
      </c>
      <c r="M4" s="65" t="s">
        <v>177</v>
      </c>
      <c r="N4" s="458"/>
      <c r="O4" s="60"/>
      <c r="P4" s="60"/>
      <c r="Q4" s="66" t="s">
        <v>178</v>
      </c>
      <c r="R4" s="60"/>
      <c r="S4" s="60"/>
      <c r="T4" s="60"/>
    </row>
    <row r="5" spans="1:20" ht="39.4">
      <c r="A5" s="112" t="s">
        <v>179</v>
      </c>
      <c r="B5" s="113" t="str">
        <f>'2. Costeo Detallado'!C8</f>
        <v>1.1.1 Expansión modalidad técnico profesional</v>
      </c>
      <c r="C5" s="113" t="str">
        <f>'2. Costeo Detallado'!D9</f>
        <v>(1) Primer grupo (años 1 y 2) de construcción de módulos/ Talleres/ hangares</v>
      </c>
      <c r="D5" s="113" t="s">
        <v>180</v>
      </c>
      <c r="E5" s="68" t="s">
        <v>181</v>
      </c>
      <c r="F5" s="68" t="s">
        <v>181</v>
      </c>
      <c r="G5" s="329">
        <f>'2. Costeo Detallado'!Q9</f>
        <v>15591666.75</v>
      </c>
      <c r="H5" s="114">
        <v>1</v>
      </c>
      <c r="I5" s="114">
        <v>0</v>
      </c>
      <c r="J5" s="113" t="str">
        <f>'2. Costeo Detallado'!A5</f>
        <v>Componente 1. Expansión y modernización de la oferta</v>
      </c>
      <c r="K5" s="113" t="s">
        <v>178</v>
      </c>
      <c r="L5" s="113" t="s">
        <v>181</v>
      </c>
      <c r="M5" s="113" t="s">
        <v>181</v>
      </c>
      <c r="N5" s="115"/>
      <c r="O5" s="60"/>
      <c r="P5" s="60"/>
      <c r="Q5" s="62" t="s">
        <v>182</v>
      </c>
      <c r="R5" s="60"/>
      <c r="S5" s="60"/>
      <c r="T5" s="60"/>
    </row>
    <row r="6" spans="1:20" ht="39.4">
      <c r="A6" s="112" t="s">
        <v>179</v>
      </c>
      <c r="B6" s="113" t="str">
        <f>'2. Costeo Detallado'!C8</f>
        <v>1.1.1 Expansión modalidad técnico profesional</v>
      </c>
      <c r="C6" s="113" t="str">
        <f>'2. Costeo Detallado'!D10</f>
        <v>(2) Segundo grupo (años 2 y 3) de construcción de módulos/ Talleres/ hangares</v>
      </c>
      <c r="D6" s="113" t="s">
        <v>180</v>
      </c>
      <c r="E6" s="68" t="s">
        <v>181</v>
      </c>
      <c r="F6" s="68" t="s">
        <v>181</v>
      </c>
      <c r="G6" s="329">
        <f>'2. Costeo Detallado'!Q10</f>
        <v>7550000.040000001</v>
      </c>
      <c r="H6" s="114">
        <v>1</v>
      </c>
      <c r="I6" s="114">
        <v>0</v>
      </c>
      <c r="J6" s="113" t="str">
        <f>'2. Costeo Detallado'!A5</f>
        <v>Componente 1. Expansión y modernización de la oferta</v>
      </c>
      <c r="K6" s="113" t="s">
        <v>178</v>
      </c>
      <c r="L6" s="113" t="s">
        <v>181</v>
      </c>
      <c r="M6" s="113" t="s">
        <v>181</v>
      </c>
      <c r="N6" s="115"/>
      <c r="O6" s="60"/>
      <c r="P6" s="60"/>
      <c r="Q6" s="62" t="s">
        <v>183</v>
      </c>
      <c r="R6" s="60"/>
      <c r="S6" s="60"/>
      <c r="T6" s="60"/>
    </row>
    <row r="7" spans="1:20" ht="39.4">
      <c r="A7" s="112" t="s">
        <v>179</v>
      </c>
      <c r="B7" s="113" t="str">
        <f>'2. Costeo Detallado'!C12</f>
        <v>1.1.2 Expansión modalidad de ARTES</v>
      </c>
      <c r="C7" s="113" t="str">
        <f>'2. Costeo Detallado'!D13</f>
        <v>(1) Primer grupo (años 1 y 2) de construcción de módulos/ Talleres/ hangares</v>
      </c>
      <c r="D7" s="113" t="s">
        <v>180</v>
      </c>
      <c r="E7" s="68" t="s">
        <v>181</v>
      </c>
      <c r="F7" s="68" t="s">
        <v>181</v>
      </c>
      <c r="G7" s="329">
        <f>'2. Costeo Detallado'!Q13</f>
        <v>2458333.35</v>
      </c>
      <c r="H7" s="114">
        <v>1</v>
      </c>
      <c r="I7" s="114">
        <v>0</v>
      </c>
      <c r="J7" s="113" t="str">
        <f>'2. Costeo Detallado'!A5</f>
        <v>Componente 1. Expansión y modernización de la oferta</v>
      </c>
      <c r="K7" s="113" t="s">
        <v>178</v>
      </c>
      <c r="L7" s="113" t="s">
        <v>181</v>
      </c>
      <c r="M7" s="113" t="s">
        <v>181</v>
      </c>
      <c r="N7" s="115"/>
      <c r="O7" s="60"/>
      <c r="P7" s="60"/>
      <c r="Q7" s="62" t="s">
        <v>184</v>
      </c>
      <c r="R7" s="60"/>
      <c r="S7" s="60"/>
      <c r="T7" s="60"/>
    </row>
    <row r="8" spans="1:20" ht="39.4">
      <c r="A8" s="112" t="s">
        <v>179</v>
      </c>
      <c r="B8" s="113" t="str">
        <f>'2. Costeo Detallado'!C12</f>
        <v>1.1.2 Expansión modalidad de ARTES</v>
      </c>
      <c r="C8" s="113" t="str">
        <f>'2. Costeo Detallado'!D14</f>
        <v>(2) Segundo grupo (años 2 y 3) de construcción de módulos/ Talleres/ hangares</v>
      </c>
      <c r="D8" s="113" t="s">
        <v>180</v>
      </c>
      <c r="E8" s="68" t="s">
        <v>181</v>
      </c>
      <c r="F8" s="68" t="s">
        <v>181</v>
      </c>
      <c r="G8" s="329">
        <f>'2. Costeo Detallado'!Q14</f>
        <v>1966666.68</v>
      </c>
      <c r="H8" s="114">
        <v>1</v>
      </c>
      <c r="I8" s="114">
        <v>0</v>
      </c>
      <c r="J8" s="113" t="str">
        <f>'2. Costeo Detallado'!A5</f>
        <v>Componente 1. Expansión y modernización de la oferta</v>
      </c>
      <c r="K8" s="113" t="s">
        <v>178</v>
      </c>
      <c r="L8" s="113" t="s">
        <v>181</v>
      </c>
      <c r="M8" s="113" t="s">
        <v>181</v>
      </c>
      <c r="N8" s="115"/>
      <c r="O8" s="60"/>
      <c r="P8" s="60"/>
      <c r="Q8" s="62" t="s">
        <v>185</v>
      </c>
      <c r="R8" s="60"/>
      <c r="S8" s="60"/>
      <c r="T8" s="60"/>
    </row>
    <row r="9" spans="1:20" ht="14.65" thickBot="1">
      <c r="A9" s="116"/>
      <c r="B9" s="117"/>
      <c r="C9" s="117"/>
      <c r="D9" s="117"/>
      <c r="E9" s="117"/>
      <c r="F9" s="117"/>
      <c r="G9" s="118"/>
      <c r="H9" s="119"/>
      <c r="I9" s="119"/>
      <c r="J9" s="117"/>
      <c r="K9" s="117"/>
      <c r="L9" s="117"/>
      <c r="M9" s="117"/>
      <c r="N9" s="120"/>
      <c r="O9" s="60"/>
      <c r="P9" s="60"/>
      <c r="Q9" s="62" t="s">
        <v>186</v>
      </c>
      <c r="R9" s="60"/>
      <c r="S9" s="60"/>
      <c r="T9" s="60"/>
    </row>
    <row r="10" spans="1:20" ht="14.65" thickBot="1">
      <c r="Q10" s="62" t="s">
        <v>187</v>
      </c>
      <c r="R10" s="66"/>
    </row>
    <row r="11" spans="1:20" ht="15.75">
      <c r="A11" s="453" t="s">
        <v>188</v>
      </c>
      <c r="B11" s="454"/>
      <c r="C11" s="454"/>
      <c r="D11" s="454"/>
      <c r="E11" s="454"/>
      <c r="F11" s="454"/>
      <c r="G11" s="454"/>
      <c r="H11" s="454"/>
      <c r="I11" s="454"/>
      <c r="J11" s="454"/>
      <c r="K11" s="454"/>
      <c r="L11" s="454"/>
      <c r="M11" s="454"/>
      <c r="N11" s="455"/>
      <c r="O11" s="60"/>
      <c r="P11" s="60"/>
      <c r="Q11" s="62" t="s">
        <v>189</v>
      </c>
      <c r="R11" s="60"/>
      <c r="S11" s="60"/>
      <c r="T11" s="60"/>
    </row>
    <row r="12" spans="1:20" ht="15" customHeight="1">
      <c r="A12" s="459" t="s">
        <v>161</v>
      </c>
      <c r="B12" s="460" t="s">
        <v>162</v>
      </c>
      <c r="C12" s="460" t="s">
        <v>163</v>
      </c>
      <c r="D12" s="460" t="s">
        <v>190</v>
      </c>
      <c r="E12" s="460" t="s">
        <v>165</v>
      </c>
      <c r="F12" s="460" t="s">
        <v>166</v>
      </c>
      <c r="G12" s="461" t="s">
        <v>167</v>
      </c>
      <c r="H12" s="461"/>
      <c r="I12" s="461"/>
      <c r="J12" s="460" t="s">
        <v>168</v>
      </c>
      <c r="K12" s="460" t="s">
        <v>169</v>
      </c>
      <c r="L12" s="460" t="s">
        <v>170</v>
      </c>
      <c r="M12" s="460"/>
      <c r="N12" s="458" t="s">
        <v>171</v>
      </c>
      <c r="O12" s="60"/>
      <c r="P12" s="60"/>
      <c r="Q12" s="62" t="s">
        <v>191</v>
      </c>
      <c r="R12" s="60"/>
      <c r="S12" s="60"/>
      <c r="T12" s="60"/>
    </row>
    <row r="13" spans="1:20" ht="36" customHeight="1">
      <c r="A13" s="459"/>
      <c r="B13" s="460"/>
      <c r="C13" s="460"/>
      <c r="D13" s="460"/>
      <c r="E13" s="460"/>
      <c r="F13" s="460"/>
      <c r="G13" s="63" t="s">
        <v>173</v>
      </c>
      <c r="H13" s="64" t="s">
        <v>174</v>
      </c>
      <c r="I13" s="64" t="s">
        <v>175</v>
      </c>
      <c r="J13" s="460"/>
      <c r="K13" s="460"/>
      <c r="L13" s="65" t="s">
        <v>176</v>
      </c>
      <c r="M13" s="65" t="s">
        <v>177</v>
      </c>
      <c r="N13" s="458"/>
      <c r="O13" s="60"/>
      <c r="P13" s="60"/>
      <c r="Q13" s="61"/>
      <c r="R13" s="60"/>
      <c r="S13" s="60"/>
      <c r="T13" s="60"/>
    </row>
    <row r="14" spans="1:20" ht="122.25" customHeight="1">
      <c r="A14" s="112" t="s">
        <v>179</v>
      </c>
      <c r="B14" s="68" t="str">
        <f>'2. Costeo Detallado'!C11</f>
        <v>1.1.1.2 Equipamiento de talleres técnico profesionales y en artes</v>
      </c>
      <c r="C14" s="68" t="str">
        <f>'2. Costeo Detallado'!D11</f>
        <v>Se refiere a los equipos necesarios para que los liceos sean transformados en centros técnicos profesionales o en artes. Las especificaciones se definirán durante la ejecución del proyecto. Incluye mantenimiento por la vida del proyecto (ver hoja de parámetros)</v>
      </c>
      <c r="D14" s="68" t="s">
        <v>180</v>
      </c>
      <c r="E14" s="68" t="s">
        <v>181</v>
      </c>
      <c r="F14" s="68" t="s">
        <v>181</v>
      </c>
      <c r="G14" s="329">
        <f>'2. Costeo Detallado'!Q11</f>
        <v>15103000.000000002</v>
      </c>
      <c r="H14" s="69">
        <v>1</v>
      </c>
      <c r="I14" s="69">
        <v>0</v>
      </c>
      <c r="J14" s="68" t="str">
        <f>'2. Costeo Detallado'!$A$5</f>
        <v>Componente 1. Expansión y modernización de la oferta</v>
      </c>
      <c r="K14" s="68" t="s">
        <v>178</v>
      </c>
      <c r="L14" s="113" t="s">
        <v>181</v>
      </c>
      <c r="M14" s="113" t="s">
        <v>181</v>
      </c>
      <c r="N14" s="70"/>
      <c r="O14" s="60"/>
      <c r="P14" s="60"/>
      <c r="Q14" s="62" t="s">
        <v>180</v>
      </c>
      <c r="R14" s="60"/>
      <c r="S14" s="60"/>
      <c r="T14" s="60"/>
    </row>
    <row r="15" spans="1:20" ht="126" customHeight="1">
      <c r="A15" s="112" t="s">
        <v>179</v>
      </c>
      <c r="B15" s="68" t="str">
        <f>'2. Costeo Detallado'!C15</f>
        <v>1.1.2.2 Equipámiento de talleres técnico profesionales y en artes</v>
      </c>
      <c r="C15" s="68" t="str">
        <f>'2. Costeo Detallado'!D15</f>
        <v>Se refiere a los equipos necesarios para que los liceos sean transformados en centros técnicos profesionales o en artes. Las especificaciones se definirán durante la ejecución del proyecto. Incluye mantenimiento por la vida del proyecto (ver hoja de parámetros)</v>
      </c>
      <c r="D15" s="68" t="s">
        <v>180</v>
      </c>
      <c r="E15" s="68" t="s">
        <v>181</v>
      </c>
      <c r="F15" s="68" t="s">
        <v>181</v>
      </c>
      <c r="G15" s="329">
        <f>'2. Costeo Detallado'!Q15</f>
        <v>1091126.1625000001</v>
      </c>
      <c r="H15" s="69">
        <v>1</v>
      </c>
      <c r="I15" s="69">
        <v>0</v>
      </c>
      <c r="J15" s="68" t="str">
        <f>'2. Costeo Detallado'!$A$5</f>
        <v>Componente 1. Expansión y modernización de la oferta</v>
      </c>
      <c r="K15" s="68" t="s">
        <v>178</v>
      </c>
      <c r="L15" s="113" t="s">
        <v>181</v>
      </c>
      <c r="M15" s="113" t="s">
        <v>181</v>
      </c>
      <c r="N15" s="70"/>
      <c r="O15" s="60"/>
      <c r="P15" s="60"/>
      <c r="Q15" s="62" t="s">
        <v>192</v>
      </c>
      <c r="R15" s="60"/>
      <c r="S15" s="60"/>
      <c r="T15" s="60"/>
    </row>
    <row r="16" spans="1:20" ht="65.650000000000006">
      <c r="A16" s="112" t="s">
        <v>179</v>
      </c>
      <c r="B16" s="68" t="str">
        <f>'2. Costeo Detallado'!C23</f>
        <v>1.1.5 Apoyo inicial de materiales y materia prima para la operaciön de los talleres.</v>
      </c>
      <c r="C16" s="68" t="str">
        <f>'2. Costeo Detallado'!D23</f>
        <v>Materiales varios, para talleres agrícolas, médicos, artes, turismo, etc. Se definiran con detalle durante la ejecución</v>
      </c>
      <c r="D16" s="68" t="s">
        <v>180</v>
      </c>
      <c r="E16" s="68" t="s">
        <v>181</v>
      </c>
      <c r="F16" s="68" t="s">
        <v>181</v>
      </c>
      <c r="G16" s="329">
        <f>'2. Costeo Detallado'!Q23</f>
        <v>1150000</v>
      </c>
      <c r="H16" s="69">
        <v>1</v>
      </c>
      <c r="I16" s="69">
        <v>0</v>
      </c>
      <c r="J16" s="68" t="str">
        <f>'2. Costeo Detallado'!$A$5</f>
        <v>Componente 1. Expansión y modernización de la oferta</v>
      </c>
      <c r="K16" s="68" t="s">
        <v>178</v>
      </c>
      <c r="L16" s="113" t="s">
        <v>181</v>
      </c>
      <c r="M16" s="113" t="s">
        <v>181</v>
      </c>
      <c r="N16" s="70"/>
      <c r="O16" s="60"/>
      <c r="P16" s="60"/>
      <c r="Q16" s="62" t="s">
        <v>193</v>
      </c>
      <c r="R16" s="60"/>
      <c r="S16" s="60"/>
      <c r="T16" s="60"/>
    </row>
    <row r="17" spans="1:20" ht="57">
      <c r="A17" s="112" t="s">
        <v>179</v>
      </c>
      <c r="B17" s="319" t="str">
        <f>'2. Costeo Detallado'!D35</f>
        <v>1.2.1.1 Materiales para el curso (incluye carpetas, etc.)</v>
      </c>
      <c r="C17" s="68" t="s">
        <v>194</v>
      </c>
      <c r="D17" s="68" t="s">
        <v>192</v>
      </c>
      <c r="E17" s="68" t="s">
        <v>181</v>
      </c>
      <c r="F17" s="68" t="s">
        <v>181</v>
      </c>
      <c r="G17" s="329">
        <f>'2. Costeo Detallado'!Q35</f>
        <v>123300</v>
      </c>
      <c r="H17" s="69">
        <v>1</v>
      </c>
      <c r="I17" s="69">
        <v>0</v>
      </c>
      <c r="J17" s="68" t="str">
        <f>'2. Costeo Detallado'!$A$5</f>
        <v>Componente 1. Expansión y modernización de la oferta</v>
      </c>
      <c r="K17" s="68" t="s">
        <v>178</v>
      </c>
      <c r="L17" s="113" t="s">
        <v>181</v>
      </c>
      <c r="M17" s="113" t="s">
        <v>181</v>
      </c>
      <c r="N17" s="70"/>
      <c r="O17" s="60"/>
      <c r="P17" s="60"/>
      <c r="Q17" s="62"/>
      <c r="R17" s="60"/>
      <c r="S17" s="60"/>
      <c r="T17" s="60"/>
    </row>
    <row r="18" spans="1:20" ht="95.25" customHeight="1">
      <c r="A18" s="112" t="s">
        <v>179</v>
      </c>
      <c r="B18" s="68" t="str">
        <f>'2. Costeo Detallado'!C45</f>
        <v>2.1.2 Equipamiento centro de innovación</v>
      </c>
      <c r="C18" s="68" t="str">
        <f>'2. Costeo Detallado'!D45</f>
        <v>El equipo consiste entre otros de:  equipo de cómputo, escritorios, sillas, sala de reuniones, libreros, servidores, impresoras y copiadoras. Las especificaciones se definirán durante la ejecución del proyecto.</v>
      </c>
      <c r="D18" s="68" t="s">
        <v>180</v>
      </c>
      <c r="E18" s="68" t="s">
        <v>181</v>
      </c>
      <c r="F18" s="68" t="s">
        <v>181</v>
      </c>
      <c r="G18" s="329">
        <f>'2. Costeo Detallado'!Q45</f>
        <v>1000000</v>
      </c>
      <c r="H18" s="69">
        <v>1</v>
      </c>
      <c r="I18" s="69">
        <v>0</v>
      </c>
      <c r="J18" s="68" t="str">
        <f>'2. Costeo Detallado'!A43</f>
        <v>Componente 2. Innovación e investigación para mejorar la calidad docente y la gestión</v>
      </c>
      <c r="K18" s="68" t="s">
        <v>178</v>
      </c>
      <c r="L18" s="113" t="s">
        <v>181</v>
      </c>
      <c r="M18" s="113" t="s">
        <v>181</v>
      </c>
      <c r="N18" s="70"/>
      <c r="O18" s="60"/>
      <c r="P18" s="60"/>
      <c r="Q18" s="62" t="s">
        <v>195</v>
      </c>
      <c r="R18" s="60"/>
      <c r="S18" s="60"/>
      <c r="T18" s="60"/>
    </row>
    <row r="19" spans="1:20" ht="61.5" customHeight="1">
      <c r="A19" s="112" t="s">
        <v>179</v>
      </c>
      <c r="B19" s="317" t="str">
        <f>'2. Costeo Detallado'!C62</f>
        <v>3.2.1.1 Equipamiento de oficinas Regionales</v>
      </c>
      <c r="C19" s="317" t="str">
        <f>'2. Costeo Detallado'!D62</f>
        <v>El equipo consiste entre otros de:  equipo de cómputo, escritorios, sillas, sala de reuniones, libreros, servidores, impresoras y copiadoras.</v>
      </c>
      <c r="D19" s="68" t="s">
        <v>192</v>
      </c>
      <c r="E19" s="317">
        <v>1</v>
      </c>
      <c r="F19" s="68" t="s">
        <v>181</v>
      </c>
      <c r="G19" s="331">
        <f>'2. Costeo Detallado'!Q62</f>
        <v>100000</v>
      </c>
      <c r="H19" s="69">
        <v>1</v>
      </c>
      <c r="I19" s="69">
        <v>0</v>
      </c>
      <c r="J19" s="317" t="str">
        <f>'2. Costeo Detallado'!A$53</f>
        <v>Componente 3. Vinculación entre educación y sector productivo.</v>
      </c>
      <c r="K19" s="68" t="s">
        <v>178</v>
      </c>
      <c r="L19" s="113" t="s">
        <v>181</v>
      </c>
      <c r="M19" s="113" t="s">
        <v>181</v>
      </c>
      <c r="N19" s="318"/>
      <c r="O19" s="60"/>
      <c r="P19" s="60"/>
      <c r="Q19" s="62"/>
      <c r="R19" s="60"/>
      <c r="S19" s="60"/>
      <c r="T19" s="60"/>
    </row>
    <row r="20" spans="1:20" ht="35.25" customHeight="1" thickBot="1">
      <c r="A20" s="71" t="s">
        <v>179</v>
      </c>
      <c r="B20" s="72" t="str">
        <f>'2. Costeo Detallado'!C41</f>
        <v>1.2.3 Equipamiento</v>
      </c>
      <c r="C20" s="72" t="str">
        <f>'2. Costeo Detallado'!D41</f>
        <v>Para talleres de INFOTEP</v>
      </c>
      <c r="D20" s="72" t="s">
        <v>180</v>
      </c>
      <c r="E20" s="68" t="s">
        <v>181</v>
      </c>
      <c r="F20" s="68" t="s">
        <v>181</v>
      </c>
      <c r="G20" s="349">
        <f>'2. Costeo Detallado'!Q41</f>
        <v>1500000</v>
      </c>
      <c r="H20" s="69">
        <v>1</v>
      </c>
      <c r="I20" s="69">
        <v>0</v>
      </c>
      <c r="J20" s="68" t="str">
        <f>'2. Costeo Detallado'!A$53</f>
        <v>Componente 3. Vinculación entre educación y sector productivo.</v>
      </c>
      <c r="K20" s="68" t="s">
        <v>178</v>
      </c>
      <c r="L20" s="113" t="s">
        <v>181</v>
      </c>
      <c r="M20" s="113" t="s">
        <v>181</v>
      </c>
      <c r="N20" s="75"/>
      <c r="O20" s="60"/>
      <c r="P20" s="60"/>
      <c r="Q20" s="62" t="s">
        <v>160</v>
      </c>
      <c r="R20" s="60"/>
      <c r="S20" s="60"/>
      <c r="T20" s="60"/>
    </row>
    <row r="21" spans="1:20" ht="14.65" thickBot="1">
      <c r="Q21" s="62" t="s">
        <v>196</v>
      </c>
      <c r="R21" s="66"/>
    </row>
    <row r="22" spans="1:20" ht="15.75">
      <c r="A22" s="453" t="s">
        <v>197</v>
      </c>
      <c r="B22" s="454"/>
      <c r="C22" s="454"/>
      <c r="D22" s="454"/>
      <c r="E22" s="454"/>
      <c r="F22" s="454"/>
      <c r="G22" s="454"/>
      <c r="H22" s="454"/>
      <c r="I22" s="454"/>
      <c r="J22" s="454"/>
      <c r="K22" s="454"/>
      <c r="L22" s="454"/>
      <c r="M22" s="454"/>
      <c r="N22" s="455"/>
      <c r="Q22" s="62" t="s">
        <v>198</v>
      </c>
      <c r="R22" s="66"/>
    </row>
    <row r="23" spans="1:20" ht="15" customHeight="1">
      <c r="A23" s="459" t="s">
        <v>161</v>
      </c>
      <c r="B23" s="460" t="s">
        <v>162</v>
      </c>
      <c r="C23" s="460" t="s">
        <v>163</v>
      </c>
      <c r="D23" s="460" t="s">
        <v>190</v>
      </c>
      <c r="E23" s="460" t="s">
        <v>165</v>
      </c>
      <c r="F23" s="460" t="s">
        <v>166</v>
      </c>
      <c r="G23" s="461" t="s">
        <v>167</v>
      </c>
      <c r="H23" s="461"/>
      <c r="I23" s="461"/>
      <c r="J23" s="460" t="s">
        <v>168</v>
      </c>
      <c r="K23" s="460" t="s">
        <v>169</v>
      </c>
      <c r="L23" s="460" t="s">
        <v>170</v>
      </c>
      <c r="M23" s="460"/>
      <c r="N23" s="458" t="s">
        <v>171</v>
      </c>
      <c r="Q23" s="62" t="s">
        <v>199</v>
      </c>
      <c r="R23" s="66"/>
    </row>
    <row r="24" spans="1:20" ht="36.75" customHeight="1">
      <c r="A24" s="459"/>
      <c r="B24" s="460"/>
      <c r="C24" s="460"/>
      <c r="D24" s="460"/>
      <c r="E24" s="460"/>
      <c r="F24" s="460"/>
      <c r="G24" s="63" t="s">
        <v>173</v>
      </c>
      <c r="H24" s="64" t="s">
        <v>174</v>
      </c>
      <c r="I24" s="64" t="s">
        <v>175</v>
      </c>
      <c r="J24" s="460"/>
      <c r="K24" s="460"/>
      <c r="L24" s="65" t="s">
        <v>200</v>
      </c>
      <c r="M24" s="65" t="s">
        <v>177</v>
      </c>
      <c r="N24" s="458"/>
      <c r="Q24" s="62" t="s">
        <v>201</v>
      </c>
      <c r="R24" s="66"/>
    </row>
    <row r="25" spans="1:20" ht="52.5">
      <c r="A25" s="112" t="s">
        <v>179</v>
      </c>
      <c r="B25" s="113" t="str">
        <f>'2. Costeo Detallado'!C16</f>
        <v>1.1.3 Mantenimiento preventivo de construcción</v>
      </c>
      <c r="C25" s="113" t="str">
        <f>'2. Costeo Detallado'!D17</f>
        <v>Modalidad técnico profesional</v>
      </c>
      <c r="D25" s="113" t="s">
        <v>180</v>
      </c>
      <c r="E25" s="68" t="s">
        <v>181</v>
      </c>
      <c r="F25" s="68" t="s">
        <v>181</v>
      </c>
      <c r="G25" s="329">
        <f>SUM('2. Costeo Detallado'!Q18:Q19)</f>
        <v>1549333.3415999999</v>
      </c>
      <c r="H25" s="69">
        <v>1</v>
      </c>
      <c r="I25" s="69">
        <v>0</v>
      </c>
      <c r="J25" s="68" t="str">
        <f>'2. Costeo Detallado'!$A$5</f>
        <v>Componente 1. Expansión y modernización de la oferta</v>
      </c>
      <c r="K25" s="68" t="s">
        <v>178</v>
      </c>
      <c r="L25" s="113" t="s">
        <v>181</v>
      </c>
      <c r="M25" s="113" t="s">
        <v>181</v>
      </c>
      <c r="N25" s="115"/>
      <c r="Q25" s="61"/>
      <c r="R25" s="66"/>
    </row>
    <row r="26" spans="1:20" ht="52.5">
      <c r="A26" s="112" t="s">
        <v>179</v>
      </c>
      <c r="B26" s="113" t="str">
        <f>'2. Costeo Detallado'!C16</f>
        <v>1.1.3 Mantenimiento preventivo de construcción</v>
      </c>
      <c r="C26" s="113" t="str">
        <f>'2. Costeo Detallado'!D20</f>
        <v>Modalidad de artes</v>
      </c>
      <c r="D26" s="113" t="s">
        <v>180</v>
      </c>
      <c r="E26" s="68" t="s">
        <v>181</v>
      </c>
      <c r="F26" s="68" t="s">
        <v>181</v>
      </c>
      <c r="G26" s="329">
        <f>'2. Costeo Detallado'!Q20</f>
        <v>275333.33519999997</v>
      </c>
      <c r="H26" s="69">
        <v>1</v>
      </c>
      <c r="I26" s="69">
        <v>0</v>
      </c>
      <c r="J26" s="68" t="str">
        <f>'2. Costeo Detallado'!$A$5</f>
        <v>Componente 1. Expansión y modernización de la oferta</v>
      </c>
      <c r="K26" s="68" t="s">
        <v>178</v>
      </c>
      <c r="L26" s="113" t="s">
        <v>181</v>
      </c>
      <c r="M26" s="113" t="s">
        <v>181</v>
      </c>
      <c r="N26" s="115"/>
      <c r="Q26" s="61"/>
      <c r="R26" s="66"/>
    </row>
    <row r="27" spans="1:20" ht="39.4">
      <c r="A27" s="112" t="s">
        <v>179</v>
      </c>
      <c r="B27" s="68" t="str">
        <f>'2. Costeo Detallado'!C26</f>
        <v>1.1.6 Capacitación Directores</v>
      </c>
      <c r="C27" s="68" t="str">
        <f>'2. Costeo Detallado'!D26</f>
        <v xml:space="preserve"> Orientación sobre el cambio de la gestión del centro y habilidades blandas</v>
      </c>
      <c r="D27" s="113" t="s">
        <v>180</v>
      </c>
      <c r="E27" s="113" t="s">
        <v>35</v>
      </c>
      <c r="F27" s="68">
        <v>1</v>
      </c>
      <c r="G27" s="333">
        <f>'2. Costeo Detallado'!Q28</f>
        <v>190000</v>
      </c>
      <c r="H27" s="85">
        <v>1</v>
      </c>
      <c r="I27" s="69">
        <v>0</v>
      </c>
      <c r="J27" s="69" t="str">
        <f>'2. Costeo Detallado'!A5</f>
        <v>Componente 1. Expansión y modernización de la oferta</v>
      </c>
      <c r="K27" s="68" t="s">
        <v>178</v>
      </c>
      <c r="L27" s="113" t="s">
        <v>181</v>
      </c>
      <c r="M27" s="113" t="s">
        <v>181</v>
      </c>
      <c r="N27" s="70"/>
      <c r="Q27" s="61"/>
      <c r="R27" s="66"/>
    </row>
    <row r="28" spans="1:20" ht="78.75">
      <c r="A28" s="67" t="s">
        <v>179</v>
      </c>
      <c r="B28" s="68" t="str">
        <f>'2. Costeo Detallado'!C29</f>
        <v>1.1.7 Capacitación Docentes y directores</v>
      </c>
      <c r="C28" s="68" t="str">
        <f>'2. Costeo Detallado'!D29</f>
        <v>Modalidad TecPro y artes (Acumulativo por año) Modélo pedagógico de enfoque de competencias y panificación y evaluación bajo el mismo enfoque; y en habilidades blandas</v>
      </c>
      <c r="D28" s="113" t="s">
        <v>180</v>
      </c>
      <c r="E28" s="113" t="s">
        <v>35</v>
      </c>
      <c r="F28" s="68">
        <v>1</v>
      </c>
      <c r="G28" s="333">
        <f>'2. Costeo Detallado'!Q29</f>
        <v>447706.61355093383</v>
      </c>
      <c r="H28" s="85">
        <v>1</v>
      </c>
      <c r="I28" s="69">
        <v>0</v>
      </c>
      <c r="J28" s="69" t="str">
        <f>'2. Costeo Detallado'!A5</f>
        <v>Componente 1. Expansión y modernización de la oferta</v>
      </c>
      <c r="K28" s="68" t="s">
        <v>178</v>
      </c>
      <c r="L28" s="113" t="s">
        <v>181</v>
      </c>
      <c r="M28" s="113" t="s">
        <v>181</v>
      </c>
      <c r="N28" s="70"/>
      <c r="Q28" s="61"/>
      <c r="R28" s="66"/>
    </row>
    <row r="29" spans="1:20" ht="39.4">
      <c r="A29" s="67" t="s">
        <v>179</v>
      </c>
      <c r="B29" s="68" t="str">
        <f>'2. Costeo Detallado'!C29</f>
        <v>1.1.7 Capacitación Docentes y directores</v>
      </c>
      <c r="C29" s="68" t="str">
        <f>'2. Costeo Detallado'!D30</f>
        <v>Capacitación TICs</v>
      </c>
      <c r="D29" s="113" t="s">
        <v>180</v>
      </c>
      <c r="E29" s="113" t="s">
        <v>35</v>
      </c>
      <c r="F29" s="68">
        <v>1</v>
      </c>
      <c r="G29" s="333">
        <f>'2. Costeo Detallado'!Q30</f>
        <v>500833.72714906686</v>
      </c>
      <c r="H29" s="85">
        <v>1</v>
      </c>
      <c r="I29" s="69">
        <v>0</v>
      </c>
      <c r="J29" s="69" t="str">
        <f>'2. Costeo Detallado'!A$5</f>
        <v>Componente 1. Expansión y modernización de la oferta</v>
      </c>
      <c r="K29" s="68" t="s">
        <v>178</v>
      </c>
      <c r="L29" s="113" t="s">
        <v>181</v>
      </c>
      <c r="M29" s="113" t="s">
        <v>181</v>
      </c>
      <c r="N29" s="70"/>
      <c r="Q29" s="61"/>
      <c r="R29" s="66"/>
    </row>
    <row r="30" spans="1:20" ht="39.4">
      <c r="A30" s="112"/>
      <c r="B30" s="113" t="str">
        <f>'2. Costeo Detallado'!D37</f>
        <v xml:space="preserve">1.2.1.3 Campana communicacion estrategica </v>
      </c>
      <c r="C30" s="113" t="s">
        <v>202</v>
      </c>
      <c r="D30" s="113" t="s">
        <v>180</v>
      </c>
      <c r="E30" s="113" t="s">
        <v>35</v>
      </c>
      <c r="F30" s="68">
        <v>1</v>
      </c>
      <c r="G30" s="329">
        <f>'2. Costeo Detallado'!Q37</f>
        <v>210000</v>
      </c>
      <c r="H30" s="69">
        <v>1</v>
      </c>
      <c r="I30" s="69">
        <v>0</v>
      </c>
      <c r="J30" s="68" t="str">
        <f>'2. Costeo Detallado'!$A$5</f>
        <v>Componente 1. Expansión y modernización de la oferta</v>
      </c>
      <c r="K30" s="68" t="s">
        <v>178</v>
      </c>
      <c r="L30" s="113" t="s">
        <v>181</v>
      </c>
      <c r="M30" s="113" t="s">
        <v>181</v>
      </c>
      <c r="N30" s="115"/>
      <c r="Q30" s="61"/>
      <c r="R30" s="66"/>
    </row>
    <row r="31" spans="1:20" ht="39.4">
      <c r="A31" s="112" t="s">
        <v>179</v>
      </c>
      <c r="B31" s="68" t="str">
        <f>'2. Costeo Detallado'!C52</f>
        <v>2.2.1 Mercadeo para promover fondos concursables</v>
      </c>
      <c r="C31" s="68" t="str">
        <f>'2. Costeo Detallado'!D52</f>
        <v>Contratación de una firma para iniciar una campaña de mercadeo</v>
      </c>
      <c r="D31" s="113" t="s">
        <v>180</v>
      </c>
      <c r="E31" s="113" t="s">
        <v>35</v>
      </c>
      <c r="F31" s="68">
        <v>1</v>
      </c>
      <c r="G31" s="329">
        <f>'2. Costeo Detallado'!Q52</f>
        <v>250000</v>
      </c>
      <c r="H31" s="69">
        <v>1</v>
      </c>
      <c r="I31" s="69">
        <v>0</v>
      </c>
      <c r="J31" s="113" t="str">
        <f>'2. Costeo Detallado'!A$43</f>
        <v>Componente 2. Innovación e investigación para mejorar la calidad docente y la gestión</v>
      </c>
      <c r="K31" s="68" t="s">
        <v>178</v>
      </c>
      <c r="L31" s="113" t="s">
        <v>181</v>
      </c>
      <c r="M31" s="113" t="s">
        <v>181</v>
      </c>
      <c r="N31" s="115"/>
      <c r="Q31" s="61"/>
      <c r="R31" s="66"/>
    </row>
    <row r="32" spans="1:20" ht="52.5">
      <c r="A32" s="112" t="s">
        <v>179</v>
      </c>
      <c r="B32" s="113" t="str">
        <f>'2. Costeo Detallado'!C63</f>
        <v xml:space="preserve">3.2.1.2 Personal para las oficinas regionales de apoyo a las pasantías </v>
      </c>
      <c r="C32" s="113" t="str">
        <f>'2. Costeo Detallado'!D63</f>
        <v xml:space="preserve">Se contratará a un coordinador y a un asistente junior en cada una de las 10 oficinas a beneficiarse por la operación. </v>
      </c>
      <c r="D32" s="113" t="s">
        <v>180</v>
      </c>
      <c r="E32" s="113" t="s">
        <v>35</v>
      </c>
      <c r="F32" s="68">
        <v>20</v>
      </c>
      <c r="G32" s="329">
        <f>'2. Costeo Detallado'!Q63</f>
        <v>1728000</v>
      </c>
      <c r="H32" s="69">
        <v>1</v>
      </c>
      <c r="I32" s="69">
        <v>0</v>
      </c>
      <c r="J32" s="113" t="str">
        <f>'2. Costeo Detallado'!$A$53</f>
        <v>Componente 3. Vinculación entre educación y sector productivo.</v>
      </c>
      <c r="K32" s="68" t="s">
        <v>178</v>
      </c>
      <c r="L32" s="113" t="s">
        <v>181</v>
      </c>
      <c r="M32" s="113" t="s">
        <v>181</v>
      </c>
      <c r="N32" s="115" t="s">
        <v>203</v>
      </c>
      <c r="Q32" s="61"/>
      <c r="R32" s="66"/>
    </row>
    <row r="33" spans="1:18" ht="52.5">
      <c r="A33" s="112" t="s">
        <v>179</v>
      </c>
      <c r="B33" s="113" t="str">
        <f>'2. Costeo Detallado'!C69</f>
        <v>3.3.3 Mercadeo para el uso del sistema entre empleadores</v>
      </c>
      <c r="C33" s="113" t="str">
        <f>'2. Costeo Detallado'!D69</f>
        <v>Contratación de una firma para iniciar una campaña de mercadeo</v>
      </c>
      <c r="D33" s="113" t="s">
        <v>192</v>
      </c>
      <c r="E33" s="113" t="s">
        <v>35</v>
      </c>
      <c r="F33" s="68">
        <v>1</v>
      </c>
      <c r="G33" s="329">
        <f>'2. Costeo Detallado'!Q69</f>
        <v>100000</v>
      </c>
      <c r="H33" s="69">
        <v>1</v>
      </c>
      <c r="I33" s="69">
        <v>0</v>
      </c>
      <c r="J33" s="113" t="str">
        <f>'2. Costeo Detallado'!$A$53</f>
        <v>Componente 3. Vinculación entre educación y sector productivo.</v>
      </c>
      <c r="K33" s="68" t="s">
        <v>178</v>
      </c>
      <c r="L33" s="113" t="s">
        <v>181</v>
      </c>
      <c r="M33" s="113" t="s">
        <v>181</v>
      </c>
      <c r="N33" s="115"/>
      <c r="Q33" s="62" t="s">
        <v>204</v>
      </c>
      <c r="R33" s="66"/>
    </row>
    <row r="34" spans="1:18" ht="14.65" thickBot="1">
      <c r="A34" s="116"/>
      <c r="B34" s="117"/>
      <c r="C34" s="117"/>
      <c r="D34" s="117"/>
      <c r="E34" s="117"/>
      <c r="F34" s="117"/>
      <c r="G34" s="118"/>
      <c r="H34" s="119"/>
      <c r="I34" s="119"/>
      <c r="J34" s="117"/>
      <c r="K34" s="117"/>
      <c r="L34" s="117"/>
      <c r="M34" s="117"/>
      <c r="N34" s="120"/>
      <c r="Q34" s="62" t="s">
        <v>205</v>
      </c>
      <c r="R34" s="66"/>
    </row>
    <row r="35" spans="1:18" ht="14.65" thickBot="1">
      <c r="Q35" s="62" t="s">
        <v>206</v>
      </c>
      <c r="R35" s="66"/>
    </row>
    <row r="36" spans="1:18" ht="15.75" customHeight="1">
      <c r="A36" s="453" t="s">
        <v>207</v>
      </c>
      <c r="B36" s="454"/>
      <c r="C36" s="454"/>
      <c r="D36" s="454"/>
      <c r="E36" s="454"/>
      <c r="F36" s="454"/>
      <c r="G36" s="454"/>
      <c r="H36" s="454"/>
      <c r="I36" s="454"/>
      <c r="J36" s="454"/>
      <c r="K36" s="454"/>
      <c r="L36" s="454"/>
      <c r="M36" s="454"/>
      <c r="N36" s="455"/>
      <c r="Q36" s="62" t="s">
        <v>195</v>
      </c>
      <c r="R36" s="66"/>
    </row>
    <row r="37" spans="1:18" ht="15" customHeight="1">
      <c r="A37" s="459" t="s">
        <v>161</v>
      </c>
      <c r="B37" s="460" t="s">
        <v>162</v>
      </c>
      <c r="C37" s="460" t="s">
        <v>163</v>
      </c>
      <c r="D37" s="460" t="s">
        <v>190</v>
      </c>
      <c r="E37" s="463"/>
      <c r="F37" s="463"/>
      <c r="G37" s="461" t="s">
        <v>167</v>
      </c>
      <c r="H37" s="461"/>
      <c r="I37" s="461"/>
      <c r="J37" s="460" t="s">
        <v>168</v>
      </c>
      <c r="K37" s="460" t="s">
        <v>169</v>
      </c>
      <c r="L37" s="460" t="s">
        <v>170</v>
      </c>
      <c r="M37" s="460"/>
      <c r="N37" s="458" t="s">
        <v>171</v>
      </c>
      <c r="Q37" s="62" t="s">
        <v>160</v>
      </c>
      <c r="R37" s="66"/>
    </row>
    <row r="38" spans="1:18" ht="39.4">
      <c r="A38" s="459"/>
      <c r="B38" s="460"/>
      <c r="C38" s="460"/>
      <c r="D38" s="460"/>
      <c r="E38" s="460" t="s">
        <v>166</v>
      </c>
      <c r="F38" s="460"/>
      <c r="G38" s="65" t="s">
        <v>173</v>
      </c>
      <c r="H38" s="63" t="s">
        <v>174</v>
      </c>
      <c r="I38" s="64" t="s">
        <v>175</v>
      </c>
      <c r="J38" s="460"/>
      <c r="K38" s="460"/>
      <c r="L38" s="65" t="s">
        <v>208</v>
      </c>
      <c r="M38" s="65" t="s">
        <v>177</v>
      </c>
      <c r="N38" s="458"/>
      <c r="Q38" s="62" t="s">
        <v>209</v>
      </c>
      <c r="R38" s="66"/>
    </row>
    <row r="39" spans="1:18" s="66" customFormat="1" ht="52.5">
      <c r="A39" s="112" t="s">
        <v>179</v>
      </c>
      <c r="B39" s="111" t="str">
        <f>'2. Costeo Detallado'!D36</f>
        <v>1.2.1.2 Formación metodológica de Monitores  y docentes</v>
      </c>
      <c r="C39" s="111" t="s">
        <v>210</v>
      </c>
      <c r="D39" s="68" t="s">
        <v>204</v>
      </c>
      <c r="E39" s="456">
        <v>1</v>
      </c>
      <c r="F39" s="457"/>
      <c r="G39" s="334">
        <f>'2. Costeo Detallado'!Q36</f>
        <v>205000</v>
      </c>
      <c r="H39" s="69">
        <v>1</v>
      </c>
      <c r="I39" s="69">
        <v>0</v>
      </c>
      <c r="J39" s="69" t="str">
        <f>'2. Costeo Detallado'!A$5</f>
        <v>Componente 1. Expansión y modernización de la oferta</v>
      </c>
      <c r="K39" s="68" t="s">
        <v>178</v>
      </c>
      <c r="L39" s="113" t="s">
        <v>181</v>
      </c>
      <c r="M39" s="113" t="s">
        <v>181</v>
      </c>
      <c r="N39" s="109"/>
      <c r="Q39" s="62"/>
    </row>
    <row r="40" spans="1:18" ht="52.5">
      <c r="A40" s="112" t="s">
        <v>179</v>
      </c>
      <c r="B40" s="68" t="str">
        <f>'2. Costeo Detallado'!C44</f>
        <v>2.1.1 Desarrollo de contenidos para capacitación</v>
      </c>
      <c r="C40" s="68" t="str">
        <f>'2. Costeo Detallado'!D44</f>
        <v>Desarrollo de contenidos para la capacitación de docentes específica para la educación técnica y gestión de los centros</v>
      </c>
      <c r="D40" s="68" t="s">
        <v>204</v>
      </c>
      <c r="E40" s="456">
        <v>1</v>
      </c>
      <c r="F40" s="457"/>
      <c r="G40" s="333">
        <f>'2. Costeo Detallado'!Q44</f>
        <v>570000</v>
      </c>
      <c r="H40" s="69">
        <v>1</v>
      </c>
      <c r="I40" s="69">
        <v>0</v>
      </c>
      <c r="J40" s="69" t="str">
        <f>'2. Costeo Detallado'!A43</f>
        <v>Componente 2. Innovación e investigación para mejorar la calidad docente y la gestión</v>
      </c>
      <c r="K40" s="68" t="s">
        <v>178</v>
      </c>
      <c r="L40" s="113" t="s">
        <v>181</v>
      </c>
      <c r="M40" s="113" t="s">
        <v>181</v>
      </c>
      <c r="N40" s="83"/>
      <c r="Q40" s="62"/>
      <c r="R40" s="66"/>
    </row>
    <row r="41" spans="1:18" ht="144.4">
      <c r="A41" s="112" t="s">
        <v>179</v>
      </c>
      <c r="B41" s="111" t="str">
        <f>'2. Costeo Detallado'!C46</f>
        <v>2.1.3 Gestión y operación (incluye asistencia técnica y financiamiento de capacitaciones) del centro de innovación</v>
      </c>
      <c r="C41" s="111" t="str">
        <f>'2. Costeo Detallado'!D46</f>
        <v>i) capacitación e innovación pedagógica, y de investigaciones aplicadas que promuevan la cultura innovadora y emprendedora en la ETP; ii) actualización de docente: formación por competencias, nuevos contenidos y tecnologías en técnico profesional y en artes; y iii) apoyar la implementación de buenas prácticas de gestión en centros (directivos y personal administrativo)</v>
      </c>
      <c r="D41" s="68" t="s">
        <v>204</v>
      </c>
      <c r="E41" s="456" t="s">
        <v>181</v>
      </c>
      <c r="F41" s="457"/>
      <c r="G41" s="333">
        <f>'2. Costeo Detallado'!Q46</f>
        <v>4074000</v>
      </c>
      <c r="H41" s="69">
        <v>1</v>
      </c>
      <c r="I41" s="69">
        <v>0</v>
      </c>
      <c r="J41" s="69" t="str">
        <f>'2. Costeo Detallado'!A43</f>
        <v>Componente 2. Innovación e investigación para mejorar la calidad docente y la gestión</v>
      </c>
      <c r="K41" s="68" t="s">
        <v>178</v>
      </c>
      <c r="L41" s="113" t="s">
        <v>181</v>
      </c>
      <c r="M41" s="113" t="s">
        <v>181</v>
      </c>
      <c r="N41" s="83"/>
      <c r="Q41" s="62"/>
      <c r="R41" s="66"/>
    </row>
    <row r="42" spans="1:18">
      <c r="Q42" s="62"/>
      <c r="R42" s="66"/>
    </row>
    <row r="43" spans="1:18" ht="131.25">
      <c r="A43" s="67" t="s">
        <v>179</v>
      </c>
      <c r="B43" s="68" t="str">
        <f>'2. Costeo Detallado'!C55</f>
        <v xml:space="preserve">3.1.1  desarrollo de la metodología para la identificación de las necesidades de demandas, las colocaciones de las pasantías y  el seguimiento y evaluación de los pasantes </v>
      </c>
      <c r="C43" s="68" t="str">
        <f>'2. Costeo Detallado'!D55</f>
        <v xml:space="preserve">1) Revisión del módulo de formación en el lugar de trabajo
2) Diseño de la estrategia de implementación de las pasantías
3) Revisión y piloto de los instrumentos de monitoreo y seguimiento
</v>
      </c>
      <c r="D43" s="68" t="s">
        <v>204</v>
      </c>
      <c r="E43" s="456">
        <v>1</v>
      </c>
      <c r="F43" s="457"/>
      <c r="G43" s="333">
        <f>'2. Costeo Detallado'!Q55</f>
        <v>400000</v>
      </c>
      <c r="H43" s="69">
        <v>1</v>
      </c>
      <c r="I43" s="69">
        <v>0</v>
      </c>
      <c r="J43" s="69" t="str">
        <f>'2. Costeo Detallado'!A$53</f>
        <v>Componente 3. Vinculación entre educación y sector productivo.</v>
      </c>
      <c r="K43" s="68" t="s">
        <v>178</v>
      </c>
      <c r="L43" s="113" t="s">
        <v>181</v>
      </c>
      <c r="M43" s="113" t="s">
        <v>181</v>
      </c>
      <c r="N43" s="83"/>
      <c r="Q43" s="62"/>
      <c r="R43" s="66"/>
    </row>
    <row r="44" spans="1:18" ht="131.25">
      <c r="A44" s="67"/>
      <c r="B44" s="68" t="str">
        <f>'2. Costeo Detallado'!C55</f>
        <v xml:space="preserve">3.1.1  desarrollo de la metodología para la identificación de las necesidades de demandas, las colocaciones de las pasantías y  el seguimiento y evaluación de los pasantes </v>
      </c>
      <c r="C44" s="68" t="str">
        <f>'2. Costeo Detallado'!D56</f>
        <v>Asistencia técnica para apoyar en el Levantamiento de las necesidades de demanda de habilidades y coordinación con los encargados de colocación en los politécnicos</v>
      </c>
      <c r="D44" s="68" t="s">
        <v>204</v>
      </c>
      <c r="E44" s="456">
        <v>1</v>
      </c>
      <c r="F44" s="457"/>
      <c r="G44" s="333">
        <f>'2. Costeo Detallado'!Q56</f>
        <v>100000</v>
      </c>
      <c r="H44" s="69">
        <v>1</v>
      </c>
      <c r="I44" s="69">
        <v>0</v>
      </c>
      <c r="J44" s="69" t="str">
        <f>'2. Costeo Detallado'!A$53</f>
        <v>Componente 3. Vinculación entre educación y sector productivo.</v>
      </c>
      <c r="K44" s="68" t="s">
        <v>178</v>
      </c>
      <c r="L44" s="113" t="s">
        <v>181</v>
      </c>
      <c r="M44" s="113" t="s">
        <v>181</v>
      </c>
      <c r="N44" s="83"/>
      <c r="Q44" s="62"/>
      <c r="R44" s="66"/>
    </row>
    <row r="45" spans="1:18" ht="52.5">
      <c r="A45" s="67" t="s">
        <v>179</v>
      </c>
      <c r="B45" s="68" t="str">
        <f>'2. Costeo Detallado'!B65</f>
        <v>3.3 Implementación de sistemas de información para la ETP</v>
      </c>
      <c r="C45" s="68" t="str">
        <f>'2. Costeo Detallado'!C66</f>
        <v>3.3.1 fortalecimiento e integración del sistema de información para la ETP</v>
      </c>
      <c r="D45" s="68" t="s">
        <v>204</v>
      </c>
      <c r="E45" s="456">
        <v>1</v>
      </c>
      <c r="F45" s="457"/>
      <c r="G45" s="329">
        <f>SUM('2. Costeo Detallado'!Q67:Q68)</f>
        <v>964000</v>
      </c>
      <c r="H45" s="69">
        <v>1</v>
      </c>
      <c r="I45" s="69">
        <v>0</v>
      </c>
      <c r="J45" s="68" t="str">
        <f>'2. Costeo Detallado'!A$53</f>
        <v>Componente 3. Vinculación entre educación y sector productivo.</v>
      </c>
      <c r="K45" s="68" t="s">
        <v>178</v>
      </c>
      <c r="L45" s="113" t="s">
        <v>181</v>
      </c>
      <c r="M45" s="113" t="s">
        <v>181</v>
      </c>
      <c r="N45" s="70"/>
      <c r="Q45" s="62"/>
      <c r="R45" s="66"/>
    </row>
    <row r="46" spans="1:18" ht="52.5">
      <c r="A46" s="67" t="s">
        <v>179</v>
      </c>
      <c r="B46" s="68" t="str">
        <f>'2. Costeo Detallado'!C71</f>
        <v>3.4.1 Plataforma de informacion INFOTEP</v>
      </c>
      <c r="C46" s="68" t="str">
        <f>'2. Costeo Detallado'!D71</f>
        <v xml:space="preserve">Diseno e implementacion de plataforma de informacion("modulos de evaluacion e identificacion de demanda") </v>
      </c>
      <c r="D46" s="68" t="s">
        <v>204</v>
      </c>
      <c r="E46" s="456">
        <v>1</v>
      </c>
      <c r="F46" s="457"/>
      <c r="G46" s="329">
        <f>'2. Costeo Detallado'!Q71</f>
        <v>250000</v>
      </c>
      <c r="H46" s="69">
        <v>1</v>
      </c>
      <c r="I46" s="69">
        <v>0</v>
      </c>
      <c r="J46" s="68" t="str">
        <f>'2. Costeo Detallado'!A$53</f>
        <v>Componente 3. Vinculación entre educación y sector productivo.</v>
      </c>
      <c r="K46" s="68" t="s">
        <v>178</v>
      </c>
      <c r="L46" s="113" t="s">
        <v>181</v>
      </c>
      <c r="M46" s="113" t="s">
        <v>181</v>
      </c>
      <c r="N46" s="70"/>
      <c r="Q46" s="62"/>
      <c r="R46" s="66"/>
    </row>
    <row r="47" spans="1:18" ht="26.25">
      <c r="A47" s="67" t="s">
        <v>179</v>
      </c>
      <c r="B47" s="68" t="str">
        <f>'2. Costeo Detallado'!C72</f>
        <v>3.4.2 Mercadeo "fuerza de venta"</v>
      </c>
      <c r="C47" s="68" t="str">
        <f>'2. Costeo Detallado'!D72</f>
        <v>Para la promoción, INFOTEP</v>
      </c>
      <c r="D47" s="68" t="s">
        <v>204</v>
      </c>
      <c r="E47" s="456">
        <v>1</v>
      </c>
      <c r="F47" s="457"/>
      <c r="G47" s="329">
        <f>'2. Costeo Detallado'!Q72</f>
        <v>250000</v>
      </c>
      <c r="H47" s="69">
        <v>1</v>
      </c>
      <c r="I47" s="69">
        <v>0</v>
      </c>
      <c r="J47" s="68" t="str">
        <f>'2. Costeo Detallado'!A$53</f>
        <v>Componente 3. Vinculación entre educación y sector productivo.</v>
      </c>
      <c r="K47" s="68" t="s">
        <v>178</v>
      </c>
      <c r="L47" s="113" t="s">
        <v>181</v>
      </c>
      <c r="M47" s="113" t="s">
        <v>181</v>
      </c>
      <c r="N47" s="70"/>
      <c r="Q47" s="62"/>
      <c r="R47" s="66"/>
    </row>
    <row r="48" spans="1:18">
      <c r="A48" s="67" t="s">
        <v>179</v>
      </c>
      <c r="B48" s="68" t="str">
        <f>'2. Costeo Detallado'!B77</f>
        <v>Auditoría Financiera</v>
      </c>
      <c r="C48" s="68"/>
      <c r="D48" s="68" t="s">
        <v>204</v>
      </c>
      <c r="E48" s="456">
        <v>1</v>
      </c>
      <c r="F48" s="457"/>
      <c r="G48" s="329">
        <f>'2. Costeo Detallado'!Q77</f>
        <v>144000</v>
      </c>
      <c r="H48" s="69">
        <v>1</v>
      </c>
      <c r="I48" s="69">
        <v>0</v>
      </c>
      <c r="J48" s="68" t="str">
        <f>'2. Costeo Detallado'!A$76</f>
        <v>Administración y Evaluación</v>
      </c>
      <c r="K48" s="68" t="s">
        <v>178</v>
      </c>
      <c r="L48" s="113" t="s">
        <v>181</v>
      </c>
      <c r="M48" s="113" t="s">
        <v>181</v>
      </c>
      <c r="N48" s="70"/>
      <c r="Q48" s="62" t="s">
        <v>211</v>
      </c>
      <c r="R48" s="66"/>
    </row>
    <row r="49" spans="1:18" ht="170.65">
      <c r="A49" s="67" t="s">
        <v>179</v>
      </c>
      <c r="B49" s="68" t="str">
        <f>'2. Costeo Detallado'!B78</f>
        <v>Evaluación de impacto Pasantías</v>
      </c>
      <c r="C49" s="68" t="str">
        <f>'2. Costeo Detallado'!D78</f>
        <v>Evaluación cuasi – experimental para medir el efecto de las pasantías sobre la empleabilidad de los jóvenes
Pilotaje/validación y aplicación del instrumento “WorkPlace Skills Survey”
Evaluación cualitativa de las pasantías
Evaluación de los procesos
Primer seguimiento de datos de la evaluación de impacto cuyo diseño y línea de base viene siendo financiada por la CT ATN/SF-14394.</v>
      </c>
      <c r="D49" s="68" t="s">
        <v>204</v>
      </c>
      <c r="E49" s="456">
        <v>1</v>
      </c>
      <c r="F49" s="457"/>
      <c r="G49" s="333">
        <f>'2. Costeo Detallado'!Q78</f>
        <v>1756000</v>
      </c>
      <c r="H49" s="69">
        <v>1</v>
      </c>
      <c r="I49" s="69">
        <v>0</v>
      </c>
      <c r="J49" s="68" t="str">
        <f>'2. Costeo Detallado'!A$76</f>
        <v>Administración y Evaluación</v>
      </c>
      <c r="K49" s="68" t="s">
        <v>178</v>
      </c>
      <c r="L49" s="113" t="s">
        <v>181</v>
      </c>
      <c r="M49" s="113" t="s">
        <v>181</v>
      </c>
      <c r="N49" s="70"/>
      <c r="R49" s="61"/>
    </row>
    <row r="50" spans="1:18" ht="39.4">
      <c r="A50" s="67" t="s">
        <v>179</v>
      </c>
      <c r="B50" s="68" t="str">
        <f>'2. Costeo Detallado'!B79</f>
        <v>Evaluación formación dual (INFOTEP)</v>
      </c>
      <c r="C50" s="68" t="str">
        <f>'2. Costeo Detallado'!D79</f>
        <v>Evaluaci'on de la expansión del programa de formación dual</v>
      </c>
      <c r="D50" s="68" t="s">
        <v>204</v>
      </c>
      <c r="E50" s="456">
        <v>1</v>
      </c>
      <c r="F50" s="457"/>
      <c r="G50" s="82">
        <f>'2. Costeo Detallado'!Q79</f>
        <v>300000</v>
      </c>
      <c r="H50" s="69">
        <v>1</v>
      </c>
      <c r="I50" s="69">
        <v>0</v>
      </c>
      <c r="J50" s="68" t="str">
        <f>'2. Costeo Detallado'!A$76</f>
        <v>Administración y Evaluación</v>
      </c>
      <c r="K50" s="68" t="s">
        <v>178</v>
      </c>
      <c r="L50" s="113" t="s">
        <v>181</v>
      </c>
      <c r="M50" s="113" t="s">
        <v>181</v>
      </c>
      <c r="N50" s="70"/>
      <c r="Q50" s="61"/>
      <c r="R50" s="61"/>
    </row>
    <row r="51" spans="1:18" ht="14.65" thickBot="1">
      <c r="A51" s="71"/>
      <c r="B51" s="72"/>
      <c r="C51" s="72"/>
      <c r="D51" s="72"/>
      <c r="E51" s="72"/>
      <c r="F51" s="72"/>
      <c r="G51" s="72"/>
      <c r="H51" s="73"/>
      <c r="I51" s="74"/>
      <c r="J51" s="74"/>
      <c r="K51" s="72"/>
      <c r="L51" s="72"/>
      <c r="M51" s="72"/>
      <c r="N51" s="75"/>
      <c r="Q51" s="61"/>
      <c r="R51" s="61"/>
    </row>
    <row r="52" spans="1:18" ht="14.65" thickBot="1">
      <c r="Q52" s="78" t="s">
        <v>212</v>
      </c>
      <c r="R52" s="78" t="s">
        <v>213</v>
      </c>
    </row>
    <row r="53" spans="1:18" ht="15.75">
      <c r="A53" s="453" t="s">
        <v>214</v>
      </c>
      <c r="B53" s="454"/>
      <c r="C53" s="454"/>
      <c r="D53" s="454"/>
      <c r="E53" s="454"/>
      <c r="F53" s="454"/>
      <c r="G53" s="454"/>
      <c r="H53" s="454"/>
      <c r="I53" s="454"/>
      <c r="J53" s="454"/>
      <c r="K53" s="454"/>
      <c r="L53" s="454"/>
      <c r="M53" s="454"/>
      <c r="N53" s="455"/>
      <c r="Q53" s="78" t="s">
        <v>215</v>
      </c>
      <c r="R53" s="78" t="s">
        <v>213</v>
      </c>
    </row>
    <row r="54" spans="1:18">
      <c r="A54" s="459" t="s">
        <v>161</v>
      </c>
      <c r="B54" s="460" t="s">
        <v>162</v>
      </c>
      <c r="C54" s="460" t="s">
        <v>163</v>
      </c>
      <c r="D54" s="460" t="s">
        <v>190</v>
      </c>
      <c r="E54" s="460" t="s">
        <v>166</v>
      </c>
      <c r="F54" s="461" t="s">
        <v>167</v>
      </c>
      <c r="G54" s="461"/>
      <c r="H54" s="461"/>
      <c r="I54" s="462" t="s">
        <v>216</v>
      </c>
      <c r="J54" s="460" t="s">
        <v>168</v>
      </c>
      <c r="K54" s="460" t="s">
        <v>169</v>
      </c>
      <c r="L54" s="460" t="s">
        <v>170</v>
      </c>
      <c r="M54" s="460"/>
      <c r="N54" s="458" t="s">
        <v>171</v>
      </c>
      <c r="Q54" s="78" t="s">
        <v>89</v>
      </c>
      <c r="R54" s="78" t="s">
        <v>213</v>
      </c>
    </row>
    <row r="55" spans="1:18" ht="26.25">
      <c r="A55" s="459"/>
      <c r="B55" s="460"/>
      <c r="C55" s="460"/>
      <c r="D55" s="460"/>
      <c r="E55" s="460"/>
      <c r="F55" s="65" t="s">
        <v>173</v>
      </c>
      <c r="G55" s="63" t="s">
        <v>174</v>
      </c>
      <c r="H55" s="64" t="s">
        <v>175</v>
      </c>
      <c r="I55" s="462"/>
      <c r="J55" s="460"/>
      <c r="K55" s="460"/>
      <c r="L55" s="65" t="s">
        <v>217</v>
      </c>
      <c r="M55" s="65" t="s">
        <v>218</v>
      </c>
      <c r="N55" s="458"/>
      <c r="Q55" s="78" t="s">
        <v>212</v>
      </c>
      <c r="R55" s="78" t="s">
        <v>219</v>
      </c>
    </row>
    <row r="56" spans="1:18" s="66" customFormat="1" ht="78.75">
      <c r="A56" s="110" t="s">
        <v>179</v>
      </c>
      <c r="B56" s="111" t="str">
        <f>'2. Costeo Detallado'!C66</f>
        <v>3.3.1 fortalecimiento e integración del sistema de información para la ETP</v>
      </c>
      <c r="C56" s="111" t="str">
        <f>'2. Costeo Detallado'!D66</f>
        <v>Asistencia tècnica para la identificaciòn de indicadores para el sistema (INCLUYE CAPACITACIÓN A LOS USUARIOS)</v>
      </c>
      <c r="D56" s="68" t="s">
        <v>206</v>
      </c>
      <c r="E56" s="108">
        <v>1</v>
      </c>
      <c r="F56" s="334">
        <f>'2. Costeo Detallado'!Q66</f>
        <v>30000</v>
      </c>
      <c r="G56" s="85">
        <v>1</v>
      </c>
      <c r="H56" s="69">
        <v>0</v>
      </c>
      <c r="I56" s="84">
        <v>1</v>
      </c>
      <c r="J56" s="68" t="str">
        <f>'2. Costeo Detallado'!A$53</f>
        <v>Componente 3. Vinculación entre educación y sector productivo.</v>
      </c>
      <c r="K56" s="68" t="s">
        <v>178</v>
      </c>
      <c r="L56" s="113" t="s">
        <v>181</v>
      </c>
      <c r="M56" s="113" t="s">
        <v>181</v>
      </c>
      <c r="N56" s="109"/>
      <c r="Q56" s="78"/>
      <c r="R56" s="78"/>
    </row>
    <row r="57" spans="1:18" ht="26.25">
      <c r="A57" s="67" t="s">
        <v>179</v>
      </c>
      <c r="B57" s="68" t="str">
        <f>'2. Costeo Detallado'!C26</f>
        <v>1.1.6 Capacitación Directores</v>
      </c>
      <c r="C57" s="68" t="str">
        <f>'2. Costeo Detallado'!D27</f>
        <v>Asistencia técnica para desarrollo de contenidos y materiales nuevos</v>
      </c>
      <c r="D57" s="68" t="s">
        <v>206</v>
      </c>
      <c r="E57" s="95">
        <v>1</v>
      </c>
      <c r="F57" s="333">
        <f>'2. Costeo Detallado'!Q27</f>
        <v>50000</v>
      </c>
      <c r="G57" s="85">
        <v>1</v>
      </c>
      <c r="H57" s="69">
        <v>0</v>
      </c>
      <c r="I57" s="84">
        <v>1</v>
      </c>
      <c r="J57" s="68" t="str">
        <f>'2. Costeo Detallado'!A$53</f>
        <v>Componente 3. Vinculación entre educación y sector productivo.</v>
      </c>
      <c r="K57" s="68" t="s">
        <v>178</v>
      </c>
      <c r="L57" s="113" t="s">
        <v>181</v>
      </c>
      <c r="M57" s="113" t="s">
        <v>181</v>
      </c>
      <c r="N57" s="70"/>
      <c r="Q57" s="78"/>
      <c r="R57" s="78"/>
    </row>
    <row r="58" spans="1:18" ht="105">
      <c r="A58" s="67" t="s">
        <v>179</v>
      </c>
      <c r="B58" s="68" t="str">
        <f>'2. Costeo Detallado'!C57</f>
        <v>3.1.2 Formación del equipo gestor de las Oficinas de Gestión de las Pasantías  (OGP)  en la metodología de inserción de los jóvenes</v>
      </c>
      <c r="C58" s="68" t="str">
        <f>'2. Costeo Detallado'!D57</f>
        <v>1) Revision del diplomado de gestion de pasantias
2) Identificacion personal para la gestión 
3) Desarrollo de talleres de capacitación</v>
      </c>
      <c r="D58" s="68" t="s">
        <v>206</v>
      </c>
      <c r="E58" s="95">
        <v>1</v>
      </c>
      <c r="F58" s="333">
        <f>'2. Costeo Detallado'!Q57</f>
        <v>60000</v>
      </c>
      <c r="G58" s="85">
        <v>1</v>
      </c>
      <c r="H58" s="69">
        <v>0</v>
      </c>
      <c r="I58" s="84">
        <v>1</v>
      </c>
      <c r="J58" s="68" t="str">
        <f>'2. Costeo Detallado'!A$53</f>
        <v>Componente 3. Vinculación entre educación y sector productivo.</v>
      </c>
      <c r="K58" s="68" t="s">
        <v>178</v>
      </c>
      <c r="L58" s="113" t="s">
        <v>181</v>
      </c>
      <c r="M58" s="113" t="s">
        <v>181</v>
      </c>
      <c r="N58" s="70"/>
      <c r="Q58" s="78"/>
      <c r="R58" s="78"/>
    </row>
    <row r="59" spans="1:18" ht="78.75">
      <c r="A59" s="67" t="s">
        <v>179</v>
      </c>
      <c r="B59" s="68" t="str">
        <f>'2. Costeo Detallado'!C58</f>
        <v>3.1.3 Establecimiento de redes de empresas vincuiladas a las actividades de los politécnicos</v>
      </c>
      <c r="C59" s="68" t="str">
        <f>'2. Costeo Detallado'!D58</f>
        <v>1) Talleres de sensibilización
2) Formalización acuerdos de colaboración</v>
      </c>
      <c r="D59" s="68" t="s">
        <v>206</v>
      </c>
      <c r="E59" s="95">
        <v>1</v>
      </c>
      <c r="F59" s="333">
        <f>'2. Costeo Detallado'!Q58</f>
        <v>100000</v>
      </c>
      <c r="G59" s="85">
        <v>1</v>
      </c>
      <c r="H59" s="69">
        <v>0</v>
      </c>
      <c r="I59" s="84">
        <v>1</v>
      </c>
      <c r="J59" s="68" t="str">
        <f>'2. Costeo Detallado'!A$53</f>
        <v>Componente 3. Vinculación entre educación y sector productivo.</v>
      </c>
      <c r="K59" s="68" t="s">
        <v>178</v>
      </c>
      <c r="L59" s="113" t="s">
        <v>181</v>
      </c>
      <c r="M59" s="113" t="s">
        <v>181</v>
      </c>
      <c r="N59" s="70"/>
      <c r="Q59" s="78"/>
      <c r="R59" s="78"/>
    </row>
    <row r="60" spans="1:18">
      <c r="A60" s="67"/>
      <c r="B60" s="68"/>
      <c r="C60" s="68"/>
      <c r="D60" s="68"/>
      <c r="E60" s="95"/>
      <c r="F60" s="82"/>
      <c r="G60" s="69"/>
      <c r="H60" s="69"/>
      <c r="I60" s="84"/>
      <c r="J60" s="68"/>
      <c r="K60" s="68"/>
      <c r="L60" s="68"/>
      <c r="M60" s="68"/>
      <c r="N60" s="70"/>
      <c r="Q60" s="78"/>
      <c r="R60" s="78"/>
    </row>
    <row r="61" spans="1:18">
      <c r="A61" s="68"/>
      <c r="B61" s="68"/>
      <c r="C61" s="68"/>
      <c r="D61" s="68"/>
      <c r="E61" s="95"/>
      <c r="F61" s="82"/>
      <c r="G61" s="69"/>
      <c r="H61" s="69"/>
      <c r="I61" s="84"/>
      <c r="J61" s="68"/>
      <c r="K61" s="68"/>
      <c r="L61" s="68"/>
      <c r="M61" s="68"/>
      <c r="N61" s="68"/>
      <c r="Q61" s="78"/>
      <c r="R61" s="78"/>
    </row>
    <row r="62" spans="1:18">
      <c r="A62" s="68"/>
      <c r="B62" s="68"/>
      <c r="C62" s="68"/>
      <c r="D62" s="68"/>
      <c r="E62" s="95"/>
      <c r="F62" s="82"/>
      <c r="G62" s="69"/>
      <c r="H62" s="69"/>
      <c r="I62" s="84"/>
      <c r="J62" s="68"/>
      <c r="K62" s="68"/>
      <c r="L62" s="68"/>
      <c r="M62" s="68"/>
      <c r="N62" s="68"/>
      <c r="Q62" s="78"/>
      <c r="R62" s="78"/>
    </row>
    <row r="63" spans="1:18">
      <c r="A63" s="68"/>
      <c r="B63" s="68"/>
      <c r="C63" s="68"/>
      <c r="D63" s="68"/>
      <c r="E63" s="95"/>
      <c r="F63" s="82"/>
      <c r="G63" s="69"/>
      <c r="H63" s="69"/>
      <c r="I63" s="84"/>
      <c r="J63" s="68"/>
      <c r="K63" s="68"/>
      <c r="L63" s="68"/>
      <c r="M63" s="68"/>
      <c r="N63" s="68"/>
      <c r="Q63" s="78"/>
      <c r="R63" s="78"/>
    </row>
    <row r="64" spans="1:18">
      <c r="A64" s="68"/>
      <c r="B64" s="68"/>
      <c r="C64" s="68"/>
      <c r="D64" s="68"/>
      <c r="E64" s="95"/>
      <c r="F64" s="82"/>
      <c r="G64" s="69"/>
      <c r="H64" s="69"/>
      <c r="I64" s="84"/>
      <c r="J64" s="68"/>
      <c r="K64" s="68"/>
      <c r="L64" s="68"/>
      <c r="M64" s="68"/>
      <c r="N64" s="68"/>
      <c r="Q64" s="78"/>
      <c r="R64" s="78"/>
    </row>
    <row r="65" spans="1:18">
      <c r="Q65" s="78" t="s">
        <v>220</v>
      </c>
      <c r="R65" s="78" t="s">
        <v>221</v>
      </c>
    </row>
    <row r="66" spans="1:18">
      <c r="A66" s="79"/>
      <c r="B66" s="79"/>
      <c r="C66" s="79"/>
      <c r="D66" s="79"/>
      <c r="E66" s="79"/>
      <c r="F66" s="79"/>
      <c r="G66" s="79"/>
      <c r="H66" s="80"/>
      <c r="I66" s="81"/>
      <c r="J66" s="81"/>
      <c r="K66" s="79"/>
      <c r="L66" s="79"/>
      <c r="M66" s="79"/>
      <c r="N66" s="79"/>
      <c r="Q66" s="78" t="s">
        <v>222</v>
      </c>
      <c r="R66" s="78" t="s">
        <v>213</v>
      </c>
    </row>
    <row r="67" spans="1:18">
      <c r="E67" s="79"/>
      <c r="F67" s="79"/>
      <c r="G67" s="79"/>
      <c r="H67" s="80"/>
      <c r="I67" s="81"/>
      <c r="J67" s="81"/>
      <c r="K67" s="79"/>
      <c r="L67" s="79"/>
      <c r="M67" s="79"/>
      <c r="N67" s="79"/>
      <c r="Q67" s="78"/>
      <c r="R67" s="78"/>
    </row>
    <row r="68" spans="1:18">
      <c r="Q68" s="78" t="s">
        <v>223</v>
      </c>
      <c r="R68" s="78" t="s">
        <v>219</v>
      </c>
    </row>
    <row r="69" spans="1:18">
      <c r="D69" s="86" t="s">
        <v>224</v>
      </c>
      <c r="E69" s="87">
        <f>SUM(F56:F64,G39:G51,G25:G34,G14:G20,G5:G9)</f>
        <v>62138300.000000007</v>
      </c>
      <c r="Q69" s="61"/>
      <c r="R69" s="78" t="s">
        <v>219</v>
      </c>
    </row>
    <row r="70" spans="1:18">
      <c r="D70" s="88"/>
      <c r="E70" s="89"/>
      <c r="Q70" s="61"/>
      <c r="R70" s="78"/>
    </row>
    <row r="71" spans="1:18" ht="28.5">
      <c r="D71" s="182" t="s">
        <v>225</v>
      </c>
      <c r="E71" s="335">
        <f>'2. Costeo Detallado'!Q22</f>
        <v>96000</v>
      </c>
      <c r="Q71" s="61"/>
      <c r="R71" s="61"/>
    </row>
    <row r="72" spans="1:18">
      <c r="E72" s="76"/>
      <c r="Q72" s="78" t="s">
        <v>226</v>
      </c>
      <c r="R72" s="78" t="s">
        <v>227</v>
      </c>
    </row>
    <row r="73" spans="1:18" ht="28.5">
      <c r="D73" s="319" t="str">
        <f>'2. Costeo Detallado'!D39</f>
        <v>Adecuaciones  empresas &amp;  incentivos para empresas/aprendices</v>
      </c>
      <c r="E73" s="76">
        <f>'2. Costeo Detallado'!Q39</f>
        <v>1978700</v>
      </c>
      <c r="Q73" s="78"/>
      <c r="R73" s="78"/>
    </row>
    <row r="74" spans="1:18">
      <c r="D74" s="319" t="str">
        <f>'2. Costeo Detallado'!D40</f>
        <v>"Matching Grant Facility"</v>
      </c>
      <c r="E74" s="76">
        <f>'2. Costeo Detallado'!Q40</f>
        <v>183000</v>
      </c>
      <c r="Q74" s="78"/>
      <c r="R74" s="78"/>
    </row>
    <row r="75" spans="1:18">
      <c r="D75" s="68" t="str">
        <f>'2. Costeo Detallado'!B48</f>
        <v>2.2 Fondos Concursables</v>
      </c>
      <c r="E75" s="336">
        <f>SUM('2. Costeo Detallado'!Q49:Q51)</f>
        <v>4000000</v>
      </c>
      <c r="Q75" s="78"/>
      <c r="R75" s="78"/>
    </row>
    <row r="76" spans="1:18">
      <c r="D76" s="68" t="str">
        <f>'2. Costeo Detallado'!C32</f>
        <v>1.1.8 Planes de Mejora</v>
      </c>
      <c r="E76" s="333">
        <f>'2. Costeo Detallado'!Q32</f>
        <v>480000</v>
      </c>
      <c r="Q76" s="78"/>
      <c r="R76" s="78"/>
    </row>
    <row r="77" spans="1:18">
      <c r="D77" t="str">
        <f>'2. Costeo Detallado'!D47</f>
        <v>Viáticos (gastos) de los técnicos mentores para visitar los talleres técnicos profesionales</v>
      </c>
      <c r="E77" s="337">
        <f>'2. Costeo Detallado'!Q47</f>
        <v>106000</v>
      </c>
      <c r="Q77" s="61"/>
      <c r="R77" s="61"/>
    </row>
    <row r="78" spans="1:18">
      <c r="D78" s="319"/>
      <c r="E78" s="76"/>
      <c r="Q78" s="78" t="s">
        <v>228</v>
      </c>
      <c r="R78" s="78" t="s">
        <v>221</v>
      </c>
    </row>
    <row r="79" spans="1:18">
      <c r="D79" t="str">
        <f>'2. Costeo Detallado'!D64</f>
        <v>Gastos administrativos de las oficinas</v>
      </c>
      <c r="E79" s="338">
        <f>'2. Costeo Detallado'!Q64</f>
        <v>18000</v>
      </c>
      <c r="Q79" s="78" t="s">
        <v>229</v>
      </c>
      <c r="R79" s="78" t="s">
        <v>221</v>
      </c>
    </row>
    <row r="80" spans="1:18">
      <c r="Q80" s="61"/>
      <c r="R80" s="61"/>
    </row>
    <row r="81" spans="4:18">
      <c r="D81" s="319" t="s">
        <v>10</v>
      </c>
      <c r="E81" s="339">
        <f>'2. Costeo Detallado'!S81</f>
        <v>1000000</v>
      </c>
      <c r="Q81" s="66"/>
      <c r="R81" s="66"/>
    </row>
    <row r="82" spans="4:18">
      <c r="D82" s="320" t="s">
        <v>230</v>
      </c>
      <c r="E82" s="321">
        <f>SUM(E71:E81)</f>
        <v>7861700</v>
      </c>
      <c r="Q82" s="78" t="s">
        <v>220</v>
      </c>
      <c r="R82" s="61"/>
    </row>
    <row r="83" spans="4:18">
      <c r="Q83" s="78" t="s">
        <v>231</v>
      </c>
      <c r="R83" s="61"/>
    </row>
    <row r="84" spans="4:18" ht="23.25">
      <c r="D84" s="328" t="s">
        <v>157</v>
      </c>
      <c r="E84" s="452">
        <f>SUM(E69:E69,E82)</f>
        <v>70000000</v>
      </c>
      <c r="F84" s="452"/>
      <c r="Q84" s="66"/>
      <c r="R84" s="66"/>
    </row>
    <row r="85" spans="4:18">
      <c r="Q85" s="66"/>
      <c r="R85" s="66"/>
    </row>
    <row r="86" spans="4:18">
      <c r="Q86" s="62" t="s">
        <v>206</v>
      </c>
      <c r="R86" s="61"/>
    </row>
    <row r="87" spans="4:18">
      <c r="Q87" s="62" t="s">
        <v>195</v>
      </c>
      <c r="R87" s="61"/>
    </row>
    <row r="88" spans="4:18">
      <c r="E88">
        <v>70000000</v>
      </c>
      <c r="Q88" s="62" t="s">
        <v>232</v>
      </c>
      <c r="R88" s="61"/>
    </row>
    <row r="89" spans="4:18">
      <c r="E89" s="76">
        <f>E84-E88</f>
        <v>0</v>
      </c>
      <c r="Q89" s="62" t="s">
        <v>160</v>
      </c>
      <c r="R89" s="66"/>
    </row>
  </sheetData>
  <mergeCells count="73"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  <mergeCell ref="A22:N22"/>
    <mergeCell ref="K3:K4"/>
    <mergeCell ref="L3:M3"/>
    <mergeCell ref="N3:N4"/>
    <mergeCell ref="A11:N11"/>
    <mergeCell ref="A12:A13"/>
    <mergeCell ref="B12:B13"/>
    <mergeCell ref="C12:C13"/>
    <mergeCell ref="D12:D13"/>
    <mergeCell ref="E12:E13"/>
    <mergeCell ref="F12:F13"/>
    <mergeCell ref="G12:I12"/>
    <mergeCell ref="J12:J13"/>
    <mergeCell ref="K12:K13"/>
    <mergeCell ref="L12:M12"/>
    <mergeCell ref="N12:N13"/>
    <mergeCell ref="K37:K38"/>
    <mergeCell ref="L37:M37"/>
    <mergeCell ref="N37:N38"/>
    <mergeCell ref="A36:N36"/>
    <mergeCell ref="A23:A24"/>
    <mergeCell ref="B23:B24"/>
    <mergeCell ref="C23:C24"/>
    <mergeCell ref="D23:D24"/>
    <mergeCell ref="E23:E24"/>
    <mergeCell ref="F23:F24"/>
    <mergeCell ref="G23:I23"/>
    <mergeCell ref="J23:J24"/>
    <mergeCell ref="K23:K24"/>
    <mergeCell ref="L23:M23"/>
    <mergeCell ref="N23:N24"/>
    <mergeCell ref="L54:M54"/>
    <mergeCell ref="E40:F40"/>
    <mergeCell ref="E45:F45"/>
    <mergeCell ref="E48:F48"/>
    <mergeCell ref="A37:A38"/>
    <mergeCell ref="B37:B38"/>
    <mergeCell ref="C37:C38"/>
    <mergeCell ref="D37:D38"/>
    <mergeCell ref="E37:F37"/>
    <mergeCell ref="E38:F38"/>
    <mergeCell ref="E41:F41"/>
    <mergeCell ref="E39:F39"/>
    <mergeCell ref="E43:F43"/>
    <mergeCell ref="E44:F44"/>
    <mergeCell ref="G37:I37"/>
    <mergeCell ref="J37:J38"/>
    <mergeCell ref="E84:F84"/>
    <mergeCell ref="A53:N53"/>
    <mergeCell ref="E49:F49"/>
    <mergeCell ref="E46:F46"/>
    <mergeCell ref="E47:F47"/>
    <mergeCell ref="E50:F50"/>
    <mergeCell ref="N54:N55"/>
    <mergeCell ref="A54:A55"/>
    <mergeCell ref="B54:B55"/>
    <mergeCell ref="C54:C55"/>
    <mergeCell ref="D54:D55"/>
    <mergeCell ref="E54:E55"/>
    <mergeCell ref="F54:H54"/>
    <mergeCell ref="I54:I55"/>
    <mergeCell ref="J54:J55"/>
    <mergeCell ref="K54:K55"/>
  </mergeCells>
  <dataValidations count="6">
    <dataValidation type="list" allowBlank="1" showInputMessage="1" showErrorMessage="1" sqref="D66" xr:uid="{00000000-0002-0000-0300-000000000000}">
      <formula1>$Q$35:$Q$48</formula1>
    </dataValidation>
    <dataValidation type="list" allowBlank="1" showInputMessage="1" showErrorMessage="1" sqref="K5:K9 K14:K20 K43:K51 K39:K41 K25:K34 K56:K64" xr:uid="{00000000-0002-0000-0300-000001000000}">
      <formula1>$Q$2:$Q$4</formula1>
    </dataValidation>
    <dataValidation type="list" allowBlank="1" showInputMessage="1" showErrorMessage="1" sqref="D5:D9 D14:D20 D25:D34" xr:uid="{00000000-0002-0000-0300-000002000000}">
      <formula1>$Q$14:$Q$24</formula1>
    </dataValidation>
    <dataValidation type="list" allowBlank="1" showInputMessage="1" showErrorMessage="1" sqref="K66:K67" xr:uid="{00000000-0002-0000-0300-000003000000}">
      <formula1>$Q$2:$Q$3</formula1>
    </dataValidation>
    <dataValidation type="list" allowBlank="1" showInputMessage="1" showErrorMessage="1" sqref="D56:D64" xr:uid="{00000000-0002-0000-0300-000004000000}">
      <formula1>$Q$86:$Q$89</formula1>
    </dataValidation>
    <dataValidation type="list" allowBlank="1" showInputMessage="1" showErrorMessage="1" sqref="D43:D51 D39:D41" xr:uid="{00000000-0002-0000-0300-000005000000}">
      <formula1>$Q$33:$Q$48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0"/>
  <sheetViews>
    <sheetView topLeftCell="A7" workbookViewId="0" xr3:uid="{F9CF3CF3-643B-5BE6-8B46-32C596A47465}">
      <selection activeCell="H25" sqref="H25"/>
    </sheetView>
  </sheetViews>
  <sheetFormatPr defaultRowHeight="14.25"/>
  <cols>
    <col min="1" max="1" width="42.28515625" customWidth="1"/>
    <col min="2" max="2" width="35.140625" customWidth="1"/>
    <col min="3" max="3" width="33.42578125" customWidth="1"/>
  </cols>
  <sheetData>
    <row r="1" spans="1:3" ht="36" customHeight="1" thickBot="1">
      <c r="A1" s="470" t="s">
        <v>233</v>
      </c>
      <c r="B1" s="470"/>
      <c r="C1" s="470"/>
    </row>
    <row r="2" spans="1:3">
      <c r="A2" s="467" t="s">
        <v>234</v>
      </c>
      <c r="B2" s="468"/>
      <c r="C2" s="469"/>
    </row>
    <row r="3" spans="1:3">
      <c r="A3" s="421" t="s">
        <v>235</v>
      </c>
      <c r="B3" s="422" t="s">
        <v>236</v>
      </c>
      <c r="C3" s="423" t="s">
        <v>237</v>
      </c>
    </row>
    <row r="4" spans="1:3" ht="14.65" thickBot="1">
      <c r="A4" s="412" t="s">
        <v>238</v>
      </c>
      <c r="B4" s="413" t="s">
        <v>239</v>
      </c>
      <c r="C4" s="414" t="s">
        <v>240</v>
      </c>
    </row>
    <row r="5" spans="1:3" ht="14.65" thickBot="1">
      <c r="A5" s="471"/>
      <c r="B5" s="471"/>
      <c r="C5" s="471"/>
    </row>
    <row r="6" spans="1:3">
      <c r="A6" s="467" t="s">
        <v>241</v>
      </c>
      <c r="B6" s="468"/>
      <c r="C6" s="469"/>
    </row>
    <row r="7" spans="1:3" ht="14.65" thickBot="1">
      <c r="A7" s="412" t="s">
        <v>242</v>
      </c>
      <c r="B7" s="472" t="s">
        <v>243</v>
      </c>
      <c r="C7" s="473"/>
    </row>
    <row r="8" spans="1:3" ht="14.65" thickBot="1">
      <c r="A8" s="471"/>
      <c r="B8" s="471"/>
      <c r="C8" s="471"/>
    </row>
    <row r="9" spans="1:3">
      <c r="A9" s="467" t="s">
        <v>244</v>
      </c>
      <c r="B9" s="468"/>
      <c r="C9" s="469"/>
    </row>
    <row r="10" spans="1:3" ht="26.25">
      <c r="A10" s="421" t="s">
        <v>245</v>
      </c>
      <c r="B10" s="422" t="s">
        <v>246</v>
      </c>
      <c r="C10" s="423" t="s">
        <v>247</v>
      </c>
    </row>
    <row r="11" spans="1:3">
      <c r="A11" s="415" t="s">
        <v>248</v>
      </c>
      <c r="B11" s="416">
        <f>SUM('4. Detalle Plan de Adquisicione'!G5:G8)</f>
        <v>27566666.82</v>
      </c>
      <c r="C11" s="417">
        <f>SUM(B11)</f>
        <v>27566666.82</v>
      </c>
    </row>
    <row r="12" spans="1:3">
      <c r="A12" s="415" t="s">
        <v>44</v>
      </c>
      <c r="B12" s="416">
        <f>SUM('4. Detalle Plan de Adquisicione'!G14:G20)</f>
        <v>20067426.162500001</v>
      </c>
      <c r="C12" s="417">
        <f>SUM(B12)</f>
        <v>20067426.162500001</v>
      </c>
    </row>
    <row r="13" spans="1:3">
      <c r="A13" s="415" t="s">
        <v>249</v>
      </c>
      <c r="B13" s="416">
        <f>SUM('4. Detalle Plan de Adquisicione'!G25:G33)</f>
        <v>5251207.017500001</v>
      </c>
      <c r="C13" s="417">
        <f t="shared" ref="C13:C18" si="0">SUM(B13)</f>
        <v>5251207.017500001</v>
      </c>
    </row>
    <row r="14" spans="1:3">
      <c r="A14" s="415" t="s">
        <v>250</v>
      </c>
      <c r="B14" s="416">
        <f>SUM('4. Detalle Plan de Adquisicione'!E74,'4. Detalle Plan de Adquisicione'!E79,'4. Detalle Plan de Adquisicione'!E71,'4. Detalle Plan de Adquisicione'!E77)</f>
        <v>403000</v>
      </c>
      <c r="C14" s="417">
        <f t="shared" si="0"/>
        <v>403000</v>
      </c>
    </row>
    <row r="15" spans="1:3">
      <c r="A15" s="415" t="s">
        <v>251</v>
      </c>
      <c r="B15" s="416">
        <f>SUM('4. Detalle Plan de Adquisicione'!G39:G50,'4. Detalle Plan de Adquisicione'!F56:F59)</f>
        <v>9253000</v>
      </c>
      <c r="C15" s="417">
        <f t="shared" si="0"/>
        <v>9253000</v>
      </c>
    </row>
    <row r="16" spans="1:3">
      <c r="A16" s="418" t="s">
        <v>102</v>
      </c>
      <c r="B16" s="416">
        <f>SUM('4. Detalle Plan de Adquisicione'!E73,'4. Detalle Plan de Adquisicione'!E75,'4. Detalle Plan de Adquisicione'!E76)</f>
        <v>6458700</v>
      </c>
      <c r="C16" s="417">
        <f t="shared" si="0"/>
        <v>6458700</v>
      </c>
    </row>
    <row r="17" spans="1:3">
      <c r="A17" s="415" t="s">
        <v>252</v>
      </c>
      <c r="B17" s="416">
        <v>0</v>
      </c>
      <c r="C17" s="417">
        <f t="shared" si="0"/>
        <v>0</v>
      </c>
    </row>
    <row r="18" spans="1:3">
      <c r="A18" s="418" t="s">
        <v>253</v>
      </c>
      <c r="B18" s="416">
        <f>SUM('2. Costeo Detallado'!S81)</f>
        <v>1000000</v>
      </c>
      <c r="C18" s="417">
        <f t="shared" si="0"/>
        <v>1000000</v>
      </c>
    </row>
    <row r="19" spans="1:3" ht="14.65" thickBot="1">
      <c r="A19" s="424" t="s">
        <v>4</v>
      </c>
      <c r="B19" s="425">
        <f>SUM(B11:B18)</f>
        <v>70000000</v>
      </c>
      <c r="C19" s="425">
        <f>SUM(C11:C18)</f>
        <v>70000000</v>
      </c>
    </row>
    <row r="20" spans="1:3" ht="14.65" thickBot="1">
      <c r="A20" s="426"/>
      <c r="B20" s="426"/>
      <c r="C20" s="426"/>
    </row>
    <row r="21" spans="1:3">
      <c r="A21" s="467" t="s">
        <v>254</v>
      </c>
      <c r="B21" s="468"/>
      <c r="C21" s="469"/>
    </row>
    <row r="22" spans="1:3" ht="26.25">
      <c r="A22" s="421" t="s">
        <v>255</v>
      </c>
      <c r="B22" s="422" t="s">
        <v>246</v>
      </c>
      <c r="C22" s="423" t="s">
        <v>247</v>
      </c>
    </row>
    <row r="23" spans="1:3">
      <c r="A23" s="418" t="str">
        <f>'2. Costeo Detallado'!A5</f>
        <v>Componente 1. Expansión y modernización de la oferta</v>
      </c>
      <c r="B23" s="416">
        <f>'1. Tabla de Costos'!C4</f>
        <v>52700000</v>
      </c>
      <c r="C23" s="417">
        <f t="shared" ref="C23:C25" si="1">SUM(B23)</f>
        <v>52700000</v>
      </c>
    </row>
    <row r="24" spans="1:3">
      <c r="A24" s="418" t="str">
        <f>'2. Costeo Detallado'!A43</f>
        <v>Componente 2. Innovación e investigación para mejorar la calidad docente y la gestión</v>
      </c>
      <c r="B24" s="416">
        <f>'1. Tabla de Costos'!C8</f>
        <v>10000000</v>
      </c>
      <c r="C24" s="417">
        <f t="shared" si="1"/>
        <v>10000000</v>
      </c>
    </row>
    <row r="25" spans="1:3">
      <c r="A25" s="418" t="str">
        <f>'2. Costeo Detallado'!A53</f>
        <v>Componente 3. Vinculación entre educación y sector productivo.</v>
      </c>
      <c r="B25" s="416">
        <f>'1. Tabla de Costos'!C12</f>
        <v>4100000</v>
      </c>
      <c r="C25" s="417">
        <f t="shared" si="1"/>
        <v>4100000</v>
      </c>
    </row>
    <row r="26" spans="1:3">
      <c r="A26" s="418" t="str">
        <f>'2. Costeo Detallado'!A76</f>
        <v>Administración y Evaluación</v>
      </c>
      <c r="B26" s="416">
        <f>'1. Tabla de Costos'!C18</f>
        <v>2200000</v>
      </c>
      <c r="C26" s="417">
        <f>SUM(B26)</f>
        <v>2200000</v>
      </c>
    </row>
    <row r="27" spans="1:3">
      <c r="A27" s="419" t="s">
        <v>10</v>
      </c>
      <c r="B27" s="420">
        <f>'1. Tabla de Costos'!C23</f>
        <v>1000000</v>
      </c>
      <c r="C27" s="417">
        <f>SUM(B27)</f>
        <v>1000000</v>
      </c>
    </row>
    <row r="28" spans="1:3" ht="14.65" thickBot="1">
      <c r="A28" s="424" t="s">
        <v>4</v>
      </c>
      <c r="B28" s="425">
        <f>SUM(B23:B27)</f>
        <v>70000000</v>
      </c>
      <c r="C28" s="425">
        <f>SUM(C23:C27)</f>
        <v>70000000</v>
      </c>
    </row>
    <row r="30" spans="1:3">
      <c r="C30" s="427">
        <f>SUM(C14)</f>
        <v>403000</v>
      </c>
    </row>
  </sheetData>
  <mergeCells count="8">
    <mergeCell ref="A9:C9"/>
    <mergeCell ref="A21:C21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  <pageSetup scale="8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655B5-B6B9-4F46-A4B4-BE81643C0D04}">
  <dimension ref="A1:M28"/>
  <sheetViews>
    <sheetView zoomScale="115" zoomScaleNormal="115" workbookViewId="0" xr3:uid="{77675B45-FFFD-5DB9-BBB6-63771F095C91}">
      <selection activeCell="M6" sqref="M6"/>
    </sheetView>
  </sheetViews>
  <sheetFormatPr defaultRowHeight="14.25"/>
  <cols>
    <col min="1" max="1" width="46.85546875" customWidth="1"/>
    <col min="2" max="2" width="10.28515625" bestFit="1" customWidth="1"/>
    <col min="3" max="3" width="10.42578125" bestFit="1" customWidth="1"/>
    <col min="4" max="8" width="9.28515625" bestFit="1" customWidth="1"/>
    <col min="9" max="9" width="9.28515625" hidden="1" customWidth="1"/>
    <col min="10" max="10" width="0" hidden="1" customWidth="1"/>
    <col min="12" max="12" width="43.140625" customWidth="1"/>
    <col min="13" max="13" width="15.5703125" bestFit="1" customWidth="1"/>
  </cols>
  <sheetData>
    <row r="1" spans="1:13" ht="14.65" thickBot="1">
      <c r="A1" s="126" t="s">
        <v>256</v>
      </c>
      <c r="B1" s="478" t="s">
        <v>257</v>
      </c>
      <c r="C1" s="480" t="s">
        <v>20</v>
      </c>
      <c r="D1" s="481"/>
      <c r="E1" s="480" t="s">
        <v>21</v>
      </c>
      <c r="F1" s="481"/>
      <c r="G1" s="480" t="s">
        <v>22</v>
      </c>
      <c r="H1" s="481"/>
      <c r="I1" s="480" t="s">
        <v>23</v>
      </c>
      <c r="J1" s="481"/>
      <c r="K1" s="127" t="s">
        <v>258</v>
      </c>
      <c r="L1" s="127" t="s">
        <v>259</v>
      </c>
    </row>
    <row r="2" spans="1:13" ht="14.65" thickBot="1">
      <c r="A2" s="128" t="s">
        <v>260</v>
      </c>
      <c r="B2" s="479"/>
      <c r="C2" s="129" t="s">
        <v>261</v>
      </c>
      <c r="D2" s="129" t="s">
        <v>262</v>
      </c>
      <c r="E2" s="129" t="s">
        <v>261</v>
      </c>
      <c r="F2" s="129" t="s">
        <v>262</v>
      </c>
      <c r="G2" s="129" t="s">
        <v>261</v>
      </c>
      <c r="H2" s="129" t="s">
        <v>262</v>
      </c>
      <c r="I2" s="129" t="s">
        <v>261</v>
      </c>
      <c r="J2" s="129" t="s">
        <v>262</v>
      </c>
      <c r="K2" s="129"/>
      <c r="L2" s="129"/>
    </row>
    <row r="3" spans="1:13" ht="14.65" thickBot="1">
      <c r="A3" s="474" t="s">
        <v>263</v>
      </c>
      <c r="B3" s="475"/>
      <c r="C3" s="475"/>
      <c r="D3" s="475"/>
      <c r="E3" s="475"/>
      <c r="F3" s="475"/>
      <c r="G3" s="475"/>
      <c r="H3" s="475"/>
      <c r="I3" s="475"/>
      <c r="J3" s="475"/>
      <c r="K3" s="476"/>
      <c r="L3" s="477"/>
      <c r="M3" s="174">
        <f>SUM(B4:B9)</f>
        <v>50538300</v>
      </c>
    </row>
    <row r="4" spans="1:13" ht="20.65" thickBot="1">
      <c r="A4" s="375" t="s">
        <v>264</v>
      </c>
      <c r="B4" s="376">
        <f t="shared" ref="B4:B8" si="0">SUM(C4,E4,G4)</f>
        <v>31117333.496800002</v>
      </c>
      <c r="C4" s="373">
        <f>SUM('2. Costeo Detallado'!J9,'2. Costeo Detallado'!J10,'2. Costeo Detallado'!J13,'2. Costeo Detallado'!J14,'2. Costeo Detallado'!J18:J20,'2. Costeo Detallado'!J22,'2. Costeo Detallado'!J23,'2. Costeo Detallado'!J32)</f>
        <v>4608500.0250000004</v>
      </c>
      <c r="D4" s="374">
        <v>0</v>
      </c>
      <c r="E4" s="373">
        <f>SUM('2. Costeo Detallado'!L9,'2. Costeo Detallado'!L10,'2. Costeo Detallado'!L13,'2. Costeo Detallado'!L14,'2. Costeo Detallado'!L18:L20,'2. Costeo Detallado'!L22,'2. Costeo Detallado'!L23,'2. Costeo Detallado'!L32)</f>
        <v>21500333.447000001</v>
      </c>
      <c r="F4" s="374">
        <v>20</v>
      </c>
      <c r="G4" s="373">
        <f>SUM('2. Costeo Detallado'!N9,'2. Costeo Detallado'!N10,'2. Costeo Detallado'!N13,'2. Costeo Detallado'!N14,'2. Costeo Detallado'!N18:N20,'2. Costeo Detallado'!N22,'2. Costeo Detallado'!N23,'2. Costeo Detallado'!N32)</f>
        <v>5008500.0247999998</v>
      </c>
      <c r="H4" s="374">
        <v>28</v>
      </c>
      <c r="I4" s="368"/>
      <c r="J4" s="392"/>
      <c r="K4" s="379">
        <f t="shared" ref="K4:K9" si="1">SUM(D4,F4,H4)</f>
        <v>48</v>
      </c>
      <c r="L4" s="350" t="s">
        <v>265</v>
      </c>
      <c r="M4" s="56"/>
    </row>
    <row r="5" spans="1:13" ht="20.65" thickBot="1">
      <c r="A5" s="341" t="s">
        <v>266</v>
      </c>
      <c r="B5" s="376">
        <f t="shared" si="0"/>
        <v>16194126.1625</v>
      </c>
      <c r="C5" s="377">
        <f>SUM('2. Costeo Detallado'!J11,'2. Costeo Detallado'!J15)</f>
        <v>2695451.764195866</v>
      </c>
      <c r="D5" s="365">
        <v>0</v>
      </c>
      <c r="E5" s="377">
        <f>SUM('2. Costeo Detallado'!L11,'2. Costeo Detallado'!L15)</f>
        <v>11604362.711303348</v>
      </c>
      <c r="F5" s="365">
        <v>20</v>
      </c>
      <c r="G5" s="377">
        <f>SUM('2. Costeo Detallado'!N11,'2. Costeo Detallado'!N15)</f>
        <v>1894311.6870007874</v>
      </c>
      <c r="H5" s="365">
        <v>28</v>
      </c>
      <c r="I5" s="378"/>
      <c r="J5" s="393"/>
      <c r="K5" s="397">
        <f t="shared" si="1"/>
        <v>48</v>
      </c>
      <c r="L5" s="396" t="s">
        <v>267</v>
      </c>
    </row>
    <row r="6" spans="1:13" ht="20.65" thickBot="1">
      <c r="A6" s="341" t="s">
        <v>268</v>
      </c>
      <c r="B6" s="376">
        <f t="shared" si="0"/>
        <v>50000</v>
      </c>
      <c r="C6" s="377">
        <f>SUM('2. Costeo Detallado'!J27)</f>
        <v>20000</v>
      </c>
      <c r="D6" s="365">
        <v>48</v>
      </c>
      <c r="E6" s="377">
        <f>SUM('2. Costeo Detallado'!L27)</f>
        <v>30000</v>
      </c>
      <c r="F6" s="365">
        <v>0</v>
      </c>
      <c r="G6" s="377">
        <f>SUM('2. Costeo Detallado'!N27)</f>
        <v>0</v>
      </c>
      <c r="H6" s="365">
        <v>0</v>
      </c>
      <c r="I6" s="378"/>
      <c r="J6" s="393"/>
      <c r="K6" s="397">
        <f t="shared" si="1"/>
        <v>48</v>
      </c>
      <c r="L6" s="350" t="s">
        <v>269</v>
      </c>
    </row>
    <row r="7" spans="1:13" ht="20.65" thickBot="1">
      <c r="A7" s="341" t="s">
        <v>270</v>
      </c>
      <c r="B7" s="376">
        <f t="shared" si="0"/>
        <v>948540.34070000076</v>
      </c>
      <c r="C7" s="367">
        <f>SUM('2. Costeo Detallado'!J29,'2. Costeo Detallado'!J30)</f>
        <v>189265.34219334903</v>
      </c>
      <c r="D7" s="365">
        <v>126</v>
      </c>
      <c r="E7" s="367">
        <f>SUM('2. Costeo Detallado'!L29,'2. Costeo Detallado'!L30)</f>
        <v>369676.1654536759</v>
      </c>
      <c r="F7" s="365">
        <v>108</v>
      </c>
      <c r="G7" s="367">
        <f>SUM('2. Costeo Detallado'!N29,'2. Costeo Detallado'!N30)</f>
        <v>389598.83305297577</v>
      </c>
      <c r="H7" s="365">
        <v>22</v>
      </c>
      <c r="I7" s="366"/>
      <c r="J7" s="393"/>
      <c r="K7" s="397">
        <f t="shared" si="1"/>
        <v>256</v>
      </c>
      <c r="L7" s="350" t="s">
        <v>271</v>
      </c>
    </row>
    <row r="8" spans="1:13" ht="20.65" thickBot="1">
      <c r="A8" s="341" t="s">
        <v>272</v>
      </c>
      <c r="B8" s="376">
        <f t="shared" si="0"/>
        <v>190000</v>
      </c>
      <c r="C8" s="367">
        <f>SUM('2. Costeo Detallado'!J28)</f>
        <v>0</v>
      </c>
      <c r="D8" s="365">
        <v>20</v>
      </c>
      <c r="E8" s="367">
        <f>SUM('2. Costeo Detallado'!L28)</f>
        <v>95000</v>
      </c>
      <c r="F8" s="365">
        <v>28</v>
      </c>
      <c r="G8" s="367">
        <f>SUM('2. Costeo Detallado'!N28)</f>
        <v>95000</v>
      </c>
      <c r="H8" s="365">
        <v>0</v>
      </c>
      <c r="I8" s="366"/>
      <c r="J8" s="393"/>
      <c r="K8" s="397">
        <f t="shared" si="1"/>
        <v>48</v>
      </c>
      <c r="L8" s="396" t="s">
        <v>269</v>
      </c>
    </row>
    <row r="9" spans="1:13" ht="20.65" thickBot="1">
      <c r="A9" s="385" t="s">
        <v>273</v>
      </c>
      <c r="B9" s="386">
        <f>SUM(C9,E9,G9)</f>
        <v>2038300</v>
      </c>
      <c r="C9" s="387">
        <f>SUM('2. Costeo Detallado'!J35:J37,'2. Costeo Detallado'!J41)</f>
        <v>762061</v>
      </c>
      <c r="D9" s="388">
        <v>175</v>
      </c>
      <c r="E9" s="387">
        <f>SUM('2. Costeo Detallado'!L35:L37,'2. Costeo Detallado'!L41)</f>
        <v>1077639</v>
      </c>
      <c r="F9" s="388">
        <v>175</v>
      </c>
      <c r="G9" s="387">
        <f>SUM('2. Costeo Detallado'!N35:N37,'2. Costeo Detallado'!N41)</f>
        <v>198600</v>
      </c>
      <c r="H9" s="388">
        <v>175</v>
      </c>
      <c r="I9" s="389"/>
      <c r="J9" s="394"/>
      <c r="K9" s="398">
        <f t="shared" si="1"/>
        <v>525</v>
      </c>
      <c r="L9" s="390" t="s">
        <v>274</v>
      </c>
    </row>
    <row r="10" spans="1:13" ht="20.65" thickBot="1">
      <c r="A10" s="380" t="s">
        <v>275</v>
      </c>
      <c r="B10" s="364">
        <f t="shared" ref="B10" si="2">SUM(C10,E10,G10)</f>
        <v>2161700</v>
      </c>
      <c r="C10" s="150">
        <f>SUM('2. Costeo Detallado'!J39:J40)</f>
        <v>745958</v>
      </c>
      <c r="D10" s="381">
        <v>50</v>
      </c>
      <c r="E10" s="382">
        <f>SUM('2. Costeo Detallado'!L39:L40)</f>
        <v>707871</v>
      </c>
      <c r="F10" s="381">
        <v>300</v>
      </c>
      <c r="G10" s="382">
        <f>SUM('2. Costeo Detallado'!N39:N40)</f>
        <v>707871</v>
      </c>
      <c r="H10" s="381">
        <v>150</v>
      </c>
      <c r="I10" s="383"/>
      <c r="J10" s="395"/>
      <c r="K10" s="399">
        <f t="shared" ref="K10" si="3">SUM(D10,F10,H10)</f>
        <v>500</v>
      </c>
      <c r="L10" s="384" t="s">
        <v>276</v>
      </c>
      <c r="M10" s="174"/>
    </row>
    <row r="11" spans="1:13" ht="14.65" thickBot="1">
      <c r="A11" s="474" t="s">
        <v>277</v>
      </c>
      <c r="B11" s="475"/>
      <c r="C11" s="475"/>
      <c r="D11" s="475"/>
      <c r="E11" s="475"/>
      <c r="F11" s="475"/>
      <c r="G11" s="475"/>
      <c r="H11" s="475"/>
      <c r="I11" s="475"/>
      <c r="J11" s="475"/>
      <c r="K11" s="485"/>
      <c r="L11" s="477"/>
      <c r="M11" s="174">
        <f>SUM(B12:B14)</f>
        <v>10000000</v>
      </c>
    </row>
    <row r="12" spans="1:13">
      <c r="A12" s="486" t="s">
        <v>278</v>
      </c>
      <c r="B12" s="488">
        <f t="shared" ref="B12" si="4">SUM(C12,E12,G12)</f>
        <v>9430000</v>
      </c>
      <c r="C12" s="490">
        <f>SUM('2. Costeo Detallado'!J45:J52)</f>
        <v>2114800</v>
      </c>
      <c r="D12" s="492"/>
      <c r="E12" s="490">
        <f>SUM('2. Costeo Detallado'!L45:L52)</f>
        <v>4146600</v>
      </c>
      <c r="F12" s="492">
        <v>1</v>
      </c>
      <c r="G12" s="490">
        <f>SUM('2. Costeo Detallado'!N45:N52)</f>
        <v>3168600</v>
      </c>
      <c r="H12" s="492"/>
      <c r="I12" s="494"/>
      <c r="J12" s="496"/>
      <c r="K12" s="478">
        <f>SUM(D12,F12,H12)</f>
        <v>1</v>
      </c>
      <c r="L12" s="483" t="s">
        <v>279</v>
      </c>
    </row>
    <row r="13" spans="1:13" ht="14.65" thickBot="1">
      <c r="A13" s="487"/>
      <c r="B13" s="489"/>
      <c r="C13" s="491"/>
      <c r="D13" s="493"/>
      <c r="E13" s="491"/>
      <c r="F13" s="493"/>
      <c r="G13" s="491"/>
      <c r="H13" s="493"/>
      <c r="I13" s="495"/>
      <c r="J13" s="497"/>
      <c r="K13" s="482"/>
      <c r="L13" s="484"/>
    </row>
    <row r="14" spans="1:13" ht="14.65" thickBot="1">
      <c r="A14" s="342" t="s">
        <v>280</v>
      </c>
      <c r="B14" s="364">
        <f t="shared" ref="B14" si="5">SUM(C14,E14,G14)</f>
        <v>570000</v>
      </c>
      <c r="C14" s="352">
        <f>SUM('2. Costeo Detallado'!J44)</f>
        <v>199500</v>
      </c>
      <c r="D14" s="136"/>
      <c r="E14" s="352">
        <f>SUM('2. Costeo Detallado'!L44)</f>
        <v>199500</v>
      </c>
      <c r="F14" s="136">
        <v>1</v>
      </c>
      <c r="G14" s="352">
        <f>SUM('2. Costeo Detallado'!N44)</f>
        <v>171000</v>
      </c>
      <c r="H14" s="136">
        <v>1</v>
      </c>
      <c r="I14" s="353"/>
      <c r="J14" s="372"/>
      <c r="K14" s="340">
        <f t="shared" ref="K14" si="6">SUM(D14,F14,H14)</f>
        <v>2</v>
      </c>
      <c r="L14" s="142" t="s">
        <v>281</v>
      </c>
    </row>
    <row r="15" spans="1:13" ht="14.65" thickBot="1">
      <c r="A15" s="474" t="s">
        <v>282</v>
      </c>
      <c r="B15" s="475"/>
      <c r="C15" s="475"/>
      <c r="D15" s="475"/>
      <c r="E15" s="475"/>
      <c r="F15" s="475"/>
      <c r="G15" s="475"/>
      <c r="H15" s="475"/>
      <c r="I15" s="475"/>
      <c r="J15" s="475"/>
      <c r="K15" s="485"/>
      <c r="L15" s="477"/>
      <c r="M15" s="174">
        <f>SUM(B16:B22)</f>
        <v>4100000</v>
      </c>
    </row>
    <row r="16" spans="1:13" ht="20.65" thickBot="1">
      <c r="A16" s="375" t="s">
        <v>283</v>
      </c>
      <c r="B16" s="376">
        <f t="shared" ref="B16" si="7">SUM(C16,E16,G16)</f>
        <v>100000</v>
      </c>
      <c r="C16" s="373">
        <f>SUM('2. Costeo Detallado'!J62)</f>
        <v>100000</v>
      </c>
      <c r="D16" s="374"/>
      <c r="E16" s="373">
        <f>SUM('2. Costeo Detallado'!L62)</f>
        <v>0</v>
      </c>
      <c r="F16" s="374">
        <v>10</v>
      </c>
      <c r="G16" s="373">
        <f>SUM('2. Costeo Detallado'!N62)</f>
        <v>0</v>
      </c>
      <c r="H16" s="374"/>
      <c r="I16" s="391"/>
      <c r="J16" s="405"/>
      <c r="K16" s="379">
        <f t="shared" ref="K16:K22" si="8">SUM(D16,F16,H16)</f>
        <v>10</v>
      </c>
      <c r="L16" s="350" t="s">
        <v>284</v>
      </c>
    </row>
    <row r="17" spans="1:13" ht="21.75" thickBot="1">
      <c r="A17" s="341" t="s">
        <v>285</v>
      </c>
      <c r="B17" s="376">
        <f t="shared" ref="B17" si="9">SUM(C17,E17,G17)</f>
        <v>2406000</v>
      </c>
      <c r="C17" s="377">
        <f>SUM('2. Costeo Detallado'!J63:J64, '2. Costeo Detallado'!J55:J58)</f>
        <v>838000</v>
      </c>
      <c r="D17" s="365"/>
      <c r="E17" s="377">
        <f>SUM('2. Costeo Detallado'!L63:L64, '2. Costeo Detallado'!L55:L58)</f>
        <v>986000</v>
      </c>
      <c r="F17" s="365">
        <v>20</v>
      </c>
      <c r="G17" s="377">
        <f>SUM('2. Costeo Detallado'!N63:N64, '2. Costeo Detallado'!N55:N58)</f>
        <v>582000</v>
      </c>
      <c r="H17" s="365"/>
      <c r="I17" s="378"/>
      <c r="J17" s="393"/>
      <c r="K17" s="397">
        <f t="shared" si="8"/>
        <v>20</v>
      </c>
      <c r="L17" s="407" t="s">
        <v>286</v>
      </c>
    </row>
    <row r="18" spans="1:13" ht="20.65" thickBot="1">
      <c r="A18" s="341" t="s">
        <v>287</v>
      </c>
      <c r="B18" s="376">
        <f>SUM(C18,E18,G18)</f>
        <v>250000</v>
      </c>
      <c r="C18" s="377">
        <f>SUM('2. Costeo Detallado'!J72:J73)</f>
        <v>42500</v>
      </c>
      <c r="D18" s="365">
        <v>15</v>
      </c>
      <c r="E18" s="377">
        <f>SUM('2. Costeo Detallado'!L72:L73)</f>
        <v>82500</v>
      </c>
      <c r="F18" s="365"/>
      <c r="G18" s="377">
        <f>SUM('2. Costeo Detallado'!N72:N73)</f>
        <v>125000</v>
      </c>
      <c r="H18" s="365"/>
      <c r="I18" s="378"/>
      <c r="J18" s="393"/>
      <c r="K18" s="397">
        <f t="shared" si="8"/>
        <v>15</v>
      </c>
      <c r="L18" s="350" t="s">
        <v>288</v>
      </c>
    </row>
    <row r="19" spans="1:13" ht="20.65" thickBot="1">
      <c r="A19" s="341" t="s">
        <v>289</v>
      </c>
      <c r="B19" s="376">
        <f>SUM(C19,E19,G19)</f>
        <v>530000</v>
      </c>
      <c r="C19" s="367">
        <f>SUM('2. Costeo Detallado'!J66:J67)</f>
        <v>155000</v>
      </c>
      <c r="D19" s="365"/>
      <c r="E19" s="367">
        <f>SUM('2. Costeo Detallado'!L66:L67)</f>
        <v>200000</v>
      </c>
      <c r="F19" s="365">
        <v>1</v>
      </c>
      <c r="G19" s="367">
        <f>SUM('2. Costeo Detallado'!N66:N67)</f>
        <v>175000</v>
      </c>
      <c r="H19" s="365"/>
      <c r="I19" s="366"/>
      <c r="J19" s="393"/>
      <c r="K19" s="397">
        <f t="shared" si="8"/>
        <v>1</v>
      </c>
      <c r="L19" s="396" t="s">
        <v>290</v>
      </c>
    </row>
    <row r="20" spans="1:13" ht="20.65" thickBot="1">
      <c r="A20" s="400" t="s">
        <v>291</v>
      </c>
      <c r="B20" s="401">
        <f>SUM(C20,E20,G20)</f>
        <v>564000</v>
      </c>
      <c r="C20" s="402">
        <f>SUM('2. Costeo Detallado'!J68,'2. Costeo Detallado'!J69)</f>
        <v>136000</v>
      </c>
      <c r="D20" s="403"/>
      <c r="E20" s="402">
        <f>SUM('2. Costeo Detallado'!L68,'2. Costeo Detallado'!L69)</f>
        <v>265600</v>
      </c>
      <c r="F20" s="403">
        <v>1</v>
      </c>
      <c r="G20" s="402">
        <f>SUM('2. Costeo Detallado'!N68,'2. Costeo Detallado'!N69)</f>
        <v>162400</v>
      </c>
      <c r="H20" s="403"/>
      <c r="I20" s="404"/>
      <c r="J20" s="406"/>
      <c r="K20" s="397">
        <f t="shared" si="8"/>
        <v>1</v>
      </c>
      <c r="L20" s="390" t="s">
        <v>292</v>
      </c>
    </row>
    <row r="21" spans="1:13" ht="20.65" thickBot="1">
      <c r="A21" s="358" t="s">
        <v>293</v>
      </c>
      <c r="B21" s="364">
        <f t="shared" ref="B21:B22" si="10">SUM(C21,E21,G21)</f>
        <v>125000</v>
      </c>
      <c r="C21" s="150">
        <f>SUM('2. Costeo Detallado'!J71)/2</f>
        <v>62500</v>
      </c>
      <c r="D21" s="351"/>
      <c r="E21" s="150">
        <f>SUM('2. Costeo Detallado'!L71)/2</f>
        <v>31250</v>
      </c>
      <c r="F21" s="351">
        <v>1</v>
      </c>
      <c r="G21" s="150">
        <f>SUM('2. Costeo Detallado'!N71)/2</f>
        <v>31250</v>
      </c>
      <c r="H21" s="351"/>
      <c r="I21" s="140"/>
      <c r="J21" s="372"/>
      <c r="K21" s="397">
        <f t="shared" si="8"/>
        <v>1</v>
      </c>
      <c r="L21" s="142" t="s">
        <v>294</v>
      </c>
    </row>
    <row r="22" spans="1:13" ht="20.65" thickBot="1">
      <c r="A22" s="358" t="s">
        <v>295</v>
      </c>
      <c r="B22" s="364">
        <f t="shared" si="10"/>
        <v>125000</v>
      </c>
      <c r="C22" s="150">
        <f>SUM('2. Costeo Detallado'!J71)/2</f>
        <v>62500</v>
      </c>
      <c r="D22" s="351">
        <v>1</v>
      </c>
      <c r="E22" s="150">
        <f>SUM('2. Costeo Detallado'!L71)/2</f>
        <v>31250</v>
      </c>
      <c r="F22" s="351"/>
      <c r="G22" s="150">
        <f>SUM('2. Costeo Detallado'!N71)/2</f>
        <v>31250</v>
      </c>
      <c r="H22" s="351"/>
      <c r="I22" s="140"/>
      <c r="J22" s="372"/>
      <c r="K22" s="340">
        <f t="shared" si="8"/>
        <v>1</v>
      </c>
      <c r="L22" s="142" t="s">
        <v>294</v>
      </c>
    </row>
    <row r="23" spans="1:13" ht="14.65" thickBot="1">
      <c r="A23" s="354" t="s">
        <v>296</v>
      </c>
      <c r="B23" s="370">
        <f>SUM(B4:B9,B12:B14,B16:B22)</f>
        <v>64638300</v>
      </c>
      <c r="C23" s="371">
        <f>SUM(C4:C9,C12:C14,C16:C22)</f>
        <v>11986078.131389216</v>
      </c>
      <c r="D23" s="356"/>
      <c r="E23" s="371">
        <f>SUM(E4:E9,E12:E14,E16:E22)</f>
        <v>40619711.323757023</v>
      </c>
      <c r="F23" s="356"/>
      <c r="G23" s="371">
        <f>SUM(G4:G9,G12:G14,G16:G22)</f>
        <v>12032510.544853764</v>
      </c>
      <c r="H23" s="356"/>
      <c r="I23" s="355"/>
      <c r="J23" s="357"/>
      <c r="K23" s="357"/>
      <c r="L23" s="357"/>
    </row>
    <row r="24" spans="1:13" ht="14.65" thickBot="1">
      <c r="A24" s="474" t="s">
        <v>297</v>
      </c>
      <c r="B24" s="475"/>
      <c r="C24" s="475"/>
      <c r="D24" s="475"/>
      <c r="E24" s="475"/>
      <c r="F24" s="475"/>
      <c r="G24" s="475"/>
      <c r="H24" s="475"/>
      <c r="I24" s="475"/>
      <c r="J24" s="475"/>
      <c r="K24" s="476"/>
      <c r="L24" s="477"/>
      <c r="M24" s="174">
        <f>SUM(B25:B27)</f>
        <v>3200000</v>
      </c>
    </row>
    <row r="25" spans="1:13" ht="14.65" thickBot="1">
      <c r="A25" s="358" t="s">
        <v>298</v>
      </c>
      <c r="B25" s="364">
        <f>SUM(C25,E25,G25)</f>
        <v>144000</v>
      </c>
      <c r="C25" s="144">
        <f>SUM('2. Costeo Detallado'!J77)</f>
        <v>32000</v>
      </c>
      <c r="D25" s="136"/>
      <c r="E25" s="144">
        <f>SUM('2. Costeo Detallado'!L77)</f>
        <v>56000.000000000007</v>
      </c>
      <c r="F25" s="136"/>
      <c r="G25" s="144">
        <f>SUM('2. Costeo Detallado'!N77)</f>
        <v>56000.000000000007</v>
      </c>
      <c r="H25" s="136"/>
      <c r="I25" s="144"/>
      <c r="J25" s="372"/>
      <c r="K25" s="409" t="s">
        <v>35</v>
      </c>
      <c r="L25" s="136"/>
    </row>
    <row r="26" spans="1:13" ht="14.65" thickBot="1">
      <c r="A26" s="358" t="s">
        <v>299</v>
      </c>
      <c r="B26" s="364">
        <f>SUM(C26,E26,G26)</f>
        <v>2056000</v>
      </c>
      <c r="C26" s="359">
        <f>SUM('2. Costeo Detallado'!J78:J79)</f>
        <v>822400</v>
      </c>
      <c r="D26" s="360"/>
      <c r="E26" s="359">
        <f>SUM('2. Costeo Detallado'!L78:L79)</f>
        <v>0</v>
      </c>
      <c r="F26" s="360"/>
      <c r="G26" s="359">
        <f>SUM('2. Costeo Detallado'!N78:N79)</f>
        <v>1233600</v>
      </c>
      <c r="H26" s="360"/>
      <c r="I26" s="359"/>
      <c r="J26" s="408"/>
      <c r="K26" s="410" t="s">
        <v>35</v>
      </c>
      <c r="L26" s="136"/>
    </row>
    <row r="27" spans="1:13" ht="14.65" thickBot="1">
      <c r="A27" s="358" t="s">
        <v>10</v>
      </c>
      <c r="B27" s="364">
        <f>SUM(C27,E27,G27)</f>
        <v>1000000</v>
      </c>
      <c r="C27" s="359">
        <f>'2. Costeo Detallado'!J81</f>
        <v>0</v>
      </c>
      <c r="D27" s="360"/>
      <c r="E27" s="359">
        <f>'2. Costeo Detallado'!L81</f>
        <v>0</v>
      </c>
      <c r="F27" s="360"/>
      <c r="G27" s="359">
        <f>'2. Costeo Detallado'!N81</f>
        <v>1000000</v>
      </c>
      <c r="H27" s="360"/>
      <c r="I27" s="361"/>
      <c r="J27" s="408"/>
      <c r="K27" s="411" t="s">
        <v>35</v>
      </c>
      <c r="L27" s="136"/>
    </row>
    <row r="28" spans="1:13" ht="14.65" thickBot="1">
      <c r="A28" s="354" t="s">
        <v>300</v>
      </c>
      <c r="B28" s="370">
        <f>SUM(B4:B10,B12:B14,B16:B22,B25:B27)</f>
        <v>70000000</v>
      </c>
      <c r="C28" s="370">
        <f>SUM(C4:C10,C12:C14,C16:C22,C25:C27)</f>
        <v>13586436.131389216</v>
      </c>
      <c r="D28" s="356"/>
      <c r="E28" s="370">
        <f>SUM(E4:E10,E12:E14,E16:E22,E25:E27)</f>
        <v>41383582.323757023</v>
      </c>
      <c r="F28" s="362"/>
      <c r="G28" s="370">
        <f>SUM(G4:G10,G12:G14,G16:G22,G25:G27)</f>
        <v>15029981.544853764</v>
      </c>
      <c r="H28" s="362"/>
      <c r="I28" s="355"/>
      <c r="J28" s="357"/>
      <c r="K28" s="357"/>
      <c r="L28" s="357"/>
      <c r="M28" s="174"/>
    </row>
  </sheetData>
  <mergeCells count="21">
    <mergeCell ref="A24:L24"/>
    <mergeCell ref="K12:K13"/>
    <mergeCell ref="L12:L13"/>
    <mergeCell ref="A15:L15"/>
    <mergeCell ref="A11:L11"/>
    <mergeCell ref="A12:A13"/>
    <mergeCell ref="B12:B13"/>
    <mergeCell ref="C12:C13"/>
    <mergeCell ref="E12:E13"/>
    <mergeCell ref="F12:F13"/>
    <mergeCell ref="G12:G13"/>
    <mergeCell ref="H12:H13"/>
    <mergeCell ref="I12:I13"/>
    <mergeCell ref="J12:J13"/>
    <mergeCell ref="D12:D13"/>
    <mergeCell ref="A3:L3"/>
    <mergeCell ref="B1:B2"/>
    <mergeCell ref="C1:D1"/>
    <mergeCell ref="E1:F1"/>
    <mergeCell ref="G1:H1"/>
    <mergeCell ref="I1:J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0F8DD-E7A8-4432-AE0A-29360990074D}">
  <dimension ref="B2:I32"/>
  <sheetViews>
    <sheetView workbookViewId="0" xr3:uid="{726D1DA2-47BD-5C08-8317-FAF474E9D5EF}">
      <selection activeCell="M6" sqref="M6"/>
    </sheetView>
  </sheetViews>
  <sheetFormatPr defaultColWidth="9.140625" defaultRowHeight="14.25"/>
  <cols>
    <col min="1" max="1" width="9.140625" style="222"/>
    <col min="2" max="2" width="2" style="222" bestFit="1" customWidth="1"/>
    <col min="3" max="3" width="67.28515625" style="35" bestFit="1" customWidth="1"/>
    <col min="4" max="4" width="19.85546875" style="222" customWidth="1"/>
    <col min="5" max="5" width="10.85546875" style="222" customWidth="1"/>
    <col min="6" max="6" width="12.85546875" style="222" customWidth="1"/>
    <col min="7" max="7" width="15.42578125" style="222" bestFit="1" customWidth="1"/>
    <col min="8" max="8" width="9.28515625" style="222" bestFit="1" customWidth="1"/>
    <col min="9" max="9" width="9.42578125" style="222" bestFit="1" customWidth="1"/>
    <col min="10" max="16384" width="9.140625" style="222"/>
  </cols>
  <sheetData>
    <row r="2" spans="2:9">
      <c r="C2" s="35" t="s">
        <v>301</v>
      </c>
    </row>
    <row r="3" spans="2:9">
      <c r="B3" s="193"/>
      <c r="C3" s="237" t="s">
        <v>302</v>
      </c>
      <c r="D3" s="226"/>
      <c r="E3" s="226"/>
      <c r="F3" s="238">
        <v>70000000</v>
      </c>
      <c r="H3" s="326"/>
    </row>
    <row r="4" spans="2:9">
      <c r="B4" s="193"/>
      <c r="C4" s="215" t="s">
        <v>303</v>
      </c>
      <c r="D4" s="225"/>
      <c r="E4" s="225"/>
      <c r="F4" s="275">
        <f>G4</f>
        <v>1.4285714285714285E-2</v>
      </c>
      <c r="G4" s="276">
        <f>1000000/F3</f>
        <v>1.4285714285714285E-2</v>
      </c>
    </row>
    <row r="5" spans="2:9">
      <c r="B5" s="193"/>
      <c r="C5" s="222"/>
    </row>
    <row r="6" spans="2:9">
      <c r="B6" s="193"/>
      <c r="C6" s="196" t="s">
        <v>304</v>
      </c>
      <c r="D6" s="197">
        <v>39</v>
      </c>
      <c r="E6" s="197"/>
      <c r="F6" s="223"/>
    </row>
    <row r="7" spans="2:9">
      <c r="B7" s="193"/>
      <c r="C7" s="198" t="s">
        <v>305</v>
      </c>
      <c r="D7" s="194">
        <v>9</v>
      </c>
      <c r="E7" s="194"/>
      <c r="F7" s="224"/>
    </row>
    <row r="8" spans="2:9">
      <c r="B8" s="193"/>
      <c r="C8" s="199" t="s">
        <v>157</v>
      </c>
      <c r="D8" s="225"/>
      <c r="E8" s="225"/>
      <c r="F8" s="216">
        <f>SUM(D6:D7)</f>
        <v>48</v>
      </c>
    </row>
    <row r="9" spans="2:9">
      <c r="B9" s="193"/>
      <c r="C9" s="196" t="s">
        <v>306</v>
      </c>
      <c r="D9" s="226"/>
      <c r="E9" s="226"/>
      <c r="F9" s="217"/>
    </row>
    <row r="10" spans="2:9">
      <c r="B10" s="193"/>
      <c r="C10" s="227" t="s">
        <v>307</v>
      </c>
      <c r="D10" s="228">
        <v>3</v>
      </c>
      <c r="E10" s="228"/>
      <c r="F10" s="218"/>
    </row>
    <row r="11" spans="2:9">
      <c r="B11" s="193"/>
      <c r="C11" s="229" t="s">
        <v>308</v>
      </c>
      <c r="D11" s="230">
        <v>4</v>
      </c>
      <c r="E11" s="230"/>
      <c r="F11" s="219"/>
    </row>
    <row r="12" spans="2:9">
      <c r="B12" s="193"/>
      <c r="F12" s="195"/>
    </row>
    <row r="13" spans="2:9" ht="28.5">
      <c r="B13" s="193"/>
      <c r="C13" s="196" t="s">
        <v>309</v>
      </c>
      <c r="D13" s="226"/>
      <c r="E13" s="226"/>
      <c r="F13" s="220">
        <v>0.1</v>
      </c>
    </row>
    <row r="14" spans="2:9" ht="28.5">
      <c r="B14" s="193"/>
      <c r="C14" s="215" t="s">
        <v>310</v>
      </c>
      <c r="D14" s="225"/>
      <c r="E14" s="225"/>
      <c r="F14" s="221">
        <v>0.04</v>
      </c>
    </row>
    <row r="15" spans="2:9">
      <c r="C15" s="222"/>
    </row>
    <row r="16" spans="2:9" ht="28.5">
      <c r="C16" s="231" t="s">
        <v>311</v>
      </c>
      <c r="F16" s="232" t="s">
        <v>312</v>
      </c>
      <c r="G16" s="232" t="s">
        <v>313</v>
      </c>
      <c r="H16" s="232" t="s">
        <v>314</v>
      </c>
      <c r="I16" s="233" t="s">
        <v>157</v>
      </c>
    </row>
    <row r="17" spans="3:9" ht="28.5">
      <c r="C17" s="243" t="s">
        <v>315</v>
      </c>
      <c r="D17" s="244" t="s">
        <v>316</v>
      </c>
      <c r="E17" s="244"/>
      <c r="F17" s="245">
        <v>0</v>
      </c>
      <c r="G17" s="245">
        <v>37</v>
      </c>
      <c r="H17" s="245">
        <v>18</v>
      </c>
      <c r="I17" s="246">
        <f>SUM(F17:H17)</f>
        <v>55</v>
      </c>
    </row>
    <row r="18" spans="3:9">
      <c r="C18" s="234"/>
      <c r="D18" s="26">
        <v>491666.67</v>
      </c>
      <c r="E18" s="26"/>
      <c r="F18" s="240"/>
      <c r="G18" s="242">
        <v>25</v>
      </c>
      <c r="H18" s="242">
        <v>12</v>
      </c>
      <c r="I18" s="241">
        <f>SUM(G18:H18)</f>
        <v>37</v>
      </c>
    </row>
    <row r="19" spans="3:9">
      <c r="C19" s="234"/>
      <c r="D19" s="26">
        <v>275000</v>
      </c>
      <c r="E19" s="26"/>
      <c r="F19" s="240"/>
      <c r="G19" s="242">
        <v>12</v>
      </c>
      <c r="H19" s="242">
        <v>6</v>
      </c>
      <c r="I19" s="241">
        <f>SUM(G19:H19)</f>
        <v>18</v>
      </c>
    </row>
    <row r="20" spans="3:9" ht="15.75">
      <c r="C20" s="243" t="s">
        <v>317</v>
      </c>
      <c r="D20" s="247">
        <v>491666.67</v>
      </c>
      <c r="E20" s="247"/>
      <c r="F20" s="245">
        <v>0</v>
      </c>
      <c r="G20" s="245">
        <v>5</v>
      </c>
      <c r="H20" s="245">
        <v>4</v>
      </c>
      <c r="I20" s="246">
        <f>SUM(G20:H20)</f>
        <v>9</v>
      </c>
    </row>
    <row r="21" spans="3:9" ht="18">
      <c r="C21" s="498" t="s">
        <v>157</v>
      </c>
      <c r="D21" s="499"/>
      <c r="E21" s="286"/>
      <c r="F21" s="245">
        <f>SUM(F17:F20)</f>
        <v>0</v>
      </c>
      <c r="G21" s="245">
        <f>SUM(G17,G20)</f>
        <v>42</v>
      </c>
      <c r="H21" s="245">
        <f>SUM(H17,H20)</f>
        <v>22</v>
      </c>
      <c r="I21" s="248">
        <f>SUM(F21:H21)</f>
        <v>64</v>
      </c>
    </row>
    <row r="22" spans="3:9">
      <c r="C22" s="222"/>
    </row>
    <row r="23" spans="3:9">
      <c r="C23" s="222"/>
    </row>
    <row r="24" spans="3:9">
      <c r="C24" s="222"/>
    </row>
    <row r="25" spans="3:9">
      <c r="C25" s="235" t="s">
        <v>318</v>
      </c>
    </row>
    <row r="26" spans="3:9">
      <c r="C26" s="35" t="s">
        <v>319</v>
      </c>
      <c r="F26" s="287" t="s">
        <v>312</v>
      </c>
      <c r="G26" s="287" t="s">
        <v>313</v>
      </c>
      <c r="H26" s="287" t="s">
        <v>314</v>
      </c>
      <c r="I26" s="288" t="s">
        <v>157</v>
      </c>
    </row>
    <row r="27" spans="3:9">
      <c r="C27" s="236" t="s">
        <v>315</v>
      </c>
      <c r="D27" s="291"/>
      <c r="E27" s="291"/>
      <c r="F27" s="292">
        <f>G17*D10</f>
        <v>111</v>
      </c>
      <c r="G27" s="291">
        <f>G17*($D$11-$D$10)</f>
        <v>37</v>
      </c>
      <c r="H27" s="293"/>
      <c r="I27" s="293"/>
    </row>
    <row r="28" spans="3:9" ht="18">
      <c r="C28" s="294"/>
      <c r="D28" s="295"/>
      <c r="E28" s="295"/>
      <c r="F28" s="296"/>
      <c r="G28" s="297">
        <f>H17*D10</f>
        <v>54</v>
      </c>
      <c r="H28" s="298">
        <f>H17*($D$11-$D$10)</f>
        <v>18</v>
      </c>
      <c r="I28" s="304">
        <f>SUM(F27:H28)</f>
        <v>220</v>
      </c>
    </row>
    <row r="29" spans="3:9">
      <c r="C29" s="289"/>
      <c r="I29" s="290"/>
    </row>
    <row r="30" spans="3:9">
      <c r="C30" s="234" t="s">
        <v>317</v>
      </c>
      <c r="D30" s="299" t="s">
        <v>320</v>
      </c>
      <c r="E30" s="299" t="s">
        <v>4</v>
      </c>
      <c r="F30" s="295"/>
      <c r="G30" s="295"/>
      <c r="H30" s="295"/>
      <c r="I30" s="300"/>
    </row>
    <row r="31" spans="3:9">
      <c r="C31" s="301"/>
      <c r="D31" s="302"/>
      <c r="E31" s="302">
        <f>'Planilla Costos Talleres ARTES'!H11</f>
        <v>108</v>
      </c>
      <c r="F31" s="231">
        <f>$E31/$I$20*G20</f>
        <v>60</v>
      </c>
      <c r="G31" s="231">
        <f>$E31/$I$20*H20</f>
        <v>48</v>
      </c>
      <c r="H31" s="231"/>
      <c r="I31" s="231">
        <f>SUM(F31:H31)</f>
        <v>108</v>
      </c>
    </row>
    <row r="32" spans="3:9">
      <c r="F32" s="303">
        <f>SUM(F27:F31)</f>
        <v>171</v>
      </c>
      <c r="G32" s="303">
        <f>SUM(G27:G31,F32)</f>
        <v>310</v>
      </c>
      <c r="H32" s="303">
        <f>SUM(H27:H31,G32)</f>
        <v>328</v>
      </c>
      <c r="I32" s="303">
        <f>SUM(I28:I31)</f>
        <v>328</v>
      </c>
    </row>
  </sheetData>
  <mergeCells count="1">
    <mergeCell ref="C21:D2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77994-E9B0-4327-9A7E-EC9BF56E9850}">
  <dimension ref="B1:L30"/>
  <sheetViews>
    <sheetView topLeftCell="A20" workbookViewId="0" xr3:uid="{D0ACFC2A-5F51-5CC5-A201-6BBE77E1ED0D}">
      <selection activeCell="M6" sqref="M6"/>
    </sheetView>
  </sheetViews>
  <sheetFormatPr defaultRowHeight="14.25"/>
  <cols>
    <col min="2" max="2" width="43.7109375" customWidth="1"/>
    <col min="3" max="3" width="9.28515625" customWidth="1"/>
    <col min="4" max="4" width="18" style="178" bestFit="1" customWidth="1"/>
    <col min="5" max="5" width="21.140625" bestFit="1" customWidth="1"/>
    <col min="7" max="7" width="21" bestFit="1" customWidth="1"/>
    <col min="8" max="10" width="16.85546875" customWidth="1"/>
    <col min="11" max="11" width="16.42578125" customWidth="1"/>
    <col min="12" max="12" width="21.140625" bestFit="1" customWidth="1"/>
  </cols>
  <sheetData>
    <row r="1" spans="2:12">
      <c r="B1" s="500" t="s">
        <v>321</v>
      </c>
      <c r="C1" s="500"/>
      <c r="D1" s="500"/>
      <c r="E1" s="500"/>
    </row>
    <row r="2" spans="2:12" ht="28.5">
      <c r="B2" s="249" t="s">
        <v>322</v>
      </c>
      <c r="C2" s="250" t="s">
        <v>323</v>
      </c>
      <c r="D2" s="251" t="s">
        <v>324</v>
      </c>
      <c r="E2" s="200" t="s">
        <v>325</v>
      </c>
      <c r="G2" s="504" t="s">
        <v>326</v>
      </c>
      <c r="H2" s="505"/>
      <c r="I2" s="505"/>
      <c r="J2" s="505"/>
      <c r="K2" s="506"/>
    </row>
    <row r="3" spans="2:12">
      <c r="B3" s="201" t="s">
        <v>327</v>
      </c>
      <c r="C3" s="201">
        <v>5</v>
      </c>
      <c r="D3" s="202">
        <v>300000</v>
      </c>
      <c r="E3" s="203">
        <f>C3*D3</f>
        <v>1500000</v>
      </c>
      <c r="G3" s="209" t="s">
        <v>328</v>
      </c>
      <c r="H3" s="210">
        <v>500000</v>
      </c>
      <c r="I3" s="185">
        <v>2</v>
      </c>
      <c r="J3" s="184">
        <f t="shared" ref="J3:J11" si="0">H3*I3</f>
        <v>1000000</v>
      </c>
      <c r="K3" s="192">
        <v>1</v>
      </c>
    </row>
    <row r="4" spans="2:12">
      <c r="B4" s="201" t="s">
        <v>329</v>
      </c>
      <c r="C4" s="201">
        <v>3</v>
      </c>
      <c r="D4" s="202">
        <v>300000</v>
      </c>
      <c r="E4" s="203">
        <f>C4*D4</f>
        <v>900000</v>
      </c>
      <c r="G4" s="209" t="s">
        <v>330</v>
      </c>
      <c r="H4" s="210">
        <v>400000</v>
      </c>
      <c r="I4" s="185">
        <v>8</v>
      </c>
      <c r="J4" s="184">
        <f t="shared" si="0"/>
        <v>3200000</v>
      </c>
      <c r="K4" s="192">
        <v>2</v>
      </c>
    </row>
    <row r="5" spans="2:12">
      <c r="B5" s="201" t="s">
        <v>331</v>
      </c>
      <c r="C5" s="201">
        <v>1</v>
      </c>
      <c r="D5" s="202">
        <v>50000</v>
      </c>
      <c r="E5" s="203">
        <f t="shared" ref="E5:E27" si="1">C5*D5</f>
        <v>50000</v>
      </c>
      <c r="G5" s="209" t="s">
        <v>332</v>
      </c>
      <c r="H5" s="210">
        <v>300000</v>
      </c>
      <c r="I5" s="185">
        <v>8</v>
      </c>
      <c r="J5" s="184">
        <f t="shared" si="0"/>
        <v>2400000</v>
      </c>
      <c r="K5" s="192">
        <v>1</v>
      </c>
    </row>
    <row r="6" spans="2:12">
      <c r="B6" s="201" t="s">
        <v>333</v>
      </c>
      <c r="C6" s="201">
        <v>1</v>
      </c>
      <c r="D6" s="202">
        <v>300000</v>
      </c>
      <c r="E6" s="203">
        <f t="shared" si="1"/>
        <v>300000</v>
      </c>
      <c r="G6" s="209" t="s">
        <v>334</v>
      </c>
      <c r="H6" s="210">
        <v>250000</v>
      </c>
      <c r="I6" s="185">
        <v>3</v>
      </c>
      <c r="J6" s="184">
        <f t="shared" si="0"/>
        <v>750000</v>
      </c>
      <c r="K6" s="192">
        <v>1</v>
      </c>
    </row>
    <row r="7" spans="2:12">
      <c r="B7" s="201" t="s">
        <v>335</v>
      </c>
      <c r="C7" s="201">
        <v>6</v>
      </c>
      <c r="D7" s="202">
        <v>60000</v>
      </c>
      <c r="E7" s="203">
        <f t="shared" si="1"/>
        <v>360000</v>
      </c>
      <c r="G7" s="209" t="s">
        <v>336</v>
      </c>
      <c r="H7" s="210">
        <v>200000</v>
      </c>
      <c r="I7" s="185">
        <v>18</v>
      </c>
      <c r="J7" s="184">
        <f t="shared" si="0"/>
        <v>3600000</v>
      </c>
      <c r="K7" s="192">
        <v>7</v>
      </c>
    </row>
    <row r="8" spans="2:12">
      <c r="B8" s="201" t="s">
        <v>337</v>
      </c>
      <c r="C8" s="201">
        <v>4</v>
      </c>
      <c r="D8" s="202">
        <v>200000</v>
      </c>
      <c r="E8" s="203">
        <f t="shared" si="1"/>
        <v>800000</v>
      </c>
      <c r="G8" s="209" t="s">
        <v>338</v>
      </c>
      <c r="H8" s="210">
        <v>100000</v>
      </c>
      <c r="I8" s="185">
        <v>1</v>
      </c>
      <c r="J8" s="184">
        <f t="shared" si="0"/>
        <v>100000</v>
      </c>
      <c r="K8" s="192">
        <v>1</v>
      </c>
    </row>
    <row r="9" spans="2:12">
      <c r="B9" s="201" t="s">
        <v>339</v>
      </c>
      <c r="C9" s="201">
        <v>2</v>
      </c>
      <c r="D9" s="202">
        <v>200000</v>
      </c>
      <c r="E9" s="203">
        <f t="shared" si="1"/>
        <v>400000</v>
      </c>
      <c r="G9" s="209" t="s">
        <v>340</v>
      </c>
      <c r="H9" s="210">
        <v>80000</v>
      </c>
      <c r="I9" s="185">
        <v>19</v>
      </c>
      <c r="J9" s="184">
        <f t="shared" si="0"/>
        <v>1520000</v>
      </c>
      <c r="K9" s="192">
        <v>4</v>
      </c>
    </row>
    <row r="10" spans="2:12">
      <c r="B10" s="201" t="s">
        <v>341</v>
      </c>
      <c r="C10" s="201">
        <v>4</v>
      </c>
      <c r="D10" s="202">
        <v>200000</v>
      </c>
      <c r="E10" s="203">
        <f t="shared" si="1"/>
        <v>800000</v>
      </c>
      <c r="G10" s="209" t="s">
        <v>342</v>
      </c>
      <c r="H10" s="210">
        <v>60000</v>
      </c>
      <c r="I10" s="185">
        <v>21</v>
      </c>
      <c r="J10" s="184">
        <f t="shared" si="0"/>
        <v>1260000</v>
      </c>
      <c r="K10" s="192">
        <v>4</v>
      </c>
    </row>
    <row r="11" spans="2:12">
      <c r="B11" s="201" t="s">
        <v>343</v>
      </c>
      <c r="C11" s="201">
        <v>12</v>
      </c>
      <c r="D11" s="202">
        <v>80000</v>
      </c>
      <c r="E11" s="203">
        <f t="shared" si="1"/>
        <v>960000</v>
      </c>
      <c r="G11" s="209" t="s">
        <v>344</v>
      </c>
      <c r="H11" s="210">
        <v>50000</v>
      </c>
      <c r="I11" s="185">
        <v>5</v>
      </c>
      <c r="J11" s="184">
        <f t="shared" si="0"/>
        <v>250000</v>
      </c>
      <c r="K11" s="192">
        <v>2</v>
      </c>
    </row>
    <row r="12" spans="2:12">
      <c r="B12" s="201" t="s">
        <v>345</v>
      </c>
      <c r="C12" s="201">
        <v>1</v>
      </c>
      <c r="D12" s="202">
        <v>200000</v>
      </c>
      <c r="E12" s="203">
        <f t="shared" si="1"/>
        <v>200000</v>
      </c>
      <c r="G12" s="182"/>
      <c r="H12" s="183"/>
      <c r="I12" s="183"/>
      <c r="J12" s="186">
        <f>SUM(J3:J11)</f>
        <v>14080000</v>
      </c>
      <c r="K12" s="183"/>
    </row>
    <row r="13" spans="2:12">
      <c r="B13" s="201" t="s">
        <v>346</v>
      </c>
      <c r="C13" s="201">
        <v>1</v>
      </c>
      <c r="D13" s="202">
        <v>80000</v>
      </c>
      <c r="E13" s="203">
        <f t="shared" si="1"/>
        <v>80000</v>
      </c>
    </row>
    <row r="14" spans="2:12">
      <c r="B14" s="201" t="s">
        <v>347</v>
      </c>
      <c r="C14" s="201">
        <v>1</v>
      </c>
      <c r="D14" s="202">
        <v>100000</v>
      </c>
      <c r="E14" s="203">
        <f t="shared" si="1"/>
        <v>100000</v>
      </c>
    </row>
    <row r="15" spans="2:12" ht="30">
      <c r="B15" s="201" t="s">
        <v>348</v>
      </c>
      <c r="C15" s="201">
        <v>4</v>
      </c>
      <c r="D15" s="202">
        <v>50000</v>
      </c>
      <c r="E15" s="203">
        <f t="shared" si="1"/>
        <v>200000</v>
      </c>
      <c r="G15" s="232" t="s">
        <v>349</v>
      </c>
      <c r="H15" s="252" t="s">
        <v>350</v>
      </c>
      <c r="I15" s="501" t="s">
        <v>351</v>
      </c>
      <c r="J15" s="502"/>
      <c r="K15" s="503"/>
      <c r="L15" s="232" t="s">
        <v>325</v>
      </c>
    </row>
    <row r="16" spans="2:12">
      <c r="B16" s="201" t="s">
        <v>352</v>
      </c>
      <c r="C16" s="201">
        <v>3</v>
      </c>
      <c r="D16" s="202">
        <v>250000</v>
      </c>
      <c r="E16" s="203">
        <f t="shared" si="1"/>
        <v>750000</v>
      </c>
      <c r="G16" s="254" t="s">
        <v>315</v>
      </c>
      <c r="I16" s="257" t="s">
        <v>353</v>
      </c>
      <c r="J16" s="257" t="s">
        <v>354</v>
      </c>
      <c r="K16" s="257" t="s">
        <v>355</v>
      </c>
    </row>
    <row r="17" spans="2:12">
      <c r="B17" s="201" t="s">
        <v>356</v>
      </c>
      <c r="C17" s="201">
        <v>3</v>
      </c>
      <c r="D17" s="202">
        <v>200000</v>
      </c>
      <c r="E17" s="203">
        <f t="shared" si="1"/>
        <v>600000</v>
      </c>
      <c r="G17" s="158" t="s">
        <v>357</v>
      </c>
      <c r="H17" s="258">
        <v>491666.67</v>
      </c>
      <c r="I17" s="259"/>
      <c r="J17" s="260">
        <f>$H17*Parametros!G18</f>
        <v>12291666.75</v>
      </c>
      <c r="K17" s="260">
        <f>$H17*Parametros!H18</f>
        <v>5900000.04</v>
      </c>
      <c r="L17" s="261">
        <f>SUM(I17:K17)</f>
        <v>18191666.789999999</v>
      </c>
    </row>
    <row r="18" spans="2:12">
      <c r="B18" s="201" t="s">
        <v>358</v>
      </c>
      <c r="C18" s="201">
        <v>3</v>
      </c>
      <c r="D18" s="202">
        <v>200000</v>
      </c>
      <c r="E18" s="203">
        <f t="shared" si="1"/>
        <v>600000</v>
      </c>
      <c r="G18" s="158" t="s">
        <v>359</v>
      </c>
      <c r="H18" s="258">
        <v>275000</v>
      </c>
      <c r="I18" s="259"/>
      <c r="J18" s="260">
        <f>$H18*Parametros!G19</f>
        <v>3300000</v>
      </c>
      <c r="K18" s="260">
        <f>$H18*Parametros!H19</f>
        <v>1650000</v>
      </c>
      <c r="L18" s="261">
        <f t="shared" ref="L18:L19" si="2">SUM(I18:K18)</f>
        <v>4950000</v>
      </c>
    </row>
    <row r="19" spans="2:12" ht="18">
      <c r="B19" s="201" t="s">
        <v>360</v>
      </c>
      <c r="C19" s="201">
        <v>4</v>
      </c>
      <c r="D19" s="202">
        <v>60000</v>
      </c>
      <c r="E19" s="203">
        <f t="shared" si="1"/>
        <v>240000</v>
      </c>
      <c r="J19" s="255">
        <f>SUM(J17:J18)</f>
        <v>15591666.75</v>
      </c>
      <c r="K19" s="255">
        <f>SUM(K17:K18)</f>
        <v>7550000.04</v>
      </c>
      <c r="L19" s="256">
        <f t="shared" si="2"/>
        <v>23141666.789999999</v>
      </c>
    </row>
    <row r="20" spans="2:12">
      <c r="B20" s="201" t="s">
        <v>361</v>
      </c>
      <c r="C20" s="201">
        <v>2</v>
      </c>
      <c r="D20" s="202">
        <v>500000</v>
      </c>
      <c r="E20" s="203">
        <f t="shared" si="1"/>
        <v>1000000</v>
      </c>
    </row>
    <row r="21" spans="2:12">
      <c r="B21" s="201" t="s">
        <v>362</v>
      </c>
      <c r="C21" s="201">
        <v>1</v>
      </c>
      <c r="D21" s="202">
        <v>200000</v>
      </c>
      <c r="E21" s="203">
        <f t="shared" si="1"/>
        <v>200000</v>
      </c>
    </row>
    <row r="22" spans="2:12">
      <c r="B22" s="201" t="s">
        <v>363</v>
      </c>
      <c r="C22" s="201">
        <v>1</v>
      </c>
      <c r="D22" s="202">
        <v>150000</v>
      </c>
      <c r="E22" s="203">
        <f t="shared" si="1"/>
        <v>150000</v>
      </c>
      <c r="I22" s="21"/>
      <c r="L22" s="253"/>
    </row>
    <row r="23" spans="2:12">
      <c r="B23" s="201" t="s">
        <v>364</v>
      </c>
      <c r="C23" s="201">
        <v>1</v>
      </c>
      <c r="D23" s="202">
        <v>80000</v>
      </c>
      <c r="E23" s="203">
        <f t="shared" si="1"/>
        <v>80000</v>
      </c>
      <c r="I23" s="21"/>
      <c r="L23" s="21"/>
    </row>
    <row r="24" spans="2:12">
      <c r="B24" s="201" t="s">
        <v>365</v>
      </c>
      <c r="C24" s="201">
        <v>4</v>
      </c>
      <c r="D24" s="202">
        <v>60000</v>
      </c>
      <c r="E24" s="203">
        <f t="shared" si="1"/>
        <v>240000</v>
      </c>
    </row>
    <row r="25" spans="2:12">
      <c r="B25" s="201" t="s">
        <v>366</v>
      </c>
      <c r="C25" s="201">
        <v>8</v>
      </c>
      <c r="D25" s="202">
        <v>300000</v>
      </c>
      <c r="E25" s="203">
        <f t="shared" si="1"/>
        <v>2400000</v>
      </c>
    </row>
    <row r="26" spans="2:12">
      <c r="B26" s="201" t="s">
        <v>367</v>
      </c>
      <c r="C26" s="201">
        <v>7</v>
      </c>
      <c r="D26" s="202">
        <v>60000</v>
      </c>
      <c r="E26" s="203">
        <f t="shared" si="1"/>
        <v>420000</v>
      </c>
    </row>
    <row r="27" spans="2:12">
      <c r="B27" s="201" t="s">
        <v>368</v>
      </c>
      <c r="C27" s="201">
        <v>5</v>
      </c>
      <c r="D27" s="202">
        <v>80000</v>
      </c>
      <c r="E27" s="203">
        <f t="shared" si="1"/>
        <v>400000</v>
      </c>
    </row>
    <row r="28" spans="2:12" ht="18">
      <c r="B28" s="311"/>
      <c r="D28" s="204" t="s">
        <v>369</v>
      </c>
      <c r="E28" s="205">
        <f>SUM(E3:E27)</f>
        <v>13730000</v>
      </c>
    </row>
    <row r="29" spans="2:12" ht="16.149999999999999" thickBot="1">
      <c r="C29">
        <f>SUM(C3:C28)</f>
        <v>87</v>
      </c>
      <c r="D29" s="206" t="s">
        <v>370</v>
      </c>
      <c r="E29" s="56">
        <f>E28*Parametros!F13</f>
        <v>1373000</v>
      </c>
    </row>
    <row r="30" spans="2:12" ht="18.399999999999999" thickBot="1">
      <c r="D30" s="207" t="s">
        <v>4</v>
      </c>
      <c r="E30" s="208">
        <f>SUM(E28:E29)</f>
        <v>15103000</v>
      </c>
    </row>
  </sheetData>
  <mergeCells count="3">
    <mergeCell ref="B1:E1"/>
    <mergeCell ref="I15:K15"/>
    <mergeCell ref="G2:K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F3C8F-8165-44F3-82C1-4311480BF092}">
  <dimension ref="A1:J19"/>
  <sheetViews>
    <sheetView topLeftCell="A7" workbookViewId="0" xr3:uid="{C83B787E-3F19-5FA4-B486-2B1E7B69C5BA}">
      <selection activeCell="M6" sqref="M6"/>
    </sheetView>
  </sheetViews>
  <sheetFormatPr defaultRowHeight="14.25"/>
  <cols>
    <col min="2" max="2" width="47" bestFit="1" customWidth="1"/>
    <col min="4" max="4" width="14.140625" customWidth="1"/>
    <col min="5" max="5" width="19.7109375" bestFit="1" customWidth="1"/>
    <col min="6" max="6" width="17.42578125" customWidth="1"/>
    <col min="7" max="7" width="19.7109375" bestFit="1" customWidth="1"/>
    <col min="10" max="10" width="11.5703125" bestFit="1" customWidth="1"/>
  </cols>
  <sheetData>
    <row r="1" spans="1:10">
      <c r="C1" t="s">
        <v>371</v>
      </c>
      <c r="D1">
        <v>50</v>
      </c>
    </row>
    <row r="2" spans="1:10" ht="42.75">
      <c r="B2" s="211" t="s">
        <v>322</v>
      </c>
      <c r="C2" s="212" t="s">
        <v>323</v>
      </c>
      <c r="D2" s="213" t="s">
        <v>324</v>
      </c>
      <c r="E2" s="214" t="s">
        <v>325</v>
      </c>
      <c r="G2" s="507" t="s">
        <v>372</v>
      </c>
      <c r="H2" s="507"/>
      <c r="J2" t="s">
        <v>373</v>
      </c>
    </row>
    <row r="3" spans="1:10">
      <c r="A3" s="50">
        <v>1</v>
      </c>
      <c r="B3" s="50" t="s">
        <v>374</v>
      </c>
      <c r="C3" s="50">
        <v>9</v>
      </c>
      <c r="D3" s="96">
        <f>J3/D1</f>
        <v>14075.34</v>
      </c>
      <c r="E3" s="97">
        <f>D3*C3</f>
        <v>126678.06</v>
      </c>
      <c r="F3" s="313" t="s">
        <v>375</v>
      </c>
      <c r="G3" s="314">
        <v>4</v>
      </c>
      <c r="H3" s="50">
        <f>G3*C3</f>
        <v>36</v>
      </c>
      <c r="J3" s="323">
        <v>703767</v>
      </c>
    </row>
    <row r="4" spans="1:10">
      <c r="A4" s="50">
        <v>2</v>
      </c>
      <c r="B4" s="50" t="s">
        <v>376</v>
      </c>
      <c r="C4" s="50">
        <v>1</v>
      </c>
      <c r="D4" s="325">
        <f>J4/D1</f>
        <v>8734.84</v>
      </c>
      <c r="E4" s="97">
        <f t="shared" ref="E4:E9" si="0">D4*C4</f>
        <v>8734.84</v>
      </c>
      <c r="F4" s="313" t="s">
        <v>377</v>
      </c>
      <c r="G4" s="314">
        <v>2</v>
      </c>
      <c r="H4" s="50">
        <f t="shared" ref="H4:H10" si="1">G4*C4</f>
        <v>2</v>
      </c>
      <c r="J4" s="324">
        <v>436742</v>
      </c>
    </row>
    <row r="5" spans="1:10">
      <c r="A5" s="50">
        <v>3</v>
      </c>
      <c r="B5" s="50" t="s">
        <v>378</v>
      </c>
      <c r="C5" s="50">
        <v>3</v>
      </c>
      <c r="D5" s="325">
        <f>J5/D1</f>
        <v>23068.167999999998</v>
      </c>
      <c r="E5" s="97">
        <f t="shared" si="0"/>
        <v>69204.503999999986</v>
      </c>
      <c r="F5" s="313" t="s">
        <v>378</v>
      </c>
      <c r="G5" s="314">
        <v>3</v>
      </c>
      <c r="H5" s="50">
        <f t="shared" si="1"/>
        <v>9</v>
      </c>
      <c r="J5" s="324">
        <v>1153408.3999999999</v>
      </c>
    </row>
    <row r="6" spans="1:10">
      <c r="A6" s="50">
        <v>4</v>
      </c>
      <c r="B6" s="50" t="s">
        <v>379</v>
      </c>
      <c r="C6" s="50">
        <v>2</v>
      </c>
      <c r="D6" s="325">
        <f>J6/D1</f>
        <v>12380.94</v>
      </c>
      <c r="E6" s="97">
        <f t="shared" si="0"/>
        <v>24761.88</v>
      </c>
      <c r="F6" s="313" t="s">
        <v>379</v>
      </c>
      <c r="G6" s="314">
        <v>3</v>
      </c>
      <c r="H6" s="50">
        <f t="shared" si="1"/>
        <v>6</v>
      </c>
      <c r="J6" s="324">
        <v>619047</v>
      </c>
    </row>
    <row r="7" spans="1:10">
      <c r="A7" s="50">
        <v>5</v>
      </c>
      <c r="B7" s="50" t="s">
        <v>380</v>
      </c>
      <c r="C7" s="50">
        <v>1</v>
      </c>
      <c r="D7" s="96">
        <f>J7/D1</f>
        <v>16729</v>
      </c>
      <c r="E7" s="97">
        <f t="shared" si="0"/>
        <v>16729</v>
      </c>
      <c r="F7" s="313" t="s">
        <v>381</v>
      </c>
      <c r="G7" s="314">
        <v>4</v>
      </c>
      <c r="H7" s="50">
        <f t="shared" si="1"/>
        <v>4</v>
      </c>
      <c r="J7" s="324">
        <v>836450</v>
      </c>
    </row>
    <row r="8" spans="1:10">
      <c r="A8" s="50">
        <v>6</v>
      </c>
      <c r="B8" s="50" t="s">
        <v>382</v>
      </c>
      <c r="C8" s="50">
        <v>3</v>
      </c>
      <c r="D8" s="325">
        <f>J8/D1</f>
        <v>11633.95</v>
      </c>
      <c r="E8" s="97">
        <f t="shared" si="0"/>
        <v>34901.850000000006</v>
      </c>
      <c r="F8" s="313" t="s">
        <v>383</v>
      </c>
      <c r="G8" s="314">
        <v>2</v>
      </c>
      <c r="H8" s="50">
        <f t="shared" si="1"/>
        <v>6</v>
      </c>
      <c r="J8" s="324">
        <v>581697.5</v>
      </c>
    </row>
    <row r="9" spans="1:10">
      <c r="A9" s="50">
        <v>7</v>
      </c>
      <c r="B9" s="50" t="s">
        <v>384</v>
      </c>
      <c r="C9" s="50">
        <v>3</v>
      </c>
      <c r="D9" s="96">
        <f>J9/D1</f>
        <v>6830</v>
      </c>
      <c r="E9" s="97">
        <f t="shared" si="0"/>
        <v>20490</v>
      </c>
      <c r="F9" s="313" t="s">
        <v>385</v>
      </c>
      <c r="G9" s="314">
        <v>3</v>
      </c>
      <c r="H9" s="50">
        <f t="shared" si="1"/>
        <v>9</v>
      </c>
      <c r="J9" s="324">
        <v>341500</v>
      </c>
    </row>
    <row r="10" spans="1:10">
      <c r="A10" s="50">
        <v>8</v>
      </c>
      <c r="B10" s="50" t="s">
        <v>386</v>
      </c>
      <c r="C10" s="50">
        <v>9</v>
      </c>
      <c r="D10" s="325">
        <f>J10/D1</f>
        <v>76714.749000000011</v>
      </c>
      <c r="E10" s="97">
        <f>D10*C10</f>
        <v>690432.74100000015</v>
      </c>
      <c r="F10" s="313" t="s">
        <v>386</v>
      </c>
      <c r="G10" s="314">
        <v>4</v>
      </c>
      <c r="H10" s="50">
        <f t="shared" si="1"/>
        <v>36</v>
      </c>
      <c r="J10" s="324">
        <v>3835737.45</v>
      </c>
    </row>
    <row r="11" spans="1:10" ht="18">
      <c r="D11" s="204" t="s">
        <v>369</v>
      </c>
      <c r="E11" s="205">
        <f>SUM(E3:E10)</f>
        <v>991932.87500000012</v>
      </c>
      <c r="H11">
        <f>SUM(H3:H10)</f>
        <v>108</v>
      </c>
    </row>
    <row r="12" spans="1:10" ht="16.149999999999999" thickBot="1">
      <c r="D12" s="206" t="s">
        <v>370</v>
      </c>
      <c r="E12" s="56">
        <f>E11*Parametros!F13</f>
        <v>99193.28750000002</v>
      </c>
    </row>
    <row r="13" spans="1:10" ht="18.399999999999999" thickBot="1">
      <c r="D13" s="207" t="s">
        <v>4</v>
      </c>
      <c r="E13" s="208">
        <f>SUM(E11:E12)</f>
        <v>1091126.1625000001</v>
      </c>
    </row>
    <row r="15" spans="1:10" ht="57">
      <c r="B15" s="239" t="s">
        <v>387</v>
      </c>
      <c r="C15" s="252" t="s">
        <v>350</v>
      </c>
      <c r="D15" s="501" t="s">
        <v>351</v>
      </c>
      <c r="E15" s="502"/>
      <c r="F15" s="503"/>
      <c r="G15" s="232" t="s">
        <v>325</v>
      </c>
    </row>
    <row r="16" spans="1:10">
      <c r="B16" s="254" t="s">
        <v>315</v>
      </c>
      <c r="D16" s="257" t="s">
        <v>353</v>
      </c>
      <c r="E16" s="257" t="s">
        <v>354</v>
      </c>
      <c r="F16" s="257" t="s">
        <v>355</v>
      </c>
    </row>
    <row r="17" spans="2:7">
      <c r="B17" s="158" t="s">
        <v>357</v>
      </c>
      <c r="C17" s="258">
        <v>491666.67</v>
      </c>
      <c r="D17" s="259"/>
      <c r="E17" s="260">
        <f>$C17*Parametros!G20</f>
        <v>2458333.35</v>
      </c>
      <c r="F17" s="260">
        <f>$C17*Parametros!H20</f>
        <v>1966666.68</v>
      </c>
      <c r="G17" s="261">
        <f>SUM(D17:F17)</f>
        <v>4425000.03</v>
      </c>
    </row>
    <row r="18" spans="2:7">
      <c r="B18" s="158"/>
      <c r="C18" s="258"/>
      <c r="D18" s="259"/>
      <c r="E18" s="260"/>
      <c r="F18" s="260"/>
      <c r="G18" s="261"/>
    </row>
    <row r="19" spans="2:7" ht="18">
      <c r="E19" s="255">
        <f>SUM(E17:E18)</f>
        <v>2458333.35</v>
      </c>
      <c r="F19" s="255">
        <f>SUM(F17:F18)</f>
        <v>1966666.68</v>
      </c>
      <c r="G19" s="256">
        <f t="shared" ref="G19" si="2">SUM(D19:F19)</f>
        <v>4425000.03</v>
      </c>
    </row>
  </sheetData>
  <mergeCells count="2">
    <mergeCell ref="D15:F15"/>
    <mergeCell ref="G2:H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3AB511477EEE046A4F1DE245A0E580F" ma:contentTypeVersion="116" ma:contentTypeDescription="A content type to manage public (operations) IDB documents" ma:contentTypeScope="" ma:versionID="b2e1c918c63a6cc4fea327ffb92b1a0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b22b55233b15685b19d624322a67c8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DR-L112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R0002840616</Record_x0020_Number>
    <Key_x0020_Document xmlns="cdc7663a-08f0-4737-9e8c-148ce897a09c">false</Key_x0020_Document>
    <Division_x0020_or_x0020_Unit xmlns="cdc7663a-08f0-4737-9e8c-148ce897a09c">SCL/EDU</Division_x0020_or_x0020_Unit>
    <IDBDocs_x0020_Number xmlns="cdc7663a-08f0-4737-9e8c-148ce897a09c" xsi:nil="true"/>
    <Document_x0020_Author xmlns="cdc7663a-08f0-4737-9e8c-148ce897a09c">Thompson, Jennelle</Document_x0020_Author>
    <_dlc_DocId xmlns="cdc7663a-08f0-4737-9e8c-148ce897a09c">EZSHARE-1971578041-50</_dlc_DocId>
    <Operation_x0020_Type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Dominican Republic</TermName>
          <TermId xmlns="http://schemas.microsoft.com/office/infopath/2007/PartnerControls">19e8fe34-75bb-4d09-b676-0e9a3c6f1862</TermId>
        </TermInfo>
      </Terms>
    </ic46d7e087fd4a108fb86518ca413cc6>
    <TaxCatchAll xmlns="cdc7663a-08f0-4737-9e8c-148ce897a09c">
      <Value>27</Value>
      <Value>52</Value>
      <Value>23</Value>
      <Value>1</Value>
      <Value>216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DR-L1127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VOCATIONAL ＆ TECHNICAL EDUCATION</TermName>
          <TermId xmlns="http://schemas.microsoft.com/office/infopath/2007/PartnerControls">a1cdf7bb-151a-465c-b2c9-b051aede673b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https://idbg.sharepoint.com/teams/EZ-DR-LON/DR-L1127/_layouts/15/DocIdRedir.aspx?ID=EZSHARE-1971578041-50</Url>
      <Description>EZSHARE-1971578041-50</Description>
    </_dlc_DocIdUrl>
    <Phase xmlns="cdc7663a-08f0-4737-9e8c-148ce897a09c" xsi:nil="true"/>
    <Other_x0020_Author xmlns="cdc7663a-08f0-4737-9e8c-148ce897a09c">Scannone Chavez, Rodolfo Andres</Other_x0020_Author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73ED82E8-9D30-492A-8390-10B4209C487A}"/>
</file>

<file path=customXml/itemProps2.xml><?xml version="1.0" encoding="utf-8"?>
<ds:datastoreItem xmlns:ds="http://schemas.openxmlformats.org/officeDocument/2006/customXml" ds:itemID="{45DA6A2F-A75B-43B4-994A-F1AB69BC6A79}"/>
</file>

<file path=customXml/itemProps3.xml><?xml version="1.0" encoding="utf-8"?>
<ds:datastoreItem xmlns:ds="http://schemas.openxmlformats.org/officeDocument/2006/customXml" ds:itemID="{A69DBB18-54B9-4DEE-A325-AC3E9AB38956}"/>
</file>

<file path=customXml/itemProps4.xml><?xml version="1.0" encoding="utf-8"?>
<ds:datastoreItem xmlns:ds="http://schemas.openxmlformats.org/officeDocument/2006/customXml" ds:itemID="{F3D1DD49-5B23-4DC7-B8D5-D8182133C76F}"/>
</file>

<file path=customXml/itemProps5.xml><?xml version="1.0" encoding="utf-8"?>
<ds:datastoreItem xmlns:ds="http://schemas.openxmlformats.org/officeDocument/2006/customXml" ds:itemID="{30869FCC-D6F8-419F-A5DF-60FD0A6A2FCE}"/>
</file>

<file path=customXml/itemProps6.xml><?xml version="1.0" encoding="utf-8"?>
<ds:datastoreItem xmlns:ds="http://schemas.openxmlformats.org/officeDocument/2006/customXml" ds:itemID="{E7B10C44-91AA-459E-AB8D-40A3EF6DCE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ACFA</dc:creator>
  <cp:keywords/>
  <dc:description/>
  <cp:lastModifiedBy>Scannone Chavez, Rodolfo Andres</cp:lastModifiedBy>
  <cp:revision/>
  <dcterms:created xsi:type="dcterms:W3CDTF">2016-08-14T21:30:01Z</dcterms:created>
  <dcterms:modified xsi:type="dcterms:W3CDTF">2018-10-22T20:24:02Z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216;#VOCATIONAL ＆ TECHNICAL EDUCATION|a1cdf7bb-151a-465c-b2c9-b051aede673b</vt:lpwstr>
  </property>
  <property fmtid="{D5CDD505-2E9C-101B-9397-08002B2CF9AE}" pid="7" name="Country">
    <vt:lpwstr>23;#Dominican Republic|19e8fe34-75bb-4d09-b676-0e9a3c6f1862</vt:lpwstr>
  </property>
  <property fmtid="{D5CDD505-2E9C-101B-9397-08002B2CF9AE}" pid="8" name="Fund IDB">
    <vt:lpwstr>27;#ORC|c028a4b2-ad8b-4cf4-9cac-a2ae6a778e23</vt:lpwstr>
  </property>
  <property fmtid="{D5CDD505-2E9C-101B-9397-08002B2CF9AE}" pid="9" name="_dlc_DocIdItemGuid">
    <vt:lpwstr>3013f563-fdfc-4f0c-a651-ea70f774f048</vt:lpwstr>
  </property>
  <property fmtid="{D5CDD505-2E9C-101B-9397-08002B2CF9AE}" pid="10" name="Sector IDB">
    <vt:lpwstr>52;#EDUCATION|e61db9d8-dcb9-423f-a737-53d6e603e7c4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0x0101001A458A224826124E8B45B1D613300CFC0073AB511477EEE046A4F1DE245A0E580F</vt:lpwstr>
  </property>
</Properties>
</file>