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odoy.IDB\AppData\Local\Microsoft\Windows\Temporary Internet Files\Content.Outlook\5ZR373F8\"/>
    </mc:Choice>
  </mc:AlternateContent>
  <bookViews>
    <workbookView xWindow="0" yWindow="180" windowWidth="8172" windowHeight="2616" tabRatio="686" activeTab="6"/>
  </bookViews>
  <sheets>
    <sheet name="PEP" sheetId="23" r:id="rId1"/>
    <sheet name="POA año 1" sheetId="41" r:id="rId2"/>
    <sheet name="CC" sheetId="10" r:id="rId3"/>
    <sheet name="CC D" sheetId="25" r:id="rId4"/>
    <sheet name="PF M BID" sheetId="26" r:id="rId5"/>
    <sheet name="PF A BID" sheetId="32" r:id="rId6"/>
    <sheet name="CC P" sheetId="43" r:id="rId7"/>
    <sheet name="Detalle Plan de Adquisiciones" sheetId="39" state="hidden" r:id="rId8"/>
    <sheet name="Plan de Adquisiciones" sheetId="40" state="hidden" r:id="rId9"/>
    <sheet name="PA" sheetId="33" state="hidden" r:id="rId10"/>
    <sheet name="R41" sheetId="27" state="hidden" r:id="rId11"/>
    <sheet name="Re" sheetId="35" state="hidden" r:id="rId12"/>
    <sheet name="Tramo 4" sheetId="36" state="hidden" r:id="rId13"/>
    <sheet name="Inspeccion R41" sheetId="38" state="hidden" r:id="rId14"/>
    <sheet name="Inspeccion Re" sheetId="30" state="hidden" r:id="rId15"/>
    <sheet name="Fisc Tramo 2" sheetId="37" state="hidden" r:id="rId16"/>
  </sheets>
  <externalReferences>
    <externalReference r:id="rId17"/>
    <externalReference r:id="rId18"/>
    <externalReference r:id="rId19"/>
    <externalReference r:id="rId20"/>
  </externalReferences>
  <definedNames>
    <definedName name="_1" localSheetId="6" hidden="1">#REF!</definedName>
    <definedName name="_1" localSheetId="15" hidden="1">#REF!</definedName>
    <definedName name="_1" localSheetId="13" hidden="1">#REF!</definedName>
    <definedName name="_1" localSheetId="14" hidden="1">#REF!</definedName>
    <definedName name="_1" localSheetId="5" hidden="1">#REF!</definedName>
    <definedName name="_1" localSheetId="1" hidden="1">#REF!</definedName>
    <definedName name="_1" localSheetId="11" hidden="1">#REF!</definedName>
    <definedName name="_1" localSheetId="12" hidden="1">#REF!</definedName>
    <definedName name="_1" hidden="1">#REF!</definedName>
    <definedName name="_2" localSheetId="6">#REF!</definedName>
    <definedName name="_2" localSheetId="15">#REF!</definedName>
    <definedName name="_2" localSheetId="13">#REF!</definedName>
    <definedName name="_2" localSheetId="14">#REF!</definedName>
    <definedName name="_2" localSheetId="5">#REF!</definedName>
    <definedName name="_2" localSheetId="1">#REF!</definedName>
    <definedName name="_2" localSheetId="11">#REF!</definedName>
    <definedName name="_2" localSheetId="12">#REF!</definedName>
    <definedName name="_2">#REF!</definedName>
    <definedName name="_3" localSheetId="6">#REF!</definedName>
    <definedName name="_3" localSheetId="15">#REF!</definedName>
    <definedName name="_3" localSheetId="13">#REF!</definedName>
    <definedName name="_3" localSheetId="14">#REF!</definedName>
    <definedName name="_3" localSheetId="5">#REF!</definedName>
    <definedName name="_3" localSheetId="1">#REF!</definedName>
    <definedName name="_3" localSheetId="11">#REF!</definedName>
    <definedName name="_3" localSheetId="12">#REF!</definedName>
    <definedName name="_3">#REF!</definedName>
    <definedName name="_6" localSheetId="6">#REF!</definedName>
    <definedName name="_6" localSheetId="15">#REF!</definedName>
    <definedName name="_6" localSheetId="13">#REF!</definedName>
    <definedName name="_6" localSheetId="14">#REF!</definedName>
    <definedName name="_6" localSheetId="5">#REF!</definedName>
    <definedName name="_6" localSheetId="1">#REF!</definedName>
    <definedName name="_6" localSheetId="11">#REF!</definedName>
    <definedName name="_6" localSheetId="12">#REF!</definedName>
    <definedName name="_6">#REF!</definedName>
    <definedName name="_8" localSheetId="6">#REF!</definedName>
    <definedName name="_8" localSheetId="15">#REF!</definedName>
    <definedName name="_8" localSheetId="13">#REF!</definedName>
    <definedName name="_8" localSheetId="14">#REF!</definedName>
    <definedName name="_8" localSheetId="5">#REF!</definedName>
    <definedName name="_8" localSheetId="1">#REF!</definedName>
    <definedName name="_8" localSheetId="11">#REF!</definedName>
    <definedName name="_8" localSheetId="12">#REF!</definedName>
    <definedName name="_8">#REF!</definedName>
    <definedName name="_asd" localSheetId="6">#REF!</definedName>
    <definedName name="_asd" localSheetId="15">#REF!</definedName>
    <definedName name="_asd" localSheetId="13">#REF!</definedName>
    <definedName name="_asd">#REF!</definedName>
    <definedName name="_f" localSheetId="6">#REF!</definedName>
    <definedName name="_f" localSheetId="15">#REF!</definedName>
    <definedName name="_f" localSheetId="13">#REF!</definedName>
    <definedName name="_f" localSheetId="14">#REF!</definedName>
    <definedName name="_f" localSheetId="5">#REF!</definedName>
    <definedName name="_f" localSheetId="1">#REF!</definedName>
    <definedName name="_f" localSheetId="11">#REF!</definedName>
    <definedName name="_f" localSheetId="12">#REF!</definedName>
    <definedName name="_f">#REF!</definedName>
    <definedName name="_Fill" localSheetId="6" hidden="1">#REF!</definedName>
    <definedName name="_Fill" localSheetId="15" hidden="1">#REF!</definedName>
    <definedName name="_Fill" localSheetId="13" hidden="1">#REF!</definedName>
    <definedName name="_Fill" localSheetId="14" hidden="1">#REF!</definedName>
    <definedName name="_Fill" localSheetId="5" hidden="1">#REF!</definedName>
    <definedName name="_Fill" localSheetId="1" hidden="1">#REF!</definedName>
    <definedName name="_Fill" localSheetId="11" hidden="1">#REF!</definedName>
    <definedName name="_Fill" localSheetId="12" hidden="1">#REF!</definedName>
    <definedName name="_Fill" hidden="1">#REF!</definedName>
    <definedName name="_xlnm._FilterDatabase" localSheetId="3" hidden="1">'CC D'!$A$7:$I$34</definedName>
    <definedName name="_xlnm._FilterDatabase" localSheetId="6" hidden="1">'CC P'!$A$7:$F$36</definedName>
    <definedName name="aaa" localSheetId="6">#REF!</definedName>
    <definedName name="aaa" localSheetId="15">#REF!</definedName>
    <definedName name="aaa" localSheetId="13">#REF!</definedName>
    <definedName name="aaa" localSheetId="14">#REF!</definedName>
    <definedName name="aaa" localSheetId="5">#REF!</definedName>
    <definedName name="aaa" localSheetId="4">#REF!</definedName>
    <definedName name="aaa" localSheetId="1">#REF!</definedName>
    <definedName name="aaa" localSheetId="10">#REF!</definedName>
    <definedName name="aaa" localSheetId="11">#REF!</definedName>
    <definedName name="aaa" localSheetId="12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 localSheetId="6">#REF!</definedName>
    <definedName name="d" localSheetId="15">#REF!</definedName>
    <definedName name="d" localSheetId="13">#REF!</definedName>
    <definedName name="d" localSheetId="1">#REF!</definedName>
    <definedName name="d" localSheetId="11">#REF!</definedName>
    <definedName name="d" localSheetId="12">#REF!</definedName>
    <definedName name="d">#REF!</definedName>
    <definedName name="DDD" localSheetId="3">#REF!</definedName>
    <definedName name="DDD" localSheetId="6">#REF!</definedName>
    <definedName name="DDD" localSheetId="15">#REF!</definedName>
    <definedName name="DDD" localSheetId="13">#REF!</definedName>
    <definedName name="DDD" localSheetId="14">#REF!</definedName>
    <definedName name="DDD" localSheetId="0">#REF!</definedName>
    <definedName name="DDD" localSheetId="5">#REF!</definedName>
    <definedName name="DDD" localSheetId="4">#REF!</definedName>
    <definedName name="DDD" localSheetId="1">#REF!</definedName>
    <definedName name="DDD" localSheetId="10">#REF!</definedName>
    <definedName name="DDD" localSheetId="11">#REF!</definedName>
    <definedName name="DDD" localSheetId="12">#REF!</definedName>
    <definedName name="DDD">#REF!</definedName>
    <definedName name="dfg" localSheetId="6">#REF!</definedName>
    <definedName name="dfg" localSheetId="15">#REF!</definedName>
    <definedName name="dfg" localSheetId="13">#REF!</definedName>
    <definedName name="dfg">#REF!</definedName>
    <definedName name="dg" localSheetId="6">#REF!</definedName>
    <definedName name="dg" localSheetId="15">#REF!</definedName>
    <definedName name="dg" localSheetId="13">#REF!</definedName>
    <definedName name="dg">#REF!</definedName>
    <definedName name="e" localSheetId="6">#REF!</definedName>
    <definedName name="e" localSheetId="15">#REF!</definedName>
    <definedName name="e" localSheetId="13">#REF!</definedName>
    <definedName name="e" localSheetId="14">#REF!</definedName>
    <definedName name="e" localSheetId="5">#REF!</definedName>
    <definedName name="e" localSheetId="1">#REF!</definedName>
    <definedName name="e" localSheetId="11">#REF!</definedName>
    <definedName name="e" localSheetId="12">#REF!</definedName>
    <definedName name="e">#REF!</definedName>
    <definedName name="fdgg" localSheetId="6">#REF!</definedName>
    <definedName name="fdgg" localSheetId="15">#REF!</definedName>
    <definedName name="fdgg" localSheetId="13">#REF!</definedName>
    <definedName name="fdgg">#REF!</definedName>
    <definedName name="ffff" localSheetId="6">#REF!</definedName>
    <definedName name="ffff" localSheetId="15">#REF!</definedName>
    <definedName name="ffff" localSheetId="13">#REF!</definedName>
    <definedName name="ffff" localSheetId="14">#REF!</definedName>
    <definedName name="ffff" localSheetId="5">#REF!</definedName>
    <definedName name="ffff" localSheetId="1">#REF!</definedName>
    <definedName name="ffff" localSheetId="11">#REF!</definedName>
    <definedName name="ffff" localSheetId="12">#REF!</definedName>
    <definedName name="ffff">#REF!</definedName>
    <definedName name="GRAFI" localSheetId="6">#REF!</definedName>
    <definedName name="GRAFI" localSheetId="15">#REF!</definedName>
    <definedName name="GRAFI" localSheetId="13">#REF!</definedName>
    <definedName name="GRAFI" localSheetId="14">#REF!</definedName>
    <definedName name="GRAFI" localSheetId="5">#REF!</definedName>
    <definedName name="GRAFI" localSheetId="1">#REF!</definedName>
    <definedName name="GRAFI" localSheetId="11">#REF!</definedName>
    <definedName name="GRAFI" localSheetId="12">#REF!</definedName>
    <definedName name="GRAFI">#REF!</definedName>
    <definedName name="GRAFICO" localSheetId="6">#REF!</definedName>
    <definedName name="GRAFICO" localSheetId="15">#REF!</definedName>
    <definedName name="GRAFICO" localSheetId="13">#REF!</definedName>
    <definedName name="GRAFICO" localSheetId="14">#REF!</definedName>
    <definedName name="GRAFICO" localSheetId="5">#REF!</definedName>
    <definedName name="GRAFICO" localSheetId="1">#REF!</definedName>
    <definedName name="GRAFICO" localSheetId="11">#REF!</definedName>
    <definedName name="GRAFICO" localSheetId="12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 localSheetId="6">#REF!</definedName>
    <definedName name="Np" localSheetId="15">#REF!</definedName>
    <definedName name="Np" localSheetId="13">#REF!</definedName>
    <definedName name="Np" localSheetId="1">#REF!</definedName>
    <definedName name="Np" localSheetId="11">#REF!</definedName>
    <definedName name="Np" localSheetId="12">#REF!</definedName>
    <definedName name="Np">#REF!</definedName>
    <definedName name="Nuevo" localSheetId="6">#REF!</definedName>
    <definedName name="Nuevo" localSheetId="15">#REF!</definedName>
    <definedName name="Nuevo" localSheetId="13">#REF!</definedName>
    <definedName name="Nuevo" localSheetId="14">#REF!</definedName>
    <definedName name="Nuevo" localSheetId="1">#REF!</definedName>
    <definedName name="Nuevo" localSheetId="11">#REF!</definedName>
    <definedName name="Nuevo" localSheetId="12">#REF!</definedName>
    <definedName name="Nuevo">#REF!</definedName>
    <definedName name="Pres" localSheetId="6">#REF!</definedName>
    <definedName name="Pres" localSheetId="15">#REF!</definedName>
    <definedName name="Pres" localSheetId="13">#REF!</definedName>
    <definedName name="Pres" localSheetId="14">#REF!</definedName>
    <definedName name="Pres" localSheetId="5">#REF!</definedName>
    <definedName name="Pres" localSheetId="4">#REF!</definedName>
    <definedName name="Pres" localSheetId="1">#REF!</definedName>
    <definedName name="Pres" localSheetId="10">#REF!</definedName>
    <definedName name="Pres" localSheetId="11">#REF!</definedName>
    <definedName name="Pres" localSheetId="12">#REF!</definedName>
    <definedName name="Pres">#REF!</definedName>
    <definedName name="_xlnm.Print_Area" localSheetId="3">'CC D'!$A$1:$J$9</definedName>
    <definedName name="_xlnm.Print_Area" localSheetId="6">'CC P'!$A$1:$G$9</definedName>
    <definedName name="_xlnm.Print_Area" localSheetId="4">'PF M BID'!$A$1:$BQ$36</definedName>
    <definedName name="_xlnm.Print_Area" localSheetId="10">'R41'!$A$1:$J$47</definedName>
    <definedName name="_xlnm.Print_Area" localSheetId="11">Re!$A$1:$J$47</definedName>
    <definedName name="_xlnm.Print_Area" localSheetId="12">'Tramo 4'!$A$1:$J$47</definedName>
    <definedName name="Print_Area_MI" localSheetId="6">#REF!</definedName>
    <definedName name="Print_Area_MI" localSheetId="15">#REF!</definedName>
    <definedName name="Print_Area_MI" localSheetId="13">#REF!</definedName>
    <definedName name="Print_Area_MI" localSheetId="14">#REF!</definedName>
    <definedName name="Print_Area_MI" localSheetId="5">#REF!</definedName>
    <definedName name="Print_Area_MI" localSheetId="4">#REF!</definedName>
    <definedName name="Print_Area_MI" localSheetId="1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>#REF!</definedName>
    <definedName name="_xlnm.Print_Titles" localSheetId="3">'CC D'!$7:$8</definedName>
    <definedName name="_xlnm.Print_Titles" localSheetId="6">'CC P'!$7:$8</definedName>
    <definedName name="_xlnm.Print_Titles" localSheetId="0">PEP!$1:$8</definedName>
    <definedName name="_xlnm.Print_Titles" localSheetId="5">'PF A BID'!$1:$8</definedName>
    <definedName name="_xlnm.Print_Titles" localSheetId="4">'PF M BID'!$A:$D,'PF M BID'!$1:$11</definedName>
    <definedName name="_xlnm.Print_Titles" localSheetId="1">'POA año 1'!$A:$B,'POA año 1'!#REF!</definedName>
    <definedName name="Resumen" localSheetId="6">#REF!</definedName>
    <definedName name="Resumen" localSheetId="15">#REF!</definedName>
    <definedName name="Resumen" localSheetId="13">#REF!</definedName>
    <definedName name="Resumen" localSheetId="14">#REF!</definedName>
    <definedName name="Resumen" localSheetId="5">#REF!</definedName>
    <definedName name="Resumen" localSheetId="4">#REF!</definedName>
    <definedName name="Resumen" localSheetId="1">#REF!</definedName>
    <definedName name="Resumen" localSheetId="10">#REF!</definedName>
    <definedName name="Resumen" localSheetId="11">#REF!</definedName>
    <definedName name="Resumen" localSheetId="12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 localSheetId="6">#REF!</definedName>
    <definedName name="s" localSheetId="15">#REF!</definedName>
    <definedName name="s" localSheetId="13">#REF!</definedName>
    <definedName name="s" localSheetId="1">#REF!</definedName>
    <definedName name="s" localSheetId="11">#REF!</definedName>
    <definedName name="s" localSheetId="12">#REF!</definedName>
    <definedName name="s">#REF!</definedName>
    <definedName name="SFGH" localSheetId="3">#REF!</definedName>
    <definedName name="SFGH" localSheetId="6">#REF!</definedName>
    <definedName name="SFGH" localSheetId="15">#REF!</definedName>
    <definedName name="SFGH" localSheetId="13">#REF!</definedName>
    <definedName name="SFGH" localSheetId="14">#REF!</definedName>
    <definedName name="SFGH" localSheetId="0">#REF!</definedName>
    <definedName name="SFGH" localSheetId="5">#REF!</definedName>
    <definedName name="SFGH" localSheetId="1">#REF!</definedName>
    <definedName name="SFGH" localSheetId="11">#REF!</definedName>
    <definedName name="SFGH" localSheetId="12">#REF!</definedName>
    <definedName name="SFGH">#REF!</definedName>
    <definedName name="si" localSheetId="6">#REF!</definedName>
    <definedName name="si" localSheetId="15">#REF!</definedName>
    <definedName name="si" localSheetId="13">#REF!</definedName>
    <definedName name="si" localSheetId="1">#REF!</definedName>
    <definedName name="si" localSheetId="11">#REF!</definedName>
    <definedName name="si" localSheetId="12">#REF!</definedName>
    <definedName name="si">#REF!</definedName>
    <definedName name="Trmao2" localSheetId="6">#REF!</definedName>
    <definedName name="Trmao2" localSheetId="15">#REF!</definedName>
    <definedName name="Trmao2" localSheetId="13">#REF!</definedName>
    <definedName name="Trmao2" localSheetId="11">#REF!</definedName>
    <definedName name="Trmao2" localSheetId="12">#REF!</definedName>
    <definedName name="Trmao2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  <definedName name="Z_8A03CBAE_1F67_44BD_A3B2_08C8A68325B1_.wvu.Cols" localSheetId="7" hidden="1">'Detalle Plan de Adquisiciones'!$Q:$R</definedName>
    <definedName name="Z_9A84CFEA_1C04_4CED_ACA2_7ABD192CA5FB_.wvu.Cols" localSheetId="7" hidden="1">'Detalle Plan de Adquisiciones'!$Q:$R</definedName>
  </definedNames>
  <calcPr calcId="171026"/>
</workbook>
</file>

<file path=xl/calcChain.xml><?xml version="1.0" encoding="utf-8"?>
<calcChain xmlns="http://schemas.openxmlformats.org/spreadsheetml/2006/main">
  <c r="I30" i="41" l="1"/>
  <c r="I29" i="41"/>
  <c r="I26" i="41"/>
  <c r="I25" i="41"/>
  <c r="I23" i="41"/>
  <c r="I22" i="41"/>
  <c r="I16" i="41"/>
  <c r="I20" i="41"/>
  <c r="I12" i="41"/>
  <c r="I8" i="41"/>
  <c r="F13" i="43" l="1"/>
  <c r="F10" i="43"/>
  <c r="F30" i="43"/>
  <c r="F28" i="43"/>
  <c r="F26" i="43"/>
  <c r="F16" i="43" s="1"/>
  <c r="F24" i="43"/>
  <c r="F22" i="43"/>
  <c r="F19" i="43"/>
  <c r="F17" i="43"/>
  <c r="H19" i="43"/>
  <c r="H17" i="43"/>
  <c r="H16" i="43" s="1"/>
  <c r="H22" i="43"/>
  <c r="G22" i="43"/>
  <c r="G19" i="43"/>
  <c r="H36" i="43"/>
  <c r="H35" i="43" s="1"/>
  <c r="G35" i="43"/>
  <c r="F35" i="43"/>
  <c r="G34" i="43"/>
  <c r="G33" i="43" s="1"/>
  <c r="F33" i="43"/>
  <c r="G27" i="43"/>
  <c r="H27" i="43" s="1"/>
  <c r="H26" i="43" s="1"/>
  <c r="H25" i="43"/>
  <c r="H24" i="43" s="1"/>
  <c r="G24" i="43"/>
  <c r="H21" i="43"/>
  <c r="H20" i="43"/>
  <c r="H18" i="43"/>
  <c r="G17" i="43"/>
  <c r="H31" i="43"/>
  <c r="H30" i="43" s="1"/>
  <c r="H29" i="43"/>
  <c r="H28" i="43" s="1"/>
  <c r="G30" i="43"/>
  <c r="H23" i="43"/>
  <c r="G28" i="43"/>
  <c r="G16" i="43"/>
  <c r="B16" i="43"/>
  <c r="H15" i="43"/>
  <c r="H12" i="43"/>
  <c r="H14" i="43"/>
  <c r="G13" i="43"/>
  <c r="A13" i="43"/>
  <c r="H11" i="43"/>
  <c r="G10" i="43"/>
  <c r="G9" i="43" s="1"/>
  <c r="F9" i="43"/>
  <c r="A10" i="43"/>
  <c r="B9" i="43"/>
  <c r="B4" i="43"/>
  <c r="B8" i="43" s="1"/>
  <c r="C30" i="32"/>
  <c r="C29" i="32"/>
  <c r="C27" i="32"/>
  <c r="C26" i="32"/>
  <c r="C25" i="32"/>
  <c r="C23" i="32"/>
  <c r="C22" i="32"/>
  <c r="C20" i="32"/>
  <c r="C17" i="32"/>
  <c r="C16" i="32"/>
  <c r="C14" i="32"/>
  <c r="C12" i="32"/>
  <c r="C8" i="32"/>
  <c r="C32" i="26"/>
  <c r="C31" i="26"/>
  <c r="C29" i="26"/>
  <c r="C28" i="26"/>
  <c r="C27" i="26"/>
  <c r="C25" i="26"/>
  <c r="C24" i="26"/>
  <c r="C22" i="26"/>
  <c r="C19" i="26"/>
  <c r="C18" i="26"/>
  <c r="C16" i="26"/>
  <c r="C14" i="26"/>
  <c r="C7" i="26"/>
  <c r="C46" i="23"/>
  <c r="C45" i="23"/>
  <c r="C43" i="23"/>
  <c r="C42" i="23"/>
  <c r="C41" i="23"/>
  <c r="C39" i="23"/>
  <c r="C38" i="23"/>
  <c r="C36" i="23"/>
  <c r="C33" i="23"/>
  <c r="C32" i="23"/>
  <c r="C30" i="23"/>
  <c r="C28" i="23"/>
  <c r="C8" i="23"/>
  <c r="B10" i="25"/>
  <c r="H10" i="43" l="1"/>
  <c r="F32" i="43"/>
  <c r="G26" i="43"/>
  <c r="H13" i="43"/>
  <c r="H34" i="43"/>
  <c r="H33" i="43" s="1"/>
  <c r="H32" i="43" s="1"/>
  <c r="G32" i="43"/>
  <c r="G8" i="43" s="1"/>
  <c r="T34" i="32"/>
  <c r="T32" i="32"/>
  <c r="T28" i="32"/>
  <c r="S27" i="32"/>
  <c r="T24" i="32"/>
  <c r="T21" i="32"/>
  <c r="T19" i="32"/>
  <c r="T18" i="32"/>
  <c r="Q34" i="32"/>
  <c r="Q32" i="32"/>
  <c r="Q28" i="32"/>
  <c r="Q24" i="32"/>
  <c r="Q21" i="32"/>
  <c r="Q19" i="32"/>
  <c r="Q18" i="32"/>
  <c r="N34" i="32"/>
  <c r="N32" i="32"/>
  <c r="N28" i="32"/>
  <c r="N24" i="32"/>
  <c r="N21" i="32"/>
  <c r="N19" i="32"/>
  <c r="N18" i="32"/>
  <c r="K34" i="32"/>
  <c r="K32" i="32"/>
  <c r="K28" i="32"/>
  <c r="K24" i="32"/>
  <c r="K21" i="32"/>
  <c r="K19" i="32"/>
  <c r="K18" i="32"/>
  <c r="G26" i="32"/>
  <c r="S12" i="32"/>
  <c r="T12" i="32" s="1"/>
  <c r="T11" i="32" s="1"/>
  <c r="H34" i="32"/>
  <c r="H32" i="32"/>
  <c r="H28" i="32"/>
  <c r="H24" i="32"/>
  <c r="H21" i="32"/>
  <c r="H19" i="32"/>
  <c r="T15" i="32"/>
  <c r="Q15" i="32"/>
  <c r="N15" i="32"/>
  <c r="K15" i="32"/>
  <c r="H15" i="32"/>
  <c r="T20" i="26"/>
  <c r="T17" i="26"/>
  <c r="S17" i="26"/>
  <c r="T15" i="26"/>
  <c r="U15" i="26"/>
  <c r="S15" i="26"/>
  <c r="T34" i="26"/>
  <c r="T33" i="26"/>
  <c r="T26" i="26"/>
  <c r="T23" i="26"/>
  <c r="T21" i="26"/>
  <c r="S30" i="26"/>
  <c r="S32" i="26"/>
  <c r="S31" i="26"/>
  <c r="S28" i="26"/>
  <c r="S29" i="26"/>
  <c r="S25" i="26"/>
  <c r="U32" i="26"/>
  <c r="U31" i="26"/>
  <c r="U29" i="26"/>
  <c r="U28" i="26"/>
  <c r="U25" i="26"/>
  <c r="U19" i="26"/>
  <c r="U16" i="26"/>
  <c r="H18" i="32"/>
  <c r="C30" i="10"/>
  <c r="E30" i="10"/>
  <c r="K34" i="25"/>
  <c r="K32" i="25"/>
  <c r="K28" i="25"/>
  <c r="E34" i="41"/>
  <c r="D34" i="41"/>
  <c r="H34" i="41" s="1"/>
  <c r="C34" i="41"/>
  <c r="G34" i="41" s="1"/>
  <c r="E33" i="41"/>
  <c r="D33" i="41"/>
  <c r="H33" i="41" s="1"/>
  <c r="C33" i="41"/>
  <c r="G33" i="41"/>
  <c r="E28" i="41"/>
  <c r="E27" i="41"/>
  <c r="D27" i="41"/>
  <c r="H27" i="41"/>
  <c r="C27" i="41"/>
  <c r="G27" i="41" s="1"/>
  <c r="E26" i="41"/>
  <c r="D26" i="41"/>
  <c r="H26" i="41"/>
  <c r="C26" i="41"/>
  <c r="G26" i="41" s="1"/>
  <c r="E25" i="41"/>
  <c r="D25" i="41"/>
  <c r="H25" i="41"/>
  <c r="C25" i="41"/>
  <c r="G25" i="41"/>
  <c r="E24" i="41"/>
  <c r="D24" i="41"/>
  <c r="H24" i="41" s="1"/>
  <c r="C24" i="41"/>
  <c r="G24" i="41"/>
  <c r="E23" i="41"/>
  <c r="H18" i="41"/>
  <c r="G18" i="41"/>
  <c r="E18" i="41"/>
  <c r="D18" i="41"/>
  <c r="C18" i="41"/>
  <c r="E17" i="41"/>
  <c r="D17" i="41"/>
  <c r="H17" i="41"/>
  <c r="C17" i="41"/>
  <c r="G17" i="41" s="1"/>
  <c r="E16" i="41"/>
  <c r="E15" i="41"/>
  <c r="D15" i="41"/>
  <c r="H15" i="41" s="1"/>
  <c r="C15" i="41"/>
  <c r="G15" i="41"/>
  <c r="E14" i="41"/>
  <c r="D14" i="41"/>
  <c r="H14" i="41"/>
  <c r="C14" i="41"/>
  <c r="G14" i="41" s="1"/>
  <c r="E13" i="41"/>
  <c r="D13" i="41"/>
  <c r="H13" i="41"/>
  <c r="C13" i="41"/>
  <c r="G13" i="41"/>
  <c r="E12" i="41"/>
  <c r="D12" i="41"/>
  <c r="H12" i="41" s="1"/>
  <c r="C12" i="41"/>
  <c r="G12" i="41"/>
  <c r="E11" i="41"/>
  <c r="E10" i="41"/>
  <c r="B11" i="40"/>
  <c r="C11" i="40"/>
  <c r="G38" i="39"/>
  <c r="N6" i="39"/>
  <c r="B5" i="39"/>
  <c r="B6" i="39"/>
  <c r="K19" i="25"/>
  <c r="G32" i="39"/>
  <c r="G30" i="10"/>
  <c r="K11" i="25"/>
  <c r="G5" i="39"/>
  <c r="H5" i="39"/>
  <c r="I35" i="32"/>
  <c r="U30" i="32"/>
  <c r="S30" i="32" s="1"/>
  <c r="S28" i="32" s="1"/>
  <c r="R30" i="32"/>
  <c r="O30" i="32"/>
  <c r="M30" i="32" s="1"/>
  <c r="I30" i="32"/>
  <c r="G30" i="32" s="1"/>
  <c r="L30" i="41"/>
  <c r="U29" i="32"/>
  <c r="S29" i="32" s="1"/>
  <c r="R29" i="32"/>
  <c r="P29" i="32" s="1"/>
  <c r="O29" i="32"/>
  <c r="M29" i="32" s="1"/>
  <c r="I29" i="32"/>
  <c r="L29" i="41" s="1"/>
  <c r="U27" i="32"/>
  <c r="R27" i="32"/>
  <c r="P27" i="32" s="1"/>
  <c r="L27" i="32"/>
  <c r="J27" i="32" s="1"/>
  <c r="I27" i="32"/>
  <c r="U26" i="32"/>
  <c r="U24" i="32" s="1"/>
  <c r="R26" i="32"/>
  <c r="P26" i="32" s="1"/>
  <c r="O26" i="32"/>
  <c r="M26" i="32" s="1"/>
  <c r="I26" i="32"/>
  <c r="L26" i="41"/>
  <c r="U25" i="32"/>
  <c r="S25" i="32" s="1"/>
  <c r="R25" i="32"/>
  <c r="P25" i="32" s="1"/>
  <c r="P24" i="32" s="1"/>
  <c r="U23" i="32"/>
  <c r="S23" i="32" s="1"/>
  <c r="S21" i="32" s="1"/>
  <c r="R23" i="32"/>
  <c r="P23" i="32" s="1"/>
  <c r="O23" i="32"/>
  <c r="M23" i="32" s="1"/>
  <c r="I23" i="32"/>
  <c r="U22" i="32"/>
  <c r="S22" i="32" s="1"/>
  <c r="R22" i="32"/>
  <c r="P22" i="32" s="1"/>
  <c r="P21" i="32" s="1"/>
  <c r="R21" i="32"/>
  <c r="O22" i="32"/>
  <c r="M22" i="32" s="1"/>
  <c r="M21" i="32" s="1"/>
  <c r="U20" i="32"/>
  <c r="S20" i="32" s="1"/>
  <c r="S19" i="32" s="1"/>
  <c r="U19" i="32"/>
  <c r="R20" i="32"/>
  <c r="P20" i="32" s="1"/>
  <c r="P19" i="32" s="1"/>
  <c r="R19" i="32"/>
  <c r="O20" i="32"/>
  <c r="M20" i="32" s="1"/>
  <c r="M19" i="32" s="1"/>
  <c r="O19" i="32"/>
  <c r="I17" i="32"/>
  <c r="G17" i="32" s="1"/>
  <c r="L17" i="41"/>
  <c r="U16" i="32"/>
  <c r="S16" i="32" s="1"/>
  <c r="R16" i="32"/>
  <c r="I14" i="32"/>
  <c r="L14" i="41"/>
  <c r="U12" i="32"/>
  <c r="U11" i="32"/>
  <c r="E16" i="32"/>
  <c r="E20" i="32"/>
  <c r="E22" i="32"/>
  <c r="E24" i="32"/>
  <c r="E26" i="32"/>
  <c r="E28" i="32"/>
  <c r="E30" i="32"/>
  <c r="E32" i="32"/>
  <c r="E34" i="32"/>
  <c r="U21" i="32"/>
  <c r="B3" i="30"/>
  <c r="G17" i="26"/>
  <c r="H17" i="26"/>
  <c r="I17" i="26"/>
  <c r="J17" i="26"/>
  <c r="K17" i="26"/>
  <c r="N21" i="26"/>
  <c r="BH19" i="26"/>
  <c r="BI19" i="26"/>
  <c r="U17" i="32" s="1"/>
  <c r="U15" i="32" s="1"/>
  <c r="BJ19" i="26"/>
  <c r="BJ17" i="26" s="1"/>
  <c r="BK19" i="26"/>
  <c r="BL19" i="26"/>
  <c r="I13" i="26"/>
  <c r="J13" i="26"/>
  <c r="K13" i="26"/>
  <c r="L13" i="26"/>
  <c r="AO13" i="26"/>
  <c r="AP14" i="26"/>
  <c r="AP13" i="26" s="1"/>
  <c r="AQ14" i="26"/>
  <c r="AQ13" i="26" s="1"/>
  <c r="AR14" i="26"/>
  <c r="AR13" i="26" s="1"/>
  <c r="AS14" i="26"/>
  <c r="AS13" i="26" s="1"/>
  <c r="AS12" i="26" s="1"/>
  <c r="AT14" i="26"/>
  <c r="AU14" i="26"/>
  <c r="AU13" i="26"/>
  <c r="AV14" i="26"/>
  <c r="AW14" i="26"/>
  <c r="AW13" i="26"/>
  <c r="AX14" i="26"/>
  <c r="AX13" i="26" s="1"/>
  <c r="AX12" i="26" s="1"/>
  <c r="AY14" i="26"/>
  <c r="AY13" i="26"/>
  <c r="AY12" i="26" s="1"/>
  <c r="AZ14" i="26"/>
  <c r="AZ13" i="26" s="1"/>
  <c r="AZ12" i="26" s="1"/>
  <c r="BA14" i="26"/>
  <c r="BB14" i="26"/>
  <c r="BB13" i="26"/>
  <c r="BA13" i="26"/>
  <c r="BC13" i="26"/>
  <c r="BD13" i="26"/>
  <c r="BE13" i="26"/>
  <c r="BF13" i="26"/>
  <c r="BG13" i="26"/>
  <c r="A45" i="38"/>
  <c r="A5" i="38"/>
  <c r="B3" i="38"/>
  <c r="AC56" i="38"/>
  <c r="B45" i="38"/>
  <c r="C19" i="38"/>
  <c r="C20" i="38"/>
  <c r="C21" i="38"/>
  <c r="C22" i="38"/>
  <c r="C23" i="38"/>
  <c r="C24" i="38"/>
  <c r="C25" i="38"/>
  <c r="C26" i="38"/>
  <c r="C27" i="38"/>
  <c r="C28" i="38"/>
  <c r="C29" i="38"/>
  <c r="C30" i="38"/>
  <c r="C31" i="38"/>
  <c r="C32" i="38"/>
  <c r="C33" i="38"/>
  <c r="C34" i="38"/>
  <c r="C35" i="38"/>
  <c r="C36" i="38"/>
  <c r="C37" i="38"/>
  <c r="C38" i="38"/>
  <c r="C39" i="38"/>
  <c r="C40" i="38"/>
  <c r="C41" i="38"/>
  <c r="C42" i="38"/>
  <c r="C43" i="38"/>
  <c r="C44" i="38"/>
  <c r="B18" i="38"/>
  <c r="J17" i="38"/>
  <c r="I17" i="38"/>
  <c r="D17" i="38"/>
  <c r="D13" i="38"/>
  <c r="C11" i="38"/>
  <c r="C8" i="38"/>
  <c r="I7" i="38"/>
  <c r="C43" i="30"/>
  <c r="C44" i="30"/>
  <c r="B45" i="30"/>
  <c r="BM19" i="26"/>
  <c r="BN19" i="26"/>
  <c r="BO19" i="26"/>
  <c r="BP19" i="26"/>
  <c r="BQ19" i="26"/>
  <c r="R15" i="26"/>
  <c r="V15" i="26"/>
  <c r="W15" i="26"/>
  <c r="X15" i="26"/>
  <c r="Y15" i="26"/>
  <c r="Z15" i="26"/>
  <c r="AA15" i="26"/>
  <c r="AB15" i="26"/>
  <c r="AC15" i="26"/>
  <c r="AD15" i="26"/>
  <c r="AE15" i="26"/>
  <c r="AF15" i="26"/>
  <c r="BF16" i="26"/>
  <c r="BG16" i="26"/>
  <c r="BH16" i="26"/>
  <c r="U14" i="32" s="1"/>
  <c r="BI16" i="26"/>
  <c r="BJ16" i="26"/>
  <c r="BK16" i="26"/>
  <c r="BL16" i="26"/>
  <c r="BL15" i="26" s="1"/>
  <c r="BL12" i="26" s="1"/>
  <c r="BL11" i="26" s="1"/>
  <c r="BM16" i="26"/>
  <c r="BN16" i="26"/>
  <c r="BO16" i="26"/>
  <c r="BP16" i="26"/>
  <c r="BP15" i="26" s="1"/>
  <c r="BP12" i="26" s="1"/>
  <c r="BQ16" i="26"/>
  <c r="E18" i="26"/>
  <c r="E22" i="26"/>
  <c r="E24" i="26"/>
  <c r="E26" i="26"/>
  <c r="E28" i="26"/>
  <c r="E30" i="26"/>
  <c r="E32" i="26"/>
  <c r="E34" i="26"/>
  <c r="E36" i="26"/>
  <c r="I28" i="23"/>
  <c r="J28" i="23"/>
  <c r="F12" i="32"/>
  <c r="F11" i="32" s="1"/>
  <c r="I30" i="23"/>
  <c r="E14" i="32" s="1"/>
  <c r="I31" i="23"/>
  <c r="I32" i="23"/>
  <c r="I33" i="23"/>
  <c r="I35" i="23"/>
  <c r="E19" i="32" s="1"/>
  <c r="I34" i="23"/>
  <c r="I36" i="23"/>
  <c r="J36" i="23"/>
  <c r="F20" i="32" s="1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H36" i="26"/>
  <c r="I36" i="26"/>
  <c r="J36" i="26"/>
  <c r="K36" i="26"/>
  <c r="L36" i="26"/>
  <c r="M36" i="26"/>
  <c r="N36" i="26"/>
  <c r="O36" i="26"/>
  <c r="P36" i="26"/>
  <c r="Q36" i="26"/>
  <c r="R36" i="26"/>
  <c r="V36" i="26"/>
  <c r="X36" i="26"/>
  <c r="Z36" i="26"/>
  <c r="AB36" i="26"/>
  <c r="AC36" i="26"/>
  <c r="AD36" i="26"/>
  <c r="AE36" i="26"/>
  <c r="AF36" i="26"/>
  <c r="AG36" i="26"/>
  <c r="AH36" i="26"/>
  <c r="AJ36" i="26"/>
  <c r="AL36" i="26"/>
  <c r="AN36" i="26"/>
  <c r="AO36" i="26"/>
  <c r="AP36" i="26"/>
  <c r="AQ36" i="26"/>
  <c r="AR36" i="26"/>
  <c r="AS36" i="26"/>
  <c r="AT36" i="26"/>
  <c r="AV36" i="26"/>
  <c r="AX36" i="26"/>
  <c r="AZ36" i="26"/>
  <c r="BA36" i="26"/>
  <c r="BB36" i="26"/>
  <c r="BC36" i="26"/>
  <c r="BD36" i="26"/>
  <c r="BE36" i="26"/>
  <c r="BF36" i="26"/>
  <c r="BH36" i="26"/>
  <c r="BJ36" i="26"/>
  <c r="BL36" i="26"/>
  <c r="BN36" i="26"/>
  <c r="BP36" i="26"/>
  <c r="H23" i="26"/>
  <c r="I23" i="26"/>
  <c r="J23" i="26"/>
  <c r="K23" i="26"/>
  <c r="L23" i="26"/>
  <c r="M23" i="26"/>
  <c r="N23" i="26"/>
  <c r="AB23" i="26"/>
  <c r="AE23" i="26"/>
  <c r="AF23" i="26"/>
  <c r="AH23" i="26"/>
  <c r="AI23" i="26"/>
  <c r="AK23" i="26"/>
  <c r="AL23" i="26"/>
  <c r="AN23" i="26"/>
  <c r="AO23" i="26"/>
  <c r="AQ23" i="26"/>
  <c r="AR23" i="26"/>
  <c r="AT23" i="26"/>
  <c r="AU23" i="26"/>
  <c r="AW23" i="26"/>
  <c r="AX23" i="26"/>
  <c r="AZ23" i="26"/>
  <c r="BA23" i="26"/>
  <c r="BC23" i="26"/>
  <c r="BD23" i="26"/>
  <c r="BF23" i="26"/>
  <c r="BG23" i="26"/>
  <c r="BI23" i="26"/>
  <c r="BJ23" i="26"/>
  <c r="BL23" i="26"/>
  <c r="BM23" i="26"/>
  <c r="BO23" i="26"/>
  <c r="BP23" i="26"/>
  <c r="H21" i="26"/>
  <c r="I21" i="26"/>
  <c r="J21" i="26"/>
  <c r="K21" i="26"/>
  <c r="L21" i="26"/>
  <c r="O21" i="26"/>
  <c r="Q21" i="26"/>
  <c r="R21" i="26"/>
  <c r="V21" i="26"/>
  <c r="X21" i="26"/>
  <c r="Y21" i="26"/>
  <c r="AB21" i="26"/>
  <c r="AC21" i="26"/>
  <c r="AE21" i="26"/>
  <c r="AF21" i="26"/>
  <c r="AH21" i="26"/>
  <c r="AI21" i="26"/>
  <c r="AK21" i="26"/>
  <c r="AL21" i="26"/>
  <c r="AN21" i="26"/>
  <c r="AO21" i="26"/>
  <c r="AQ21" i="26"/>
  <c r="AR21" i="26"/>
  <c r="AT21" i="26"/>
  <c r="AU21" i="26"/>
  <c r="AW21" i="26"/>
  <c r="AX21" i="26"/>
  <c r="AZ21" i="26"/>
  <c r="BA21" i="26"/>
  <c r="BC21" i="26"/>
  <c r="BD21" i="26"/>
  <c r="BF21" i="26"/>
  <c r="BG21" i="26"/>
  <c r="BI21" i="26"/>
  <c r="BJ21" i="26"/>
  <c r="BL21" i="26"/>
  <c r="BM21" i="26"/>
  <c r="BO21" i="26"/>
  <c r="BP21" i="26"/>
  <c r="H15" i="26"/>
  <c r="I15" i="26"/>
  <c r="J15" i="26"/>
  <c r="K15" i="26"/>
  <c r="L15" i="26"/>
  <c r="M15" i="26"/>
  <c r="N15" i="26"/>
  <c r="O15" i="26"/>
  <c r="P15" i="26"/>
  <c r="Q15" i="26"/>
  <c r="H13" i="26"/>
  <c r="H30" i="26"/>
  <c r="I30" i="26"/>
  <c r="J30" i="26"/>
  <c r="K30" i="26"/>
  <c r="L30" i="26"/>
  <c r="M30" i="26"/>
  <c r="N30" i="26"/>
  <c r="O30" i="26"/>
  <c r="P30" i="26"/>
  <c r="Q30" i="26"/>
  <c r="R30" i="26"/>
  <c r="W30" i="26"/>
  <c r="Y30" i="26"/>
  <c r="AA30" i="26"/>
  <c r="AB30" i="26"/>
  <c r="AD30" i="26"/>
  <c r="AF30" i="26"/>
  <c r="AH30" i="26"/>
  <c r="AI30" i="26"/>
  <c r="AJ30" i="26"/>
  <c r="AK30" i="26"/>
  <c r="AL30" i="26"/>
  <c r="AM30" i="26"/>
  <c r="AN30" i="26"/>
  <c r="AO30" i="26"/>
  <c r="AP30" i="26"/>
  <c r="AQ30" i="26"/>
  <c r="AR30" i="26"/>
  <c r="AS30" i="26"/>
  <c r="AT30" i="26"/>
  <c r="AU30" i="26"/>
  <c r="AV30" i="26"/>
  <c r="AW30" i="26"/>
  <c r="AX30" i="26"/>
  <c r="AY30" i="26"/>
  <c r="AZ30" i="26"/>
  <c r="BA30" i="26"/>
  <c r="BB30" i="26"/>
  <c r="BC30" i="26"/>
  <c r="BD30" i="26"/>
  <c r="BE30" i="26"/>
  <c r="BF30" i="26"/>
  <c r="BG30" i="26"/>
  <c r="BH30" i="26"/>
  <c r="BI30" i="26"/>
  <c r="BJ30" i="26"/>
  <c r="BK30" i="26"/>
  <c r="BL30" i="26"/>
  <c r="BM30" i="26"/>
  <c r="BN30" i="26"/>
  <c r="BO30" i="26"/>
  <c r="BP30" i="26"/>
  <c r="BQ30" i="26"/>
  <c r="G36" i="26"/>
  <c r="G26" i="26"/>
  <c r="G23" i="26"/>
  <c r="G21" i="26"/>
  <c r="G15" i="26"/>
  <c r="G13" i="26"/>
  <c r="A15" i="26"/>
  <c r="A13" i="32" s="1"/>
  <c r="A13" i="41" s="1"/>
  <c r="A16" i="26"/>
  <c r="A14" i="32"/>
  <c r="A14" i="41" s="1"/>
  <c r="A17" i="26"/>
  <c r="A15" i="32"/>
  <c r="A15" i="41" s="1"/>
  <c r="A18" i="26"/>
  <c r="A16" i="32" s="1"/>
  <c r="A16" i="41" s="1"/>
  <c r="A19" i="26"/>
  <c r="A17" i="32"/>
  <c r="A17" i="41" s="1"/>
  <c r="A20" i="26"/>
  <c r="A18" i="32" s="1"/>
  <c r="A18" i="41" s="1"/>
  <c r="A21" i="26"/>
  <c r="A19" i="32"/>
  <c r="A19" i="41" s="1"/>
  <c r="A22" i="26"/>
  <c r="A20" i="32" s="1"/>
  <c r="A20" i="41" s="1"/>
  <c r="A23" i="26"/>
  <c r="A21" i="32" s="1"/>
  <c r="A21" i="41" s="1"/>
  <c r="A24" i="26"/>
  <c r="A22" i="32"/>
  <c r="A22" i="41" s="1"/>
  <c r="A25" i="26"/>
  <c r="A23" i="32"/>
  <c r="A23" i="41"/>
  <c r="A26" i="26"/>
  <c r="A24" i="32" s="1"/>
  <c r="A24" i="41" s="1"/>
  <c r="A27" i="26"/>
  <c r="A25" i="32"/>
  <c r="A25" i="41" s="1"/>
  <c r="A28" i="26"/>
  <c r="A26" i="32" s="1"/>
  <c r="A26" i="41" s="1"/>
  <c r="A29" i="26"/>
  <c r="A27" i="32"/>
  <c r="A27" i="41" s="1"/>
  <c r="A30" i="26"/>
  <c r="A28" i="32" s="1"/>
  <c r="A28" i="41"/>
  <c r="A31" i="26"/>
  <c r="A29" i="32" s="1"/>
  <c r="A29" i="41" s="1"/>
  <c r="A32" i="26"/>
  <c r="A30" i="32"/>
  <c r="A30" i="41"/>
  <c r="A33" i="26"/>
  <c r="A31" i="32"/>
  <c r="A31" i="41" s="1"/>
  <c r="A34" i="26"/>
  <c r="A32" i="32" s="1"/>
  <c r="A32" i="41" s="1"/>
  <c r="A35" i="26"/>
  <c r="A33" i="32"/>
  <c r="A33" i="41" s="1"/>
  <c r="A36" i="26"/>
  <c r="A34" i="32" s="1"/>
  <c r="A34" i="41" s="1"/>
  <c r="A37" i="26"/>
  <c r="A35" i="32"/>
  <c r="A35" i="41" s="1"/>
  <c r="B16" i="26"/>
  <c r="B14" i="32" s="1"/>
  <c r="B14" i="41" s="1"/>
  <c r="B17" i="26"/>
  <c r="B15" i="32" s="1"/>
  <c r="B15" i="41" s="1"/>
  <c r="B18" i="26"/>
  <c r="B16" i="32"/>
  <c r="B16" i="41" s="1"/>
  <c r="B19" i="26"/>
  <c r="B17" i="32"/>
  <c r="B17" i="41"/>
  <c r="B20" i="26"/>
  <c r="B18" i="32" s="1"/>
  <c r="B18" i="41" s="1"/>
  <c r="B21" i="26"/>
  <c r="B19" i="32"/>
  <c r="B19" i="41" s="1"/>
  <c r="B22" i="26"/>
  <c r="B20" i="32" s="1"/>
  <c r="B20" i="41" s="1"/>
  <c r="B23" i="26"/>
  <c r="B21" i="32"/>
  <c r="B21" i="41" s="1"/>
  <c r="B24" i="26"/>
  <c r="B22" i="32" s="1"/>
  <c r="B22" i="41"/>
  <c r="B25" i="26"/>
  <c r="B23" i="32" s="1"/>
  <c r="B23" i="41" s="1"/>
  <c r="B26" i="26"/>
  <c r="B24" i="32"/>
  <c r="B24" i="41" s="1"/>
  <c r="B27" i="26"/>
  <c r="B25" i="32"/>
  <c r="B25" i="41"/>
  <c r="B28" i="26"/>
  <c r="B26" i="32" s="1"/>
  <c r="B26" i="41" s="1"/>
  <c r="B29" i="26"/>
  <c r="B27" i="32"/>
  <c r="B27" i="41" s="1"/>
  <c r="B30" i="26"/>
  <c r="B28" i="32" s="1"/>
  <c r="B28" i="41" s="1"/>
  <c r="B31" i="26"/>
  <c r="B29" i="32"/>
  <c r="B29" i="41" s="1"/>
  <c r="B32" i="26"/>
  <c r="B30" i="32" s="1"/>
  <c r="B30" i="41"/>
  <c r="B33" i="26"/>
  <c r="B31" i="32" s="1"/>
  <c r="B31" i="41" s="1"/>
  <c r="B34" i="26"/>
  <c r="B32" i="32"/>
  <c r="B32" i="41"/>
  <c r="B35" i="26"/>
  <c r="B33" i="32"/>
  <c r="B33" i="41" s="1"/>
  <c r="B36" i="26"/>
  <c r="B34" i="32" s="1"/>
  <c r="B34" i="41" s="1"/>
  <c r="B37" i="26"/>
  <c r="B35" i="32"/>
  <c r="B35" i="41" s="1"/>
  <c r="B14" i="26"/>
  <c r="AT13" i="26"/>
  <c r="BF15" i="26"/>
  <c r="E16" i="26"/>
  <c r="F22" i="26"/>
  <c r="F14" i="26"/>
  <c r="H33" i="23"/>
  <c r="B33" i="23"/>
  <c r="D33" i="23"/>
  <c r="A33" i="23"/>
  <c r="J14" i="25"/>
  <c r="I14" i="25"/>
  <c r="C31" i="10"/>
  <c r="G31" i="10"/>
  <c r="D19" i="26"/>
  <c r="D17" i="32"/>
  <c r="K16" i="25"/>
  <c r="G40" i="39"/>
  <c r="K50" i="23"/>
  <c r="K48" i="23"/>
  <c r="K44" i="23"/>
  <c r="K40" i="23"/>
  <c r="K37" i="23"/>
  <c r="K35" i="23"/>
  <c r="K31" i="23"/>
  <c r="K29" i="23"/>
  <c r="H51" i="23"/>
  <c r="D35" i="32" s="1"/>
  <c r="H49" i="23"/>
  <c r="H46" i="23"/>
  <c r="H45" i="23"/>
  <c r="H43" i="23"/>
  <c r="D27" i="32" s="1"/>
  <c r="H42" i="23"/>
  <c r="H41" i="23"/>
  <c r="H39" i="23"/>
  <c r="H38" i="23"/>
  <c r="D22" i="32" s="1"/>
  <c r="H36" i="23"/>
  <c r="H32" i="23"/>
  <c r="H30" i="23"/>
  <c r="H31" i="23"/>
  <c r="D17" i="26" s="1"/>
  <c r="H28" i="23"/>
  <c r="D30" i="23"/>
  <c r="D32" i="23"/>
  <c r="D36" i="23"/>
  <c r="D38" i="23"/>
  <c r="D39" i="23"/>
  <c r="D41" i="23"/>
  <c r="D42" i="23"/>
  <c r="D45" i="23"/>
  <c r="D46" i="23"/>
  <c r="D49" i="23"/>
  <c r="D51" i="23"/>
  <c r="D28" i="23"/>
  <c r="D28" i="26"/>
  <c r="D26" i="32"/>
  <c r="D37" i="26"/>
  <c r="D35" i="26"/>
  <c r="D33" i="32"/>
  <c r="D31" i="26"/>
  <c r="D29" i="32"/>
  <c r="D29" i="26"/>
  <c r="D25" i="26"/>
  <c r="D23" i="32"/>
  <c r="D24" i="26"/>
  <c r="D22" i="26"/>
  <c r="D20" i="32"/>
  <c r="D16" i="26"/>
  <c r="D14" i="32"/>
  <c r="J33" i="23"/>
  <c r="D8" i="30"/>
  <c r="A49" i="23"/>
  <c r="A50" i="23"/>
  <c r="A51" i="23"/>
  <c r="A30" i="23"/>
  <c r="A32" i="23"/>
  <c r="A34" i="23"/>
  <c r="A36" i="23"/>
  <c r="A38" i="23"/>
  <c r="A39" i="23"/>
  <c r="A41" i="23"/>
  <c r="A42" i="23"/>
  <c r="A43" i="23"/>
  <c r="A44" i="23"/>
  <c r="A45" i="23"/>
  <c r="D64" i="33" s="1"/>
  <c r="A46" i="23"/>
  <c r="A47" i="23"/>
  <c r="A48" i="23"/>
  <c r="B32" i="23"/>
  <c r="B36" i="23"/>
  <c r="B38" i="23"/>
  <c r="B39" i="23"/>
  <c r="B41" i="23"/>
  <c r="B42" i="23"/>
  <c r="B43" i="23"/>
  <c r="B45" i="23"/>
  <c r="B46" i="23"/>
  <c r="B47" i="23"/>
  <c r="B48" i="23"/>
  <c r="C61" i="33" s="1"/>
  <c r="B49" i="23"/>
  <c r="B50" i="23"/>
  <c r="B51" i="23"/>
  <c r="B28" i="23"/>
  <c r="B30" i="23"/>
  <c r="F17" i="32"/>
  <c r="F19" i="26"/>
  <c r="J33" i="25"/>
  <c r="I33" i="25"/>
  <c r="K26" i="25"/>
  <c r="I23" i="25"/>
  <c r="J45" i="23"/>
  <c r="I27" i="25"/>
  <c r="B27" i="25"/>
  <c r="B44" i="23"/>
  <c r="J27" i="25"/>
  <c r="K24" i="25"/>
  <c r="K25" i="25"/>
  <c r="B23" i="25"/>
  <c r="B40" i="23"/>
  <c r="A23" i="25"/>
  <c r="A40" i="23"/>
  <c r="J23" i="25"/>
  <c r="K22" i="25"/>
  <c r="I20" i="25"/>
  <c r="J20" i="25"/>
  <c r="K21" i="25"/>
  <c r="G33" i="39"/>
  <c r="K18" i="25"/>
  <c r="J35" i="23"/>
  <c r="K15" i="25"/>
  <c r="G39" i="39"/>
  <c r="K13" i="25"/>
  <c r="K12" i="25"/>
  <c r="J29" i="23"/>
  <c r="F15" i="26" s="1"/>
  <c r="J10" i="25"/>
  <c r="K10" i="25"/>
  <c r="J27" i="23"/>
  <c r="F13" i="26"/>
  <c r="J32" i="25"/>
  <c r="J29" i="25"/>
  <c r="K29" i="25"/>
  <c r="J18" i="25"/>
  <c r="J17" i="25"/>
  <c r="J12" i="25"/>
  <c r="I29" i="23"/>
  <c r="I18" i="25"/>
  <c r="B17" i="25"/>
  <c r="B34" i="23"/>
  <c r="I12" i="25"/>
  <c r="H29" i="23"/>
  <c r="D13" i="32" s="1"/>
  <c r="I10" i="25"/>
  <c r="I9" i="25"/>
  <c r="B19" i="40"/>
  <c r="C19" i="40"/>
  <c r="J9" i="25"/>
  <c r="I26" i="23"/>
  <c r="E12" i="26" s="1"/>
  <c r="J46" i="23"/>
  <c r="F30" i="32" s="1"/>
  <c r="G37" i="39"/>
  <c r="J39" i="23"/>
  <c r="F25" i="26" s="1"/>
  <c r="Z25" i="26" s="1"/>
  <c r="G34" i="39"/>
  <c r="J41" i="23"/>
  <c r="F27" i="26" s="1"/>
  <c r="AD27" i="26" s="1"/>
  <c r="AD26" i="26" s="1"/>
  <c r="G35" i="39"/>
  <c r="J43" i="23"/>
  <c r="G14" i="39"/>
  <c r="B12" i="40"/>
  <c r="C12" i="40"/>
  <c r="J51" i="23"/>
  <c r="F37" i="26"/>
  <c r="G41" i="39"/>
  <c r="J42" i="23"/>
  <c r="G36" i="39"/>
  <c r="E13" i="32"/>
  <c r="E15" i="26"/>
  <c r="J30" i="23"/>
  <c r="F16" i="26"/>
  <c r="G6" i="39"/>
  <c r="H6" i="39"/>
  <c r="D8" i="35"/>
  <c r="E29" i="10"/>
  <c r="I27" i="23"/>
  <c r="E13" i="26"/>
  <c r="F35" i="32"/>
  <c r="C39" i="10"/>
  <c r="H50" i="23"/>
  <c r="D34" i="32" s="1"/>
  <c r="K33" i="25"/>
  <c r="J50" i="23"/>
  <c r="F36" i="26" s="1"/>
  <c r="K27" i="25"/>
  <c r="J44" i="23"/>
  <c r="F30" i="26" s="1"/>
  <c r="C36" i="10"/>
  <c r="H44" i="23"/>
  <c r="D28" i="32" s="1"/>
  <c r="F29" i="32"/>
  <c r="F31" i="26"/>
  <c r="C35" i="10"/>
  <c r="H40" i="23"/>
  <c r="F23" i="32"/>
  <c r="C34" i="10"/>
  <c r="H37" i="23"/>
  <c r="K20" i="25"/>
  <c r="J37" i="23"/>
  <c r="J38" i="23"/>
  <c r="F24" i="26" s="1"/>
  <c r="I17" i="25"/>
  <c r="C33" i="10"/>
  <c r="H35" i="23"/>
  <c r="F19" i="32"/>
  <c r="F21" i="26"/>
  <c r="D15" i="26"/>
  <c r="F13" i="32"/>
  <c r="K14" i="25"/>
  <c r="J31" i="23"/>
  <c r="D8" i="38"/>
  <c r="J32" i="23"/>
  <c r="H27" i="23"/>
  <c r="C29" i="10"/>
  <c r="K23" i="25"/>
  <c r="J40" i="23"/>
  <c r="F24" i="32" s="1"/>
  <c r="J30" i="25"/>
  <c r="J31" i="25"/>
  <c r="F46" i="39"/>
  <c r="B13" i="40"/>
  <c r="C13" i="40"/>
  <c r="F14" i="32"/>
  <c r="B14" i="40"/>
  <c r="C14" i="40"/>
  <c r="C15" i="40"/>
  <c r="G29" i="10"/>
  <c r="D36" i="26"/>
  <c r="BG37" i="26"/>
  <c r="BG36" i="26" s="1"/>
  <c r="AA37" i="26"/>
  <c r="AA36" i="26" s="1"/>
  <c r="F34" i="32"/>
  <c r="K31" i="25"/>
  <c r="J49" i="23"/>
  <c r="F28" i="32"/>
  <c r="D30" i="26"/>
  <c r="F26" i="26"/>
  <c r="Q27" i="26"/>
  <c r="D26" i="26"/>
  <c r="D24" i="32"/>
  <c r="K17" i="25"/>
  <c r="F22" i="32"/>
  <c r="F21" i="32"/>
  <c r="F23" i="26"/>
  <c r="D23" i="26"/>
  <c r="D21" i="32"/>
  <c r="D19" i="32"/>
  <c r="D21" i="26"/>
  <c r="H34" i="23"/>
  <c r="D18" i="32" s="1"/>
  <c r="F15" i="32"/>
  <c r="F17" i="26"/>
  <c r="F16" i="32"/>
  <c r="F18" i="26"/>
  <c r="K9" i="25"/>
  <c r="J26" i="23"/>
  <c r="F12" i="26"/>
  <c r="A63" i="38"/>
  <c r="D11" i="38"/>
  <c r="D10" i="38"/>
  <c r="J8" i="25"/>
  <c r="I25" i="23"/>
  <c r="E11" i="26"/>
  <c r="J35" i="25"/>
  <c r="B9" i="25"/>
  <c r="B15" i="40"/>
  <c r="F33" i="32"/>
  <c r="F35" i="26"/>
  <c r="K30" i="25"/>
  <c r="K35" i="25"/>
  <c r="J48" i="23"/>
  <c r="F34" i="26" s="1"/>
  <c r="P24" i="26"/>
  <c r="P23" i="26" s="1"/>
  <c r="R24" i="26"/>
  <c r="R23" i="26" s="1"/>
  <c r="R20" i="26" s="1"/>
  <c r="D20" i="26"/>
  <c r="D36" i="38"/>
  <c r="D20" i="38"/>
  <c r="D35" i="38"/>
  <c r="D31" i="38"/>
  <c r="D26" i="38"/>
  <c r="D44" i="38"/>
  <c r="D41" i="38"/>
  <c r="D27" i="38"/>
  <c r="D29" i="38"/>
  <c r="D37" i="38"/>
  <c r="D23" i="38"/>
  <c r="D32" i="38"/>
  <c r="D24" i="38"/>
  <c r="D43" i="38"/>
  <c r="D18" i="38"/>
  <c r="D22" i="38"/>
  <c r="D19" i="38"/>
  <c r="D38" i="38"/>
  <c r="D40" i="38"/>
  <c r="D33" i="38"/>
  <c r="D39" i="38"/>
  <c r="D30" i="38"/>
  <c r="D34" i="38"/>
  <c r="D42" i="38"/>
  <c r="D21" i="38"/>
  <c r="D25" i="38"/>
  <c r="D28" i="38"/>
  <c r="B60" i="38"/>
  <c r="AC60" i="38"/>
  <c r="C62" i="38"/>
  <c r="A65" i="38"/>
  <c r="C65" i="38"/>
  <c r="C59" i="38"/>
  <c r="D59" i="38"/>
  <c r="E59" i="38"/>
  <c r="F59" i="38"/>
  <c r="G59" i="38"/>
  <c r="H59" i="38"/>
  <c r="I59" i="38"/>
  <c r="J59" i="38"/>
  <c r="K59" i="38"/>
  <c r="L59" i="38"/>
  <c r="M59" i="38"/>
  <c r="A64" i="38"/>
  <c r="G39" i="10"/>
  <c r="D39" i="10"/>
  <c r="C32" i="10"/>
  <c r="C28" i="10"/>
  <c r="J47" i="23"/>
  <c r="H47" i="23"/>
  <c r="AA35" i="26"/>
  <c r="AA34" i="26" s="1"/>
  <c r="AA33" i="26" s="1"/>
  <c r="AM35" i="26"/>
  <c r="AM34" i="26" s="1"/>
  <c r="BK35" i="26"/>
  <c r="BK34" i="26" s="1"/>
  <c r="X35" i="26"/>
  <c r="X34" i="26" s="1"/>
  <c r="X33" i="26" s="1"/>
  <c r="AF35" i="26"/>
  <c r="AF34" i="26" s="1"/>
  <c r="AF33" i="26" s="1"/>
  <c r="AZ35" i="26"/>
  <c r="AZ34" i="26" s="1"/>
  <c r="AZ33" i="26" s="1"/>
  <c r="BL35" i="26"/>
  <c r="BL34" i="26" s="1"/>
  <c r="BL33" i="26" s="1"/>
  <c r="R35" i="26"/>
  <c r="R34" i="26" s="1"/>
  <c r="R33" i="26" s="1"/>
  <c r="AS35" i="26"/>
  <c r="AS34" i="26" s="1"/>
  <c r="AS33" i="26" s="1"/>
  <c r="AW35" i="26"/>
  <c r="AW34" i="26" s="1"/>
  <c r="BM35" i="26"/>
  <c r="BM34" i="26" s="1"/>
  <c r="K35" i="26"/>
  <c r="K34" i="26" s="1"/>
  <c r="K33" i="26" s="1"/>
  <c r="K11" i="26" s="1"/>
  <c r="V35" i="26"/>
  <c r="V34" i="26" s="1"/>
  <c r="Z35" i="26"/>
  <c r="AL35" i="26"/>
  <c r="AL34" i="26" s="1"/>
  <c r="AL33" i="26" s="1"/>
  <c r="AP35" i="26"/>
  <c r="AP34" i="26" s="1"/>
  <c r="AP33" i="26" s="1"/>
  <c r="BF35" i="26"/>
  <c r="BN35" i="26"/>
  <c r="BN34" i="26" s="1"/>
  <c r="BN33" i="26" s="1"/>
  <c r="K8" i="25"/>
  <c r="J25" i="23"/>
  <c r="F11" i="26" s="1"/>
  <c r="F32" i="32"/>
  <c r="J19" i="38"/>
  <c r="C57" i="38"/>
  <c r="C58" i="38"/>
  <c r="C61" i="38"/>
  <c r="M18" i="26"/>
  <c r="M17" i="26"/>
  <c r="M12" i="26" s="1"/>
  <c r="H19" i="38"/>
  <c r="J24" i="38"/>
  <c r="H57" i="38"/>
  <c r="H58" i="38"/>
  <c r="H61" i="38"/>
  <c r="R18" i="26"/>
  <c r="R17" i="26" s="1"/>
  <c r="H24" i="38"/>
  <c r="J26" i="38"/>
  <c r="J57" i="38"/>
  <c r="J58" i="38"/>
  <c r="J61" i="38"/>
  <c r="W18" i="26"/>
  <c r="W17" i="26" s="1"/>
  <c r="W12" i="26" s="1"/>
  <c r="H26" i="38"/>
  <c r="H36" i="38"/>
  <c r="J36" i="38"/>
  <c r="T57" i="38"/>
  <c r="T58" i="38"/>
  <c r="J42" i="38"/>
  <c r="H42" i="38"/>
  <c r="H22" i="38"/>
  <c r="J22" i="38"/>
  <c r="F57" i="38"/>
  <c r="F58" i="38"/>
  <c r="F61" i="38"/>
  <c r="P18" i="26"/>
  <c r="P17" i="26"/>
  <c r="J31" i="38"/>
  <c r="O57" i="38"/>
  <c r="O58" i="38"/>
  <c r="H31" i="38"/>
  <c r="J25" i="38"/>
  <c r="I57" i="38"/>
  <c r="I58" i="38"/>
  <c r="I61" i="38"/>
  <c r="V18" i="26"/>
  <c r="L16" i="32" s="1"/>
  <c r="H25" i="38"/>
  <c r="I25" i="38"/>
  <c r="J30" i="38"/>
  <c r="N57" i="38"/>
  <c r="N58" i="38"/>
  <c r="H30" i="38"/>
  <c r="H38" i="38"/>
  <c r="J38" i="38"/>
  <c r="V57" i="38"/>
  <c r="V58" i="38"/>
  <c r="J43" i="38"/>
  <c r="H43" i="38"/>
  <c r="J37" i="38"/>
  <c r="U57" i="38"/>
  <c r="U58" i="38"/>
  <c r="H37" i="38"/>
  <c r="H44" i="38"/>
  <c r="J44" i="38"/>
  <c r="J20" i="38"/>
  <c r="D57" i="38"/>
  <c r="D58" i="38"/>
  <c r="D61" i="38"/>
  <c r="N18" i="26"/>
  <c r="N17" i="26"/>
  <c r="H20" i="38"/>
  <c r="I20" i="38"/>
  <c r="H21" i="38"/>
  <c r="J21" i="38"/>
  <c r="H39" i="38"/>
  <c r="J39" i="38"/>
  <c r="W57" i="38"/>
  <c r="W58" i="38"/>
  <c r="J29" i="38"/>
  <c r="M57" i="38"/>
  <c r="M58" i="38"/>
  <c r="M61" i="38"/>
  <c r="Z18" i="26"/>
  <c r="Z17" i="26" s="1"/>
  <c r="H29" i="38"/>
  <c r="J33" i="38"/>
  <c r="H33" i="38"/>
  <c r="H32" i="38"/>
  <c r="J32" i="38"/>
  <c r="P57" i="38"/>
  <c r="P58" i="38"/>
  <c r="H27" i="38"/>
  <c r="J27" i="38"/>
  <c r="K57" i="38"/>
  <c r="K58" i="38"/>
  <c r="K61" i="38"/>
  <c r="X18" i="26"/>
  <c r="X17" i="26"/>
  <c r="H28" i="38"/>
  <c r="J28" i="38"/>
  <c r="L57" i="38"/>
  <c r="L58" i="38"/>
  <c r="L61" i="38"/>
  <c r="Y18" i="26"/>
  <c r="Y17" i="26"/>
  <c r="H34" i="38"/>
  <c r="J34" i="38"/>
  <c r="R57" i="38"/>
  <c r="R58" i="38"/>
  <c r="H40" i="38"/>
  <c r="J40" i="38"/>
  <c r="X57" i="38"/>
  <c r="X58" i="38"/>
  <c r="J18" i="38"/>
  <c r="D45" i="38"/>
  <c r="E18" i="38"/>
  <c r="E19" i="38"/>
  <c r="E20" i="38"/>
  <c r="E21" i="38"/>
  <c r="E22" i="38"/>
  <c r="E23" i="38"/>
  <c r="E24" i="38"/>
  <c r="E25" i="38"/>
  <c r="H18" i="38"/>
  <c r="J23" i="38"/>
  <c r="G57" i="38"/>
  <c r="G58" i="38"/>
  <c r="G61" i="38"/>
  <c r="Q18" i="26"/>
  <c r="Q17" i="26"/>
  <c r="H23" i="38"/>
  <c r="J41" i="38"/>
  <c r="Y57" i="38"/>
  <c r="Y58" i="38"/>
  <c r="H41" i="38"/>
  <c r="H35" i="38"/>
  <c r="J35" i="38"/>
  <c r="S57" i="38"/>
  <c r="S58" i="38"/>
  <c r="N59" i="38"/>
  <c r="A63" i="30"/>
  <c r="A61" i="37"/>
  <c r="D10" i="30"/>
  <c r="D10" i="37"/>
  <c r="C60" i="37"/>
  <c r="AA54" i="37"/>
  <c r="B43" i="37"/>
  <c r="A43" i="37"/>
  <c r="C19" i="37"/>
  <c r="C20" i="37"/>
  <c r="C21" i="37"/>
  <c r="C22" i="37"/>
  <c r="C23" i="37"/>
  <c r="C24" i="37"/>
  <c r="C25" i="37"/>
  <c r="C26" i="37"/>
  <c r="C27" i="37"/>
  <c r="C28" i="37"/>
  <c r="C29" i="37"/>
  <c r="C30" i="37"/>
  <c r="C31" i="37"/>
  <c r="C32" i="37"/>
  <c r="C33" i="37"/>
  <c r="C34" i="37"/>
  <c r="C35" i="37"/>
  <c r="C36" i="37"/>
  <c r="C37" i="37"/>
  <c r="C38" i="37"/>
  <c r="C39" i="37"/>
  <c r="C40" i="37"/>
  <c r="C41" i="37"/>
  <c r="C42" i="37"/>
  <c r="B18" i="37"/>
  <c r="J17" i="37"/>
  <c r="I17" i="37"/>
  <c r="D17" i="37"/>
  <c r="D13" i="37"/>
  <c r="D11" i="37"/>
  <c r="C11" i="37"/>
  <c r="C8" i="37"/>
  <c r="I7" i="37"/>
  <c r="A5" i="37"/>
  <c r="B3" i="37"/>
  <c r="D8" i="36"/>
  <c r="C13" i="10"/>
  <c r="C12" i="10"/>
  <c r="C11" i="10"/>
  <c r="C10" i="10"/>
  <c r="M46" i="33"/>
  <c r="L46" i="33"/>
  <c r="M45" i="33"/>
  <c r="L45" i="33"/>
  <c r="I45" i="33"/>
  <c r="I46" i="33"/>
  <c r="G46" i="33"/>
  <c r="G45" i="33"/>
  <c r="E46" i="33"/>
  <c r="D46" i="33"/>
  <c r="D45" i="33"/>
  <c r="E45" i="33"/>
  <c r="C46" i="33"/>
  <c r="C45" i="33"/>
  <c r="G60" i="33"/>
  <c r="D60" i="33"/>
  <c r="C60" i="33"/>
  <c r="I44" i="33"/>
  <c r="G44" i="33"/>
  <c r="E39" i="33"/>
  <c r="E40" i="33"/>
  <c r="E41" i="33"/>
  <c r="E42" i="33"/>
  <c r="E43" i="33"/>
  <c r="E44" i="33"/>
  <c r="L39" i="33"/>
  <c r="M39" i="33"/>
  <c r="L40" i="33"/>
  <c r="M40" i="33"/>
  <c r="L41" i="33"/>
  <c r="M41" i="33"/>
  <c r="L42" i="33"/>
  <c r="M42" i="33"/>
  <c r="L43" i="33"/>
  <c r="M43" i="33"/>
  <c r="L44" i="33"/>
  <c r="M44" i="33"/>
  <c r="M38" i="33"/>
  <c r="L38" i="33"/>
  <c r="D39" i="33"/>
  <c r="D40" i="33"/>
  <c r="D41" i="33"/>
  <c r="D42" i="33"/>
  <c r="D43" i="33"/>
  <c r="D44" i="33"/>
  <c r="D38" i="33"/>
  <c r="C44" i="33"/>
  <c r="C39" i="33"/>
  <c r="C40" i="33"/>
  <c r="C41" i="33"/>
  <c r="C42" i="33"/>
  <c r="C43" i="33"/>
  <c r="C38" i="33"/>
  <c r="D36" i="33"/>
  <c r="D37" i="33"/>
  <c r="L37" i="33"/>
  <c r="M37" i="33"/>
  <c r="M36" i="33"/>
  <c r="L36" i="33"/>
  <c r="M35" i="33"/>
  <c r="L35" i="33"/>
  <c r="I35" i="33"/>
  <c r="I36" i="33"/>
  <c r="I37" i="33"/>
  <c r="G37" i="33"/>
  <c r="G36" i="33"/>
  <c r="G35" i="33"/>
  <c r="E37" i="33"/>
  <c r="E36" i="33"/>
  <c r="E35" i="33"/>
  <c r="D35" i="33"/>
  <c r="C37" i="33"/>
  <c r="C36" i="33"/>
  <c r="C35" i="33"/>
  <c r="L34" i="33"/>
  <c r="M34" i="33"/>
  <c r="M33" i="33"/>
  <c r="L33" i="33"/>
  <c r="N12" i="33"/>
  <c r="N13" i="33"/>
  <c r="N14" i="33"/>
  <c r="N15" i="33"/>
  <c r="M13" i="33"/>
  <c r="M14" i="33"/>
  <c r="M15" i="33"/>
  <c r="M12" i="33"/>
  <c r="I34" i="38"/>
  <c r="I27" i="38"/>
  <c r="I24" i="38"/>
  <c r="I29" i="38"/>
  <c r="I43" i="38"/>
  <c r="I30" i="38"/>
  <c r="I23" i="38"/>
  <c r="I33" i="38"/>
  <c r="I44" i="38"/>
  <c r="I31" i="38"/>
  <c r="I42" i="38"/>
  <c r="I26" i="38"/>
  <c r="I38" i="38"/>
  <c r="I40" i="38"/>
  <c r="I22" i="38"/>
  <c r="I36" i="38"/>
  <c r="V33" i="26"/>
  <c r="D31" i="32"/>
  <c r="D33" i="26"/>
  <c r="F33" i="26"/>
  <c r="F31" i="32"/>
  <c r="I28" i="38"/>
  <c r="Q57" i="38"/>
  <c r="Q58" i="38"/>
  <c r="K36" i="38"/>
  <c r="AB57" i="38"/>
  <c r="AB58" i="38"/>
  <c r="AA57" i="38"/>
  <c r="AA58" i="38"/>
  <c r="Z57" i="38"/>
  <c r="Z58" i="38"/>
  <c r="I41" i="38"/>
  <c r="B57" i="38"/>
  <c r="K20" i="38"/>
  <c r="J45" i="38"/>
  <c r="I32" i="38"/>
  <c r="E57" i="38"/>
  <c r="E58" i="38"/>
  <c r="E61" i="38"/>
  <c r="O18" i="26"/>
  <c r="O17" i="26"/>
  <c r="K32" i="38"/>
  <c r="I37" i="38"/>
  <c r="I19" i="38"/>
  <c r="I35" i="38"/>
  <c r="I39" i="38"/>
  <c r="I21" i="38"/>
  <c r="E26" i="38"/>
  <c r="O59" i="38"/>
  <c r="N61" i="38"/>
  <c r="AA18" i="26"/>
  <c r="AA17" i="26"/>
  <c r="AA12" i="26" s="1"/>
  <c r="AA25" i="26"/>
  <c r="AD25" i="26"/>
  <c r="D40" i="37"/>
  <c r="D35" i="37"/>
  <c r="D30" i="37"/>
  <c r="D26" i="37"/>
  <c r="D22" i="37"/>
  <c r="D34" i="37"/>
  <c r="D31" i="37"/>
  <c r="D28" i="37"/>
  <c r="D25" i="37"/>
  <c r="D19" i="37"/>
  <c r="D42" i="37"/>
  <c r="D39" i="37"/>
  <c r="D36" i="37"/>
  <c r="D33" i="37"/>
  <c r="D37" i="37"/>
  <c r="D41" i="37"/>
  <c r="D38" i="37"/>
  <c r="D27" i="37"/>
  <c r="D24" i="37"/>
  <c r="D23" i="37"/>
  <c r="D21" i="37"/>
  <c r="D32" i="37"/>
  <c r="D29" i="37"/>
  <c r="D20" i="37"/>
  <c r="D18" i="37"/>
  <c r="A63" i="37"/>
  <c r="C63" i="37"/>
  <c r="C57" i="37"/>
  <c r="A62" i="37"/>
  <c r="B58" i="37"/>
  <c r="AA58" i="37"/>
  <c r="G33" i="10"/>
  <c r="G34" i="10"/>
  <c r="E37" i="10"/>
  <c r="I45" i="38"/>
  <c r="I46" i="38"/>
  <c r="I47" i="38"/>
  <c r="B58" i="38"/>
  <c r="AC57" i="38"/>
  <c r="P59" i="38"/>
  <c r="O61" i="38"/>
  <c r="AB18" i="26"/>
  <c r="AB17" i="26" s="1"/>
  <c r="E27" i="38"/>
  <c r="H20" i="37"/>
  <c r="I20" i="37"/>
  <c r="J20" i="37"/>
  <c r="D55" i="37"/>
  <c r="D56" i="37"/>
  <c r="J41" i="37"/>
  <c r="Y55" i="37"/>
  <c r="Y56" i="37"/>
  <c r="H41" i="37"/>
  <c r="I41" i="37"/>
  <c r="H26" i="37"/>
  <c r="I26" i="37"/>
  <c r="J26" i="37"/>
  <c r="J55" i="37"/>
  <c r="J56" i="37"/>
  <c r="H29" i="37"/>
  <c r="J29" i="37"/>
  <c r="M55" i="37"/>
  <c r="M56" i="37"/>
  <c r="J37" i="37"/>
  <c r="U55" i="37"/>
  <c r="U56" i="37"/>
  <c r="H37" i="37"/>
  <c r="H30" i="37"/>
  <c r="I30" i="37"/>
  <c r="J30" i="37"/>
  <c r="N55" i="37"/>
  <c r="N56" i="37"/>
  <c r="D57" i="37"/>
  <c r="E57" i="37"/>
  <c r="F57" i="37"/>
  <c r="G57" i="37"/>
  <c r="H57" i="37"/>
  <c r="I57" i="37"/>
  <c r="J57" i="37"/>
  <c r="K57" i="37"/>
  <c r="L57" i="37"/>
  <c r="M57" i="37"/>
  <c r="N57" i="37"/>
  <c r="O57" i="37"/>
  <c r="P57" i="37"/>
  <c r="Q57" i="37"/>
  <c r="R57" i="37"/>
  <c r="S57" i="37"/>
  <c r="T57" i="37"/>
  <c r="U57" i="37"/>
  <c r="V57" i="37"/>
  <c r="W57" i="37"/>
  <c r="X57" i="37"/>
  <c r="Y57" i="37"/>
  <c r="Z57" i="37"/>
  <c r="H32" i="37"/>
  <c r="J32" i="37"/>
  <c r="P55" i="37"/>
  <c r="P56" i="37"/>
  <c r="J27" i="37"/>
  <c r="K55" i="37"/>
  <c r="K56" i="37"/>
  <c r="K59" i="37"/>
  <c r="H27" i="37"/>
  <c r="J33" i="37"/>
  <c r="H33" i="37"/>
  <c r="I33" i="37"/>
  <c r="J19" i="37"/>
  <c r="C55" i="37"/>
  <c r="C56" i="37"/>
  <c r="C59" i="37"/>
  <c r="H19" i="37"/>
  <c r="I19" i="37"/>
  <c r="H34" i="37"/>
  <c r="I34" i="37"/>
  <c r="J34" i="37"/>
  <c r="R55" i="37"/>
  <c r="R56" i="37"/>
  <c r="H35" i="37"/>
  <c r="I35" i="37"/>
  <c r="J35" i="37"/>
  <c r="S55" i="37"/>
  <c r="S56" i="37"/>
  <c r="J23" i="37"/>
  <c r="G55" i="37"/>
  <c r="G56" i="37"/>
  <c r="H23" i="37"/>
  <c r="I23" i="37"/>
  <c r="H39" i="37"/>
  <c r="I39" i="37"/>
  <c r="J39" i="37"/>
  <c r="W55" i="37"/>
  <c r="W56" i="37"/>
  <c r="J28" i="37"/>
  <c r="L55" i="37"/>
  <c r="L56" i="37"/>
  <c r="H28" i="37"/>
  <c r="I28" i="37"/>
  <c r="H24" i="37"/>
  <c r="J24" i="37"/>
  <c r="H55" i="37"/>
  <c r="H56" i="37"/>
  <c r="J42" i="37"/>
  <c r="Z55" i="37"/>
  <c r="Z56" i="37"/>
  <c r="H42" i="37"/>
  <c r="J31" i="37"/>
  <c r="O55" i="37"/>
  <c r="O56" i="37"/>
  <c r="H31" i="37"/>
  <c r="I31" i="37"/>
  <c r="J18" i="37"/>
  <c r="E18" i="37"/>
  <c r="D43" i="37"/>
  <c r="H18" i="37"/>
  <c r="H21" i="37"/>
  <c r="J21" i="37"/>
  <c r="I21" i="37"/>
  <c r="H38" i="37"/>
  <c r="I38" i="37"/>
  <c r="J38" i="37"/>
  <c r="V55" i="37"/>
  <c r="V56" i="37"/>
  <c r="J36" i="37"/>
  <c r="T55" i="37"/>
  <c r="T56" i="37"/>
  <c r="I36" i="37"/>
  <c r="H36" i="37"/>
  <c r="H25" i="37"/>
  <c r="J25" i="37"/>
  <c r="I55" i="37"/>
  <c r="I56" i="37"/>
  <c r="I25" i="37"/>
  <c r="J22" i="37"/>
  <c r="F55" i="37"/>
  <c r="F56" i="37"/>
  <c r="H22" i="37"/>
  <c r="J40" i="37"/>
  <c r="X55" i="37"/>
  <c r="X56" i="37"/>
  <c r="H40" i="37"/>
  <c r="D63" i="33"/>
  <c r="D62" i="33"/>
  <c r="D59" i="33"/>
  <c r="B4" i="25"/>
  <c r="B8" i="25"/>
  <c r="B61" i="38"/>
  <c r="L18" i="26"/>
  <c r="AC58" i="38"/>
  <c r="Q59" i="38"/>
  <c r="P61" i="38"/>
  <c r="AC18" i="26"/>
  <c r="AC17" i="26"/>
  <c r="AC12" i="26" s="1"/>
  <c r="E28" i="38"/>
  <c r="AB26" i="26"/>
  <c r="AB20" i="26"/>
  <c r="AD23" i="26"/>
  <c r="I22" i="37"/>
  <c r="I24" i="37"/>
  <c r="I40" i="37"/>
  <c r="I42" i="37"/>
  <c r="I27" i="37"/>
  <c r="I37" i="37"/>
  <c r="M59" i="37"/>
  <c r="I59" i="37"/>
  <c r="G59" i="37"/>
  <c r="K36" i="37"/>
  <c r="Q55" i="37"/>
  <c r="Q56" i="37"/>
  <c r="Q59" i="37"/>
  <c r="AA57" i="37"/>
  <c r="I29" i="37"/>
  <c r="F59" i="37"/>
  <c r="V59" i="37"/>
  <c r="K32" i="37"/>
  <c r="E55" i="37"/>
  <c r="E56" i="37"/>
  <c r="E59" i="37"/>
  <c r="E19" i="37"/>
  <c r="O59" i="37"/>
  <c r="S59" i="37"/>
  <c r="R59" i="37"/>
  <c r="N59" i="37"/>
  <c r="Y59" i="37"/>
  <c r="T59" i="37"/>
  <c r="Z59" i="37"/>
  <c r="W59" i="37"/>
  <c r="P59" i="37"/>
  <c r="D59" i="37"/>
  <c r="X59" i="37"/>
  <c r="B55" i="37"/>
  <c r="J43" i="37"/>
  <c r="K20" i="37"/>
  <c r="H59" i="37"/>
  <c r="L59" i="37"/>
  <c r="I32" i="37"/>
  <c r="U59" i="37"/>
  <c r="J59" i="37"/>
  <c r="H28" i="26"/>
  <c r="H26" i="26"/>
  <c r="I28" i="26"/>
  <c r="I26" i="26"/>
  <c r="I20" i="26"/>
  <c r="J28" i="26"/>
  <c r="J26" i="26"/>
  <c r="J20" i="26"/>
  <c r="K28" i="26"/>
  <c r="K26" i="26"/>
  <c r="K20" i="26"/>
  <c r="L28" i="26"/>
  <c r="L26" i="26"/>
  <c r="L20" i="26"/>
  <c r="M28" i="26"/>
  <c r="M26" i="26"/>
  <c r="N28" i="26"/>
  <c r="N26" i="26"/>
  <c r="N20" i="26"/>
  <c r="O28" i="26"/>
  <c r="O26" i="26"/>
  <c r="P28" i="26"/>
  <c r="P26" i="26"/>
  <c r="Q26" i="26"/>
  <c r="R26" i="26"/>
  <c r="W26" i="26"/>
  <c r="Y26" i="26"/>
  <c r="AF26" i="26"/>
  <c r="AF20" i="26"/>
  <c r="AK26" i="26"/>
  <c r="AK20" i="26"/>
  <c r="AL26" i="26"/>
  <c r="AL20" i="26"/>
  <c r="AN26" i="26"/>
  <c r="AN20" i="26"/>
  <c r="AO26" i="26"/>
  <c r="AO20" i="26"/>
  <c r="AQ26" i="26"/>
  <c r="AQ20" i="26"/>
  <c r="AR26" i="26"/>
  <c r="AR20" i="26"/>
  <c r="AT26" i="26"/>
  <c r="AT20" i="26"/>
  <c r="AU26" i="26"/>
  <c r="AU20" i="26"/>
  <c r="AW26" i="26"/>
  <c r="AW20" i="26"/>
  <c r="AX26" i="26"/>
  <c r="AX20" i="26"/>
  <c r="AZ26" i="26"/>
  <c r="AZ20" i="26"/>
  <c r="BA26" i="26"/>
  <c r="BA20" i="26"/>
  <c r="BC26" i="26"/>
  <c r="BC20" i="26"/>
  <c r="BD26" i="26"/>
  <c r="BD20" i="26"/>
  <c r="BF26" i="26"/>
  <c r="BF20" i="26"/>
  <c r="BG26" i="26"/>
  <c r="BG20" i="26"/>
  <c r="BI26" i="26"/>
  <c r="BI20" i="26"/>
  <c r="BJ26" i="26"/>
  <c r="BJ20" i="26"/>
  <c r="BL26" i="26"/>
  <c r="BL20" i="26"/>
  <c r="BM26" i="26"/>
  <c r="BM20" i="26"/>
  <c r="BO26" i="26"/>
  <c r="BO20" i="26"/>
  <c r="BP26" i="26"/>
  <c r="BP20" i="26"/>
  <c r="G28" i="26"/>
  <c r="B18" i="25"/>
  <c r="A18" i="25"/>
  <c r="A35" i="23"/>
  <c r="C62" i="33"/>
  <c r="C63" i="33"/>
  <c r="F30" i="10"/>
  <c r="E32" i="10"/>
  <c r="E28" i="10"/>
  <c r="D30" i="10"/>
  <c r="I16" i="32"/>
  <c r="L16" i="41" s="1"/>
  <c r="L17" i="26"/>
  <c r="D8" i="27"/>
  <c r="G28" i="10"/>
  <c r="R59" i="38"/>
  <c r="Q61" i="38"/>
  <c r="AD18" i="26"/>
  <c r="E29" i="38"/>
  <c r="H20" i="26"/>
  <c r="B35" i="23"/>
  <c r="I43" i="37"/>
  <c r="I44" i="37"/>
  <c r="I45" i="37"/>
  <c r="B56" i="37"/>
  <c r="AA55" i="37"/>
  <c r="E20" i="37"/>
  <c r="F29" i="10"/>
  <c r="G62" i="33"/>
  <c r="G63" i="33"/>
  <c r="D33" i="10"/>
  <c r="F33" i="10"/>
  <c r="E40" i="10"/>
  <c r="D29" i="10"/>
  <c r="AD17" i="26"/>
  <c r="S59" i="38"/>
  <c r="R61" i="38"/>
  <c r="AE18" i="26"/>
  <c r="AE17" i="26"/>
  <c r="E30" i="38"/>
  <c r="AJ23" i="26"/>
  <c r="D28" i="10"/>
  <c r="F28" i="10"/>
  <c r="B59" i="37"/>
  <c r="AA56" i="37"/>
  <c r="E21" i="37"/>
  <c r="K27" i="23"/>
  <c r="I38" i="33"/>
  <c r="I39" i="33"/>
  <c r="I40" i="33"/>
  <c r="I41" i="33"/>
  <c r="I42" i="33"/>
  <c r="I43" i="33"/>
  <c r="G39" i="33"/>
  <c r="G40" i="33"/>
  <c r="G41" i="33"/>
  <c r="G42" i="33"/>
  <c r="G43" i="33"/>
  <c r="B20" i="25"/>
  <c r="B37" i="23"/>
  <c r="A20" i="25"/>
  <c r="A37" i="23"/>
  <c r="B14" i="25"/>
  <c r="B31" i="23"/>
  <c r="A14" i="25"/>
  <c r="A31" i="23"/>
  <c r="A10" i="25"/>
  <c r="A27" i="23"/>
  <c r="A12" i="25"/>
  <c r="A29" i="23"/>
  <c r="B12" i="25"/>
  <c r="B15" i="26" s="1"/>
  <c r="B13" i="32" s="1"/>
  <c r="B13" i="41" s="1"/>
  <c r="B29" i="23"/>
  <c r="E9" i="10"/>
  <c r="G9" i="10"/>
  <c r="E15" i="10"/>
  <c r="E16" i="10"/>
  <c r="E17" i="10"/>
  <c r="T59" i="38"/>
  <c r="S61" i="38"/>
  <c r="AF18" i="26"/>
  <c r="E31" i="38"/>
  <c r="AM23" i="26"/>
  <c r="C64" i="33"/>
  <c r="AA59" i="37"/>
  <c r="E22" i="37"/>
  <c r="F39" i="10"/>
  <c r="E14" i="10"/>
  <c r="U59" i="38"/>
  <c r="T61" i="38"/>
  <c r="AG18" i="26"/>
  <c r="AG17" i="26" s="1"/>
  <c r="E32" i="38"/>
  <c r="AP23" i="26"/>
  <c r="E23" i="37"/>
  <c r="V59" i="38"/>
  <c r="U61" i="38"/>
  <c r="AH18" i="26"/>
  <c r="E33" i="38"/>
  <c r="AS23" i="26"/>
  <c r="E24" i="37"/>
  <c r="I34" i="33"/>
  <c r="I33" i="33"/>
  <c r="G34" i="33"/>
  <c r="G33" i="33"/>
  <c r="D34" i="33"/>
  <c r="D33" i="33"/>
  <c r="C34" i="33"/>
  <c r="C33" i="33"/>
  <c r="J15" i="33"/>
  <c r="H13" i="33"/>
  <c r="H14" i="33"/>
  <c r="H15" i="33"/>
  <c r="H12" i="33"/>
  <c r="C13" i="33"/>
  <c r="C14" i="33"/>
  <c r="C15" i="33"/>
  <c r="C12" i="33"/>
  <c r="D13" i="33"/>
  <c r="D14" i="33"/>
  <c r="D15" i="33"/>
  <c r="D12" i="33"/>
  <c r="W59" i="38"/>
  <c r="V61" i="38"/>
  <c r="AI18" i="26"/>
  <c r="E34" i="38"/>
  <c r="AV23" i="26"/>
  <c r="E25" i="37"/>
  <c r="H16" i="33"/>
  <c r="X59" i="38"/>
  <c r="W61" i="38"/>
  <c r="AJ18" i="26"/>
  <c r="AJ17" i="26" s="1"/>
  <c r="E35" i="38"/>
  <c r="AY23" i="26"/>
  <c r="E26" i="37"/>
  <c r="BG15" i="26"/>
  <c r="BG12" i="26" s="1"/>
  <c r="BI15" i="26"/>
  <c r="BJ15" i="26"/>
  <c r="BK15" i="26"/>
  <c r="BK12" i="26" s="1"/>
  <c r="BM15" i="26"/>
  <c r="BN15" i="26"/>
  <c r="BO15" i="26"/>
  <c r="BO12" i="26" s="1"/>
  <c r="BQ15" i="26"/>
  <c r="BH13" i="26"/>
  <c r="BI13" i="26"/>
  <c r="BJ13" i="26"/>
  <c r="BK13" i="26"/>
  <c r="BL13" i="26"/>
  <c r="BM13" i="26"/>
  <c r="BN13" i="26"/>
  <c r="BO13" i="26"/>
  <c r="BP13" i="26"/>
  <c r="BQ13" i="26"/>
  <c r="B3" i="36"/>
  <c r="U50" i="36"/>
  <c r="B43" i="36"/>
  <c r="A43" i="36"/>
  <c r="C19" i="36"/>
  <c r="C20" i="36"/>
  <c r="C21" i="36"/>
  <c r="C22" i="36"/>
  <c r="C23" i="36"/>
  <c r="C24" i="36"/>
  <c r="C25" i="36"/>
  <c r="C26" i="36"/>
  <c r="C27" i="36"/>
  <c r="C28" i="36"/>
  <c r="C29" i="36"/>
  <c r="C30" i="36"/>
  <c r="C31" i="36"/>
  <c r="C32" i="36"/>
  <c r="C33" i="36"/>
  <c r="C34" i="36"/>
  <c r="C35" i="36"/>
  <c r="C36" i="36"/>
  <c r="C37" i="36"/>
  <c r="C38" i="36"/>
  <c r="C39" i="36"/>
  <c r="C40" i="36"/>
  <c r="C41" i="36"/>
  <c r="C42" i="36"/>
  <c r="B18" i="36"/>
  <c r="J17" i="36"/>
  <c r="I17" i="36"/>
  <c r="D17" i="36"/>
  <c r="D13" i="36"/>
  <c r="C11" i="36"/>
  <c r="D11" i="36"/>
  <c r="D40" i="36"/>
  <c r="J40" i="36"/>
  <c r="X51" i="36"/>
  <c r="C8" i="36"/>
  <c r="I7" i="36"/>
  <c r="A5" i="36"/>
  <c r="D11" i="35"/>
  <c r="D32" i="35"/>
  <c r="H32" i="35"/>
  <c r="B3" i="35"/>
  <c r="U50" i="35"/>
  <c r="B43" i="35"/>
  <c r="A43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B18" i="35"/>
  <c r="J17" i="35"/>
  <c r="I17" i="35"/>
  <c r="D17" i="35"/>
  <c r="D13" i="35"/>
  <c r="C11" i="35"/>
  <c r="C8" i="35"/>
  <c r="I7" i="35"/>
  <c r="A5" i="35"/>
  <c r="I17" i="27"/>
  <c r="B3" i="27"/>
  <c r="Y59" i="38"/>
  <c r="X61" i="38"/>
  <c r="AK18" i="26"/>
  <c r="AK17" i="26" s="1"/>
  <c r="E36" i="38"/>
  <c r="F35" i="38"/>
  <c r="BB23" i="26"/>
  <c r="E27" i="37"/>
  <c r="D29" i="35"/>
  <c r="H29" i="35"/>
  <c r="D32" i="36"/>
  <c r="H32" i="36"/>
  <c r="D19" i="36"/>
  <c r="J19" i="36"/>
  <c r="C51" i="36"/>
  <c r="C52" i="36"/>
  <c r="D31" i="36"/>
  <c r="J31" i="36"/>
  <c r="O51" i="36"/>
  <c r="O52" i="36"/>
  <c r="D25" i="36"/>
  <c r="H25" i="36"/>
  <c r="D40" i="35"/>
  <c r="J40" i="35"/>
  <c r="X51" i="35"/>
  <c r="D28" i="36"/>
  <c r="J28" i="36"/>
  <c r="L51" i="36"/>
  <c r="L52" i="36"/>
  <c r="D35" i="36"/>
  <c r="J35" i="36"/>
  <c r="S51" i="36"/>
  <c r="S52" i="36"/>
  <c r="D29" i="36"/>
  <c r="H29" i="36"/>
  <c r="H40" i="36"/>
  <c r="I40" i="36"/>
  <c r="D42" i="36"/>
  <c r="D38" i="36"/>
  <c r="D34" i="36"/>
  <c r="D30" i="36"/>
  <c r="D26" i="36"/>
  <c r="D22" i="36"/>
  <c r="D39" i="36"/>
  <c r="D20" i="36"/>
  <c r="D23" i="36"/>
  <c r="D33" i="36"/>
  <c r="D36" i="36"/>
  <c r="D18" i="36"/>
  <c r="D21" i="36"/>
  <c r="D24" i="36"/>
  <c r="D27" i="36"/>
  <c r="D37" i="36"/>
  <c r="D41" i="36"/>
  <c r="V50" i="36"/>
  <c r="D28" i="35"/>
  <c r="J28" i="35"/>
  <c r="L51" i="35"/>
  <c r="L52" i="35"/>
  <c r="AQ16" i="26"/>
  <c r="AQ15" i="26" s="1"/>
  <c r="D35" i="35"/>
  <c r="J35" i="35"/>
  <c r="S51" i="35"/>
  <c r="S52" i="35"/>
  <c r="AX16" i="26"/>
  <c r="AX15" i="26"/>
  <c r="D19" i="35"/>
  <c r="J19" i="35"/>
  <c r="C51" i="35"/>
  <c r="C52" i="35"/>
  <c r="AH16" i="26"/>
  <c r="AH15" i="26" s="1"/>
  <c r="D31" i="35"/>
  <c r="J31" i="35"/>
  <c r="O51" i="35"/>
  <c r="O52" i="35"/>
  <c r="AT16" i="26"/>
  <c r="D25" i="35"/>
  <c r="H25" i="35"/>
  <c r="J32" i="35"/>
  <c r="P51" i="35"/>
  <c r="P52" i="35"/>
  <c r="AU16" i="26"/>
  <c r="AU15" i="26" s="1"/>
  <c r="D42" i="35"/>
  <c r="D38" i="35"/>
  <c r="D34" i="35"/>
  <c r="D30" i="35"/>
  <c r="D26" i="35"/>
  <c r="D22" i="35"/>
  <c r="D39" i="35"/>
  <c r="D20" i="35"/>
  <c r="D23" i="35"/>
  <c r="D33" i="35"/>
  <c r="D36" i="35"/>
  <c r="D18" i="35"/>
  <c r="D21" i="35"/>
  <c r="D24" i="35"/>
  <c r="D27" i="35"/>
  <c r="D37" i="35"/>
  <c r="D41" i="35"/>
  <c r="V50" i="35"/>
  <c r="C9" i="10"/>
  <c r="G36" i="10"/>
  <c r="G35" i="10"/>
  <c r="G32" i="10"/>
  <c r="F32" i="10"/>
  <c r="AT15" i="26"/>
  <c r="Z59" i="38"/>
  <c r="Y61" i="38"/>
  <c r="AL18" i="26"/>
  <c r="AL17" i="26" s="1"/>
  <c r="E37" i="38"/>
  <c r="F36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31" i="38"/>
  <c r="F32" i="38"/>
  <c r="F33" i="38"/>
  <c r="F34" i="38"/>
  <c r="BE23" i="26"/>
  <c r="E28" i="37"/>
  <c r="D36" i="10"/>
  <c r="F36" i="10"/>
  <c r="F35" i="10"/>
  <c r="D35" i="10"/>
  <c r="D34" i="10"/>
  <c r="F34" i="10"/>
  <c r="F31" i="10"/>
  <c r="D31" i="10"/>
  <c r="H28" i="35"/>
  <c r="I28" i="35"/>
  <c r="J29" i="35"/>
  <c r="I29" i="35"/>
  <c r="H31" i="36"/>
  <c r="I31" i="36"/>
  <c r="H35" i="36"/>
  <c r="I35" i="36"/>
  <c r="H35" i="35"/>
  <c r="I35" i="35"/>
  <c r="J25" i="36"/>
  <c r="I51" i="36"/>
  <c r="I52" i="36"/>
  <c r="J32" i="36"/>
  <c r="P51" i="36"/>
  <c r="P52" i="36"/>
  <c r="J29" i="36"/>
  <c r="M51" i="36"/>
  <c r="M52" i="36"/>
  <c r="H40" i="35"/>
  <c r="I40" i="35"/>
  <c r="H19" i="36"/>
  <c r="I19" i="36"/>
  <c r="H31" i="35"/>
  <c r="I31" i="35"/>
  <c r="H28" i="36"/>
  <c r="I28" i="36"/>
  <c r="J25" i="35"/>
  <c r="I51" i="35"/>
  <c r="I52" i="35"/>
  <c r="AN16" i="26"/>
  <c r="AN15" i="26" s="1"/>
  <c r="H21" i="36"/>
  <c r="J21" i="36"/>
  <c r="E51" i="36"/>
  <c r="E52" i="36"/>
  <c r="J36" i="36"/>
  <c r="T51" i="36"/>
  <c r="T52" i="36"/>
  <c r="H36" i="36"/>
  <c r="J23" i="36"/>
  <c r="G51" i="36"/>
  <c r="G52" i="36"/>
  <c r="H23" i="36"/>
  <c r="J26" i="36"/>
  <c r="J51" i="36"/>
  <c r="J52" i="36"/>
  <c r="H26" i="36"/>
  <c r="H42" i="36"/>
  <c r="J42" i="36"/>
  <c r="Z51" i="36"/>
  <c r="H41" i="36"/>
  <c r="J41" i="36"/>
  <c r="Y51" i="36"/>
  <c r="J27" i="36"/>
  <c r="K51" i="36"/>
  <c r="K52" i="36"/>
  <c r="H27" i="36"/>
  <c r="H33" i="36"/>
  <c r="J33" i="36"/>
  <c r="Q51" i="36"/>
  <c r="Q52" i="36"/>
  <c r="J20" i="36"/>
  <c r="D51" i="36"/>
  <c r="D52" i="36"/>
  <c r="H20" i="36"/>
  <c r="J30" i="36"/>
  <c r="N51" i="36"/>
  <c r="N52" i="36"/>
  <c r="H30" i="36"/>
  <c r="H37" i="36"/>
  <c r="J37" i="36"/>
  <c r="U51" i="36"/>
  <c r="U52" i="36"/>
  <c r="D43" i="36"/>
  <c r="J18" i="36"/>
  <c r="H18" i="36"/>
  <c r="E18" i="36"/>
  <c r="X50" i="36"/>
  <c r="X52" i="36"/>
  <c r="J39" i="36"/>
  <c r="W51" i="36"/>
  <c r="H39" i="36"/>
  <c r="J34" i="36"/>
  <c r="R51" i="36"/>
  <c r="R52" i="36"/>
  <c r="H34" i="36"/>
  <c r="J24" i="36"/>
  <c r="H51" i="36"/>
  <c r="H52" i="36"/>
  <c r="H24" i="36"/>
  <c r="W50" i="36"/>
  <c r="H22" i="36"/>
  <c r="J22" i="36"/>
  <c r="F51" i="36"/>
  <c r="F52" i="36"/>
  <c r="H38" i="36"/>
  <c r="J38" i="36"/>
  <c r="V51" i="36"/>
  <c r="V52" i="36"/>
  <c r="H19" i="35"/>
  <c r="I19" i="35"/>
  <c r="H21" i="35"/>
  <c r="J21" i="35"/>
  <c r="E51" i="35"/>
  <c r="E52" i="35"/>
  <c r="AJ16" i="26"/>
  <c r="AJ15" i="26" s="1"/>
  <c r="J36" i="35"/>
  <c r="T51" i="35"/>
  <c r="T52" i="35"/>
  <c r="AY16" i="26"/>
  <c r="AY15" i="26"/>
  <c r="H36" i="35"/>
  <c r="J23" i="35"/>
  <c r="G51" i="35"/>
  <c r="G52" i="35"/>
  <c r="AL16" i="26"/>
  <c r="AL15" i="26"/>
  <c r="H23" i="35"/>
  <c r="J26" i="35"/>
  <c r="J51" i="35"/>
  <c r="J52" i="35"/>
  <c r="AO16" i="26"/>
  <c r="AO15" i="26"/>
  <c r="AO12" i="26" s="1"/>
  <c r="H26" i="35"/>
  <c r="H42" i="35"/>
  <c r="J42" i="35"/>
  <c r="Z51" i="35"/>
  <c r="H41" i="35"/>
  <c r="J41" i="35"/>
  <c r="Y51" i="35"/>
  <c r="J27" i="35"/>
  <c r="K51" i="35"/>
  <c r="K52" i="35"/>
  <c r="AP16" i="26"/>
  <c r="AP15" i="26"/>
  <c r="AP12" i="26" s="1"/>
  <c r="H27" i="35"/>
  <c r="H33" i="35"/>
  <c r="J33" i="35"/>
  <c r="Q51" i="35"/>
  <c r="Q52" i="35"/>
  <c r="AV16" i="26"/>
  <c r="AV15" i="26" s="1"/>
  <c r="J20" i="35"/>
  <c r="D51" i="35"/>
  <c r="D52" i="35"/>
  <c r="AI16" i="26"/>
  <c r="AI15" i="26"/>
  <c r="H20" i="35"/>
  <c r="J30" i="35"/>
  <c r="N51" i="35"/>
  <c r="N52" i="35"/>
  <c r="AS16" i="26"/>
  <c r="AS15" i="26" s="1"/>
  <c r="H30" i="35"/>
  <c r="H37" i="35"/>
  <c r="J37" i="35"/>
  <c r="U51" i="35"/>
  <c r="U52" i="35"/>
  <c r="AZ16" i="26"/>
  <c r="AZ15" i="26"/>
  <c r="D43" i="35"/>
  <c r="J18" i="35"/>
  <c r="H18" i="35"/>
  <c r="E18" i="35"/>
  <c r="X50" i="35"/>
  <c r="X52" i="35"/>
  <c r="BC16" i="26"/>
  <c r="BC15" i="26"/>
  <c r="J39" i="35"/>
  <c r="W51" i="35"/>
  <c r="H39" i="35"/>
  <c r="J34" i="35"/>
  <c r="R51" i="35"/>
  <c r="R52" i="35"/>
  <c r="AW16" i="26"/>
  <c r="AW15" i="26"/>
  <c r="H34" i="35"/>
  <c r="J24" i="35"/>
  <c r="H51" i="35"/>
  <c r="H52" i="35"/>
  <c r="AM16" i="26"/>
  <c r="AM15" i="26" s="1"/>
  <c r="H24" i="35"/>
  <c r="W50" i="35"/>
  <c r="H22" i="35"/>
  <c r="J22" i="35"/>
  <c r="F51" i="35"/>
  <c r="F52" i="35"/>
  <c r="AK16" i="26"/>
  <c r="AK15" i="26" s="1"/>
  <c r="H38" i="35"/>
  <c r="J38" i="35"/>
  <c r="V51" i="35"/>
  <c r="V52" i="35"/>
  <c r="BA16" i="26"/>
  <c r="BA15" i="26"/>
  <c r="BA12" i="26" s="1"/>
  <c r="I32" i="35"/>
  <c r="G59" i="33"/>
  <c r="C59" i="33"/>
  <c r="H12" i="26"/>
  <c r="I12" i="26"/>
  <c r="J12" i="26"/>
  <c r="K12" i="26"/>
  <c r="L12" i="26"/>
  <c r="G38" i="33"/>
  <c r="G47" i="33"/>
  <c r="E38" i="33"/>
  <c r="J14" i="33"/>
  <c r="B12" i="33"/>
  <c r="B4" i="33"/>
  <c r="G54" i="33"/>
  <c r="G79" i="33"/>
  <c r="H28" i="33"/>
  <c r="G77" i="33"/>
  <c r="H22" i="33"/>
  <c r="G76" i="33"/>
  <c r="J13" i="33"/>
  <c r="J12" i="33"/>
  <c r="C17" i="10"/>
  <c r="G71" i="33"/>
  <c r="AC56" i="30"/>
  <c r="A45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B18" i="30"/>
  <c r="J17" i="30"/>
  <c r="D17" i="30"/>
  <c r="D13" i="30"/>
  <c r="I17" i="30"/>
  <c r="C11" i="30"/>
  <c r="C8" i="30"/>
  <c r="I7" i="30"/>
  <c r="A5" i="30"/>
  <c r="A43" i="27"/>
  <c r="A5" i="27"/>
  <c r="U50" i="27"/>
  <c r="B43" i="27"/>
  <c r="C19" i="27"/>
  <c r="C20" i="27"/>
  <c r="C21" i="27"/>
  <c r="C22" i="27"/>
  <c r="B18" i="27"/>
  <c r="J17" i="27"/>
  <c r="D17" i="27"/>
  <c r="D13" i="27"/>
  <c r="C11" i="27"/>
  <c r="C8" i="27"/>
  <c r="I7" i="27"/>
  <c r="V50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B12" i="32"/>
  <c r="B12" i="41" s="1"/>
  <c r="A14" i="26"/>
  <c r="A12" i="32" s="1"/>
  <c r="A12" i="41" s="1"/>
  <c r="A13" i="26"/>
  <c r="A12" i="26"/>
  <c r="A10" i="32" s="1"/>
  <c r="A11" i="26"/>
  <c r="B11" i="26"/>
  <c r="B9" i="41" s="1"/>
  <c r="G30" i="26"/>
  <c r="A28" i="23"/>
  <c r="A26" i="23"/>
  <c r="B27" i="23"/>
  <c r="B12" i="26"/>
  <c r="B10" i="32" s="1"/>
  <c r="B26" i="23"/>
  <c r="A4" i="23"/>
  <c r="A4" i="41" s="1"/>
  <c r="B25" i="23"/>
  <c r="K46" i="23"/>
  <c r="K26" i="23"/>
  <c r="K25" i="23"/>
  <c r="C16" i="10"/>
  <c r="D14" i="26"/>
  <c r="A11" i="32"/>
  <c r="A11" i="41"/>
  <c r="A10" i="41"/>
  <c r="AA59" i="38"/>
  <c r="Z61" i="38"/>
  <c r="AM18" i="26"/>
  <c r="AM17" i="26" s="1"/>
  <c r="AM12" i="26" s="1"/>
  <c r="E38" i="38"/>
  <c r="F37" i="38"/>
  <c r="BH23" i="26"/>
  <c r="G20" i="26"/>
  <c r="D61" i="33"/>
  <c r="E29" i="37"/>
  <c r="D32" i="10"/>
  <c r="I25" i="35"/>
  <c r="I29" i="36"/>
  <c r="M51" i="35"/>
  <c r="M52" i="35"/>
  <c r="AR16" i="26"/>
  <c r="AR15" i="26"/>
  <c r="AR12" i="26" s="1"/>
  <c r="I31" i="25"/>
  <c r="I25" i="36"/>
  <c r="I39" i="35"/>
  <c r="I18" i="35"/>
  <c r="I27" i="35"/>
  <c r="I20" i="35"/>
  <c r="I33" i="35"/>
  <c r="I32" i="36"/>
  <c r="I18" i="36"/>
  <c r="I22" i="36"/>
  <c r="I34" i="35"/>
  <c r="I26" i="35"/>
  <c r="W52" i="36"/>
  <c r="I37" i="36"/>
  <c r="I21" i="36"/>
  <c r="I24" i="36"/>
  <c r="I30" i="36"/>
  <c r="I26" i="36"/>
  <c r="I36" i="36"/>
  <c r="I20" i="36"/>
  <c r="I27" i="36"/>
  <c r="I23" i="36"/>
  <c r="I22" i="35"/>
  <c r="W52" i="35"/>
  <c r="BB16" i="26"/>
  <c r="BB15" i="26"/>
  <c r="I23" i="35"/>
  <c r="I39" i="36"/>
  <c r="I33" i="36"/>
  <c r="I37" i="35"/>
  <c r="I38" i="36"/>
  <c r="I42" i="36"/>
  <c r="I24" i="35"/>
  <c r="I34" i="36"/>
  <c r="I41" i="36"/>
  <c r="D13" i="26"/>
  <c r="E19" i="36"/>
  <c r="AA50" i="36"/>
  <c r="Y50" i="36"/>
  <c r="Y52" i="36"/>
  <c r="Z50" i="36"/>
  <c r="Z52" i="36"/>
  <c r="B51" i="36"/>
  <c r="J43" i="36"/>
  <c r="I38" i="35"/>
  <c r="I30" i="35"/>
  <c r="I42" i="35"/>
  <c r="I21" i="35"/>
  <c r="I41" i="35"/>
  <c r="I36" i="35"/>
  <c r="E19" i="35"/>
  <c r="Y50" i="35"/>
  <c r="Y52" i="35"/>
  <c r="BD16" i="26"/>
  <c r="BD15" i="26"/>
  <c r="B51" i="35"/>
  <c r="J43" i="35"/>
  <c r="D11" i="27"/>
  <c r="D12" i="32"/>
  <c r="D11" i="32"/>
  <c r="G78" i="33"/>
  <c r="C8" i="10"/>
  <c r="B13" i="26"/>
  <c r="B11" i="32" s="1"/>
  <c r="C40" i="10"/>
  <c r="W50" i="27"/>
  <c r="I30" i="25"/>
  <c r="B20" i="40"/>
  <c r="C38" i="10"/>
  <c r="H48" i="23"/>
  <c r="G61" i="33" s="1"/>
  <c r="E39" i="38"/>
  <c r="F38" i="38"/>
  <c r="AB59" i="38"/>
  <c r="AA61" i="38"/>
  <c r="AN18" i="26"/>
  <c r="AN17" i="26" s="1"/>
  <c r="BG17" i="26"/>
  <c r="BK23" i="26"/>
  <c r="AA21" i="26"/>
  <c r="G64" i="33"/>
  <c r="E30" i="37"/>
  <c r="C15" i="10"/>
  <c r="C18" i="10"/>
  <c r="H26" i="23"/>
  <c r="D12" i="26" s="1"/>
  <c r="I43" i="36"/>
  <c r="I44" i="36"/>
  <c r="I45" i="36"/>
  <c r="I43" i="35"/>
  <c r="I44" i="35"/>
  <c r="I45" i="35"/>
  <c r="B52" i="36"/>
  <c r="AA51" i="36"/>
  <c r="AA52" i="36"/>
  <c r="E20" i="36"/>
  <c r="D20" i="27"/>
  <c r="H20" i="27"/>
  <c r="D19" i="27"/>
  <c r="B52" i="35"/>
  <c r="AG16" i="26"/>
  <c r="AA51" i="35"/>
  <c r="AA52" i="35"/>
  <c r="Z50" i="35"/>
  <c r="E20" i="35"/>
  <c r="D22" i="27"/>
  <c r="J22" i="27"/>
  <c r="D25" i="27"/>
  <c r="H25" i="27"/>
  <c r="D30" i="27"/>
  <c r="H30" i="27"/>
  <c r="D39" i="27"/>
  <c r="J39" i="27"/>
  <c r="W51" i="27"/>
  <c r="W52" i="27"/>
  <c r="AK14" i="26"/>
  <c r="AK13" i="26" s="1"/>
  <c r="D29" i="27"/>
  <c r="J29" i="27"/>
  <c r="M51" i="27"/>
  <c r="M52" i="27"/>
  <c r="AA14" i="26"/>
  <c r="AA13" i="26"/>
  <c r="D38" i="27"/>
  <c r="J38" i="27"/>
  <c r="V51" i="27"/>
  <c r="V52" i="27"/>
  <c r="AJ14" i="26"/>
  <c r="AJ13" i="26" s="1"/>
  <c r="AJ12" i="26" s="1"/>
  <c r="D41" i="27"/>
  <c r="H41" i="27"/>
  <c r="D18" i="27"/>
  <c r="H18" i="27"/>
  <c r="D32" i="27"/>
  <c r="J32" i="27"/>
  <c r="P51" i="27"/>
  <c r="P52" i="27"/>
  <c r="AD14" i="26"/>
  <c r="AD13" i="26" s="1"/>
  <c r="AD12" i="26" s="1"/>
  <c r="D28" i="27"/>
  <c r="D36" i="27"/>
  <c r="H36" i="27"/>
  <c r="D31" i="27"/>
  <c r="J31" i="27"/>
  <c r="O51" i="27"/>
  <c r="O52" i="27"/>
  <c r="AC14" i="26"/>
  <c r="AC13" i="26" s="1"/>
  <c r="D42" i="27"/>
  <c r="H42" i="27"/>
  <c r="D33" i="27"/>
  <c r="H33" i="27"/>
  <c r="D23" i="27"/>
  <c r="H23" i="27"/>
  <c r="D40" i="27"/>
  <c r="J40" i="27"/>
  <c r="X51" i="27"/>
  <c r="D24" i="27"/>
  <c r="H24" i="27"/>
  <c r="D34" i="27"/>
  <c r="D26" i="27"/>
  <c r="D37" i="27"/>
  <c r="D21" i="27"/>
  <c r="D27" i="27"/>
  <c r="D35" i="27"/>
  <c r="X50" i="27"/>
  <c r="D11" i="30"/>
  <c r="C62" i="30"/>
  <c r="A64" i="30"/>
  <c r="B60" i="30"/>
  <c r="AC60" i="30"/>
  <c r="A65" i="30"/>
  <c r="G75" i="33"/>
  <c r="C20" i="40"/>
  <c r="C21" i="40"/>
  <c r="B21" i="40"/>
  <c r="D34" i="26"/>
  <c r="D32" i="32"/>
  <c r="G65" i="33"/>
  <c r="G81" i="33" s="1"/>
  <c r="H81" i="33" s="1"/>
  <c r="G38" i="10"/>
  <c r="C37" i="10"/>
  <c r="I8" i="25"/>
  <c r="H25" i="23"/>
  <c r="D11" i="26"/>
  <c r="I35" i="25"/>
  <c r="C65" i="30"/>
  <c r="C59" i="30"/>
  <c r="D59" i="30"/>
  <c r="E59" i="30"/>
  <c r="F59" i="30"/>
  <c r="G59" i="30"/>
  <c r="H59" i="30"/>
  <c r="I59" i="30"/>
  <c r="J59" i="30"/>
  <c r="K59" i="30"/>
  <c r="L59" i="30"/>
  <c r="M59" i="30"/>
  <c r="N59" i="30"/>
  <c r="O59" i="30"/>
  <c r="P59" i="30"/>
  <c r="Q59" i="30"/>
  <c r="R59" i="30"/>
  <c r="S59" i="30"/>
  <c r="AB61" i="38"/>
  <c r="AC59" i="38"/>
  <c r="F39" i="38"/>
  <c r="E40" i="38"/>
  <c r="D19" i="30"/>
  <c r="H19" i="30"/>
  <c r="D23" i="30"/>
  <c r="H23" i="30"/>
  <c r="D27" i="30"/>
  <c r="H27" i="30"/>
  <c r="D31" i="30"/>
  <c r="H31" i="30"/>
  <c r="D35" i="30"/>
  <c r="H35" i="30"/>
  <c r="D39" i="30"/>
  <c r="H39" i="30"/>
  <c r="D43" i="30"/>
  <c r="D20" i="30"/>
  <c r="H20" i="30"/>
  <c r="D32" i="30"/>
  <c r="H32" i="30"/>
  <c r="D40" i="30"/>
  <c r="H40" i="30"/>
  <c r="D44" i="30"/>
  <c r="D21" i="30"/>
  <c r="H21" i="30"/>
  <c r="D33" i="30"/>
  <c r="H33" i="30"/>
  <c r="D37" i="30"/>
  <c r="H37" i="30"/>
  <c r="D22" i="30"/>
  <c r="H22" i="30"/>
  <c r="D26" i="30"/>
  <c r="H26" i="30"/>
  <c r="D30" i="30"/>
  <c r="H30" i="30"/>
  <c r="D34" i="30"/>
  <c r="H34" i="30"/>
  <c r="D38" i="30"/>
  <c r="H38" i="30"/>
  <c r="D42" i="30"/>
  <c r="H42" i="30"/>
  <c r="D24" i="30"/>
  <c r="H24" i="30"/>
  <c r="D28" i="30"/>
  <c r="H28" i="30"/>
  <c r="D36" i="30"/>
  <c r="H36" i="30"/>
  <c r="D25" i="30"/>
  <c r="H25" i="30"/>
  <c r="D29" i="30"/>
  <c r="H29" i="30"/>
  <c r="D41" i="30"/>
  <c r="H41" i="30"/>
  <c r="BH17" i="26"/>
  <c r="BN23" i="26"/>
  <c r="G12" i="26"/>
  <c r="E31" i="37"/>
  <c r="AA26" i="26"/>
  <c r="C14" i="10"/>
  <c r="C19" i="10"/>
  <c r="J20" i="27"/>
  <c r="D51" i="27"/>
  <c r="D52" i="27"/>
  <c r="O14" i="26"/>
  <c r="O13" i="26"/>
  <c r="O12" i="26" s="1"/>
  <c r="B53" i="36"/>
  <c r="E21" i="36"/>
  <c r="Z52" i="35"/>
  <c r="BE16" i="26"/>
  <c r="AA50" i="35"/>
  <c r="E21" i="35"/>
  <c r="H22" i="27"/>
  <c r="I22" i="27"/>
  <c r="J25" i="27"/>
  <c r="I51" i="27"/>
  <c r="I52" i="27"/>
  <c r="W14" i="26"/>
  <c r="W13" i="26" s="1"/>
  <c r="H38" i="27"/>
  <c r="I38" i="27"/>
  <c r="J30" i="27"/>
  <c r="N51" i="27"/>
  <c r="N52" i="27"/>
  <c r="AB14" i="26"/>
  <c r="AB13" i="26"/>
  <c r="AB12" i="26" s="1"/>
  <c r="H29" i="27"/>
  <c r="I29" i="27"/>
  <c r="H39" i="27"/>
  <c r="I39" i="27"/>
  <c r="J41" i="27"/>
  <c r="Y51" i="27"/>
  <c r="H32" i="27"/>
  <c r="I32" i="27"/>
  <c r="E18" i="27"/>
  <c r="E19" i="27"/>
  <c r="E20" i="27"/>
  <c r="J18" i="27"/>
  <c r="J42" i="27"/>
  <c r="Z51" i="27"/>
  <c r="J33" i="27"/>
  <c r="Q51" i="27"/>
  <c r="Q52" i="27"/>
  <c r="AE14" i="26"/>
  <c r="AE13" i="26"/>
  <c r="J24" i="27"/>
  <c r="H51" i="27"/>
  <c r="H52" i="27"/>
  <c r="V14" i="26"/>
  <c r="V13" i="26" s="1"/>
  <c r="D43" i="27"/>
  <c r="J36" i="27"/>
  <c r="I36" i="27"/>
  <c r="J23" i="27"/>
  <c r="G51" i="27"/>
  <c r="G52" i="27"/>
  <c r="R14" i="26"/>
  <c r="R13" i="26"/>
  <c r="R12" i="26" s="1"/>
  <c r="R11" i="26" s="1"/>
  <c r="H31" i="27"/>
  <c r="I31" i="27"/>
  <c r="H27" i="27"/>
  <c r="J27" i="27"/>
  <c r="K51" i="27"/>
  <c r="K52" i="27"/>
  <c r="Y14" i="26"/>
  <c r="Y13" i="26"/>
  <c r="Y12" i="26" s="1"/>
  <c r="J34" i="27"/>
  <c r="R51" i="27"/>
  <c r="R52" i="27"/>
  <c r="AF14" i="26"/>
  <c r="AF13" i="26"/>
  <c r="AF12" i="26" s="1"/>
  <c r="H34" i="27"/>
  <c r="H40" i="27"/>
  <c r="I40" i="27"/>
  <c r="H21" i="27"/>
  <c r="J21" i="27"/>
  <c r="E51" i="27"/>
  <c r="E52" i="27"/>
  <c r="P14" i="26"/>
  <c r="P13" i="26" s="1"/>
  <c r="P12" i="26" s="1"/>
  <c r="J35" i="27"/>
  <c r="S51" i="27"/>
  <c r="S52" i="27"/>
  <c r="AG14" i="26"/>
  <c r="AG13" i="26"/>
  <c r="H35" i="27"/>
  <c r="J37" i="27"/>
  <c r="U51" i="27"/>
  <c r="U52" i="27"/>
  <c r="AI14" i="26"/>
  <c r="AI13" i="26" s="1"/>
  <c r="H37" i="27"/>
  <c r="H19" i="27"/>
  <c r="J19" i="27"/>
  <c r="C51" i="27"/>
  <c r="C52" i="27"/>
  <c r="N14" i="26"/>
  <c r="N13" i="26"/>
  <c r="J26" i="27"/>
  <c r="J51" i="27"/>
  <c r="J52" i="27"/>
  <c r="X14" i="26"/>
  <c r="X13" i="26"/>
  <c r="X12" i="26" s="1"/>
  <c r="H26" i="27"/>
  <c r="H28" i="27"/>
  <c r="J28" i="27"/>
  <c r="L51" i="27"/>
  <c r="L52" i="27"/>
  <c r="Z14" i="26"/>
  <c r="Z13" i="26" s="1"/>
  <c r="X52" i="27"/>
  <c r="AL14" i="26"/>
  <c r="AL13" i="26"/>
  <c r="Y50" i="27"/>
  <c r="Z50" i="27"/>
  <c r="G82" i="33"/>
  <c r="D18" i="30"/>
  <c r="F51" i="27"/>
  <c r="F52" i="27"/>
  <c r="Q14" i="26"/>
  <c r="Q13" i="26"/>
  <c r="Q12" i="26" s="1"/>
  <c r="D38" i="10"/>
  <c r="F38" i="10"/>
  <c r="G37" i="10"/>
  <c r="AC61" i="38"/>
  <c r="AO18" i="26"/>
  <c r="BE15" i="26"/>
  <c r="L12" i="32"/>
  <c r="L11" i="32" s="1"/>
  <c r="E41" i="38"/>
  <c r="F40" i="38"/>
  <c r="D45" i="30"/>
  <c r="J44" i="30"/>
  <c r="H44" i="30"/>
  <c r="J43" i="30"/>
  <c r="H43" i="30"/>
  <c r="BI17" i="26"/>
  <c r="BQ23" i="26"/>
  <c r="AJ21" i="26"/>
  <c r="E32" i="37"/>
  <c r="I20" i="27"/>
  <c r="B53" i="35"/>
  <c r="E22" i="36"/>
  <c r="I18" i="27"/>
  <c r="J43" i="27"/>
  <c r="E22" i="35"/>
  <c r="I25" i="27"/>
  <c r="I30" i="27"/>
  <c r="B51" i="27"/>
  <c r="B52" i="27"/>
  <c r="M14" i="26"/>
  <c r="T51" i="27"/>
  <c r="T52" i="27"/>
  <c r="AH14" i="26"/>
  <c r="AH13" i="26" s="1"/>
  <c r="AH12" i="26" s="1"/>
  <c r="I24" i="27"/>
  <c r="I41" i="27"/>
  <c r="I35" i="27"/>
  <c r="I42" i="27"/>
  <c r="I27" i="27"/>
  <c r="I23" i="27"/>
  <c r="I33" i="27"/>
  <c r="I21" i="27"/>
  <c r="I37" i="27"/>
  <c r="I28" i="27"/>
  <c r="I19" i="27"/>
  <c r="I26" i="27"/>
  <c r="I34" i="27"/>
  <c r="AA50" i="27"/>
  <c r="Z52" i="27"/>
  <c r="AN14" i="26"/>
  <c r="AN13" i="26" s="1"/>
  <c r="Y52" i="27"/>
  <c r="AM14" i="26"/>
  <c r="AM13" i="26"/>
  <c r="J29" i="30"/>
  <c r="M57" i="30"/>
  <c r="M58" i="30"/>
  <c r="M61" i="30"/>
  <c r="AQ19" i="26"/>
  <c r="AQ17" i="26"/>
  <c r="J37" i="30"/>
  <c r="U57" i="30"/>
  <c r="U58" i="30"/>
  <c r="J40" i="30"/>
  <c r="X57" i="30"/>
  <c r="X58" i="30"/>
  <c r="J34" i="30"/>
  <c r="R57" i="30"/>
  <c r="R58" i="30"/>
  <c r="R61" i="30"/>
  <c r="AV19" i="26"/>
  <c r="AV17" i="26"/>
  <c r="J41" i="30"/>
  <c r="Y57" i="30"/>
  <c r="Y58" i="30"/>
  <c r="J28" i="30"/>
  <c r="L57" i="30"/>
  <c r="L58" i="30"/>
  <c r="L61" i="30"/>
  <c r="AP19" i="26"/>
  <c r="AP17" i="26"/>
  <c r="J24" i="30"/>
  <c r="H57" i="30"/>
  <c r="H58" i="30"/>
  <c r="H61" i="30"/>
  <c r="AL19" i="26"/>
  <c r="J22" i="30"/>
  <c r="F57" i="30"/>
  <c r="F58" i="30"/>
  <c r="F61" i="30"/>
  <c r="AJ19" i="26"/>
  <c r="J23" i="30"/>
  <c r="G57" i="30"/>
  <c r="G58" i="30"/>
  <c r="G61" i="30"/>
  <c r="AK19" i="26"/>
  <c r="J39" i="30"/>
  <c r="W57" i="30"/>
  <c r="W58" i="30"/>
  <c r="J26" i="30"/>
  <c r="J20" i="30"/>
  <c r="D57" i="30"/>
  <c r="D58" i="30"/>
  <c r="D61" i="30"/>
  <c r="AH19" i="26"/>
  <c r="O17" i="32" s="1"/>
  <c r="M17" i="32" s="1"/>
  <c r="J35" i="30"/>
  <c r="S57" i="30"/>
  <c r="S58" i="30"/>
  <c r="S61" i="30"/>
  <c r="AW19" i="26"/>
  <c r="AW17" i="26" s="1"/>
  <c r="AW12" i="26"/>
  <c r="J30" i="30"/>
  <c r="N57" i="30"/>
  <c r="N58" i="30"/>
  <c r="N61" i="30"/>
  <c r="AR19" i="26"/>
  <c r="AR17" i="26"/>
  <c r="J31" i="30"/>
  <c r="O57" i="30"/>
  <c r="O58" i="30"/>
  <c r="O61" i="30"/>
  <c r="AS19" i="26"/>
  <c r="AS17" i="26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H18" i="30"/>
  <c r="J18" i="30"/>
  <c r="J33" i="30"/>
  <c r="J27" i="30"/>
  <c r="K57" i="30"/>
  <c r="K58" i="30"/>
  <c r="K61" i="30"/>
  <c r="AO19" i="26"/>
  <c r="J36" i="30"/>
  <c r="T57" i="30"/>
  <c r="T58" i="30"/>
  <c r="J21" i="30"/>
  <c r="J38" i="30"/>
  <c r="V57" i="30"/>
  <c r="V58" i="30"/>
  <c r="J32" i="30"/>
  <c r="P57" i="30"/>
  <c r="P58" i="30"/>
  <c r="P61" i="30"/>
  <c r="AT19" i="26"/>
  <c r="AT17" i="26" s="1"/>
  <c r="J25" i="30"/>
  <c r="I57" i="30"/>
  <c r="I58" i="30"/>
  <c r="I61" i="30"/>
  <c r="AM19" i="26"/>
  <c r="J42" i="30"/>
  <c r="J19" i="30"/>
  <c r="H79" i="33"/>
  <c r="H76" i="33"/>
  <c r="T59" i="30"/>
  <c r="E21" i="27"/>
  <c r="I43" i="30"/>
  <c r="F37" i="10"/>
  <c r="G40" i="10"/>
  <c r="Z57" i="30"/>
  <c r="Z58" i="30"/>
  <c r="AA57" i="30"/>
  <c r="AA58" i="30"/>
  <c r="AB57" i="30"/>
  <c r="AB58" i="30"/>
  <c r="AH17" i="26"/>
  <c r="AO17" i="26"/>
  <c r="M13" i="26"/>
  <c r="O12" i="32"/>
  <c r="E42" i="38"/>
  <c r="F41" i="38"/>
  <c r="I44" i="30"/>
  <c r="C57" i="30"/>
  <c r="C58" i="30"/>
  <c r="C61" i="30"/>
  <c r="AG19" i="26"/>
  <c r="J45" i="30"/>
  <c r="BJ12" i="26"/>
  <c r="E33" i="37"/>
  <c r="E23" i="36"/>
  <c r="I43" i="27"/>
  <c r="I44" i="27"/>
  <c r="I45" i="27"/>
  <c r="E23" i="35"/>
  <c r="AA51" i="27"/>
  <c r="AA52" i="27"/>
  <c r="B53" i="27"/>
  <c r="I37" i="30"/>
  <c r="I42" i="30"/>
  <c r="I21" i="30"/>
  <c r="I27" i="30"/>
  <c r="I30" i="30"/>
  <c r="I19" i="30"/>
  <c r="I24" i="30"/>
  <c r="I41" i="30"/>
  <c r="I40" i="30"/>
  <c r="I32" i="30"/>
  <c r="I38" i="30"/>
  <c r="I39" i="30"/>
  <c r="I22" i="30"/>
  <c r="I35" i="30"/>
  <c r="I20" i="30"/>
  <c r="I28" i="30"/>
  <c r="Q57" i="30"/>
  <c r="Q58" i="30"/>
  <c r="Q61" i="30"/>
  <c r="AU19" i="26"/>
  <c r="AU17" i="26" s="1"/>
  <c r="K36" i="30"/>
  <c r="K20" i="30"/>
  <c r="B57" i="30"/>
  <c r="I25" i="30"/>
  <c r="K32" i="30"/>
  <c r="E57" i="30"/>
  <c r="E58" i="30"/>
  <c r="E61" i="30"/>
  <c r="AI19" i="26"/>
  <c r="AI17" i="26" s="1"/>
  <c r="I36" i="30"/>
  <c r="I33" i="30"/>
  <c r="I31" i="30"/>
  <c r="I26" i="30"/>
  <c r="J57" i="30"/>
  <c r="J58" i="30"/>
  <c r="J61" i="30"/>
  <c r="AN19" i="26"/>
  <c r="I23" i="30"/>
  <c r="I34" i="30"/>
  <c r="I29" i="30"/>
  <c r="E22" i="27"/>
  <c r="U59" i="30"/>
  <c r="T61" i="30"/>
  <c r="AX19" i="26"/>
  <c r="AX17" i="26" s="1"/>
  <c r="E34" i="30"/>
  <c r="Z12" i="26"/>
  <c r="E43" i="38"/>
  <c r="F42" i="38"/>
  <c r="I45" i="30"/>
  <c r="I46" i="30"/>
  <c r="I47" i="30"/>
  <c r="BK17" i="26"/>
  <c r="AM21" i="26"/>
  <c r="AP21" i="26"/>
  <c r="E34" i="37"/>
  <c r="E24" i="36"/>
  <c r="E24" i="35"/>
  <c r="B58" i="30"/>
  <c r="AC58" i="30"/>
  <c r="AC57" i="30"/>
  <c r="E35" i="30"/>
  <c r="V59" i="30"/>
  <c r="U61" i="30"/>
  <c r="AY19" i="26"/>
  <c r="AY17" i="26" s="1"/>
  <c r="E23" i="27"/>
  <c r="F43" i="38"/>
  <c r="E44" i="38"/>
  <c r="F44" i="38"/>
  <c r="BL17" i="26"/>
  <c r="E35" i="37"/>
  <c r="E25" i="36"/>
  <c r="E25" i="35"/>
  <c r="B61" i="30"/>
  <c r="AF19" i="26"/>
  <c r="AF17" i="26" s="1"/>
  <c r="W59" i="30"/>
  <c r="V61" i="30"/>
  <c r="AZ19" i="26"/>
  <c r="AZ17" i="26"/>
  <c r="E24" i="27"/>
  <c r="E36" i="30"/>
  <c r="L17" i="32"/>
  <c r="J17" i="32" s="1"/>
  <c r="AN12" i="26"/>
  <c r="BM17" i="26"/>
  <c r="BM12" i="26"/>
  <c r="AS21" i="26"/>
  <c r="AV21" i="26"/>
  <c r="E36" i="37"/>
  <c r="AP26" i="26"/>
  <c r="AP20" i="26"/>
  <c r="E26" i="36"/>
  <c r="E26" i="35"/>
  <c r="E25" i="27"/>
  <c r="F36" i="30"/>
  <c r="F19" i="30"/>
  <c r="F21" i="30"/>
  <c r="F23" i="30"/>
  <c r="F25" i="30"/>
  <c r="F27" i="30"/>
  <c r="E37" i="30"/>
  <c r="F18" i="30"/>
  <c r="F20" i="30"/>
  <c r="F22" i="30"/>
  <c r="F24" i="30"/>
  <c r="F26" i="30"/>
  <c r="F28" i="30"/>
  <c r="F29" i="30"/>
  <c r="F30" i="30"/>
  <c r="F31" i="30"/>
  <c r="F32" i="30"/>
  <c r="F33" i="30"/>
  <c r="F34" i="30"/>
  <c r="F35" i="30"/>
  <c r="X59" i="30"/>
  <c r="W61" i="30"/>
  <c r="BA19" i="26"/>
  <c r="BA17" i="26"/>
  <c r="BN17" i="26"/>
  <c r="BN12" i="26"/>
  <c r="BN11" i="26" s="1"/>
  <c r="AY21" i="26"/>
  <c r="E37" i="37"/>
  <c r="F36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E27" i="36"/>
  <c r="E27" i="35"/>
  <c r="E26" i="27"/>
  <c r="Y59" i="30"/>
  <c r="X61" i="30"/>
  <c r="BB19" i="26"/>
  <c r="BB17" i="26" s="1"/>
  <c r="BB12" i="26" s="1"/>
  <c r="E38" i="30"/>
  <c r="F37" i="30"/>
  <c r="BO17" i="26"/>
  <c r="AS26" i="26"/>
  <c r="BB21" i="26"/>
  <c r="E38" i="37"/>
  <c r="F37" i="37"/>
  <c r="AV26" i="26"/>
  <c r="E28" i="36"/>
  <c r="E28" i="35"/>
  <c r="F38" i="30"/>
  <c r="E39" i="30"/>
  <c r="Z59" i="30"/>
  <c r="AA59" i="30"/>
  <c r="Y61" i="30"/>
  <c r="BC19" i="26"/>
  <c r="BC17" i="26" s="1"/>
  <c r="E27" i="27"/>
  <c r="AB59" i="30"/>
  <c r="AA61" i="30"/>
  <c r="BE19" i="26"/>
  <c r="AQ12" i="26"/>
  <c r="BP17" i="26"/>
  <c r="AV20" i="26"/>
  <c r="AS20" i="26"/>
  <c r="BE21" i="26"/>
  <c r="F38" i="37"/>
  <c r="E39" i="37"/>
  <c r="AY26" i="26"/>
  <c r="AY20" i="26"/>
  <c r="E29" i="36"/>
  <c r="E29" i="35"/>
  <c r="E40" i="30"/>
  <c r="F39" i="30"/>
  <c r="E28" i="27"/>
  <c r="Z61" i="30"/>
  <c r="BD19" i="26"/>
  <c r="BD17" i="26"/>
  <c r="BD12" i="26"/>
  <c r="BE17" i="26"/>
  <c r="BE12" i="26"/>
  <c r="AB61" i="30"/>
  <c r="AC59" i="30"/>
  <c r="BQ17" i="26"/>
  <c r="BH21" i="26"/>
  <c r="E40" i="37"/>
  <c r="F39" i="37"/>
  <c r="BB26" i="26"/>
  <c r="BB20" i="26"/>
  <c r="E30" i="36"/>
  <c r="E30" i="35"/>
  <c r="E29" i="27"/>
  <c r="E41" i="30"/>
  <c r="F40" i="30"/>
  <c r="AC61" i="30"/>
  <c r="BF19" i="26"/>
  <c r="BQ12" i="26"/>
  <c r="BK21" i="26"/>
  <c r="E41" i="37"/>
  <c r="F40" i="37"/>
  <c r="BE26" i="26"/>
  <c r="BE20" i="26"/>
  <c r="E31" i="36"/>
  <c r="E31" i="35"/>
  <c r="F41" i="30"/>
  <c r="E42" i="30"/>
  <c r="E30" i="27"/>
  <c r="BF17" i="26"/>
  <c r="BF12" i="26" s="1"/>
  <c r="F42" i="30"/>
  <c r="E43" i="30"/>
  <c r="BN21" i="26"/>
  <c r="E42" i="37"/>
  <c r="F42" i="37"/>
  <c r="F41" i="37"/>
  <c r="BH26" i="26"/>
  <c r="E32" i="36"/>
  <c r="E32" i="35"/>
  <c r="E31" i="27"/>
  <c r="F43" i="30"/>
  <c r="E44" i="30"/>
  <c r="F44" i="30"/>
  <c r="BH20" i="26"/>
  <c r="BK26" i="26"/>
  <c r="BK20" i="26"/>
  <c r="E33" i="36"/>
  <c r="E33" i="35"/>
  <c r="E32" i="27"/>
  <c r="BQ21" i="26"/>
  <c r="BN26" i="26"/>
  <c r="E34" i="36"/>
  <c r="E34" i="35"/>
  <c r="E33" i="27"/>
  <c r="BN20" i="26"/>
  <c r="E35" i="36"/>
  <c r="E35" i="35"/>
  <c r="E34" i="27"/>
  <c r="BQ26" i="26"/>
  <c r="E36" i="36"/>
  <c r="E36" i="35"/>
  <c r="E35" i="27"/>
  <c r="BQ20" i="26"/>
  <c r="E37" i="36"/>
  <c r="E37" i="35"/>
  <c r="E36" i="27"/>
  <c r="E38" i="36"/>
  <c r="E38" i="35"/>
  <c r="E37" i="27"/>
  <c r="E39" i="36"/>
  <c r="E39" i="35"/>
  <c r="E38" i="27"/>
  <c r="E40" i="36"/>
  <c r="E40" i="35"/>
  <c r="E39" i="27"/>
  <c r="E41" i="36"/>
  <c r="E41" i="35"/>
  <c r="E40" i="27"/>
  <c r="E42" i="36"/>
  <c r="F41" i="36"/>
  <c r="E42" i="35"/>
  <c r="E41" i="27"/>
  <c r="F42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2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E42" i="27"/>
  <c r="F41" i="27"/>
  <c r="F42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H9" i="43" l="1"/>
  <c r="F37" i="43"/>
  <c r="F8" i="43"/>
  <c r="H8" i="43"/>
  <c r="G37" i="43"/>
  <c r="O21" i="32"/>
  <c r="U28" i="32"/>
  <c r="M28" i="32"/>
  <c r="R24" i="32"/>
  <c r="R18" i="32" s="1"/>
  <c r="R28" i="32"/>
  <c r="S11" i="32"/>
  <c r="U18" i="32"/>
  <c r="P30" i="32"/>
  <c r="P28" i="32" s="1"/>
  <c r="P18" i="32" s="1"/>
  <c r="AB11" i="26"/>
  <c r="S14" i="32"/>
  <c r="S13" i="32" s="1"/>
  <c r="U13" i="32"/>
  <c r="U10" i="32" s="1"/>
  <c r="S15" i="32"/>
  <c r="AI12" i="26"/>
  <c r="J16" i="32"/>
  <c r="J15" i="32" s="1"/>
  <c r="L15" i="32"/>
  <c r="AU12" i="26"/>
  <c r="AA11" i="26"/>
  <c r="BR18" i="26"/>
  <c r="BR17" i="26" s="1"/>
  <c r="O11" i="32"/>
  <c r="AL12" i="26"/>
  <c r="AL11" i="26" s="1"/>
  <c r="AK12" i="26"/>
  <c r="AG15" i="26"/>
  <c r="AG12" i="26" s="1"/>
  <c r="BR16" i="26"/>
  <c r="BR15" i="26" s="1"/>
  <c r="BC12" i="26"/>
  <c r="AP11" i="26"/>
  <c r="AF11" i="26"/>
  <c r="BK33" i="26"/>
  <c r="BK11" i="26" s="1"/>
  <c r="S10" i="32"/>
  <c r="S17" i="32"/>
  <c r="R17" i="32"/>
  <c r="P17" i="32" s="1"/>
  <c r="R14" i="32"/>
  <c r="AE12" i="26"/>
  <c r="I15" i="32"/>
  <c r="L15" i="41" s="1"/>
  <c r="V17" i="26"/>
  <c r="V12" i="26" s="1"/>
  <c r="AS11" i="26"/>
  <c r="AZ11" i="26"/>
  <c r="W35" i="26"/>
  <c r="W34" i="26" s="1"/>
  <c r="AI35" i="26"/>
  <c r="AI34" i="26" s="1"/>
  <c r="BC35" i="26"/>
  <c r="BC34" i="26" s="1"/>
  <c r="BC33" i="26" s="1"/>
  <c r="BC11" i="26" s="1"/>
  <c r="BO35" i="26"/>
  <c r="BO34" i="26" s="1"/>
  <c r="AB35" i="26"/>
  <c r="AB34" i="26" s="1"/>
  <c r="AB33" i="26" s="1"/>
  <c r="AV35" i="26"/>
  <c r="AV34" i="26" s="1"/>
  <c r="AV33" i="26" s="1"/>
  <c r="AV11" i="26" s="1"/>
  <c r="BH35" i="26"/>
  <c r="BH34" i="26" s="1"/>
  <c r="BH33" i="26" s="1"/>
  <c r="BH11" i="26" s="1"/>
  <c r="J35" i="26"/>
  <c r="J34" i="26" s="1"/>
  <c r="J33" i="26" s="1"/>
  <c r="J11" i="26" s="1"/>
  <c r="AG35" i="26"/>
  <c r="AG34" i="26" s="1"/>
  <c r="AG33" i="26" s="1"/>
  <c r="BQ35" i="26"/>
  <c r="BQ34" i="26" s="1"/>
  <c r="L35" i="26"/>
  <c r="L34" i="26" s="1"/>
  <c r="L33" i="26" s="1"/>
  <c r="L11" i="26" s="1"/>
  <c r="AQ35" i="26"/>
  <c r="AQ34" i="26" s="1"/>
  <c r="AQ33" i="26" s="1"/>
  <c r="I35" i="26"/>
  <c r="I34" i="26" s="1"/>
  <c r="I33" i="26" s="1"/>
  <c r="I11" i="26" s="1"/>
  <c r="AN35" i="26"/>
  <c r="AN34" i="26" s="1"/>
  <c r="AN33" i="26" s="1"/>
  <c r="AN11" i="26" s="1"/>
  <c r="BD35" i="26"/>
  <c r="BD34" i="26" s="1"/>
  <c r="BD33" i="26" s="1"/>
  <c r="BD11" i="26" s="1"/>
  <c r="BP35" i="26"/>
  <c r="BP34" i="26" s="1"/>
  <c r="BP33" i="26" s="1"/>
  <c r="BP11" i="26" s="1"/>
  <c r="Y35" i="26"/>
  <c r="Y34" i="26" s="1"/>
  <c r="AK35" i="26"/>
  <c r="AK34" i="26" s="1"/>
  <c r="BA35" i="26"/>
  <c r="BA34" i="26" s="1"/>
  <c r="BA33" i="26" s="1"/>
  <c r="BA11" i="26" s="1"/>
  <c r="AT35" i="26"/>
  <c r="BJ35" i="26"/>
  <c r="BJ34" i="26" s="1"/>
  <c r="BJ33" i="26" s="1"/>
  <c r="BJ11" i="26" s="1"/>
  <c r="P35" i="26"/>
  <c r="P34" i="26" s="1"/>
  <c r="P33" i="26" s="1"/>
  <c r="AE35" i="26"/>
  <c r="AE34" i="26" s="1"/>
  <c r="AE33" i="26" s="1"/>
  <c r="AU35" i="26"/>
  <c r="AU34" i="26" s="1"/>
  <c r="BG35" i="26"/>
  <c r="BG34" i="26" s="1"/>
  <c r="BG33" i="26" s="1"/>
  <c r="BG11" i="26" s="1"/>
  <c r="M35" i="26"/>
  <c r="M34" i="26" s="1"/>
  <c r="M33" i="26" s="1"/>
  <c r="AC35" i="26"/>
  <c r="AC34" i="26" s="1"/>
  <c r="AC33" i="26" s="1"/>
  <c r="L23" i="41"/>
  <c r="G23" i="32"/>
  <c r="G27" i="32"/>
  <c r="L27" i="41"/>
  <c r="S26" i="32"/>
  <c r="S24" i="32" s="1"/>
  <c r="S18" i="32" s="1"/>
  <c r="BR19" i="26"/>
  <c r="AQ11" i="26"/>
  <c r="N12" i="26"/>
  <c r="L14" i="32"/>
  <c r="O14" i="32"/>
  <c r="B10" i="41"/>
  <c r="BI12" i="26"/>
  <c r="O16" i="32"/>
  <c r="U18" i="26"/>
  <c r="U17" i="26" s="1"/>
  <c r="G35" i="26"/>
  <c r="G34" i="26" s="1"/>
  <c r="G33" i="26" s="1"/>
  <c r="G11" i="26" s="1"/>
  <c r="BB35" i="26"/>
  <c r="BB34" i="26" s="1"/>
  <c r="BB33" i="26" s="1"/>
  <c r="BB11" i="26" s="1"/>
  <c r="AH35" i="26"/>
  <c r="AH34" i="26" s="1"/>
  <c r="AH33" i="26" s="1"/>
  <c r="O35" i="26"/>
  <c r="O34" i="26" s="1"/>
  <c r="O33" i="26" s="1"/>
  <c r="BI35" i="26"/>
  <c r="BI34" i="26" s="1"/>
  <c r="AO35" i="26"/>
  <c r="AO34" i="26" s="1"/>
  <c r="AO33" i="26" s="1"/>
  <c r="AO11" i="26" s="1"/>
  <c r="N35" i="26"/>
  <c r="N34" i="26" s="1"/>
  <c r="N33" i="26" s="1"/>
  <c r="AR35" i="26"/>
  <c r="AR34" i="26" s="1"/>
  <c r="AR33" i="26" s="1"/>
  <c r="AR11" i="26" s="1"/>
  <c r="Q35" i="26"/>
  <c r="Q34" i="26" s="1"/>
  <c r="Q33" i="26" s="1"/>
  <c r="AY35" i="26"/>
  <c r="AY34" i="26" s="1"/>
  <c r="AA24" i="26"/>
  <c r="AA23" i="26" s="1"/>
  <c r="AA20" i="26" s="1"/>
  <c r="W24" i="26"/>
  <c r="W23" i="26" s="1"/>
  <c r="O24" i="26"/>
  <c r="O23" i="26" s="1"/>
  <c r="O20" i="26" s="1"/>
  <c r="O11" i="26" s="1"/>
  <c r="X31" i="26"/>
  <c r="Z31" i="26"/>
  <c r="V31" i="26"/>
  <c r="AW37" i="26"/>
  <c r="AW36" i="26" s="1"/>
  <c r="AW33" i="26" s="1"/>
  <c r="AW11" i="26" s="1"/>
  <c r="BK37" i="26"/>
  <c r="BK36" i="26" s="1"/>
  <c r="AI37" i="26"/>
  <c r="I28" i="32"/>
  <c r="L28" i="41" s="1"/>
  <c r="P16" i="32"/>
  <c r="P15" i="32" s="1"/>
  <c r="J12" i="32"/>
  <c r="J11" i="32" s="1"/>
  <c r="K12" i="32"/>
  <c r="K11" i="32" s="1"/>
  <c r="G29" i="32"/>
  <c r="G28" i="32" s="1"/>
  <c r="U14" i="26"/>
  <c r="I12" i="32"/>
  <c r="Z34" i="26"/>
  <c r="Z33" i="26" s="1"/>
  <c r="AT12" i="26"/>
  <c r="BH15" i="26"/>
  <c r="BH12" i="26" s="1"/>
  <c r="BF34" i="26"/>
  <c r="BF33" i="26" s="1"/>
  <c r="BF11" i="26" s="1"/>
  <c r="AX35" i="26"/>
  <c r="AX34" i="26" s="1"/>
  <c r="AX33" i="26" s="1"/>
  <c r="AX11" i="26" s="1"/>
  <c r="AD35" i="26"/>
  <c r="AD34" i="26" s="1"/>
  <c r="AD33" i="26" s="1"/>
  <c r="BE35" i="26"/>
  <c r="BE34" i="26" s="1"/>
  <c r="BE33" i="26" s="1"/>
  <c r="BE11" i="26" s="1"/>
  <c r="AJ35" i="26"/>
  <c r="AJ34" i="26" s="1"/>
  <c r="AJ33" i="26" s="1"/>
  <c r="H35" i="26"/>
  <c r="H34" i="26" s="1"/>
  <c r="H33" i="26" s="1"/>
  <c r="H11" i="26" s="1"/>
  <c r="Z24" i="26"/>
  <c r="Z23" i="26" s="1"/>
  <c r="BO37" i="26"/>
  <c r="BO36" i="26" s="1"/>
  <c r="AV13" i="26"/>
  <c r="AV12" i="26" s="1"/>
  <c r="R12" i="32"/>
  <c r="L35" i="41"/>
  <c r="G35" i="32"/>
  <c r="G34" i="32" s="1"/>
  <c r="I34" i="32"/>
  <c r="L34" i="41" s="1"/>
  <c r="M12" i="32"/>
  <c r="M11" i="32" s="1"/>
  <c r="G16" i="32"/>
  <c r="G15" i="32" s="1"/>
  <c r="O28" i="32"/>
  <c r="I13" i="32"/>
  <c r="L13" i="41" s="1"/>
  <c r="G14" i="32"/>
  <c r="G13" i="32" s="1"/>
  <c r="H75" i="33"/>
  <c r="H82" i="33" s="1"/>
  <c r="H78" i="33"/>
  <c r="H80" i="33"/>
  <c r="AI36" i="26"/>
  <c r="AI33" i="26" s="1"/>
  <c r="F10" i="32"/>
  <c r="I25" i="32"/>
  <c r="U27" i="26"/>
  <c r="D18" i="26"/>
  <c r="D16" i="32"/>
  <c r="D25" i="32"/>
  <c r="D27" i="26"/>
  <c r="D30" i="32"/>
  <c r="D32" i="26"/>
  <c r="U35" i="26"/>
  <c r="P22" i="26"/>
  <c r="P21" i="26" s="1"/>
  <c r="P20" i="26" s="1"/>
  <c r="W22" i="26"/>
  <c r="AG22" i="26"/>
  <c r="AG21" i="26" s="1"/>
  <c r="Z22" i="26"/>
  <c r="Z21" i="26" s="1"/>
  <c r="AD22" i="26"/>
  <c r="AD21" i="26" s="1"/>
  <c r="AD20" i="26" s="1"/>
  <c r="M22" i="26"/>
  <c r="E18" i="32"/>
  <c r="E20" i="26"/>
  <c r="E15" i="32"/>
  <c r="E17" i="26"/>
  <c r="H77" i="33"/>
  <c r="F27" i="32"/>
  <c r="F29" i="26"/>
  <c r="AI29" i="26" s="1"/>
  <c r="AG25" i="26"/>
  <c r="AG23" i="26" s="1"/>
  <c r="AC25" i="26"/>
  <c r="AC23" i="26" s="1"/>
  <c r="W25" i="26"/>
  <c r="AJ27" i="26"/>
  <c r="AJ26" i="26" s="1"/>
  <c r="AJ20" i="26" s="1"/>
  <c r="AJ11" i="26" s="1"/>
  <c r="AM27" i="26"/>
  <c r="AM26" i="26" s="1"/>
  <c r="AM20" i="26" s="1"/>
  <c r="AH27" i="26"/>
  <c r="E19" i="26"/>
  <c r="E17" i="32"/>
  <c r="A4" i="26"/>
  <c r="A4" i="32" s="1"/>
  <c r="J34" i="23"/>
  <c r="Z27" i="26"/>
  <c r="X24" i="26"/>
  <c r="X23" i="26" s="1"/>
  <c r="V24" i="26"/>
  <c r="Q24" i="26"/>
  <c r="Q23" i="26" s="1"/>
  <c r="Q20" i="26" s="1"/>
  <c r="Q11" i="26" s="1"/>
  <c r="Y24" i="26"/>
  <c r="Y23" i="26" s="1"/>
  <c r="Y20" i="26" s="1"/>
  <c r="Y11" i="26" s="1"/>
  <c r="F25" i="32"/>
  <c r="F32" i="26"/>
  <c r="Y37" i="26"/>
  <c r="Y36" i="26" s="1"/>
  <c r="Y33" i="26" s="1"/>
  <c r="AY37" i="26"/>
  <c r="AY36" i="26" s="1"/>
  <c r="AY33" i="26" s="1"/>
  <c r="AY11" i="26" s="1"/>
  <c r="W37" i="26"/>
  <c r="BI37" i="26"/>
  <c r="BI36" i="26" s="1"/>
  <c r="AM37" i="26"/>
  <c r="AM36" i="26" s="1"/>
  <c r="AM33" i="26" s="1"/>
  <c r="BM37" i="26"/>
  <c r="BM36" i="26" s="1"/>
  <c r="BM33" i="26" s="1"/>
  <c r="BM11" i="26" s="1"/>
  <c r="AK37" i="26"/>
  <c r="AK36" i="26" s="1"/>
  <c r="BQ37" i="26"/>
  <c r="BQ36" i="26" s="1"/>
  <c r="AU37" i="26"/>
  <c r="D15" i="32"/>
  <c r="D10" i="32" s="1"/>
  <c r="D36" i="32" s="1"/>
  <c r="E35" i="32"/>
  <c r="E37" i="26"/>
  <c r="E31" i="32"/>
  <c r="E33" i="26"/>
  <c r="E27" i="32"/>
  <c r="E29" i="26"/>
  <c r="E23" i="32"/>
  <c r="E25" i="26"/>
  <c r="AG31" i="26"/>
  <c r="AC31" i="26"/>
  <c r="AE31" i="26"/>
  <c r="BR31" i="26" s="1"/>
  <c r="F26" i="32"/>
  <c r="F28" i="26"/>
  <c r="E35" i="26"/>
  <c r="E33" i="32"/>
  <c r="E31" i="26"/>
  <c r="E29" i="32"/>
  <c r="E27" i="26"/>
  <c r="E25" i="32"/>
  <c r="E23" i="26"/>
  <c r="E21" i="32"/>
  <c r="E12" i="32"/>
  <c r="E11" i="32" s="1"/>
  <c r="E10" i="32" s="1"/>
  <c r="E14" i="26"/>
  <c r="E21" i="26"/>
  <c r="B11" i="41"/>
  <c r="H37" i="43" l="1"/>
  <c r="E36" i="32"/>
  <c r="N12" i="32"/>
  <c r="N11" i="32" s="1"/>
  <c r="H14" i="32"/>
  <c r="H13" i="32" s="1"/>
  <c r="L33" i="32"/>
  <c r="L29" i="32"/>
  <c r="J29" i="32" s="1"/>
  <c r="I33" i="32"/>
  <c r="I22" i="32"/>
  <c r="G22" i="32" s="1"/>
  <c r="G21" i="32" s="1"/>
  <c r="P12" i="32"/>
  <c r="P11" i="32" s="1"/>
  <c r="P10" i="32" s="1"/>
  <c r="R11" i="32"/>
  <c r="U33" i="32"/>
  <c r="Q14" i="32"/>
  <c r="Q13" i="32" s="1"/>
  <c r="R13" i="32"/>
  <c r="P14" i="32"/>
  <c r="P13" i="32" s="1"/>
  <c r="BQ33" i="26"/>
  <c r="BQ11" i="26" s="1"/>
  <c r="BI33" i="26"/>
  <c r="BI11" i="26" s="1"/>
  <c r="BK38" i="26" s="1"/>
  <c r="O33" i="32"/>
  <c r="O32" i="32" s="1"/>
  <c r="U24" i="26"/>
  <c r="I11" i="32"/>
  <c r="G12" i="32"/>
  <c r="G11" i="32" s="1"/>
  <c r="G10" i="32" s="1"/>
  <c r="L12" i="41"/>
  <c r="M14" i="32"/>
  <c r="M13" i="32" s="1"/>
  <c r="O13" i="32"/>
  <c r="O10" i="32" s="1"/>
  <c r="AK33" i="26"/>
  <c r="AK11" i="26" s="1"/>
  <c r="AM11" i="26"/>
  <c r="AD11" i="26"/>
  <c r="P11" i="26"/>
  <c r="T14" i="26"/>
  <c r="T13" i="26" s="1"/>
  <c r="T12" i="26" s="1"/>
  <c r="T11" i="26" s="1"/>
  <c r="S14" i="26"/>
  <c r="U13" i="26"/>
  <c r="U12" i="26" s="1"/>
  <c r="R15" i="32"/>
  <c r="N11" i="26"/>
  <c r="O15" i="32"/>
  <c r="M16" i="32"/>
  <c r="M15" i="32" s="1"/>
  <c r="K14" i="32"/>
  <c r="K13" i="32" s="1"/>
  <c r="K10" i="32" s="1"/>
  <c r="K36" i="32" s="1"/>
  <c r="L13" i="32"/>
  <c r="L10" i="32" s="1"/>
  <c r="J14" i="32"/>
  <c r="J13" i="32" s="1"/>
  <c r="J10" i="32" s="1"/>
  <c r="R33" i="32"/>
  <c r="AT34" i="26"/>
  <c r="AT33" i="26" s="1"/>
  <c r="AT11" i="26" s="1"/>
  <c r="BO33" i="26"/>
  <c r="BO11" i="26" s="1"/>
  <c r="T14" i="32"/>
  <c r="T13" i="32" s="1"/>
  <c r="T10" i="32" s="1"/>
  <c r="T36" i="32" s="1"/>
  <c r="BQ38" i="26"/>
  <c r="V28" i="26"/>
  <c r="AG28" i="26"/>
  <c r="AG26" i="26" s="1"/>
  <c r="X28" i="26"/>
  <c r="X26" i="26" s="1"/>
  <c r="AE28" i="26"/>
  <c r="AE26" i="26" s="1"/>
  <c r="AC28" i="26"/>
  <c r="AC26" i="26" s="1"/>
  <c r="Z28" i="26"/>
  <c r="V32" i="26"/>
  <c r="X32" i="26"/>
  <c r="X30" i="26" s="1"/>
  <c r="Z32" i="26"/>
  <c r="Z30" i="26" s="1"/>
  <c r="AG32" i="26"/>
  <c r="AG30" i="26" s="1"/>
  <c r="AG20" i="26" s="1"/>
  <c r="AG11" i="26" s="1"/>
  <c r="AC32" i="26"/>
  <c r="AC30" i="26" s="1"/>
  <c r="AC20" i="26" s="1"/>
  <c r="AC11" i="26" s="1"/>
  <c r="AE32" i="26"/>
  <c r="AE30" i="26" s="1"/>
  <c r="L22" i="32"/>
  <c r="V23" i="26"/>
  <c r="O27" i="32"/>
  <c r="M27" i="32" s="1"/>
  <c r="BR29" i="26"/>
  <c r="AI26" i="26"/>
  <c r="AI20" i="26" s="1"/>
  <c r="AI11" i="26" s="1"/>
  <c r="G33" i="32"/>
  <c r="G32" i="32" s="1"/>
  <c r="G31" i="32" s="1"/>
  <c r="I32" i="32"/>
  <c r="L33" i="41"/>
  <c r="M33" i="32"/>
  <c r="M32" i="32" s="1"/>
  <c r="U23" i="26"/>
  <c r="S24" i="26"/>
  <c r="S23" i="26" s="1"/>
  <c r="L35" i="32"/>
  <c r="W36" i="26"/>
  <c r="W33" i="26" s="1"/>
  <c r="BR37" i="26"/>
  <c r="BR36" i="26" s="1"/>
  <c r="X20" i="26"/>
  <c r="X11" i="26" s="1"/>
  <c r="O25" i="32"/>
  <c r="AH26" i="26"/>
  <c r="AH20" i="26" s="1"/>
  <c r="AH11" i="26" s="1"/>
  <c r="L23" i="32"/>
  <c r="J23" i="32" s="1"/>
  <c r="BR25" i="26"/>
  <c r="L25" i="32"/>
  <c r="Z26" i="26"/>
  <c r="Z20" i="26" s="1"/>
  <c r="Z11" i="26" s="1"/>
  <c r="M21" i="26"/>
  <c r="M20" i="26" s="1"/>
  <c r="M11" i="26" s="1"/>
  <c r="U22" i="26"/>
  <c r="I20" i="32"/>
  <c r="L20" i="32"/>
  <c r="W21" i="26"/>
  <c r="W20" i="26" s="1"/>
  <c r="U26" i="26"/>
  <c r="S27" i="26"/>
  <c r="U35" i="32"/>
  <c r="I21" i="32"/>
  <c r="L21" i="41" s="1"/>
  <c r="R35" i="32"/>
  <c r="AU36" i="26"/>
  <c r="AU33" i="26" s="1"/>
  <c r="AU11" i="26" s="1"/>
  <c r="F18" i="32"/>
  <c r="F36" i="32" s="1"/>
  <c r="F20" i="26"/>
  <c r="S35" i="26"/>
  <c r="U34" i="26"/>
  <c r="U33" i="26" s="1"/>
  <c r="L25" i="41"/>
  <c r="G25" i="32"/>
  <c r="G24" i="32" s="1"/>
  <c r="I24" i="32"/>
  <c r="L24" i="41" s="1"/>
  <c r="O35" i="32"/>
  <c r="M10" i="32" l="1"/>
  <c r="L22" i="41"/>
  <c r="H12" i="32"/>
  <c r="H11" i="32" s="1"/>
  <c r="H10" i="32" s="1"/>
  <c r="H36" i="32" s="1"/>
  <c r="R10" i="32"/>
  <c r="AY38" i="26"/>
  <c r="I10" i="32"/>
  <c r="L10" i="41" s="1"/>
  <c r="L11" i="41"/>
  <c r="U32" i="32"/>
  <c r="S33" i="32"/>
  <c r="S32" i="32" s="1"/>
  <c r="P33" i="32"/>
  <c r="P32" i="32" s="1"/>
  <c r="R32" i="32"/>
  <c r="J33" i="32"/>
  <c r="J32" i="32" s="1"/>
  <c r="L32" i="32"/>
  <c r="S13" i="26"/>
  <c r="S12" i="26" s="1"/>
  <c r="BR14" i="26"/>
  <c r="BR13" i="26" s="1"/>
  <c r="BR12" i="26" s="1"/>
  <c r="N14" i="32"/>
  <c r="N13" i="32" s="1"/>
  <c r="N10" i="32" s="1"/>
  <c r="N36" i="32" s="1"/>
  <c r="Q12" i="32"/>
  <c r="Q11" i="32" s="1"/>
  <c r="Q10" i="32" s="1"/>
  <c r="Q36" i="32" s="1"/>
  <c r="J20" i="32"/>
  <c r="J19" i="32" s="1"/>
  <c r="L19" i="32"/>
  <c r="P35" i="32"/>
  <c r="P34" i="32" s="1"/>
  <c r="P31" i="32" s="1"/>
  <c r="P36" i="32" s="1"/>
  <c r="R34" i="32"/>
  <c r="G20" i="32"/>
  <c r="G19" i="32" s="1"/>
  <c r="G18" i="32" s="1"/>
  <c r="G36" i="32" s="1"/>
  <c r="L20" i="41"/>
  <c r="I19" i="32"/>
  <c r="BR32" i="26"/>
  <c r="BR30" i="26" s="1"/>
  <c r="L30" i="32"/>
  <c r="V30" i="26"/>
  <c r="AE20" i="26"/>
  <c r="AE11" i="26" s="1"/>
  <c r="AM38" i="26" s="1"/>
  <c r="BR24" i="26"/>
  <c r="BR23" i="26" s="1"/>
  <c r="W11" i="26"/>
  <c r="U21" i="26"/>
  <c r="U20" i="26" s="1"/>
  <c r="U11" i="26" s="1"/>
  <c r="S22" i="26"/>
  <c r="J25" i="32"/>
  <c r="M25" i="32"/>
  <c r="M24" i="32" s="1"/>
  <c r="M18" i="32" s="1"/>
  <c r="O24" i="32"/>
  <c r="O18" i="32" s="1"/>
  <c r="L34" i="32"/>
  <c r="L31" i="32" s="1"/>
  <c r="J35" i="32"/>
  <c r="J34" i="32" s="1"/>
  <c r="M35" i="32"/>
  <c r="M34" i="32" s="1"/>
  <c r="M31" i="32" s="1"/>
  <c r="M36" i="32" s="1"/>
  <c r="O34" i="32"/>
  <c r="O31" i="32" s="1"/>
  <c r="S35" i="32"/>
  <c r="S34" i="32" s="1"/>
  <c r="S31" i="32" s="1"/>
  <c r="S36" i="32" s="1"/>
  <c r="U34" i="32"/>
  <c r="J22" i="32"/>
  <c r="J21" i="32" s="1"/>
  <c r="L21" i="32"/>
  <c r="S34" i="26"/>
  <c r="S33" i="26" s="1"/>
  <c r="BR35" i="26"/>
  <c r="BR34" i="26" s="1"/>
  <c r="BR33" i="26" s="1"/>
  <c r="S26" i="26"/>
  <c r="BR27" i="26"/>
  <c r="L32" i="41"/>
  <c r="I31" i="32"/>
  <c r="L31" i="41" s="1"/>
  <c r="L26" i="32"/>
  <c r="J26" i="32" s="1"/>
  <c r="V26" i="26"/>
  <c r="BR28" i="26"/>
  <c r="U31" i="32" l="1"/>
  <c r="U36" i="32" s="1"/>
  <c r="U38" i="32" s="1"/>
  <c r="L24" i="32"/>
  <c r="J31" i="32"/>
  <c r="V20" i="26"/>
  <c r="V11" i="26" s="1"/>
  <c r="BR26" i="26"/>
  <c r="R31" i="32"/>
  <c r="R36" i="32" s="1"/>
  <c r="R38" i="32" s="1"/>
  <c r="J30" i="32"/>
  <c r="J28" i="32" s="1"/>
  <c r="L28" i="32"/>
  <c r="L19" i="41"/>
  <c r="I18" i="32"/>
  <c r="J24" i="32"/>
  <c r="L18" i="32"/>
  <c r="L36" i="32" s="1"/>
  <c r="L38" i="32" s="1"/>
  <c r="O36" i="32"/>
  <c r="O38" i="32" s="1"/>
  <c r="S21" i="26"/>
  <c r="S20" i="26" s="1"/>
  <c r="S11" i="26" s="1"/>
  <c r="AA38" i="26" s="1"/>
  <c r="BR38" i="26" s="1"/>
  <c r="BR22" i="26"/>
  <c r="BR21" i="26" s="1"/>
  <c r="J18" i="32"/>
  <c r="J36" i="32" s="1"/>
  <c r="BR20" i="26" l="1"/>
  <c r="BR11" i="26" s="1"/>
  <c r="BS11" i="26" s="1"/>
  <c r="L18" i="41"/>
  <c r="L36" i="41" s="1"/>
  <c r="I36" i="32"/>
  <c r="I37" i="32" l="1"/>
  <c r="L37" i="32" s="1"/>
  <c r="O37" i="32" s="1"/>
  <c r="R37" i="32" s="1"/>
  <c r="U37" i="32" s="1"/>
  <c r="I38" i="32"/>
</calcChain>
</file>

<file path=xl/comments1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5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6.xml><?xml version="1.0" encoding="utf-8"?>
<comments xmlns="http://schemas.openxmlformats.org/spreadsheetml/2006/main">
  <authors>
    <author>mrivelli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<sst xmlns="http://schemas.openxmlformats.org/spreadsheetml/2006/main" count="1581" uniqueCount="460">
  <si>
    <t>PEP (Plan de Ejecución del Proyecto)</t>
  </si>
  <si>
    <t>(Expresado en USD.)</t>
  </si>
  <si>
    <t>Período comprendido:  Año 1 a Año 5</t>
  </si>
  <si>
    <t>COSTO</t>
  </si>
  <si>
    <t>RESPONSABLES</t>
  </si>
  <si>
    <t>Año 0</t>
  </si>
  <si>
    <t>Año 1</t>
  </si>
  <si>
    <t>Año 2</t>
  </si>
  <si>
    <t>Año 3</t>
  </si>
  <si>
    <t>Año 4</t>
  </si>
  <si>
    <t>Año 5</t>
  </si>
  <si>
    <t>Nombre de la Tarea</t>
  </si>
  <si>
    <t>Plazo de ejecución</t>
  </si>
  <si>
    <t>Proceso Contratación</t>
  </si>
  <si>
    <t>Inicio</t>
  </si>
  <si>
    <t>Fin</t>
  </si>
  <si>
    <t>BID</t>
  </si>
  <si>
    <t>Contrapartida</t>
  </si>
  <si>
    <t>Total</t>
  </si>
  <si>
    <t>T1</t>
  </si>
  <si>
    <t>T2</t>
  </si>
  <si>
    <t>T3</t>
  </si>
  <si>
    <t>T4</t>
  </si>
  <si>
    <t>Etapa de preparación, aprobación y cumplimiento de condiciones previas</t>
  </si>
  <si>
    <t>A.1</t>
  </si>
  <si>
    <t>Etapa de preparación del Proyecto</t>
  </si>
  <si>
    <t>A.1.1</t>
  </si>
  <si>
    <t xml:space="preserve">Aprobación del perfil </t>
  </si>
  <si>
    <t>A.1.2</t>
  </si>
  <si>
    <t>Preparación del POD</t>
  </si>
  <si>
    <t>A.1.3</t>
  </si>
  <si>
    <t xml:space="preserve">Misión de Análisis </t>
  </si>
  <si>
    <t>A.1.4</t>
  </si>
  <si>
    <t>Revisión interna del POD en el BID</t>
  </si>
  <si>
    <t>A.1.5</t>
  </si>
  <si>
    <t>Misión de Negociación</t>
  </si>
  <si>
    <t>A.1.6</t>
  </si>
  <si>
    <t>Aprobación del Directorio del BID</t>
  </si>
  <si>
    <t>Etapa de aprobación del Contrato de Préstamo</t>
  </si>
  <si>
    <t>A.2.1</t>
  </si>
  <si>
    <t xml:space="preserve">Firma de Contrato BID </t>
  </si>
  <si>
    <t>A.2.2</t>
  </si>
  <si>
    <t>Envío del Contrato de Préstamo al Congreso Nacional</t>
  </si>
  <si>
    <t>A.2.3</t>
  </si>
  <si>
    <t>Ratificación Legislativa</t>
  </si>
  <si>
    <t>A.2.4</t>
  </si>
  <si>
    <t>Preparación de cumplimiento de condiciones previas</t>
  </si>
  <si>
    <t>A.2.5</t>
  </si>
  <si>
    <t xml:space="preserve">Cumplimiento de condiciones previas al primer desembolso </t>
  </si>
  <si>
    <t>Etapa de ejecución del  Programa</t>
  </si>
  <si>
    <t>T4 - Año 0</t>
  </si>
  <si>
    <t>T3 - Año 1</t>
  </si>
  <si>
    <t>T3 - Año 3</t>
  </si>
  <si>
    <t>T2 - Año 2</t>
  </si>
  <si>
    <t>T1 - Año 3</t>
  </si>
  <si>
    <t>T4 -Año 4</t>
  </si>
  <si>
    <t>T2 - Año 1</t>
  </si>
  <si>
    <t>T4 -Año 2</t>
  </si>
  <si>
    <t>T1 - Año 5</t>
  </si>
  <si>
    <t>T1 - Año 1</t>
  </si>
  <si>
    <t>T3 -Año 1</t>
  </si>
  <si>
    <t>T 2 - Año 2</t>
  </si>
  <si>
    <t>T1 -Año 2</t>
  </si>
  <si>
    <t>T 2 - Año 1</t>
  </si>
  <si>
    <t>T4 -Año 1</t>
  </si>
  <si>
    <t>T 2 -Año 3</t>
  </si>
  <si>
    <t>N/A</t>
  </si>
  <si>
    <t>T3 - Año 0</t>
  </si>
  <si>
    <t>T4 -Año 5</t>
  </si>
  <si>
    <t>T4 - Año 1</t>
  </si>
  <si>
    <t xml:space="preserve">POA (Plan Operativo Anual) Cronograma de Actividades.  </t>
  </si>
  <si>
    <t xml:space="preserve">Período comprendido:  Año 1 </t>
  </si>
  <si>
    <t>Código</t>
  </si>
  <si>
    <t>Nombre de la tarea</t>
  </si>
  <si>
    <t>PEP</t>
  </si>
  <si>
    <t>Programación Año 1</t>
  </si>
  <si>
    <t>Ejecución</t>
  </si>
  <si>
    <t>Responsable</t>
  </si>
  <si>
    <t>POA</t>
  </si>
  <si>
    <t>Costo Planeado</t>
  </si>
  <si>
    <t>Meta del Programa</t>
  </si>
  <si>
    <t xml:space="preserve">Inicio </t>
  </si>
  <si>
    <t>Meta Año 1</t>
  </si>
  <si>
    <t>Medio de Verificación</t>
  </si>
  <si>
    <t>Costo Ejecutado</t>
  </si>
  <si>
    <t>% Avance</t>
  </si>
  <si>
    <t>Inicio de Proceso de Contratación- Inicio de Ejecución</t>
  </si>
  <si>
    <t>Publicación de llamado - firma del Contrato</t>
  </si>
  <si>
    <t>Inicio de Proceso de Contratación</t>
  </si>
  <si>
    <t>Publicación de llamado</t>
  </si>
  <si>
    <t>Inicio de Ejecución</t>
  </si>
  <si>
    <t xml:space="preserve"> firma del Contrato</t>
  </si>
  <si>
    <t>TOTAL POR AÑO</t>
  </si>
  <si>
    <t>Programa de Conectividad y Seguridad en Corredores Viales de la Provincia de Buenos Aires</t>
  </si>
  <si>
    <t>PR-L1274</t>
  </si>
  <si>
    <t>A</t>
  </si>
  <si>
    <t>Cuadro de costo y financiamiento del Proyecto - POR COMPONENTE</t>
  </si>
  <si>
    <t>DETALLE</t>
  </si>
  <si>
    <t>TOTAL BID</t>
  </si>
  <si>
    <t>(US$)</t>
  </si>
  <si>
    <t>Componente Unico Obras civiles</t>
  </si>
  <si>
    <t>Rehabilitacion</t>
  </si>
  <si>
    <t>Mantenimiento</t>
  </si>
  <si>
    <t>Obras de rehabilitación y Mantenimiento</t>
  </si>
  <si>
    <t>1.1.1</t>
  </si>
  <si>
    <t>Tramo 1: km 50 - km 173</t>
  </si>
  <si>
    <t>1.1.2</t>
  </si>
  <si>
    <t>Tramo 2: km 173 - km 326</t>
  </si>
  <si>
    <t>1.1.3</t>
  </si>
  <si>
    <t>Tramo 3: km 326 - km 450</t>
  </si>
  <si>
    <t>1.1.4</t>
  </si>
  <si>
    <t>Tramo 4: km 450 - km 525, Accesos y Linea 1</t>
  </si>
  <si>
    <t>Otros Costos</t>
  </si>
  <si>
    <t>Administración del programa</t>
  </si>
  <si>
    <t>Auditoria, Monitoreo y Evaluación</t>
  </si>
  <si>
    <t>Gestión Socio Ambiental</t>
  </si>
  <si>
    <t>Escalamientos e Imprevistos</t>
  </si>
  <si>
    <t>TOTAL</t>
  </si>
  <si>
    <t xml:space="preserve">Contrapartida Local </t>
  </si>
  <si>
    <t>Componente 1. Obras Civiles e Inspección</t>
  </si>
  <si>
    <t>Mejoramiento de la RP Nº 41</t>
  </si>
  <si>
    <t>Otras Obras de mejoramiento</t>
  </si>
  <si>
    <t>Inspección de Obras</t>
  </si>
  <si>
    <t>Componente 2. Fortalecimiento Institucional</t>
  </si>
  <si>
    <t>Estudios de Pre inversión</t>
  </si>
  <si>
    <t>Seguridad Vial</t>
  </si>
  <si>
    <t>Fortalecimiento de la DVBA</t>
  </si>
  <si>
    <t>Fortalecimiento de la AUBASA</t>
  </si>
  <si>
    <t>Administración del Programa</t>
  </si>
  <si>
    <t>Auditorias Financieras</t>
  </si>
  <si>
    <t>CUADRO DE COSTO DETALLADO</t>
  </si>
  <si>
    <t>Operación:</t>
  </si>
  <si>
    <t>Nombre del Componente/Actividad</t>
  </si>
  <si>
    <t>Nivel</t>
  </si>
  <si>
    <t>Tipo de Contratación</t>
  </si>
  <si>
    <t>Método de Contratación</t>
  </si>
  <si>
    <t>Responsable / Observación</t>
  </si>
  <si>
    <t>Duración de Contrato</t>
  </si>
  <si>
    <t>Costo BID</t>
  </si>
  <si>
    <t>Producto</t>
  </si>
  <si>
    <t>UEP</t>
  </si>
  <si>
    <t>Contratación de Firma Constructora para las Obras de Mejoramiento de la Ruta Nº 41</t>
  </si>
  <si>
    <t>Actividad</t>
  </si>
  <si>
    <t>Obra</t>
  </si>
  <si>
    <t>LPI</t>
  </si>
  <si>
    <t>24 meses</t>
  </si>
  <si>
    <t>1.2.1</t>
  </si>
  <si>
    <t>Contratación de Firma Constructora para las Obras de Mejoramiento de la red vial principal de la PBA (Tramo según criterio de elegibilidad)</t>
  </si>
  <si>
    <t>1.3.1</t>
  </si>
  <si>
    <t>Contratación de Firmas Consultoras para la inspección de las Obras de la muestra del programa</t>
  </si>
  <si>
    <t>Consultoría</t>
  </si>
  <si>
    <t>SBCC</t>
  </si>
  <si>
    <t>27 meses</t>
  </si>
  <si>
    <t>1.3.2</t>
  </si>
  <si>
    <t>Contratación de Firmas Consultoras para la inspección de otras Obras de mejoramieto</t>
  </si>
  <si>
    <t>2.1.1</t>
  </si>
  <si>
    <t>18 meses</t>
  </si>
  <si>
    <t>2.2.1</t>
  </si>
  <si>
    <t>Contratación de Firmas Consultoras para  Auditorías de Seguridad Vial en Corredores</t>
  </si>
  <si>
    <t>SCC</t>
  </si>
  <si>
    <t>10 meses</t>
  </si>
  <si>
    <t>2.2.2</t>
  </si>
  <si>
    <t>Contratación de Firma Consultora la elaboración del Plan fortalecimiento del área  de seguridad vial de la DVBA</t>
  </si>
  <si>
    <t>12 meses</t>
  </si>
  <si>
    <t>2.3.1</t>
  </si>
  <si>
    <t>Contratación de Firma Consultora para la elaboración del Plan Maestro de inversión vial de la PBA</t>
  </si>
  <si>
    <t>20 meses</t>
  </si>
  <si>
    <t>2.3.2</t>
  </si>
  <si>
    <t>Contratación de Firma Consultora para la mejora de procesos de gestión de Activos Viales</t>
  </si>
  <si>
    <t>2.3.4</t>
  </si>
  <si>
    <t>Adquisición de Software para gestión de activos viales DVBA</t>
  </si>
  <si>
    <t>Bienes y Servicios</t>
  </si>
  <si>
    <t>Comparación de Precios</t>
  </si>
  <si>
    <t>2.4.1</t>
  </si>
  <si>
    <t>Contratación de Firma Consultora para el mejoramiento del sistema de gobernanza de AUBASA</t>
  </si>
  <si>
    <t>2.4.2</t>
  </si>
  <si>
    <t>Contratacción de Firma Consultora para la incorporación de ITS en sistema de recaudo de peaje</t>
  </si>
  <si>
    <t>3.1.1</t>
  </si>
  <si>
    <t>Contratación de consultores individuales para conformación de UEP dentro de la DVBA</t>
  </si>
  <si>
    <t>CC</t>
  </si>
  <si>
    <t>60 meses</t>
  </si>
  <si>
    <t>Auditoria, Monitoreo y Evaluación desarrollados</t>
  </si>
  <si>
    <t>3.2.1</t>
  </si>
  <si>
    <t>Contratación de Firma Consultora para la Auditoria Externa del Programa</t>
  </si>
  <si>
    <t>50 meses</t>
  </si>
  <si>
    <t>PLAN FINANCIERO MENSUAL DEL PROGRAMA - FONDOS BID</t>
  </si>
  <si>
    <t>Período comprendido:  Año 1 a Año 7</t>
  </si>
  <si>
    <t>Categoría de Inversión               (2)</t>
  </si>
  <si>
    <t>Trimestre 1</t>
  </si>
  <si>
    <t>Trimestre 2</t>
  </si>
  <si>
    <t>Trimestre 3</t>
  </si>
  <si>
    <t>Trimestre 4</t>
  </si>
  <si>
    <t>Total BID</t>
  </si>
  <si>
    <t>Total AL</t>
  </si>
  <si>
    <t>Total año 1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</si>
  <si>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</si>
  <si>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</si>
  <si>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</si>
  <si>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</si>
  <si>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</si>
  <si>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</si>
  <si>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</si>
  <si>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</si>
  <si>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</si>
  <si>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</si>
  <si>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</si>
  <si>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</si>
  <si>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</si>
  <si>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</si>
  <si>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</si>
  <si>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</si>
  <si>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</si>
  <si>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</si>
  <si>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</si>
  <si>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</si>
  <si>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</si>
  <si>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</si>
  <si>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</si>
  <si>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</si>
  <si>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</si>
  <si>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</si>
  <si>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</si>
  <si>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</si>
  <si>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</si>
  <si>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</si>
  <si>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</si>
  <si>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</si>
  <si>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</si>
  <si>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</si>
  <si>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</si>
  <si>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</si>
  <si>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</si>
  <si>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</si>
  <si>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</si>
  <si>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</si>
  <si>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</si>
  <si>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</si>
  <si>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</si>
  <si>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Mes 44</t>
  </si>
  <si>
    <t>Mes 45</t>
  </si>
  <si>
    <t>Mes 46</t>
  </si>
  <si>
    <t>Mes 47</t>
  </si>
  <si>
    <t>Mes 48</t>
  </si>
  <si>
    <t>Mes 49</t>
  </si>
  <si>
    <t>Mes 50</t>
  </si>
  <si>
    <t>Mes 51</t>
  </si>
  <si>
    <t>Mes 52</t>
  </si>
  <si>
    <t>Mes 53</t>
  </si>
  <si>
    <t>Mes 54</t>
  </si>
  <si>
    <t>Mes 55</t>
  </si>
  <si>
    <t>Mes 56</t>
  </si>
  <si>
    <t>Mes 57</t>
  </si>
  <si>
    <t>Mes 58</t>
  </si>
  <si>
    <t>Mes 59</t>
  </si>
  <si>
    <t>Mes 60</t>
  </si>
  <si>
    <t>Caledario Project</t>
  </si>
  <si>
    <t>Proyecciòn de desembolso</t>
  </si>
  <si>
    <t>PLAN FINANCIERO ANUAL DEL PROGRAMA</t>
  </si>
  <si>
    <t xml:space="preserve">Categoría de Inversión               </t>
  </si>
  <si>
    <t>Total Programa</t>
  </si>
  <si>
    <t>Total año</t>
  </si>
  <si>
    <t>ACUMULATIVO</t>
  </si>
  <si>
    <t>INFORMACIÓN PARA CARGA INICIAL DEL PLAN DE ADQUISICIONES (EN CURSO Y/O ULTIMO PRESENTADO)</t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</si>
  <si>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</si>
  <si>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</si>
  <si>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</si>
  <si>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</si>
  <si>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</si>
  <si>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</si>
  <si>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</si>
  <si>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</si>
  <si>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</si>
  <si>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</si>
  <si>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</si>
  <si>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</si>
  <si>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</si>
  <si>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</si>
  <si>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</si>
  <si>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</si>
  <si>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</si>
  <si>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</si>
  <si>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</si>
  <si>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</si>
  <si>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Unidad Ejecutora del Programa (UEP)</t>
  </si>
  <si>
    <t>Duplicación de calzada RP 41, tramo RN7-RN8</t>
  </si>
  <si>
    <t>Licitación Pública Internacional </t>
  </si>
  <si>
    <t xml:space="preserve">A licitarse ad referéndum de la aprobación del préstamo </t>
  </si>
  <si>
    <t>Previsto</t>
  </si>
  <si>
    <t>Obras viales en la PBA de acuerdo a los criterios de elegibilidad del programa</t>
  </si>
  <si>
    <t>Proceso en curso</t>
  </si>
  <si>
    <t>Relicitación</t>
  </si>
  <si>
    <t>Proceso Cancelado</t>
  </si>
  <si>
    <t>Declaración de Licitación Desierta</t>
  </si>
  <si>
    <t>Rechazo de Ofertas</t>
  </si>
  <si>
    <t>BIENES y SERVICIOS CONEXOS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</si>
  <si>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</si>
  <si>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</si>
  <si>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Contrato Terminado</t>
  </si>
  <si>
    <t>Adquisición de software para gestión de activos viales DVBA</t>
  </si>
  <si>
    <t>Comparación de Precios </t>
  </si>
  <si>
    <t>Licitación Pública Nacional </t>
  </si>
  <si>
    <t>Contratación Directa 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</si>
  <si>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</si>
  <si>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</si>
  <si>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</si>
  <si>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</si>
  <si>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</si>
  <si>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</si>
  <si>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Selección Basada en la Calidad y Costo </t>
  </si>
  <si>
    <t>Selección Basada en la Calidad </t>
  </si>
  <si>
    <t>Comparación de Calificaciones</t>
  </si>
  <si>
    <t>CONSULTORÍAS FIRMAS</t>
  </si>
  <si>
    <t>Aviso de Expresiones de Interés</t>
  </si>
  <si>
    <t>Selección basada en el menor costo </t>
  </si>
  <si>
    <t xml:space="preserve">Estudios técnicos y pre-inversión </t>
  </si>
  <si>
    <t>Elaboración de proyectos ejecutivos programa de inversión de la DBVA</t>
  </si>
  <si>
    <t xml:space="preserve">Seguridad vial </t>
  </si>
  <si>
    <t>Audirotia de Seguridad Vial en Corredores</t>
  </si>
  <si>
    <t xml:space="preserve">Consultorías para el fortalecimiento del área de seguridad vial de la DVBA </t>
  </si>
  <si>
    <t>Fortalecimiento de la DBVA</t>
  </si>
  <si>
    <t>Consultorías la Elaboración del Plan Maestro de inversión vial de la PBA</t>
  </si>
  <si>
    <t>Consultorías para mejora de procesos de gestión de activos viales</t>
  </si>
  <si>
    <t>Fortalecimiento de AUBASA</t>
  </si>
  <si>
    <t>Consultoría para incorporacion de ITS en sistema de recaudo de peajes</t>
  </si>
  <si>
    <t>Consultoría para mejoramiento de sistema de gobernanza de AUBASA</t>
  </si>
  <si>
    <t>Inspección de las obras</t>
  </si>
  <si>
    <t>Contratación de firmas para la inspección de la obra de muestra del Programa</t>
  </si>
  <si>
    <t>Llave en mano</t>
  </si>
  <si>
    <t>Bienes </t>
  </si>
  <si>
    <t>Contratación de firmas para la inspección de otras obras incluidas en el Programa</t>
  </si>
  <si>
    <t>Auditoría, Monitoreo y Evaluación del Programa</t>
  </si>
  <si>
    <t>Precios Unitarios</t>
  </si>
  <si>
    <t>CONSULTORÍAS INDIVIDUOS</t>
  </si>
  <si>
    <t>Suma Alzada</t>
  </si>
  <si>
    <t>Cantidad Estimada de Consultores:</t>
  </si>
  <si>
    <t>Obras </t>
  </si>
  <si>
    <t>No Objeción a los TdR de la Actividad</t>
  </si>
  <si>
    <t>Firma Contrato</t>
  </si>
  <si>
    <t>Contratación de consultores individuales para conformación de Unidad Ejecutora de Programa dentro de la DVBA</t>
  </si>
  <si>
    <t>Servicios de No Consultoría </t>
  </si>
  <si>
    <t>Suma global</t>
  </si>
  <si>
    <t>Consultoría - Firmas </t>
  </si>
  <si>
    <t>Suma global + Gastos Reembolsables</t>
  </si>
  <si>
    <t>Adquisición de Servicios de no consultoría</t>
  </si>
  <si>
    <t>Solicitud de Propuestas y Términos de Referencia</t>
  </si>
  <si>
    <t>Términos de Referencia</t>
  </si>
  <si>
    <t>Tiempo Trabajado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</si>
  <si>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</si>
  <si>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</si>
  <si>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</si>
  <si>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</si>
  <si>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</si>
  <si>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</si>
  <si>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</si>
  <si>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</si>
  <si>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Agosto 28-2017-) :</t>
  </si>
  <si>
    <t>3. Tipos de Gasto</t>
  </si>
  <si>
    <t>Categoría de Adquisición</t>
  </si>
  <si>
    <t>Monto Financiado por el Banco</t>
  </si>
  <si>
    <t>Monto Total Proyecto (Incluyendo Contraparte)</t>
  </si>
  <si>
    <t>Obras de mejoramiento en red vial principal de la PBA</t>
  </si>
  <si>
    <t>Servicios de No Consultoría</t>
  </si>
  <si>
    <t>Gastos Operativos</t>
  </si>
  <si>
    <t>Consultoría (firmas + individuos)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</si>
  <si>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</si>
  <si>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</si>
  <si>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 xml:space="preserve">Obras civiles y fiscalización </t>
    </r>
  </si>
  <si>
    <r>
      <t xml:space="preserve">Componente 2 - </t>
    </r>
    <r>
      <rPr>
        <i/>
        <sz val="10"/>
        <rFont val="Calibri"/>
        <family val="2"/>
      </rPr>
      <t>Fortalecimiento Institucional</t>
    </r>
  </si>
  <si>
    <t>PLAN DE ADQUISICIONES GLOBAL</t>
  </si>
  <si>
    <t>Proyecto de Habilitación de la Ruta Nº 9</t>
  </si>
  <si>
    <t>Método de Selección/Adquisición
(Seleccionar una de las opciones):</t>
  </si>
  <si>
    <t>Componente Asociado :</t>
  </si>
  <si>
    <t>Método de Revisión (Seleccionar una de las opciones):</t>
  </si>
  <si>
    <t>Comentarios</t>
  </si>
  <si>
    <t>Monto Estimado, en u$s :</t>
  </si>
  <si>
    <t>Comp. 1</t>
  </si>
  <si>
    <t>ECATEF/DV</t>
  </si>
  <si>
    <t>TOTAL OBRAS</t>
  </si>
  <si>
    <t>BIENES</t>
  </si>
  <si>
    <t>Método de Adquisición
(Seleccionar una de las opciones):</t>
  </si>
  <si>
    <t>TOTAL BIENES</t>
  </si>
  <si>
    <t>TOTAL DE SERVICIOS DE NO CONSULTORIA</t>
  </si>
  <si>
    <t>Descripción adicional (producto relacionado)</t>
  </si>
  <si>
    <t>Selección basada en las calificaciones de los consultores</t>
  </si>
  <si>
    <t>Ex ante</t>
  </si>
  <si>
    <t>TOTAL CONSULTORIAS FIRMAS</t>
  </si>
  <si>
    <t>Cantidad Estimada de Consultores :</t>
  </si>
  <si>
    <t>No Objeción a los TDRs de la Actividad</t>
  </si>
  <si>
    <t>TOTAL CONSULTORIAS INDIVIDUALES</t>
  </si>
  <si>
    <t>OTROS</t>
  </si>
  <si>
    <t>Consultoría - Individuos </t>
  </si>
  <si>
    <t>T1-Año 2</t>
  </si>
  <si>
    <t>T4-Año 2</t>
  </si>
  <si>
    <t>TOTAL OTROS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</si>
  <si>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</si>
  <si>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</si>
  <si>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</si>
  <si>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</si>
  <si>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</si>
  <si>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</si>
  <si>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</si>
  <si>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</si>
  <si>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</si>
  <si>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</si>
  <si>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TOTAL CAPACITACIÓN</t>
  </si>
  <si>
    <t>TOTAL OTROS (PAGOS POR SERVICIOS AMBIENTALES)</t>
  </si>
  <si>
    <t>CRONOGRAMA DE DESEMBOLSO ESTIMADO</t>
  </si>
  <si>
    <t xml:space="preserve">OBRA: </t>
  </si>
  <si>
    <t>LONGITUD: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</si>
  <si>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</si>
  <si>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</si>
  <si>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</si>
  <si>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</si>
  <si>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</si>
  <si>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</si>
  <si>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</si>
  <si>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</si>
  <si>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</si>
  <si>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</si>
  <si>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</si>
  <si>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</si>
  <si>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</si>
  <si>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</si>
  <si>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</si>
  <si>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</si>
  <si>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</si>
  <si>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</si>
  <si>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</si>
  <si>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</si>
  <si>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</si>
  <si>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</si>
  <si>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Dólares.</t>
  </si>
  <si>
    <t>Diferencia:</t>
  </si>
  <si>
    <t>Anticipo</t>
  </si>
  <si>
    <t>LOCAL</t>
  </si>
  <si>
    <t>EXTERNO</t>
  </si>
  <si>
    <t>Matenimiento</t>
  </si>
  <si>
    <t>total</t>
  </si>
  <si>
    <t>Obs.: Montos de los Desembolsos en Guaranies.</t>
  </si>
  <si>
    <t>45% Variable</t>
  </si>
  <si>
    <t>total + 45%/24</t>
  </si>
  <si>
    <t>Km de carreteras de la red vial primaria provincial mejoradas por el programa (otras obras)</t>
  </si>
  <si>
    <t>Componente</t>
  </si>
  <si>
    <t>Subcomponente</t>
  </si>
  <si>
    <t>Producto de Matriz de Resultados Asociado</t>
  </si>
  <si>
    <t>Km de carreteras de la RP Nº41 mejoradas por el programa</t>
  </si>
  <si>
    <t>Plan de inversión vial de la PBA</t>
  </si>
  <si>
    <t>Nº de corredores de la RVP de la PBA con auditorías de seguridad vial</t>
  </si>
  <si>
    <t>Plan de fortalecimiento del área de seguridad vial de la PBA</t>
  </si>
  <si>
    <t>Sistema de gestión de activos viales de la PBA</t>
  </si>
  <si>
    <t>Plan de mejora de gobernanza corporativa de AUBASA</t>
  </si>
  <si>
    <t>Plan de incorporación de ITS para recaudación de peajes en AUBASA</t>
  </si>
  <si>
    <t>Contratación de Firma Consultora para la elaboración de proyectos ejecutivos del programa de inversión de la DVBA</t>
  </si>
  <si>
    <t>Nombre del Componente/Producto/Actividad</t>
  </si>
  <si>
    <t>2.5.1</t>
  </si>
  <si>
    <t>2.6.1</t>
  </si>
  <si>
    <t>CUADRO DE COSTOS POR PRODUCTO</t>
  </si>
  <si>
    <t>Km de carreteras con proyectos en condiciones de ser licitados</t>
  </si>
  <si>
    <t>Actividad/Producto</t>
  </si>
  <si>
    <t>2.7.1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</si>
</sst>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78" formatCode="_(* #,##0.0_);_(* \(#,##0.0\);_(* &quot;-&quot;_);_(@_)"/>
    <numFmt numFmtId="179" formatCode="[$-C0A]mmm\-yy;@"/>
    <numFmt numFmtId="180" formatCode="[$-3C0A]mmmm&quot; de &quot;yyyy;@"/>
    <numFmt numFmtId="181" formatCode="dd/mm/yy;@"/>
    <numFmt numFmtId="182" formatCode="0.000%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8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8"/>
        <bgColor indexed="64"/>
      </patternFill>
    </fill>
  </fills>
  <borders count="10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53511154515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85351115451523"/>
      </left>
      <right/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thin">
        <color theme="3" tint="0.39985351115451523"/>
      </bottom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/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39985351115451523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3" tint="0.39988402966399123"/>
      </bottom>
      <diagonal/>
    </border>
    <border>
      <left/>
      <right style="medium">
        <color theme="0"/>
      </right>
      <top/>
      <bottom style="thin">
        <color indexed="64"/>
      </bottom>
      <diagonal/>
    </border>
  </borders>
  <cellStyleXfs count="142">
    <xf numFmtId="0" fontId="0" fillId="0" borderId="0"/>
    <xf numFmtId="0" fontId="11" fillId="0" borderId="0">
      <protection locked="0"/>
    </xf>
    <xf numFmtId="0" fontId="11" fillId="0" borderId="0"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165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1" fillId="0" borderId="0">
      <protection locked="0"/>
    </xf>
    <xf numFmtId="167" fontId="11" fillId="0" borderId="0">
      <protection locked="0"/>
    </xf>
    <xf numFmtId="0" fontId="9" fillId="0" borderId="0"/>
    <xf numFmtId="9" fontId="9" fillId="0" borderId="0" applyFont="0" applyFill="0" applyBorder="0" applyAlignment="0" applyProtection="0"/>
    <xf numFmtId="168" fontId="11" fillId="0" borderId="0">
      <protection locked="0"/>
    </xf>
    <xf numFmtId="169" fontId="11" fillId="0" borderId="0">
      <protection locked="0"/>
    </xf>
    <xf numFmtId="43" fontId="9" fillId="0" borderId="0" applyFont="0" applyFill="0" applyBorder="0" applyAlignment="0" applyProtection="0"/>
    <xf numFmtId="0" fontId="6" fillId="0" borderId="0"/>
    <xf numFmtId="0" fontId="14" fillId="0" borderId="0"/>
    <xf numFmtId="172" fontId="14" fillId="0" borderId="0"/>
    <xf numFmtId="172" fontId="9" fillId="0" borderId="0"/>
    <xf numFmtId="172" fontId="5" fillId="0" borderId="0"/>
    <xf numFmtId="0" fontId="9" fillId="0" borderId="0"/>
    <xf numFmtId="172" fontId="29" fillId="13" borderId="0" applyNumberFormat="0" applyBorder="0" applyAlignment="0" applyProtection="0"/>
    <xf numFmtId="172" fontId="29" fillId="14" borderId="0" applyNumberFormat="0" applyBorder="0" applyAlignment="0" applyProtection="0"/>
    <xf numFmtId="172" fontId="29" fillId="15" borderId="0" applyNumberFormat="0" applyBorder="0" applyAlignment="0" applyProtection="0"/>
    <xf numFmtId="172" fontId="29" fillId="16" borderId="0" applyNumberFormat="0" applyBorder="0" applyAlignment="0" applyProtection="0"/>
    <xf numFmtId="172" fontId="29" fillId="17" borderId="0" applyNumberFormat="0" applyBorder="0" applyAlignment="0" applyProtection="0"/>
    <xf numFmtId="172" fontId="29" fillId="18" borderId="0" applyNumberFormat="0" applyBorder="0" applyAlignment="0" applyProtection="0"/>
    <xf numFmtId="172" fontId="29" fillId="19" borderId="0" applyNumberFormat="0" applyBorder="0" applyAlignment="0" applyProtection="0"/>
    <xf numFmtId="172" fontId="29" fillId="20" borderId="0" applyNumberFormat="0" applyBorder="0" applyAlignment="0" applyProtection="0"/>
    <xf numFmtId="172" fontId="29" fillId="21" borderId="0" applyNumberFormat="0" applyBorder="0" applyAlignment="0" applyProtection="0"/>
    <xf numFmtId="172" fontId="29" fillId="16" borderId="0" applyNumberFormat="0" applyBorder="0" applyAlignment="0" applyProtection="0"/>
    <xf numFmtId="172" fontId="29" fillId="19" borderId="0" applyNumberFormat="0" applyBorder="0" applyAlignment="0" applyProtection="0"/>
    <xf numFmtId="172" fontId="29" fillId="22" borderId="0" applyNumberFormat="0" applyBorder="0" applyAlignment="0" applyProtection="0"/>
    <xf numFmtId="172" fontId="30" fillId="23" borderId="0" applyNumberFormat="0" applyBorder="0" applyAlignment="0" applyProtection="0"/>
    <xf numFmtId="172" fontId="30" fillId="20" borderId="0" applyNumberFormat="0" applyBorder="0" applyAlignment="0" applyProtection="0"/>
    <xf numFmtId="172" fontId="30" fillId="21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26" borderId="0" applyNumberFormat="0" applyBorder="0" applyAlignment="0" applyProtection="0"/>
    <xf numFmtId="172" fontId="30" fillId="27" borderId="0" applyNumberFormat="0" applyBorder="0" applyAlignment="0" applyProtection="0"/>
    <xf numFmtId="172" fontId="30" fillId="28" borderId="0" applyNumberFormat="0" applyBorder="0" applyAlignment="0" applyProtection="0"/>
    <xf numFmtId="172" fontId="30" fillId="29" borderId="0" applyNumberFormat="0" applyBorder="0" applyAlignment="0" applyProtection="0"/>
    <xf numFmtId="172" fontId="30" fillId="24" borderId="0" applyNumberFormat="0" applyBorder="0" applyAlignment="0" applyProtection="0"/>
    <xf numFmtId="172" fontId="30" fillId="25" borderId="0" applyNumberFormat="0" applyBorder="0" applyAlignment="0" applyProtection="0"/>
    <xf numFmtId="172" fontId="30" fillId="30" borderId="0" applyNumberFormat="0" applyBorder="0" applyAlignment="0" applyProtection="0"/>
    <xf numFmtId="172" fontId="31" fillId="14" borderId="0" applyNumberFormat="0" applyBorder="0" applyAlignment="0" applyProtection="0"/>
    <xf numFmtId="172" fontId="32" fillId="31" borderId="39" applyNumberFormat="0" applyAlignment="0" applyProtection="0"/>
    <xf numFmtId="172" fontId="33" fillId="32" borderId="40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34" fillId="0" borderId="0" applyNumberFormat="0" applyFill="0" applyBorder="0" applyAlignment="0" applyProtection="0"/>
    <xf numFmtId="172" fontId="35" fillId="15" borderId="0" applyNumberFormat="0" applyBorder="0" applyAlignment="0" applyProtection="0"/>
    <xf numFmtId="172" fontId="36" fillId="0" borderId="41" applyNumberFormat="0" applyFill="0" applyAlignment="0" applyProtection="0"/>
    <xf numFmtId="172" fontId="37" fillId="0" borderId="42" applyNumberFormat="0" applyFill="0" applyAlignment="0" applyProtection="0"/>
    <xf numFmtId="172" fontId="38" fillId="0" borderId="43" applyNumberFormat="0" applyFill="0" applyAlignment="0" applyProtection="0"/>
    <xf numFmtId="172" fontId="38" fillId="0" borderId="0" applyNumberFormat="0" applyFill="0" applyBorder="0" applyAlignment="0" applyProtection="0"/>
    <xf numFmtId="172" fontId="39" fillId="18" borderId="39" applyNumberFormat="0" applyAlignment="0" applyProtection="0"/>
    <xf numFmtId="172" fontId="40" fillId="0" borderId="44" applyNumberFormat="0" applyFill="0" applyAlignment="0" applyProtection="0"/>
    <xf numFmtId="173" fontId="9" fillId="0" borderId="0" applyFill="0" applyBorder="0" applyAlignment="0" applyProtection="0"/>
    <xf numFmtId="173" fontId="9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9" fillId="0" borderId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6" fontId="9" fillId="0" borderId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ill="0" applyBorder="0" applyAlignment="0" applyProtection="0"/>
    <xf numFmtId="172" fontId="41" fillId="33" borderId="0" applyNumberFormat="0" applyBorder="0" applyAlignment="0" applyProtection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0" fontId="9" fillId="0" borderId="0"/>
    <xf numFmtId="0" fontId="5" fillId="0" borderId="0"/>
    <xf numFmtId="0" fontId="5" fillId="0" borderId="0"/>
    <xf numFmtId="172" fontId="9" fillId="0" borderId="0"/>
    <xf numFmtId="0" fontId="5" fillId="0" borderId="0"/>
    <xf numFmtId="172" fontId="9" fillId="0" borderId="0"/>
    <xf numFmtId="172" fontId="9" fillId="0" borderId="0"/>
    <xf numFmtId="0" fontId="9" fillId="0" borderId="0"/>
    <xf numFmtId="172" fontId="29" fillId="0" borderId="0"/>
    <xf numFmtId="172" fontId="9" fillId="0" borderId="0"/>
    <xf numFmtId="172" fontId="9" fillId="0" borderId="0"/>
    <xf numFmtId="0" fontId="9" fillId="0" borderId="0"/>
    <xf numFmtId="172" fontId="9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172" fontId="14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34" borderId="45" applyNumberFormat="0" applyFont="0" applyAlignment="0" applyProtection="0"/>
    <xf numFmtId="172" fontId="42" fillId="31" borderId="46" applyNumberForma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43" fillId="0" borderId="0" applyNumberFormat="0" applyFill="0" applyBorder="0" applyAlignment="0" applyProtection="0"/>
    <xf numFmtId="172" fontId="44" fillId="0" borderId="47" applyNumberFormat="0" applyFill="0" applyAlignment="0" applyProtection="0"/>
    <xf numFmtId="172" fontId="45" fillId="0" borderId="0" applyNumberFormat="0" applyFill="0" applyBorder="0" applyAlignment="0" applyProtection="0"/>
    <xf numFmtId="172" fontId="5" fillId="0" borderId="0"/>
    <xf numFmtId="172" fontId="4" fillId="0" borderId="0"/>
    <xf numFmtId="9" fontId="9" fillId="0" borderId="0" applyFont="0" applyFill="0" applyBorder="0" applyAlignment="0" applyProtection="0"/>
    <xf numFmtId="172" fontId="3" fillId="0" borderId="0"/>
    <xf numFmtId="172" fontId="2" fillId="0" borderId="0"/>
    <xf numFmtId="172" fontId="2" fillId="0" borderId="0"/>
    <xf numFmtId="43" fontId="51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172" fontId="1" fillId="0" borderId="0"/>
    <xf numFmtId="43" fontId="52" fillId="0" borderId="0" applyFont="0" applyFill="0" applyBorder="0" applyAlignment="0" applyProtection="0"/>
  </cellStyleXfs>
  <cellXfs count="647">
    <xf numFmtId="0" fontId="0" fillId="0" borderId="0" xfId="0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8" fillId="0" borderId="0" xfId="22" applyNumberFormat="1" applyFont="1" applyBorder="1" applyAlignment="1">
      <alignment vertical="center"/>
    </xf>
    <xf numFmtId="0" fontId="19" fillId="4" borderId="25" xfId="0" applyFont="1" applyFill="1" applyBorder="1" applyAlignment="1">
      <alignment horizontal="right" vertical="center"/>
    </xf>
    <xf numFmtId="0" fontId="19" fillId="4" borderId="25" xfId="0" applyFont="1" applyFill="1" applyBorder="1" applyAlignment="1">
      <alignment vertical="center"/>
    </xf>
    <xf numFmtId="41" fontId="19" fillId="4" borderId="25" xfId="16" applyFont="1" applyFill="1" applyBorder="1" applyAlignment="1">
      <alignment vertical="center"/>
    </xf>
    <xf numFmtId="0" fontId="20" fillId="3" borderId="25" xfId="0" applyFont="1" applyFill="1" applyBorder="1" applyAlignment="1">
      <alignment horizontal="right" vertical="center"/>
    </xf>
    <xf numFmtId="0" fontId="20" fillId="3" borderId="25" xfId="0" applyFont="1" applyFill="1" applyBorder="1" applyAlignment="1">
      <alignment vertical="center"/>
    </xf>
    <xf numFmtId="41" fontId="20" fillId="3" borderId="0" xfId="16" applyFont="1" applyFill="1" applyBorder="1" applyAlignment="1">
      <alignment vertical="center"/>
    </xf>
    <xf numFmtId="0" fontId="10" fillId="0" borderId="0" xfId="0" applyFont="1"/>
    <xf numFmtId="0" fontId="24" fillId="7" borderId="19" xfId="0" applyFont="1" applyFill="1" applyBorder="1" applyAlignment="1">
      <alignment horizontal="right" vertical="center"/>
    </xf>
    <xf numFmtId="0" fontId="19" fillId="7" borderId="19" xfId="0" applyFont="1" applyFill="1" applyBorder="1" applyAlignment="1">
      <alignment vertical="center"/>
    </xf>
    <xf numFmtId="41" fontId="19" fillId="7" borderId="1" xfId="0" applyNumberFormat="1" applyFont="1" applyFill="1" applyBorder="1" applyAlignment="1">
      <alignment horizontal="right" vertical="center"/>
    </xf>
    <xf numFmtId="0" fontId="25" fillId="7" borderId="24" xfId="0" applyFont="1" applyFill="1" applyBorder="1" applyAlignment="1">
      <alignment horizontal="center" vertical="center"/>
    </xf>
    <xf numFmtId="0" fontId="26" fillId="7" borderId="26" xfId="0" applyFont="1" applyFill="1" applyBorder="1" applyAlignment="1">
      <alignment horizontal="center" vertical="center"/>
    </xf>
    <xf numFmtId="172" fontId="23" fillId="0" borderId="0" xfId="28" applyFont="1" applyAlignment="1">
      <alignment vertical="center"/>
    </xf>
    <xf numFmtId="172" fontId="23" fillId="0" borderId="0" xfId="28" applyFont="1" applyAlignment="1">
      <alignment horizontal="center" vertical="center"/>
    </xf>
    <xf numFmtId="170" fontId="17" fillId="0" borderId="0" xfId="25" applyNumberFormat="1" applyFont="1" applyAlignment="1">
      <alignment vertical="center"/>
    </xf>
    <xf numFmtId="172" fontId="17" fillId="0" borderId="0" xfId="28" applyFont="1" applyAlignment="1">
      <alignment vertical="center"/>
    </xf>
    <xf numFmtId="172" fontId="18" fillId="0" borderId="0" xfId="28" applyFont="1" applyAlignment="1">
      <alignment vertical="center"/>
    </xf>
    <xf numFmtId="172" fontId="27" fillId="0" borderId="0" xfId="28" applyFont="1" applyAlignment="1">
      <alignment vertical="center" wrapText="1"/>
    </xf>
    <xf numFmtId="3" fontId="27" fillId="0" borderId="0" xfId="25" applyNumberFormat="1" applyFont="1" applyAlignment="1">
      <alignment horizontal="center" vertical="center"/>
    </xf>
    <xf numFmtId="17" fontId="27" fillId="0" borderId="0" xfId="28" applyNumberFormat="1" applyFont="1" applyAlignment="1">
      <alignment horizontal="center" vertical="center"/>
    </xf>
    <xf numFmtId="170" fontId="18" fillId="0" borderId="0" xfId="25" applyNumberFormat="1" applyFont="1" applyAlignment="1">
      <alignment horizontal="center" vertical="center"/>
    </xf>
    <xf numFmtId="172" fontId="16" fillId="0" borderId="0" xfId="29" applyFont="1" applyAlignment="1">
      <alignment horizontal="right"/>
    </xf>
    <xf numFmtId="172" fontId="18" fillId="0" borderId="0" xfId="28" applyFont="1" applyAlignment="1">
      <alignment vertical="center" wrapText="1"/>
    </xf>
    <xf numFmtId="172" fontId="17" fillId="6" borderId="28" xfId="28" applyFont="1" applyFill="1" applyBorder="1" applyAlignment="1">
      <alignment horizontal="right" vertical="center"/>
    </xf>
    <xf numFmtId="3" fontId="21" fillId="6" borderId="28" xfId="28" applyNumberFormat="1" applyFont="1" applyFill="1" applyBorder="1" applyAlignment="1">
      <alignment horizontal="center" vertical="center" wrapText="1"/>
    </xf>
    <xf numFmtId="3" fontId="23" fillId="6" borderId="28" xfId="28" applyNumberFormat="1" applyFont="1" applyFill="1" applyBorder="1" applyAlignment="1">
      <alignment horizontal="center" vertical="center" wrapText="1"/>
    </xf>
    <xf numFmtId="17" fontId="23" fillId="6" borderId="28" xfId="28" applyNumberFormat="1" applyFont="1" applyFill="1" applyBorder="1" applyAlignment="1">
      <alignment horizontal="center" vertical="center" wrapText="1"/>
    </xf>
    <xf numFmtId="170" fontId="21" fillId="6" borderId="28" xfId="25" applyNumberFormat="1" applyFont="1" applyFill="1" applyBorder="1" applyAlignment="1">
      <alignment horizontal="center" vertical="center"/>
    </xf>
    <xf numFmtId="170" fontId="21" fillId="8" borderId="28" xfId="25" applyNumberFormat="1" applyFont="1" applyFill="1" applyBorder="1" applyAlignment="1">
      <alignment horizontal="center" vertical="center" wrapText="1"/>
    </xf>
    <xf numFmtId="3" fontId="21" fillId="6" borderId="29" xfId="28" applyNumberFormat="1" applyFont="1" applyFill="1" applyBorder="1" applyAlignment="1">
      <alignment horizontal="right" vertical="center" wrapText="1"/>
    </xf>
    <xf numFmtId="3" fontId="21" fillId="6" borderId="29" xfId="28" applyNumberFormat="1" applyFont="1" applyFill="1" applyBorder="1" applyAlignment="1">
      <alignment horizontal="left" vertical="center" wrapText="1"/>
    </xf>
    <xf numFmtId="3" fontId="23" fillId="6" borderId="29" xfId="28" applyNumberFormat="1" applyFont="1" applyFill="1" applyBorder="1" applyAlignment="1">
      <alignment horizontal="left" vertical="center" wrapText="1"/>
    </xf>
    <xf numFmtId="3" fontId="23" fillId="6" borderId="29" xfId="25" applyNumberFormat="1" applyFont="1" applyFill="1" applyBorder="1" applyAlignment="1">
      <alignment horizontal="center" vertical="center" wrapText="1"/>
    </xf>
    <xf numFmtId="17" fontId="27" fillId="6" borderId="29" xfId="28" applyNumberFormat="1" applyFont="1" applyFill="1" applyBorder="1" applyAlignment="1">
      <alignment horizontal="center" vertical="center" wrapText="1"/>
    </xf>
    <xf numFmtId="170" fontId="28" fillId="6" borderId="29" xfId="25" applyNumberFormat="1" applyFont="1" applyFill="1" applyBorder="1" applyAlignment="1">
      <alignment horizontal="center" vertical="center" wrapText="1"/>
    </xf>
    <xf numFmtId="3" fontId="17" fillId="0" borderId="29" xfId="28" applyNumberFormat="1" applyFont="1" applyFill="1" applyBorder="1" applyAlignment="1">
      <alignment horizontal="right" vertical="center"/>
    </xf>
    <xf numFmtId="3" fontId="17" fillId="0" borderId="30" xfId="28" applyNumberFormat="1" applyFont="1" applyFill="1" applyBorder="1" applyAlignment="1">
      <alignment horizontal="right" vertical="center"/>
    </xf>
    <xf numFmtId="172" fontId="21" fillId="8" borderId="31" xfId="28" applyFont="1" applyFill="1" applyBorder="1" applyAlignment="1">
      <alignment horizontal="right" vertical="center"/>
    </xf>
    <xf numFmtId="172" fontId="21" fillId="8" borderId="31" xfId="30" applyFont="1" applyFill="1" applyBorder="1" applyAlignment="1">
      <alignment horizontal="left" vertical="center" wrapText="1"/>
    </xf>
    <xf numFmtId="172" fontId="23" fillId="8" borderId="31" xfId="30" applyFont="1" applyFill="1" applyBorder="1" applyAlignment="1">
      <alignment horizontal="left" vertical="center" wrapText="1"/>
    </xf>
    <xf numFmtId="3" fontId="23" fillId="8" borderId="31" xfId="25" applyNumberFormat="1" applyFont="1" applyFill="1" applyBorder="1" applyAlignment="1">
      <alignment horizontal="center" vertical="center" wrapText="1"/>
    </xf>
    <xf numFmtId="17" fontId="27" fillId="8" borderId="31" xfId="28" applyNumberFormat="1" applyFont="1" applyFill="1" applyBorder="1" applyAlignment="1">
      <alignment horizontal="center" vertical="center" wrapText="1"/>
    </xf>
    <xf numFmtId="170" fontId="28" fillId="8" borderId="31" xfId="25" applyNumberFormat="1" applyFont="1" applyFill="1" applyBorder="1" applyAlignment="1">
      <alignment horizontal="center" vertical="center" wrapText="1"/>
    </xf>
    <xf numFmtId="3" fontId="17" fillId="0" borderId="31" xfId="28" applyNumberFormat="1" applyFont="1" applyFill="1" applyBorder="1" applyAlignment="1">
      <alignment horizontal="right" vertical="center"/>
    </xf>
    <xf numFmtId="172" fontId="18" fillId="0" borderId="31" xfId="28" applyFont="1" applyFill="1" applyBorder="1" applyAlignment="1">
      <alignment horizontal="right" vertical="center"/>
    </xf>
    <xf numFmtId="3" fontId="18" fillId="0" borderId="31" xfId="28" applyNumberFormat="1" applyFont="1" applyFill="1" applyBorder="1" applyAlignment="1">
      <alignment horizontal="left" vertical="center" wrapText="1"/>
    </xf>
    <xf numFmtId="3" fontId="27" fillId="0" borderId="31" xfId="28" applyNumberFormat="1" applyFont="1" applyFill="1" applyBorder="1" applyAlignment="1">
      <alignment horizontal="left" vertical="center" wrapText="1"/>
    </xf>
    <xf numFmtId="3" fontId="27" fillId="0" borderId="31" xfId="25" applyNumberFormat="1" applyFont="1" applyFill="1" applyBorder="1" applyAlignment="1">
      <alignment horizontal="center" vertical="center" wrapText="1"/>
    </xf>
    <xf numFmtId="17" fontId="27" fillId="2" borderId="31" xfId="28" applyNumberFormat="1" applyFont="1" applyFill="1" applyBorder="1" applyAlignment="1">
      <alignment horizontal="center" vertical="center" wrapText="1"/>
    </xf>
    <xf numFmtId="170" fontId="18" fillId="2" borderId="31" xfId="25" applyNumberFormat="1" applyFont="1" applyFill="1" applyBorder="1" applyAlignment="1">
      <alignment horizontal="center" vertical="center" wrapText="1"/>
    </xf>
    <xf numFmtId="3" fontId="17" fillId="0" borderId="32" xfId="28" applyNumberFormat="1" applyFont="1" applyFill="1" applyBorder="1" applyAlignment="1">
      <alignment horizontal="right" vertical="center"/>
    </xf>
    <xf numFmtId="3" fontId="17" fillId="0" borderId="33" xfId="28" applyNumberFormat="1" applyFont="1" applyFill="1" applyBorder="1" applyAlignment="1">
      <alignment horizontal="right" vertical="center"/>
    </xf>
    <xf numFmtId="3" fontId="17" fillId="0" borderId="34" xfId="28" applyNumberFormat="1" applyFont="1" applyFill="1" applyBorder="1" applyAlignment="1">
      <alignment horizontal="right" vertical="center"/>
    </xf>
    <xf numFmtId="3" fontId="17" fillId="0" borderId="35" xfId="28" applyNumberFormat="1" applyFont="1" applyFill="1" applyBorder="1" applyAlignment="1">
      <alignment horizontal="right" vertical="center"/>
    </xf>
    <xf numFmtId="3" fontId="17" fillId="0" borderId="36" xfId="28" applyNumberFormat="1" applyFont="1" applyFill="1" applyBorder="1" applyAlignment="1">
      <alignment horizontal="right" vertical="center"/>
    </xf>
    <xf numFmtId="172" fontId="21" fillId="6" borderId="31" xfId="28" applyFont="1" applyFill="1" applyBorder="1" applyAlignment="1">
      <alignment horizontal="right" vertical="center"/>
    </xf>
    <xf numFmtId="172" fontId="21" fillId="6" borderId="31" xfId="28" applyFont="1" applyFill="1" applyBorder="1" applyAlignment="1">
      <alignment horizontal="left" vertical="center" wrapText="1"/>
    </xf>
    <xf numFmtId="172" fontId="23" fillId="6" borderId="31" xfId="28" applyFont="1" applyFill="1" applyBorder="1" applyAlignment="1">
      <alignment horizontal="left" vertical="center" wrapText="1"/>
    </xf>
    <xf numFmtId="172" fontId="23" fillId="6" borderId="31" xfId="28" applyFont="1" applyFill="1" applyBorder="1" applyAlignment="1">
      <alignment horizontal="center" vertical="center" wrapText="1"/>
    </xf>
    <xf numFmtId="170" fontId="21" fillId="6" borderId="31" xfId="25" applyNumberFormat="1" applyFont="1" applyFill="1" applyBorder="1" applyAlignment="1">
      <alignment horizontal="left" vertical="center" wrapText="1"/>
    </xf>
    <xf numFmtId="3" fontId="17" fillId="6" borderId="35" xfId="28" applyNumberFormat="1" applyFont="1" applyFill="1" applyBorder="1" applyAlignment="1">
      <alignment horizontal="right" vertical="center"/>
    </xf>
    <xf numFmtId="3" fontId="17" fillId="6" borderId="36" xfId="28" applyNumberFormat="1" applyFont="1" applyFill="1" applyBorder="1" applyAlignment="1">
      <alignment horizontal="right" vertical="center"/>
    </xf>
    <xf numFmtId="172" fontId="18" fillId="0" borderId="0" xfId="28" applyFont="1" applyFill="1" applyAlignment="1">
      <alignment vertical="center"/>
    </xf>
    <xf numFmtId="3" fontId="21" fillId="6" borderId="37" xfId="28" applyNumberFormat="1" applyFont="1" applyFill="1" applyBorder="1" applyAlignment="1">
      <alignment horizontal="right" vertical="center" wrapText="1"/>
    </xf>
    <xf numFmtId="3" fontId="21" fillId="6" borderId="37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left" vertical="center" wrapText="1"/>
    </xf>
    <xf numFmtId="3" fontId="23" fillId="6" borderId="31" xfId="28" applyNumberFormat="1" applyFont="1" applyFill="1" applyBorder="1" applyAlignment="1">
      <alignment horizontal="center" vertical="center" wrapText="1"/>
    </xf>
    <xf numFmtId="170" fontId="21" fillId="6" borderId="37" xfId="25" applyNumberFormat="1" applyFont="1" applyFill="1" applyBorder="1" applyAlignment="1">
      <alignment horizontal="left" vertical="center" wrapText="1"/>
    </xf>
    <xf numFmtId="172" fontId="21" fillId="9" borderId="38" xfId="30" applyFont="1" applyFill="1" applyBorder="1" applyAlignment="1">
      <alignment vertical="center" wrapText="1"/>
    </xf>
    <xf numFmtId="14" fontId="21" fillId="9" borderId="38" xfId="30" applyNumberFormat="1" applyFont="1" applyFill="1" applyBorder="1" applyAlignment="1">
      <alignment horizontal="center" vertical="center"/>
    </xf>
    <xf numFmtId="14" fontId="23" fillId="9" borderId="38" xfId="30" applyNumberFormat="1" applyFont="1" applyFill="1" applyBorder="1" applyAlignment="1">
      <alignment horizontal="center" vertical="center"/>
    </xf>
    <xf numFmtId="170" fontId="21" fillId="9" borderId="38" xfId="25" applyNumberFormat="1" applyFont="1" applyFill="1" applyBorder="1" applyAlignment="1">
      <alignment horizontal="center" vertical="center"/>
    </xf>
    <xf numFmtId="3" fontId="17" fillId="5" borderId="38" xfId="28" applyNumberFormat="1" applyFont="1" applyFill="1" applyBorder="1" applyAlignment="1">
      <alignment vertical="center" wrapText="1"/>
    </xf>
    <xf numFmtId="172" fontId="16" fillId="5" borderId="38" xfId="30" applyFont="1" applyFill="1" applyBorder="1" applyAlignment="1">
      <alignment horizontal="center" vertical="center"/>
    </xf>
    <xf numFmtId="172" fontId="23" fillId="5" borderId="38" xfId="30" applyFont="1" applyFill="1" applyBorder="1" applyAlignment="1">
      <alignment horizontal="center" vertical="center"/>
    </xf>
    <xf numFmtId="170" fontId="16" fillId="5" borderId="38" xfId="25" applyNumberFormat="1" applyFont="1" applyFill="1" applyBorder="1" applyAlignment="1">
      <alignment horizontal="center" vertical="center"/>
    </xf>
    <xf numFmtId="0" fontId="22" fillId="2" borderId="38" xfId="31" applyFont="1" applyFill="1" applyBorder="1" applyAlignment="1">
      <alignment horizontal="right" vertical="center" wrapText="1"/>
    </xf>
    <xf numFmtId="0" fontId="22" fillId="2" borderId="38" xfId="31" applyFont="1" applyFill="1" applyBorder="1" applyAlignment="1">
      <alignment horizontal="justify" vertical="center" wrapText="1"/>
    </xf>
    <xf numFmtId="0" fontId="18" fillId="2" borderId="38" xfId="31" applyFont="1" applyFill="1" applyBorder="1" applyAlignment="1">
      <alignment horizontal="center" vertical="center" wrapText="1"/>
    </xf>
    <xf numFmtId="170" fontId="18" fillId="2" borderId="38" xfId="25" applyNumberFormat="1" applyFont="1" applyFill="1" applyBorder="1" applyAlignment="1">
      <alignment horizontal="center" vertical="center" wrapText="1"/>
    </xf>
    <xf numFmtId="170" fontId="18" fillId="10" borderId="38" xfId="25" applyNumberFormat="1" applyFont="1" applyFill="1" applyBorder="1" applyAlignment="1">
      <alignment horizontal="center" vertical="center" wrapText="1"/>
    </xf>
    <xf numFmtId="170" fontId="18" fillId="11" borderId="38" xfId="25" applyNumberFormat="1" applyFont="1" applyFill="1" applyBorder="1" applyAlignment="1">
      <alignment horizontal="center" vertical="center" wrapText="1"/>
    </xf>
    <xf numFmtId="170" fontId="18" fillId="12" borderId="38" xfId="25" applyNumberFormat="1" applyFont="1" applyFill="1" applyBorder="1" applyAlignment="1">
      <alignment horizontal="center" vertical="center" wrapText="1"/>
    </xf>
    <xf numFmtId="174" fontId="17" fillId="5" borderId="38" xfId="28" applyNumberFormat="1" applyFont="1" applyFill="1" applyBorder="1" applyAlignment="1">
      <alignment horizontal="right" vertical="center" wrapText="1"/>
    </xf>
    <xf numFmtId="0" fontId="21" fillId="9" borderId="38" xfId="30" applyNumberFormat="1" applyFont="1" applyFill="1" applyBorder="1" applyAlignment="1">
      <alignment horizontal="right" vertical="center" wrapText="1"/>
    </xf>
    <xf numFmtId="3" fontId="18" fillId="2" borderId="37" xfId="28" applyNumberFormat="1" applyFont="1" applyFill="1" applyBorder="1" applyAlignment="1">
      <alignment vertical="center" wrapText="1"/>
    </xf>
    <xf numFmtId="172" fontId="18" fillId="0" borderId="0" xfId="28" applyFont="1" applyFill="1" applyAlignment="1">
      <alignment horizontal="right" vertical="center"/>
    </xf>
    <xf numFmtId="41" fontId="18" fillId="0" borderId="0" xfId="59" applyFont="1" applyAlignment="1">
      <alignment vertical="center"/>
    </xf>
    <xf numFmtId="172" fontId="18" fillId="0" borderId="0" xfId="28" applyFont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8" fillId="0" borderId="0" xfId="28" applyFont="1" applyAlignment="1">
      <alignment horizontal="center" vertical="center" wrapText="1"/>
    </xf>
    <xf numFmtId="41" fontId="18" fillId="0" borderId="0" xfId="59" applyFont="1" applyAlignment="1">
      <alignment horizontal="left" vertical="center" wrapText="1"/>
    </xf>
    <xf numFmtId="41" fontId="17" fillId="2" borderId="38" xfId="59" applyFont="1" applyFill="1" applyBorder="1" applyAlignment="1">
      <alignment horizontal="center" vertical="center" wrapText="1"/>
    </xf>
    <xf numFmtId="3" fontId="18" fillId="2" borderId="37" xfId="28" applyNumberFormat="1" applyFont="1" applyFill="1" applyBorder="1" applyAlignment="1">
      <alignment horizontal="center" vertical="center" wrapText="1"/>
    </xf>
    <xf numFmtId="41" fontId="18" fillId="2" borderId="38" xfId="59" applyFont="1" applyFill="1" applyBorder="1" applyAlignment="1">
      <alignment horizontal="right" vertical="center" wrapText="1"/>
    </xf>
    <xf numFmtId="41" fontId="17" fillId="5" borderId="38" xfId="59" applyFont="1" applyFill="1" applyBorder="1" applyAlignment="1">
      <alignment horizontal="center" vertical="center"/>
    </xf>
    <xf numFmtId="178" fontId="17" fillId="5" borderId="38" xfId="59" applyNumberFormat="1" applyFont="1" applyFill="1" applyBorder="1" applyAlignment="1">
      <alignment horizontal="right" vertical="center" wrapText="1"/>
    </xf>
    <xf numFmtId="41" fontId="22" fillId="2" borderId="37" xfId="59" applyFont="1" applyFill="1" applyBorder="1" applyAlignment="1">
      <alignment horizontal="right" vertical="center"/>
    </xf>
    <xf numFmtId="41" fontId="18" fillId="2" borderId="37" xfId="59" applyFont="1" applyFill="1" applyBorder="1" applyAlignment="1">
      <alignment horizontal="right" vertical="center" wrapText="1"/>
    </xf>
    <xf numFmtId="3" fontId="17" fillId="2" borderId="37" xfId="28" applyNumberFormat="1" applyFont="1" applyFill="1" applyBorder="1" applyAlignment="1">
      <alignment horizontal="center" vertical="center" wrapText="1"/>
    </xf>
    <xf numFmtId="0" fontId="18" fillId="2" borderId="48" xfId="31" applyFont="1" applyFill="1" applyBorder="1" applyAlignment="1">
      <alignment horizontal="center" vertical="center" wrapText="1"/>
    </xf>
    <xf numFmtId="172" fontId="18" fillId="2" borderId="0" xfId="28" applyFont="1" applyFill="1" applyAlignment="1">
      <alignment vertical="center"/>
    </xf>
    <xf numFmtId="41" fontId="18" fillId="2" borderId="0" xfId="59" applyFont="1" applyFill="1" applyBorder="1" applyAlignment="1">
      <alignment horizontal="center" vertical="center" wrapText="1"/>
    </xf>
    <xf numFmtId="41" fontId="21" fillId="9" borderId="38" xfId="59" applyFont="1" applyFill="1" applyBorder="1" applyAlignment="1">
      <alignment horizontal="right" vertical="center" wrapText="1"/>
    </xf>
    <xf numFmtId="41" fontId="17" fillId="2" borderId="38" xfId="59" applyNumberFormat="1" applyFont="1" applyFill="1" applyBorder="1" applyAlignment="1">
      <alignment horizontal="center" vertical="center" wrapText="1"/>
    </xf>
    <xf numFmtId="3" fontId="17" fillId="5" borderId="38" xfId="28" applyNumberFormat="1" applyFont="1" applyFill="1" applyBorder="1" applyAlignment="1">
      <alignment horizontal="center" vertical="center" wrapText="1"/>
    </xf>
    <xf numFmtId="170" fontId="21" fillId="9" borderId="38" xfId="59" applyNumberFormat="1" applyFont="1" applyFill="1" applyBorder="1" applyAlignment="1">
      <alignment horizontal="right" vertical="center" wrapText="1"/>
    </xf>
    <xf numFmtId="41" fontId="21" fillId="6" borderId="37" xfId="59" applyFont="1" applyFill="1" applyBorder="1" applyAlignment="1">
      <alignment horizontal="left" vertical="center" wrapText="1"/>
    </xf>
    <xf numFmtId="3" fontId="21" fillId="6" borderId="37" xfId="28" applyNumberFormat="1" applyFont="1" applyFill="1" applyBorder="1" applyAlignment="1">
      <alignment horizontal="center" vertical="center" wrapText="1"/>
    </xf>
    <xf numFmtId="41" fontId="21" fillId="9" borderId="37" xfId="59" applyFont="1" applyFill="1" applyBorder="1" applyAlignment="1">
      <alignment horizontal="center" vertical="center" wrapText="1"/>
    </xf>
    <xf numFmtId="3" fontId="21" fillId="9" borderId="37" xfId="28" applyNumberFormat="1" applyFont="1" applyFill="1" applyBorder="1" applyAlignment="1">
      <alignment horizontal="center" vertical="center" wrapText="1"/>
    </xf>
    <xf numFmtId="41" fontId="21" fillId="9" borderId="37" xfId="59" applyFont="1" applyFill="1" applyBorder="1" applyAlignment="1">
      <alignment horizontal="left" vertical="center" wrapText="1"/>
    </xf>
    <xf numFmtId="41" fontId="17" fillId="0" borderId="0" xfId="59" applyFont="1" applyAlignment="1">
      <alignment horizontal="left" vertical="center"/>
    </xf>
    <xf numFmtId="172" fontId="21" fillId="9" borderId="38" xfId="130" applyFont="1" applyFill="1" applyBorder="1" applyAlignment="1">
      <alignment vertical="center" wrapText="1"/>
    </xf>
    <xf numFmtId="172" fontId="21" fillId="9" borderId="38" xfId="130" applyFont="1" applyFill="1" applyBorder="1" applyAlignment="1">
      <alignment horizontal="center" vertical="center" wrapText="1"/>
    </xf>
    <xf numFmtId="172" fontId="21" fillId="9" borderId="38" xfId="130" applyFont="1" applyFill="1" applyBorder="1" applyAlignment="1">
      <alignment horizontal="center" vertical="center"/>
    </xf>
    <xf numFmtId="14" fontId="21" fillId="9" borderId="38" xfId="130" applyNumberFormat="1" applyFont="1" applyFill="1" applyBorder="1" applyAlignment="1">
      <alignment horizontal="center" vertical="center"/>
    </xf>
    <xf numFmtId="172" fontId="17" fillId="5" borderId="38" xfId="130" applyFont="1" applyFill="1" applyBorder="1" applyAlignment="1">
      <alignment horizontal="center" vertical="center" wrapText="1"/>
    </xf>
    <xf numFmtId="172" fontId="16" fillId="5" borderId="38" xfId="130" applyFont="1" applyFill="1" applyBorder="1" applyAlignment="1">
      <alignment horizontal="center" vertical="center"/>
    </xf>
    <xf numFmtId="172" fontId="18" fillId="2" borderId="38" xfId="130" applyFont="1" applyFill="1" applyBorder="1" applyAlignment="1">
      <alignment horizontal="center" vertical="center" wrapText="1"/>
    </xf>
    <xf numFmtId="172" fontId="18" fillId="5" borderId="38" xfId="130" applyFont="1" applyFill="1" applyBorder="1" applyAlignment="1">
      <alignment horizontal="center" vertical="center" wrapText="1"/>
    </xf>
    <xf numFmtId="172" fontId="16" fillId="0" borderId="0" xfId="87" applyFont="1" applyAlignment="1">
      <alignment horizontal="left"/>
    </xf>
    <xf numFmtId="41" fontId="16" fillId="0" borderId="0" xfId="59" applyFont="1" applyAlignment="1"/>
    <xf numFmtId="172" fontId="18" fillId="0" borderId="0" xfId="87" applyFont="1"/>
    <xf numFmtId="172" fontId="18" fillId="2" borderId="0" xfId="87" applyFont="1" applyFill="1" applyBorder="1"/>
    <xf numFmtId="172" fontId="18" fillId="2" borderId="0" xfId="87" applyFont="1" applyFill="1" applyAlignment="1">
      <alignment vertical="center"/>
    </xf>
    <xf numFmtId="41" fontId="16" fillId="0" borderId="0" xfId="59" applyFont="1" applyAlignment="1">
      <alignment horizontal="center"/>
    </xf>
    <xf numFmtId="41" fontId="21" fillId="6" borderId="28" xfId="59" applyFont="1" applyFill="1" applyBorder="1" applyAlignment="1">
      <alignment horizontal="center" vertical="center" wrapText="1"/>
    </xf>
    <xf numFmtId="172" fontId="21" fillId="0" borderId="0" xfId="87" applyFont="1"/>
    <xf numFmtId="172" fontId="17" fillId="0" borderId="0" xfId="87" applyFont="1"/>
    <xf numFmtId="41" fontId="21" fillId="35" borderId="28" xfId="59" applyFont="1" applyFill="1" applyBorder="1" applyAlignment="1">
      <alignment horizontal="center" vertical="center" wrapText="1"/>
    </xf>
    <xf numFmtId="179" fontId="21" fillId="35" borderId="28" xfId="28" applyNumberFormat="1" applyFont="1" applyFill="1" applyBorder="1" applyAlignment="1">
      <alignment horizontal="center" vertical="center"/>
    </xf>
    <xf numFmtId="172" fontId="18" fillId="0" borderId="0" xfId="87" applyFont="1" applyAlignment="1">
      <alignment horizontal="center"/>
    </xf>
    <xf numFmtId="172" fontId="21" fillId="9" borderId="38" xfId="131" applyFont="1" applyFill="1" applyBorder="1" applyAlignment="1">
      <alignment vertical="center" wrapText="1"/>
    </xf>
    <xf numFmtId="172" fontId="18" fillId="2" borderId="0" xfId="87" applyFont="1" applyFill="1" applyAlignment="1">
      <alignment horizontal="center"/>
    </xf>
    <xf numFmtId="0" fontId="21" fillId="9" borderId="38" xfId="131" applyNumberFormat="1" applyFont="1" applyFill="1" applyBorder="1" applyAlignment="1">
      <alignment horizontal="right" vertical="center" wrapText="1"/>
    </xf>
    <xf numFmtId="3" fontId="28" fillId="6" borderId="37" xfId="28" applyNumberFormat="1" applyFont="1" applyFill="1" applyBorder="1" applyAlignment="1">
      <alignment horizontal="right" vertical="center" wrapText="1"/>
    </xf>
    <xf numFmtId="3" fontId="28" fillId="6" borderId="37" xfId="28" applyNumberFormat="1" applyFont="1" applyFill="1" applyBorder="1" applyAlignment="1">
      <alignment vertical="center" wrapText="1"/>
    </xf>
    <xf numFmtId="41" fontId="28" fillId="6" borderId="37" xfId="59" applyFont="1" applyFill="1" applyBorder="1" applyAlignment="1">
      <alignment horizontal="right" vertical="center"/>
    </xf>
    <xf numFmtId="172" fontId="18" fillId="0" borderId="0" xfId="87" applyFont="1" applyAlignment="1">
      <alignment horizontal="right"/>
    </xf>
    <xf numFmtId="172" fontId="18" fillId="0" borderId="0" xfId="87" applyFont="1" applyAlignment="1">
      <alignment horizontal="left"/>
    </xf>
    <xf numFmtId="41" fontId="18" fillId="0" borderId="0" xfId="59" applyFont="1"/>
    <xf numFmtId="41" fontId="22" fillId="2" borderId="38" xfId="31" applyNumberFormat="1" applyFont="1" applyFill="1" applyBorder="1" applyAlignment="1">
      <alignment horizontal="right" vertical="center" wrapText="1"/>
    </xf>
    <xf numFmtId="0" fontId="46" fillId="0" borderId="0" xfId="95" applyFont="1"/>
    <xf numFmtId="0" fontId="15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wrapText="1"/>
    </xf>
    <xf numFmtId="3" fontId="15" fillId="0" borderId="0" xfId="95" applyNumberFormat="1" applyFont="1" applyAlignment="1">
      <alignment horizontal="center" wrapText="1"/>
    </xf>
    <xf numFmtId="0" fontId="46" fillId="0" borderId="0" xfId="95" applyFont="1" applyAlignment="1"/>
    <xf numFmtId="0" fontId="46" fillId="0" borderId="0" xfId="95" applyFont="1" applyAlignment="1">
      <alignment horizontal="center"/>
    </xf>
    <xf numFmtId="9" fontId="15" fillId="0" borderId="0" xfId="95" applyNumberFormat="1" applyFont="1" applyAlignment="1">
      <alignment horizontal="center" vertical="top" wrapText="1"/>
    </xf>
    <xf numFmtId="0" fontId="15" fillId="0" borderId="0" xfId="95" applyFont="1" applyAlignment="1">
      <alignment horizontal="left" wrapText="1"/>
    </xf>
    <xf numFmtId="3" fontId="46" fillId="0" borderId="0" xfId="95" applyNumberFormat="1" applyFont="1"/>
    <xf numFmtId="3" fontId="47" fillId="0" borderId="0" xfId="95" applyNumberFormat="1" applyFont="1" applyAlignment="1">
      <alignment horizontal="right" vertical="center"/>
    </xf>
    <xf numFmtId="9" fontId="46" fillId="0" borderId="0" xfId="95" applyNumberFormat="1" applyFont="1"/>
    <xf numFmtId="0" fontId="46" fillId="0" borderId="0" xfId="95" applyFont="1" applyAlignment="1">
      <alignment horizontal="right"/>
    </xf>
    <xf numFmtId="180" fontId="46" fillId="0" borderId="0" xfId="95" applyNumberFormat="1" applyFont="1" applyAlignment="1">
      <alignment horizontal="left"/>
    </xf>
    <xf numFmtId="3" fontId="48" fillId="0" borderId="0" xfId="95" applyNumberFormat="1" applyFont="1" applyAlignment="1">
      <alignment horizontal="right"/>
    </xf>
    <xf numFmtId="3" fontId="48" fillId="0" borderId="0" xfId="95" applyNumberFormat="1" applyFont="1"/>
    <xf numFmtId="3" fontId="48" fillId="0" borderId="0" xfId="95" applyNumberFormat="1" applyFont="1" applyAlignment="1">
      <alignment horizontal="left"/>
    </xf>
    <xf numFmtId="0" fontId="48" fillId="0" borderId="0" xfId="95" applyNumberFormat="1" applyFont="1" applyAlignment="1">
      <alignment horizontal="left"/>
    </xf>
    <xf numFmtId="3" fontId="15" fillId="0" borderId="0" xfId="95" applyNumberFormat="1" applyFont="1" applyAlignment="1">
      <alignment horizontal="right"/>
    </xf>
    <xf numFmtId="3" fontId="15" fillId="0" borderId="0" xfId="95" applyNumberFormat="1" applyFont="1"/>
    <xf numFmtId="3" fontId="15" fillId="0" borderId="0" xfId="95" applyNumberFormat="1" applyFont="1" applyAlignment="1">
      <alignment horizontal="left"/>
    </xf>
    <xf numFmtId="3" fontId="46" fillId="0" borderId="0" xfId="95" applyNumberFormat="1" applyFont="1" applyAlignment="1">
      <alignment horizontal="right"/>
    </xf>
    <xf numFmtId="0" fontId="15" fillId="0" borderId="56" xfId="95" applyFont="1" applyBorder="1" applyAlignment="1">
      <alignment horizontal="center"/>
    </xf>
    <xf numFmtId="0" fontId="46" fillId="0" borderId="9" xfId="95" applyFont="1" applyFill="1" applyBorder="1" applyAlignment="1">
      <alignment horizontal="center" vertical="center"/>
    </xf>
    <xf numFmtId="9" fontId="46" fillId="0" borderId="57" xfId="95" applyNumberFormat="1" applyFont="1" applyFill="1" applyBorder="1" applyAlignment="1">
      <alignment horizontal="center" vertical="center" wrapText="1"/>
    </xf>
    <xf numFmtId="3" fontId="46" fillId="0" borderId="57" xfId="95" applyNumberFormat="1" applyFont="1" applyFill="1" applyBorder="1" applyAlignment="1">
      <alignment horizontal="center" wrapText="1"/>
    </xf>
    <xf numFmtId="0" fontId="46" fillId="0" borderId="58" xfId="95" applyFont="1" applyFill="1" applyBorder="1" applyAlignment="1">
      <alignment horizontal="center" vertical="center" wrapText="1"/>
    </xf>
    <xf numFmtId="9" fontId="46" fillId="0" borderId="58" xfId="95" applyNumberFormat="1" applyFont="1" applyFill="1" applyBorder="1" applyAlignment="1">
      <alignment horizontal="center" vertical="center" wrapText="1"/>
    </xf>
    <xf numFmtId="0" fontId="46" fillId="0" borderId="59" xfId="95" applyFont="1" applyFill="1" applyBorder="1" applyAlignment="1">
      <alignment horizontal="center" vertical="center" wrapText="1"/>
    </xf>
    <xf numFmtId="0" fontId="46" fillId="0" borderId="10" xfId="95" applyFont="1" applyBorder="1" applyAlignment="1">
      <alignment horizontal="center" vertical="center" wrapText="1"/>
    </xf>
    <xf numFmtId="0" fontId="15" fillId="0" borderId="60" xfId="95" applyFont="1" applyBorder="1" applyAlignment="1">
      <alignment horizontal="center" vertical="center" wrapText="1"/>
    </xf>
    <xf numFmtId="0" fontId="46" fillId="0" borderId="8" xfId="95" applyFont="1" applyBorder="1" applyAlignment="1">
      <alignment horizontal="center" wrapText="1"/>
    </xf>
    <xf numFmtId="10" fontId="46" fillId="0" borderId="61" xfId="95" applyNumberFormat="1" applyFont="1" applyBorder="1"/>
    <xf numFmtId="3" fontId="46" fillId="0" borderId="61" xfId="95" applyNumberFormat="1" applyFont="1" applyBorder="1"/>
    <xf numFmtId="3" fontId="46" fillId="0" borderId="16" xfId="95" applyNumberFormat="1" applyFont="1" applyBorder="1"/>
    <xf numFmtId="10" fontId="46" fillId="0" borderId="16" xfId="95" applyNumberFormat="1" applyFont="1" applyBorder="1" applyAlignment="1">
      <alignment horizontal="center"/>
    </xf>
    <xf numFmtId="180" fontId="46" fillId="0" borderId="61" xfId="95" applyNumberFormat="1" applyFont="1" applyBorder="1" applyAlignment="1">
      <alignment horizontal="center"/>
    </xf>
    <xf numFmtId="3" fontId="46" fillId="0" borderId="7" xfId="95" applyNumberFormat="1" applyFont="1" applyBorder="1" applyAlignment="1">
      <alignment horizontal="center"/>
    </xf>
    <xf numFmtId="3" fontId="15" fillId="0" borderId="18" xfId="95" applyNumberFormat="1" applyFont="1" applyBorder="1"/>
    <xf numFmtId="0" fontId="46" fillId="0" borderId="12" xfId="95" applyFont="1" applyBorder="1" applyAlignment="1">
      <alignment horizontal="center"/>
    </xf>
    <xf numFmtId="10" fontId="46" fillId="0" borderId="2" xfId="95" applyNumberFormat="1" applyFont="1" applyBorder="1"/>
    <xf numFmtId="3" fontId="46" fillId="0" borderId="2" xfId="95" applyNumberFormat="1" applyFont="1" applyBorder="1"/>
    <xf numFmtId="3" fontId="46" fillId="0" borderId="3" xfId="95" applyNumberFormat="1" applyFont="1" applyBorder="1"/>
    <xf numFmtId="10" fontId="46" fillId="0" borderId="3" xfId="95" applyNumberFormat="1" applyFont="1" applyBorder="1" applyAlignment="1">
      <alignment horizontal="center"/>
    </xf>
    <xf numFmtId="180" fontId="46" fillId="0" borderId="2" xfId="95" applyNumberFormat="1" applyFont="1" applyBorder="1" applyAlignment="1">
      <alignment horizontal="center"/>
    </xf>
    <xf numFmtId="3" fontId="46" fillId="0" borderId="13" xfId="95" applyNumberFormat="1" applyFont="1" applyBorder="1" applyAlignment="1">
      <alignment horizontal="center"/>
    </xf>
    <xf numFmtId="3" fontId="15" fillId="0" borderId="21" xfId="95" applyNumberFormat="1" applyFont="1" applyBorder="1"/>
    <xf numFmtId="3" fontId="46" fillId="10" borderId="0" xfId="95" applyNumberFormat="1" applyFont="1" applyFill="1"/>
    <xf numFmtId="0" fontId="46" fillId="0" borderId="5" xfId="95" applyFont="1" applyBorder="1"/>
    <xf numFmtId="3" fontId="15" fillId="0" borderId="5" xfId="95" applyNumberFormat="1" applyFont="1" applyBorder="1"/>
    <xf numFmtId="3" fontId="46" fillId="10" borderId="5" xfId="95" applyNumberFormat="1" applyFont="1" applyFill="1" applyBorder="1"/>
    <xf numFmtId="0" fontId="46" fillId="0" borderId="14" xfId="95" applyFont="1" applyBorder="1" applyAlignment="1">
      <alignment horizontal="center"/>
    </xf>
    <xf numFmtId="10" fontId="46" fillId="0" borderId="17" xfId="95" applyNumberFormat="1" applyFont="1" applyBorder="1"/>
    <xf numFmtId="3" fontId="46" fillId="0" borderId="17" xfId="95" applyNumberFormat="1" applyFont="1" applyBorder="1"/>
    <xf numFmtId="3" fontId="46" fillId="0" borderId="62" xfId="95" applyNumberFormat="1" applyFont="1" applyBorder="1"/>
    <xf numFmtId="10" fontId="46" fillId="0" borderId="62" xfId="95" applyNumberFormat="1" applyFont="1" applyBorder="1" applyAlignment="1">
      <alignment horizontal="center"/>
    </xf>
    <xf numFmtId="180" fontId="46" fillId="0" borderId="17" xfId="95" applyNumberFormat="1" applyFont="1" applyBorder="1" applyAlignment="1">
      <alignment horizontal="center"/>
    </xf>
    <xf numFmtId="3" fontId="46" fillId="0" borderId="15" xfId="95" applyNumberFormat="1" applyFont="1" applyBorder="1" applyAlignment="1">
      <alignment horizontal="center"/>
    </xf>
    <xf numFmtId="3" fontId="15" fillId="0" borderId="22" xfId="95" applyNumberFormat="1" applyFont="1" applyBorder="1"/>
    <xf numFmtId="0" fontId="15" fillId="0" borderId="20" xfId="95" applyFont="1" applyBorder="1" applyAlignment="1">
      <alignment horizontal="center"/>
    </xf>
    <xf numFmtId="10" fontId="15" fillId="0" borderId="63" xfId="95" applyNumberFormat="1" applyFont="1" applyBorder="1"/>
    <xf numFmtId="10" fontId="15" fillId="0" borderId="26" xfId="95" applyNumberFormat="1" applyFont="1" applyBorder="1"/>
    <xf numFmtId="3" fontId="15" fillId="0" borderId="11" xfId="95" applyNumberFormat="1" applyFont="1" applyBorder="1"/>
    <xf numFmtId="3" fontId="15" fillId="0" borderId="60" xfId="95" applyNumberFormat="1" applyFont="1" applyBorder="1"/>
    <xf numFmtId="10" fontId="46" fillId="0" borderId="0" xfId="95" applyNumberFormat="1" applyFont="1"/>
    <xf numFmtId="0" fontId="15" fillId="0" borderId="2" xfId="95" applyFont="1" applyBorder="1" applyAlignment="1">
      <alignment horizontal="center"/>
    </xf>
    <xf numFmtId="180" fontId="15" fillId="0" borderId="2" xfId="95" applyNumberFormat="1" applyFont="1" applyBorder="1" applyAlignment="1">
      <alignment horizontal="center"/>
    </xf>
    <xf numFmtId="0" fontId="15" fillId="0" borderId="0" xfId="95" applyFont="1" applyAlignment="1">
      <alignment horizontal="center"/>
    </xf>
    <xf numFmtId="0" fontId="46" fillId="0" borderId="2" xfId="95" applyFont="1" applyBorder="1" applyAlignment="1">
      <alignment vertical="center" wrapText="1"/>
    </xf>
    <xf numFmtId="170" fontId="15" fillId="10" borderId="0" xfId="25" applyNumberFormat="1" applyFont="1" applyFill="1"/>
    <xf numFmtId="10" fontId="46" fillId="0" borderId="63" xfId="95" applyNumberFormat="1" applyFont="1" applyBorder="1"/>
    <xf numFmtId="172" fontId="46" fillId="0" borderId="0" xfId="87" applyFont="1"/>
    <xf numFmtId="43" fontId="15" fillId="0" borderId="2" xfId="25" applyFont="1" applyBorder="1" applyAlignment="1">
      <alignment horizontal="center"/>
    </xf>
    <xf numFmtId="43" fontId="15" fillId="0" borderId="0" xfId="25" applyFont="1" applyAlignment="1">
      <alignment horizontal="center"/>
    </xf>
    <xf numFmtId="43" fontId="46" fillId="0" borderId="2" xfId="25" applyFont="1" applyBorder="1" applyAlignment="1">
      <alignment vertical="center" wrapText="1"/>
    </xf>
    <xf numFmtId="43" fontId="46" fillId="0" borderId="2" xfId="25" applyFont="1" applyBorder="1"/>
    <xf numFmtId="43" fontId="46" fillId="0" borderId="0" xfId="25" applyFont="1"/>
    <xf numFmtId="170" fontId="46" fillId="0" borderId="0" xfId="25" applyNumberFormat="1" applyFont="1"/>
    <xf numFmtId="0" fontId="46" fillId="37" borderId="0" xfId="95" applyFont="1" applyFill="1"/>
    <xf numFmtId="3" fontId="46" fillId="37" borderId="2" xfId="95" applyNumberFormat="1" applyFont="1" applyFill="1" applyBorder="1"/>
    <xf numFmtId="170" fontId="46" fillId="37" borderId="0" xfId="25" applyNumberFormat="1" applyFont="1" applyFill="1"/>
    <xf numFmtId="172" fontId="50" fillId="0" borderId="0" xfId="87" applyFont="1" applyAlignment="1">
      <alignment horizontal="left"/>
    </xf>
    <xf numFmtId="172" fontId="50" fillId="0" borderId="0" xfId="87" applyFont="1" applyAlignment="1"/>
    <xf numFmtId="170" fontId="50" fillId="0" borderId="0" xfId="17" applyNumberFormat="1" applyFont="1" applyAlignment="1"/>
    <xf numFmtId="170" fontId="18" fillId="0" borderId="0" xfId="17" applyNumberFormat="1" applyFont="1"/>
    <xf numFmtId="172" fontId="50" fillId="0" borderId="0" xfId="87" applyFont="1" applyAlignment="1">
      <alignment horizontal="center"/>
    </xf>
    <xf numFmtId="170" fontId="50" fillId="0" borderId="0" xfId="17" applyNumberFormat="1" applyFont="1" applyAlignment="1">
      <alignment horizontal="center"/>
    </xf>
    <xf numFmtId="170" fontId="21" fillId="6" borderId="64" xfId="17" applyNumberFormat="1" applyFont="1" applyFill="1" applyBorder="1" applyAlignment="1">
      <alignment horizontal="center" vertical="center" wrapText="1"/>
    </xf>
    <xf numFmtId="172" fontId="18" fillId="2" borderId="0" xfId="87" applyFont="1" applyFill="1"/>
    <xf numFmtId="172" fontId="21" fillId="6" borderId="0" xfId="87" applyFont="1" applyFill="1" applyAlignment="1">
      <alignment horizontal="right"/>
    </xf>
    <xf numFmtId="172" fontId="21" fillId="6" borderId="0" xfId="87" applyFont="1" applyFill="1"/>
    <xf numFmtId="170" fontId="21" fillId="6" borderId="0" xfId="17" applyNumberFormat="1" applyFont="1" applyFill="1"/>
    <xf numFmtId="9" fontId="17" fillId="0" borderId="0" xfId="132" applyFont="1" applyAlignment="1">
      <alignment horizontal="center"/>
    </xf>
    <xf numFmtId="0" fontId="20" fillId="0" borderId="25" xfId="0" applyFont="1" applyFill="1" applyBorder="1" applyAlignment="1">
      <alignment horizontal="right" vertical="center"/>
    </xf>
    <xf numFmtId="0" fontId="20" fillId="0" borderId="25" xfId="0" applyFont="1" applyFill="1" applyBorder="1" applyAlignment="1">
      <alignment vertical="center"/>
    </xf>
    <xf numFmtId="41" fontId="20" fillId="0" borderId="0" xfId="16" applyFont="1" applyFill="1" applyBorder="1" applyAlignment="1">
      <alignment vertical="center"/>
    </xf>
    <xf numFmtId="0" fontId="26" fillId="7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right" vertical="center"/>
    </xf>
    <xf numFmtId="0" fontId="19" fillId="4" borderId="2" xfId="0" applyFont="1" applyFill="1" applyBorder="1" applyAlignment="1">
      <alignment vertical="center"/>
    </xf>
    <xf numFmtId="41" fontId="19" fillId="4" borderId="2" xfId="16" applyFont="1" applyFill="1" applyBorder="1" applyAlignment="1">
      <alignment vertical="center"/>
    </xf>
    <xf numFmtId="171" fontId="19" fillId="4" borderId="2" xfId="132" applyNumberFormat="1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/>
    </xf>
    <xf numFmtId="41" fontId="20" fillId="3" borderId="2" xfId="16" applyFont="1" applyFill="1" applyBorder="1" applyAlignment="1">
      <alignment vertical="center"/>
    </xf>
    <xf numFmtId="0" fontId="24" fillId="7" borderId="2" xfId="0" applyFont="1" applyFill="1" applyBorder="1" applyAlignment="1">
      <alignment horizontal="right" vertical="center"/>
    </xf>
    <xf numFmtId="0" fontId="19" fillId="7" borderId="2" xfId="0" applyFont="1" applyFill="1" applyBorder="1" applyAlignment="1">
      <alignment vertical="center"/>
    </xf>
    <xf numFmtId="41" fontId="19" fillId="7" borderId="2" xfId="0" applyNumberFormat="1" applyFont="1" applyFill="1" applyBorder="1" applyAlignment="1">
      <alignment horizontal="right" vertical="center"/>
    </xf>
    <xf numFmtId="172" fontId="22" fillId="0" borderId="0" xfId="110" applyFont="1" applyAlignment="1">
      <alignment horizontal="center" vertical="center"/>
    </xf>
    <xf numFmtId="0" fontId="16" fillId="0" borderId="0" xfId="0" applyFont="1" applyAlignment="1"/>
    <xf numFmtId="172" fontId="22" fillId="0" borderId="0" xfId="110" applyFont="1" applyAlignment="1">
      <alignment horizontal="left" vertical="center" wrapText="1"/>
    </xf>
    <xf numFmtId="172" fontId="22" fillId="0" borderId="0" xfId="110" applyFont="1" applyAlignment="1">
      <alignment horizontal="left" vertical="center"/>
    </xf>
    <xf numFmtId="170" fontId="22" fillId="0" borderId="0" xfId="25" applyNumberFormat="1" applyFont="1" applyAlignment="1">
      <alignment horizontal="center" vertical="center"/>
    </xf>
    <xf numFmtId="181" fontId="22" fillId="0" borderId="0" xfId="110" applyNumberFormat="1" applyFont="1" applyAlignment="1">
      <alignment horizontal="center" vertical="center"/>
    </xf>
    <xf numFmtId="172" fontId="22" fillId="2" borderId="0" xfId="11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72" fontId="18" fillId="0" borderId="0" xfId="94" applyFont="1" applyAlignment="1">
      <alignment horizontal="center" vertical="center"/>
    </xf>
    <xf numFmtId="172" fontId="18" fillId="2" borderId="0" xfId="94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/>
    </xf>
    <xf numFmtId="172" fontId="18" fillId="2" borderId="0" xfId="98" applyFont="1" applyFill="1" applyBorder="1" applyAlignment="1">
      <alignment horizontal="center" vertical="center" wrapText="1"/>
    </xf>
    <xf numFmtId="172" fontId="18" fillId="2" borderId="31" xfId="94" applyFont="1" applyFill="1" applyBorder="1" applyAlignment="1">
      <alignment horizontal="center" vertical="center" wrapText="1"/>
    </xf>
    <xf numFmtId="172" fontId="18" fillId="0" borderId="31" xfId="94" applyFont="1" applyFill="1" applyBorder="1" applyAlignment="1">
      <alignment horizontal="left" vertical="center" wrapText="1"/>
    </xf>
    <xf numFmtId="3" fontId="18" fillId="0" borderId="31" xfId="94" applyNumberFormat="1" applyFont="1" applyFill="1" applyBorder="1" applyAlignment="1">
      <alignment horizontal="center" vertical="center" wrapText="1"/>
    </xf>
    <xf numFmtId="172" fontId="18" fillId="0" borderId="31" xfId="94" applyFont="1" applyFill="1" applyBorder="1" applyAlignment="1">
      <alignment horizontal="center" vertical="center" wrapText="1"/>
    </xf>
    <xf numFmtId="170" fontId="18" fillId="0" borderId="31" xfId="25" applyNumberFormat="1" applyFont="1" applyFill="1" applyBorder="1" applyAlignment="1">
      <alignment horizontal="center" vertical="center" wrapText="1"/>
    </xf>
    <xf numFmtId="9" fontId="18" fillId="0" borderId="31" xfId="94" applyNumberFormat="1" applyFont="1" applyFill="1" applyBorder="1" applyAlignment="1">
      <alignment horizontal="center" vertical="center" wrapText="1"/>
    </xf>
    <xf numFmtId="181" fontId="18" fillId="0" borderId="31" xfId="94" applyNumberFormat="1" applyFont="1" applyFill="1" applyBorder="1" applyAlignment="1">
      <alignment horizontal="center" vertical="center" wrapText="1"/>
    </xf>
    <xf numFmtId="172" fontId="18" fillId="0" borderId="31" xfId="94" applyFont="1" applyFill="1" applyBorder="1" applyAlignment="1">
      <alignment vertical="center" wrapText="1"/>
    </xf>
    <xf numFmtId="170" fontId="17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center" vertical="center" wrapText="1"/>
    </xf>
    <xf numFmtId="181" fontId="18" fillId="5" borderId="31" xfId="94" applyNumberFormat="1" applyFont="1" applyFill="1" applyBorder="1" applyAlignment="1">
      <alignment horizontal="center" vertical="center" wrapText="1"/>
    </xf>
    <xf numFmtId="172" fontId="18" fillId="5" borderId="31" xfId="94" applyFont="1" applyFill="1" applyBorder="1" applyAlignment="1">
      <alignment horizontal="left" vertical="center" wrapText="1"/>
    </xf>
    <xf numFmtId="181" fontId="17" fillId="39" borderId="32" xfId="94" applyNumberFormat="1" applyFont="1" applyFill="1" applyBorder="1" applyAlignment="1">
      <alignment horizontal="center" vertical="center" wrapText="1"/>
    </xf>
    <xf numFmtId="172" fontId="22" fillId="2" borderId="0" xfId="110" applyFont="1" applyFill="1" applyAlignment="1">
      <alignment horizontal="center" vertical="center"/>
    </xf>
    <xf numFmtId="172" fontId="18" fillId="2" borderId="31" xfId="94" applyFont="1" applyFill="1" applyBorder="1" applyAlignment="1">
      <alignment horizontal="center" vertical="center"/>
    </xf>
    <xf numFmtId="3" fontId="18" fillId="2" borderId="36" xfId="28" applyNumberFormat="1" applyFont="1" applyFill="1" applyBorder="1" applyAlignment="1">
      <alignment horizontal="left" vertical="center" wrapText="1"/>
    </xf>
    <xf numFmtId="172" fontId="18" fillId="2" borderId="31" xfId="94" applyFont="1" applyFill="1" applyBorder="1" applyAlignment="1">
      <alignment horizontal="left" vertical="center" wrapText="1"/>
    </xf>
    <xf numFmtId="172" fontId="18" fillId="2" borderId="31" xfId="94" applyFont="1" applyFill="1" applyBorder="1" applyAlignment="1">
      <alignment vertical="center" wrapText="1"/>
    </xf>
    <xf numFmtId="9" fontId="18" fillId="2" borderId="31" xfId="94" applyNumberFormat="1" applyFont="1" applyFill="1" applyBorder="1" applyAlignment="1">
      <alignment horizontal="center" vertical="center" wrapText="1"/>
    </xf>
    <xf numFmtId="37" fontId="18" fillId="2" borderId="31" xfId="94" applyNumberFormat="1" applyFont="1" applyFill="1" applyBorder="1" applyAlignment="1">
      <alignment horizontal="right" vertical="center" wrapText="1"/>
    </xf>
    <xf numFmtId="172" fontId="18" fillId="0" borderId="35" xfId="94" applyFont="1" applyBorder="1" applyAlignment="1">
      <alignment horizontal="center" vertical="center"/>
    </xf>
    <xf numFmtId="17" fontId="22" fillId="2" borderId="36" xfId="135" applyNumberFormat="1" applyFont="1" applyFill="1" applyBorder="1" applyAlignment="1">
      <alignment horizontal="center" vertical="center"/>
    </xf>
    <xf numFmtId="172" fontId="18" fillId="2" borderId="0" xfId="110" applyFont="1" applyFill="1" applyBorder="1" applyAlignment="1">
      <alignment horizontal="center" vertical="center"/>
    </xf>
    <xf numFmtId="181" fontId="18" fillId="5" borderId="29" xfId="94" applyNumberFormat="1" applyFont="1" applyFill="1" applyBorder="1" applyAlignment="1">
      <alignment horizontal="center" vertical="center" wrapText="1"/>
    </xf>
    <xf numFmtId="172" fontId="18" fillId="5" borderId="29" xfId="94" applyFont="1" applyFill="1" applyBorder="1" applyAlignment="1">
      <alignment horizontal="left" vertical="center" wrapText="1"/>
    </xf>
    <xf numFmtId="172" fontId="18" fillId="5" borderId="29" xfId="94" applyFont="1" applyFill="1" applyBorder="1" applyAlignment="1">
      <alignment horizontal="center" vertical="center" wrapText="1"/>
    </xf>
    <xf numFmtId="172" fontId="18" fillId="0" borderId="68" xfId="94" applyFont="1" applyFill="1" applyBorder="1" applyAlignment="1">
      <alignment horizontal="center" vertical="center" wrapText="1"/>
    </xf>
    <xf numFmtId="3" fontId="18" fillId="2" borderId="31" xfId="28" applyNumberFormat="1" applyFont="1" applyFill="1" applyBorder="1" applyAlignment="1">
      <alignment horizontal="left" vertical="center" wrapText="1"/>
    </xf>
    <xf numFmtId="3" fontId="18" fillId="2" borderId="31" xfId="94" applyNumberFormat="1" applyFont="1" applyFill="1" applyBorder="1" applyAlignment="1">
      <alignment horizontal="left" vertical="center" wrapText="1"/>
    </xf>
    <xf numFmtId="3" fontId="18" fillId="2" borderId="31" xfId="94" applyNumberFormat="1" applyFont="1" applyFill="1" applyBorder="1" applyAlignment="1">
      <alignment horizontal="center" vertical="center" wrapText="1"/>
    </xf>
    <xf numFmtId="170" fontId="18" fillId="2" borderId="31" xfId="25" applyNumberFormat="1" applyFont="1" applyFill="1" applyBorder="1" applyAlignment="1">
      <alignment vertical="center" wrapText="1"/>
    </xf>
    <xf numFmtId="9" fontId="18" fillId="0" borderId="31" xfId="22" applyFont="1" applyBorder="1" applyAlignment="1">
      <alignment horizontal="center" vertical="center"/>
    </xf>
    <xf numFmtId="170" fontId="18" fillId="2" borderId="31" xfId="25" applyNumberFormat="1" applyFont="1" applyFill="1" applyBorder="1" applyAlignment="1">
      <alignment horizontal="center" vertical="center"/>
    </xf>
    <xf numFmtId="181" fontId="18" fillId="0" borderId="31" xfId="94" applyNumberFormat="1" applyFont="1" applyFill="1" applyBorder="1" applyAlignment="1">
      <alignment horizontal="left" vertical="center" wrapText="1"/>
    </xf>
    <xf numFmtId="172" fontId="22" fillId="0" borderId="0" xfId="110" applyFont="1" applyBorder="1" applyAlignment="1">
      <alignment horizontal="center" vertical="center"/>
    </xf>
    <xf numFmtId="170" fontId="17" fillId="5" borderId="29" xfId="94" applyNumberFormat="1" applyFont="1" applyFill="1" applyBorder="1" applyAlignment="1">
      <alignment horizontal="center" vertical="center" wrapText="1"/>
    </xf>
    <xf numFmtId="172" fontId="18" fillId="0" borderId="0" xfId="94" applyFont="1" applyBorder="1" applyAlignment="1">
      <alignment horizontal="center" vertical="center"/>
    </xf>
    <xf numFmtId="172" fontId="18" fillId="0" borderId="5" xfId="94" applyFont="1" applyFill="1" applyBorder="1" applyAlignment="1">
      <alignment horizontal="center" vertical="center" wrapText="1"/>
    </xf>
    <xf numFmtId="172" fontId="18" fillId="0" borderId="0" xfId="94" applyFont="1" applyFill="1" applyBorder="1" applyAlignment="1">
      <alignment horizontal="left" vertical="center" wrapText="1"/>
    </xf>
    <xf numFmtId="172" fontId="18" fillId="0" borderId="0" xfId="94" applyFont="1" applyFill="1" applyBorder="1" applyAlignment="1">
      <alignment horizontal="center" vertical="center" wrapText="1"/>
    </xf>
    <xf numFmtId="170" fontId="18" fillId="0" borderId="0" xfId="25" applyNumberFormat="1" applyFont="1" applyFill="1" applyBorder="1" applyAlignment="1">
      <alignment horizontal="center" vertical="center" wrapText="1"/>
    </xf>
    <xf numFmtId="181" fontId="18" fillId="0" borderId="0" xfId="94" applyNumberFormat="1" applyFont="1" applyFill="1" applyBorder="1" applyAlignment="1">
      <alignment horizontal="center" vertical="center" wrapText="1"/>
    </xf>
    <xf numFmtId="181" fontId="17" fillId="39" borderId="35" xfId="94" applyNumberFormat="1" applyFont="1" applyFill="1" applyBorder="1" applyAlignment="1">
      <alignment horizontal="center" vertical="center" wrapText="1"/>
    </xf>
    <xf numFmtId="172" fontId="18" fillId="0" borderId="31" xfId="94" applyFont="1" applyBorder="1" applyAlignment="1">
      <alignment horizontal="center" vertical="center"/>
    </xf>
    <xf numFmtId="172" fontId="18" fillId="2" borderId="35" xfId="94" applyFont="1" applyFill="1" applyBorder="1" applyAlignment="1">
      <alignment horizontal="center" vertical="center" wrapText="1"/>
    </xf>
    <xf numFmtId="172" fontId="18" fillId="2" borderId="32" xfId="94" applyFont="1" applyFill="1" applyBorder="1" applyAlignment="1">
      <alignment vertical="center" wrapText="1"/>
    </xf>
    <xf numFmtId="3" fontId="18" fillId="2" borderId="32" xfId="28" applyNumberFormat="1" applyFont="1" applyFill="1" applyBorder="1" applyAlignment="1">
      <alignment vertical="center" wrapText="1"/>
    </xf>
    <xf numFmtId="172" fontId="18" fillId="2" borderId="32" xfId="94" applyFont="1" applyFill="1" applyBorder="1" applyAlignment="1">
      <alignment horizontal="center" vertical="center" wrapText="1"/>
    </xf>
    <xf numFmtId="170" fontId="18" fillId="2" borderId="32" xfId="25" applyNumberFormat="1" applyFont="1" applyFill="1" applyBorder="1" applyAlignment="1">
      <alignment vertical="center" wrapText="1"/>
    </xf>
    <xf numFmtId="17" fontId="22" fillId="2" borderId="78" xfId="135" applyNumberFormat="1" applyFont="1" applyFill="1" applyBorder="1" applyAlignment="1">
      <alignment horizontal="center" vertical="center"/>
    </xf>
    <xf numFmtId="170" fontId="16" fillId="5" borderId="31" xfId="110" applyNumberFormat="1" applyFont="1" applyFill="1" applyBorder="1" applyAlignment="1">
      <alignment horizontal="left" vertical="center"/>
    </xf>
    <xf numFmtId="172" fontId="22" fillId="5" borderId="31" xfId="110" applyFont="1" applyFill="1" applyBorder="1" applyAlignment="1">
      <alignment horizontal="center" vertical="center"/>
    </xf>
    <xf numFmtId="181" fontId="22" fillId="5" borderId="31" xfId="110" applyNumberFormat="1" applyFont="1" applyFill="1" applyBorder="1" applyAlignment="1">
      <alignment horizontal="center" vertical="center"/>
    </xf>
    <xf numFmtId="3" fontId="18" fillId="0" borderId="0" xfId="28" applyNumberFormat="1" applyFont="1" applyFill="1" applyBorder="1" applyAlignment="1">
      <alignment horizontal="left" vertical="center" wrapText="1"/>
    </xf>
    <xf numFmtId="3" fontId="18" fillId="0" borderId="0" xfId="94" applyNumberFormat="1" applyFont="1" applyFill="1" applyBorder="1" applyAlignment="1">
      <alignment horizontal="left" vertical="center" wrapText="1"/>
    </xf>
    <xf numFmtId="9" fontId="18" fillId="0" borderId="0" xfId="94" applyNumberFormat="1" applyFont="1" applyFill="1" applyBorder="1" applyAlignment="1">
      <alignment horizontal="center" vertical="center" wrapText="1"/>
    </xf>
    <xf numFmtId="14" fontId="18" fillId="0" borderId="0" xfId="94" applyNumberFormat="1" applyFont="1" applyFill="1" applyBorder="1" applyAlignment="1">
      <alignment horizontal="center" vertical="center" wrapText="1"/>
    </xf>
    <xf numFmtId="172" fontId="18" fillId="0" borderId="0" xfId="110" applyFont="1" applyAlignment="1">
      <alignment horizontal="center" vertical="center"/>
    </xf>
    <xf numFmtId="3" fontId="18" fillId="2" borderId="32" xfId="94" applyNumberFormat="1" applyFont="1" applyFill="1" applyBorder="1" applyAlignment="1">
      <alignment horizontal="center" vertical="center" wrapText="1"/>
    </xf>
    <xf numFmtId="9" fontId="18" fillId="2" borderId="32" xfId="94" applyNumberFormat="1" applyFont="1" applyFill="1" applyBorder="1" applyAlignment="1">
      <alignment horizontal="center" vertical="center" wrapText="1"/>
    </xf>
    <xf numFmtId="9" fontId="18" fillId="2" borderId="32" xfId="22" applyFont="1" applyFill="1" applyBorder="1" applyAlignment="1">
      <alignment horizontal="center" vertical="center"/>
    </xf>
    <xf numFmtId="170" fontId="18" fillId="2" borderId="32" xfId="25" applyNumberFormat="1" applyFont="1" applyFill="1" applyBorder="1" applyAlignment="1">
      <alignment horizontal="center" vertical="center"/>
    </xf>
    <xf numFmtId="170" fontId="18" fillId="2" borderId="80" xfId="25" applyNumberFormat="1" applyFont="1" applyFill="1" applyBorder="1" applyAlignment="1">
      <alignment horizontal="center" vertical="center"/>
    </xf>
    <xf numFmtId="17" fontId="22" fillId="2" borderId="81" xfId="135" applyNumberFormat="1" applyFont="1" applyFill="1" applyBorder="1" applyAlignment="1">
      <alignment horizontal="center" vertical="center"/>
    </xf>
    <xf numFmtId="17" fontId="22" fillId="2" borderId="82" xfId="135" applyNumberFormat="1" applyFont="1" applyFill="1" applyBorder="1" applyAlignment="1">
      <alignment horizontal="center" vertical="center"/>
    </xf>
    <xf numFmtId="17" fontId="22" fillId="2" borderId="83" xfId="135" applyNumberFormat="1" applyFont="1" applyFill="1" applyBorder="1" applyAlignment="1">
      <alignment horizontal="center" vertical="center"/>
    </xf>
    <xf numFmtId="172" fontId="22" fillId="0" borderId="2" xfId="110" applyFont="1" applyFill="1" applyBorder="1" applyAlignment="1">
      <alignment horizontal="center" vertical="center"/>
    </xf>
    <xf numFmtId="172" fontId="18" fillId="0" borderId="0" xfId="110" applyFont="1" applyAlignment="1">
      <alignment horizontal="left" vertical="center" wrapText="1"/>
    </xf>
    <xf numFmtId="172" fontId="18" fillId="0" borderId="0" xfId="110" applyFont="1" applyAlignment="1">
      <alignment horizontal="left" vertical="center"/>
    </xf>
    <xf numFmtId="181" fontId="18" fillId="0" borderId="0" xfId="110" applyNumberFormat="1" applyFont="1" applyAlignment="1">
      <alignment horizontal="center" vertical="center"/>
    </xf>
    <xf numFmtId="170" fontId="17" fillId="39" borderId="36" xfId="25" applyNumberFormat="1" applyFont="1" applyFill="1" applyBorder="1" applyAlignment="1">
      <alignment horizontal="center" vertical="center" wrapText="1"/>
    </xf>
    <xf numFmtId="172" fontId="18" fillId="2" borderId="68" xfId="94" applyFont="1" applyFill="1" applyBorder="1" applyAlignment="1">
      <alignment horizontal="center" vertical="center" wrapText="1"/>
    </xf>
    <xf numFmtId="3" fontId="18" fillId="2" borderId="36" xfId="94" applyNumberFormat="1" applyFont="1" applyFill="1" applyBorder="1" applyAlignment="1">
      <alignment horizontal="left" vertical="center" wrapText="1"/>
    </xf>
    <xf numFmtId="172" fontId="18" fillId="2" borderId="36" xfId="94" applyFont="1" applyFill="1" applyBorder="1" applyAlignment="1">
      <alignment horizontal="center" vertical="center" wrapText="1"/>
    </xf>
    <xf numFmtId="170" fontId="18" fillId="2" borderId="36" xfId="25" applyNumberFormat="1" applyFont="1" applyFill="1" applyBorder="1" applyAlignment="1">
      <alignment vertical="center" wrapText="1"/>
    </xf>
    <xf numFmtId="9" fontId="18" fillId="2" borderId="36" xfId="94" applyNumberFormat="1" applyFont="1" applyFill="1" applyBorder="1" applyAlignment="1">
      <alignment vertical="center" wrapText="1"/>
    </xf>
    <xf numFmtId="9" fontId="18" fillId="2" borderId="36" xfId="22" applyFont="1" applyFill="1" applyBorder="1" applyAlignment="1">
      <alignment horizontal="center" vertical="center"/>
    </xf>
    <xf numFmtId="17" fontId="22" fillId="0" borderId="36" xfId="135" applyNumberFormat="1" applyFont="1" applyBorder="1" applyAlignment="1">
      <alignment horizontal="center" vertical="center"/>
    </xf>
    <xf numFmtId="172" fontId="18" fillId="5" borderId="3" xfId="94" applyFont="1" applyFill="1" applyBorder="1" applyAlignment="1">
      <alignment horizontal="center" vertical="center" wrapText="1"/>
    </xf>
    <xf numFmtId="170" fontId="16" fillId="5" borderId="36" xfId="110" applyNumberFormat="1" applyFont="1" applyFill="1" applyBorder="1" applyAlignment="1">
      <alignment horizontal="center" vertical="center"/>
    </xf>
    <xf numFmtId="172" fontId="22" fillId="5" borderId="36" xfId="110" applyFont="1" applyFill="1" applyBorder="1" applyAlignment="1">
      <alignment horizontal="center" vertical="center"/>
    </xf>
    <xf numFmtId="172" fontId="22" fillId="0" borderId="0" xfId="110" applyFont="1" applyFill="1" applyAlignment="1">
      <alignment horizontal="center" vertical="center"/>
    </xf>
    <xf numFmtId="172" fontId="18" fillId="2" borderId="86" xfId="94" applyFont="1" applyFill="1" applyBorder="1" applyAlignment="1">
      <alignment vertical="center" wrapText="1"/>
    </xf>
    <xf numFmtId="3" fontId="18" fillId="2" borderId="70" xfId="94" applyNumberFormat="1" applyFont="1" applyFill="1" applyBorder="1" applyAlignment="1">
      <alignment vertical="center" wrapText="1"/>
    </xf>
    <xf numFmtId="3" fontId="18" fillId="2" borderId="87" xfId="94" applyNumberFormat="1" applyFont="1" applyFill="1" applyBorder="1" applyAlignment="1">
      <alignment vertical="center" wrapText="1"/>
    </xf>
    <xf numFmtId="170" fontId="18" fillId="2" borderId="88" xfId="25" applyNumberFormat="1" applyFont="1" applyFill="1" applyBorder="1" applyAlignment="1">
      <alignment vertical="center" wrapText="1"/>
    </xf>
    <xf numFmtId="9" fontId="18" fillId="2" borderId="88" xfId="94" applyNumberFormat="1" applyFont="1" applyFill="1" applyBorder="1" applyAlignment="1">
      <alignment vertical="center" wrapText="1"/>
    </xf>
    <xf numFmtId="9" fontId="18" fillId="2" borderId="88" xfId="22" applyFont="1" applyFill="1" applyBorder="1" applyAlignment="1">
      <alignment vertical="center"/>
    </xf>
    <xf numFmtId="170" fontId="18" fillId="2" borderId="88" xfId="25" applyNumberFormat="1" applyFont="1" applyFill="1" applyBorder="1" applyAlignment="1">
      <alignment vertical="center"/>
    </xf>
    <xf numFmtId="170" fontId="18" fillId="2" borderId="83" xfId="25" applyNumberFormat="1" applyFont="1" applyFill="1" applyBorder="1" applyAlignment="1">
      <alignment vertical="center"/>
    </xf>
    <xf numFmtId="17" fontId="22" fillId="2" borderId="89" xfId="135" applyNumberFormat="1" applyFont="1" applyFill="1" applyBorder="1" applyAlignment="1">
      <alignment horizontal="center" vertical="center"/>
    </xf>
    <xf numFmtId="172" fontId="18" fillId="2" borderId="84" xfId="94" applyFont="1" applyFill="1" applyBorder="1" applyAlignment="1">
      <alignment vertical="center" wrapText="1"/>
    </xf>
    <xf numFmtId="172" fontId="18" fillId="2" borderId="85" xfId="94" applyFont="1" applyFill="1" applyBorder="1" applyAlignment="1">
      <alignment vertical="center" wrapText="1"/>
    </xf>
    <xf numFmtId="170" fontId="16" fillId="5" borderId="36" xfId="110" applyNumberFormat="1" applyFont="1" applyFill="1" applyBorder="1" applyAlignment="1">
      <alignment horizontal="left" vertical="center"/>
    </xf>
    <xf numFmtId="170" fontId="18" fillId="2" borderId="36" xfId="94" applyNumberFormat="1" applyFont="1" applyFill="1" applyBorder="1" applyAlignment="1">
      <alignment vertical="center" wrapText="1"/>
    </xf>
    <xf numFmtId="9" fontId="18" fillId="2" borderId="36" xfId="22" applyFont="1" applyFill="1" applyBorder="1" applyAlignment="1">
      <alignment horizontal="center" vertical="center" wrapText="1"/>
    </xf>
    <xf numFmtId="170" fontId="16" fillId="2" borderId="36" xfId="25" applyNumberFormat="1" applyFont="1" applyFill="1" applyBorder="1" applyAlignment="1">
      <alignment horizontal="center" vertical="center"/>
    </xf>
    <xf numFmtId="9" fontId="16" fillId="2" borderId="36" xfId="22" applyFont="1" applyFill="1" applyBorder="1" applyAlignment="1">
      <alignment horizontal="center" vertical="center"/>
    </xf>
    <xf numFmtId="41" fontId="16" fillId="0" borderId="0" xfId="0" applyNumberFormat="1" applyFont="1" applyAlignment="1"/>
    <xf numFmtId="172" fontId="18" fillId="2" borderId="38" xfId="130" applyFont="1" applyFill="1" applyBorder="1" applyAlignment="1">
      <alignment horizontal="left" vertical="center" wrapText="1"/>
    </xf>
    <xf numFmtId="0" fontId="25" fillId="7" borderId="4" xfId="0" applyFont="1" applyFill="1" applyBorder="1" applyAlignment="1">
      <alignment horizontal="center" vertical="center"/>
    </xf>
    <xf numFmtId="41" fontId="19" fillId="4" borderId="0" xfId="16" applyFont="1" applyFill="1" applyBorder="1" applyAlignment="1">
      <alignment vertical="center"/>
    </xf>
    <xf numFmtId="0" fontId="46" fillId="0" borderId="0" xfId="95" applyFont="1" applyFill="1"/>
    <xf numFmtId="3" fontId="46" fillId="0" borderId="0" xfId="95" applyNumberFormat="1" applyFont="1" applyFill="1"/>
    <xf numFmtId="0" fontId="46" fillId="0" borderId="5" xfId="95" applyFont="1" applyFill="1" applyBorder="1"/>
    <xf numFmtId="3" fontId="15" fillId="0" borderId="5" xfId="95" applyNumberFormat="1" applyFont="1" applyFill="1" applyBorder="1"/>
    <xf numFmtId="3" fontId="46" fillId="0" borderId="5" xfId="95" applyNumberFormat="1" applyFont="1" applyFill="1" applyBorder="1"/>
    <xf numFmtId="41" fontId="10" fillId="0" borderId="0" xfId="0" applyNumberFormat="1" applyFont="1"/>
    <xf numFmtId="10" fontId="10" fillId="0" borderId="0" xfId="0" applyNumberFormat="1" applyFont="1"/>
    <xf numFmtId="9" fontId="18" fillId="2" borderId="31" xfId="22" applyNumberFormat="1" applyFont="1" applyFill="1" applyBorder="1" applyAlignment="1">
      <alignment horizontal="left" vertical="center" indent="2"/>
    </xf>
    <xf numFmtId="41" fontId="19" fillId="7" borderId="2" xfId="0" applyNumberFormat="1" applyFont="1" applyFill="1" applyBorder="1" applyAlignment="1">
      <alignment vertical="center"/>
    </xf>
    <xf numFmtId="10" fontId="20" fillId="3" borderId="2" xfId="132" applyNumberFormat="1" applyFont="1" applyFill="1" applyBorder="1" applyAlignment="1">
      <alignment vertical="center"/>
    </xf>
    <xf numFmtId="41" fontId="22" fillId="0" borderId="37" xfId="59" applyFont="1" applyFill="1" applyBorder="1" applyAlignment="1">
      <alignment horizontal="right" vertical="center"/>
    </xf>
    <xf numFmtId="172" fontId="21" fillId="6" borderId="37" xfId="136" applyNumberFormat="1" applyFont="1" applyFill="1" applyBorder="1" applyAlignment="1">
      <alignment horizontal="left" vertical="center" wrapText="1"/>
    </xf>
    <xf numFmtId="3" fontId="18" fillId="2" borderId="0" xfId="94" applyNumberFormat="1" applyFont="1" applyFill="1" applyBorder="1" applyAlignment="1">
      <alignment horizontal="center" vertical="center" wrapText="1"/>
    </xf>
    <xf numFmtId="174" fontId="18" fillId="2" borderId="36" xfId="94" applyNumberFormat="1" applyFont="1" applyFill="1" applyBorder="1" applyAlignment="1">
      <alignment horizontal="left" vertical="center" wrapText="1"/>
    </xf>
    <xf numFmtId="17" fontId="18" fillId="2" borderId="31" xfId="134" applyNumberFormat="1" applyFont="1" applyFill="1" applyBorder="1" applyAlignment="1">
      <alignment horizontal="center" vertical="center"/>
    </xf>
    <xf numFmtId="17" fontId="22" fillId="0" borderId="36" xfId="135" applyNumberFormat="1" applyFont="1" applyFill="1" applyBorder="1" applyAlignment="1">
      <alignment horizontal="center" vertical="center"/>
    </xf>
    <xf numFmtId="172" fontId="18" fillId="2" borderId="79" xfId="94" applyFont="1" applyFill="1" applyBorder="1" applyAlignment="1">
      <alignment horizontal="left" vertical="center" wrapText="1"/>
    </xf>
    <xf numFmtId="17" fontId="22" fillId="0" borderId="0" xfId="135" applyNumberFormat="1" applyFont="1" applyFill="1" applyBorder="1" applyAlignment="1">
      <alignment horizontal="center" vertical="center"/>
    </xf>
    <xf numFmtId="43" fontId="10" fillId="0" borderId="0" xfId="0" applyNumberFormat="1" applyFont="1"/>
    <xf numFmtId="171" fontId="0" fillId="0" borderId="0" xfId="132" applyNumberFormat="1" applyFont="1"/>
    <xf numFmtId="182" fontId="0" fillId="0" borderId="0" xfId="132" applyNumberFormat="1" applyFont="1"/>
    <xf numFmtId="10" fontId="19" fillId="4" borderId="2" xfId="132" applyNumberFormat="1" applyFont="1" applyFill="1" applyBorder="1" applyAlignment="1">
      <alignment vertical="center"/>
    </xf>
    <xf numFmtId="170" fontId="21" fillId="9" borderId="90" xfId="25" applyNumberFormat="1" applyFont="1" applyFill="1" applyBorder="1" applyAlignment="1">
      <alignment horizontal="center" vertical="center"/>
    </xf>
    <xf numFmtId="170" fontId="21" fillId="9" borderId="0" xfId="25" applyNumberFormat="1" applyFont="1" applyFill="1" applyBorder="1" applyAlignment="1">
      <alignment horizontal="center" vertical="center"/>
    </xf>
    <xf numFmtId="3" fontId="17" fillId="6" borderId="92" xfId="28" applyNumberFormat="1" applyFont="1" applyFill="1" applyBorder="1" applyAlignment="1">
      <alignment horizontal="right" vertical="center"/>
    </xf>
    <xf numFmtId="3" fontId="17" fillId="6" borderId="78" xfId="28" applyNumberFormat="1" applyFont="1" applyFill="1" applyBorder="1" applyAlignment="1">
      <alignment horizontal="right" vertical="center"/>
    </xf>
    <xf numFmtId="170" fontId="16" fillId="5" borderId="91" xfId="25" applyNumberFormat="1" applyFont="1" applyFill="1" applyBorder="1" applyAlignment="1">
      <alignment horizontal="center" vertical="center"/>
    </xf>
    <xf numFmtId="170" fontId="18" fillId="2" borderId="35" xfId="25" applyNumberFormat="1" applyFont="1" applyFill="1" applyBorder="1" applyAlignment="1">
      <alignment horizontal="center" vertical="center" wrapText="1"/>
    </xf>
    <xf numFmtId="170" fontId="21" fillId="6" borderId="35" xfId="25" applyNumberFormat="1" applyFont="1" applyFill="1" applyBorder="1" applyAlignment="1">
      <alignment horizontal="left" vertical="center" wrapText="1"/>
    </xf>
    <xf numFmtId="170" fontId="21" fillId="6" borderId="0" xfId="25" applyNumberFormat="1" applyFont="1" applyFill="1" applyBorder="1" applyAlignment="1">
      <alignment horizontal="left" vertical="center" wrapText="1"/>
    </xf>
    <xf numFmtId="0" fontId="18" fillId="0" borderId="38" xfId="31" applyFont="1" applyFill="1" applyBorder="1" applyAlignment="1">
      <alignment horizontal="center" vertical="center" wrapText="1"/>
    </xf>
    <xf numFmtId="172" fontId="22" fillId="0" borderId="37" xfId="130" applyFont="1" applyFill="1" applyBorder="1" applyAlignment="1">
      <alignment horizontal="center" vertical="center"/>
    </xf>
    <xf numFmtId="3" fontId="46" fillId="0" borderId="56" xfId="95" applyNumberFormat="1" applyFont="1" applyBorder="1"/>
    <xf numFmtId="9" fontId="18" fillId="2" borderId="0" xfId="132" applyFont="1" applyFill="1" applyAlignment="1">
      <alignment vertical="center"/>
    </xf>
    <xf numFmtId="0" fontId="9" fillId="0" borderId="0" xfId="21"/>
    <xf numFmtId="0" fontId="9" fillId="0" borderId="0" xfId="137" applyFont="1" applyBorder="1"/>
    <xf numFmtId="0" fontId="9" fillId="0" borderId="0" xfId="21" applyFont="1" applyBorder="1"/>
    <xf numFmtId="0" fontId="1" fillId="0" borderId="0" xfId="138"/>
    <xf numFmtId="0" fontId="18" fillId="0" borderId="0" xfId="137" applyFont="1" applyFill="1" applyBorder="1" applyAlignment="1">
      <alignment vertical="center" wrapText="1"/>
    </xf>
    <xf numFmtId="4" fontId="55" fillId="40" borderId="2" xfId="21" applyNumberFormat="1" applyFont="1" applyFill="1" applyBorder="1" applyAlignment="1">
      <alignment horizontal="center" vertical="center" wrapText="1"/>
    </xf>
    <xf numFmtId="0" fontId="59" fillId="0" borderId="0" xfId="138" applyFont="1" applyBorder="1"/>
    <xf numFmtId="0" fontId="18" fillId="0" borderId="12" xfId="21" applyFont="1" applyFill="1" applyBorder="1" applyAlignment="1">
      <alignment horizontal="left" vertical="center" wrapText="1"/>
    </xf>
    <xf numFmtId="0" fontId="18" fillId="0" borderId="2" xfId="21" applyFont="1" applyFill="1" applyBorder="1" applyAlignment="1">
      <alignment vertical="center" wrapText="1"/>
    </xf>
    <xf numFmtId="4" fontId="18" fillId="0" borderId="2" xfId="21" applyNumberFormat="1" applyFont="1" applyFill="1" applyBorder="1" applyAlignment="1">
      <alignment vertical="center" wrapText="1"/>
    </xf>
    <xf numFmtId="9" fontId="18" fillId="0" borderId="2" xfId="21" applyNumberFormat="1" applyFont="1" applyFill="1" applyBorder="1" applyAlignment="1">
      <alignment vertical="center" wrapText="1"/>
    </xf>
    <xf numFmtId="0" fontId="18" fillId="0" borderId="13" xfId="21" applyFont="1" applyFill="1" applyBorder="1" applyAlignment="1">
      <alignment vertical="center" wrapText="1"/>
    </xf>
    <xf numFmtId="0" fontId="18" fillId="0" borderId="12" xfId="21" applyFont="1" applyFill="1" applyBorder="1" applyAlignment="1">
      <alignment vertical="center" wrapText="1"/>
    </xf>
    <xf numFmtId="10" fontId="18" fillId="0" borderId="2" xfId="21" applyNumberFormat="1" applyFont="1" applyFill="1" applyBorder="1" applyAlignment="1">
      <alignment vertical="center" wrapText="1"/>
    </xf>
    <xf numFmtId="0" fontId="18" fillId="0" borderId="14" xfId="21" applyFont="1" applyFill="1" applyBorder="1" applyAlignment="1">
      <alignment vertical="center" wrapText="1"/>
    </xf>
    <xf numFmtId="0" fontId="18" fillId="0" borderId="17" xfId="21" applyFont="1" applyFill="1" applyBorder="1" applyAlignment="1">
      <alignment vertical="center" wrapText="1"/>
    </xf>
    <xf numFmtId="4" fontId="18" fillId="0" borderId="17" xfId="21" applyNumberFormat="1" applyFont="1" applyFill="1" applyBorder="1" applyAlignment="1">
      <alignment vertical="center" wrapText="1"/>
    </xf>
    <xf numFmtId="10" fontId="18" fillId="0" borderId="17" xfId="21" applyNumberFormat="1" applyFont="1" applyFill="1" applyBorder="1" applyAlignment="1">
      <alignment vertical="center" wrapText="1"/>
    </xf>
    <xf numFmtId="0" fontId="18" fillId="0" borderId="15" xfId="21" applyFont="1" applyFill="1" applyBorder="1" applyAlignment="1">
      <alignment vertical="center" wrapText="1"/>
    </xf>
    <xf numFmtId="4" fontId="1" fillId="0" borderId="0" xfId="138" applyNumberFormat="1"/>
    <xf numFmtId="10" fontId="1" fillId="0" borderId="0" xfId="138" applyNumberFormat="1"/>
    <xf numFmtId="43" fontId="18" fillId="0" borderId="2" xfId="139" applyFont="1" applyFill="1" applyBorder="1" applyAlignment="1">
      <alignment vertical="center" wrapText="1"/>
    </xf>
    <xf numFmtId="0" fontId="18" fillId="0" borderId="24" xfId="21" applyFont="1" applyFill="1" applyBorder="1" applyAlignment="1">
      <alignment vertical="center" wrapText="1"/>
    </xf>
    <xf numFmtId="43" fontId="18" fillId="0" borderId="24" xfId="139" applyFont="1" applyFill="1" applyBorder="1" applyAlignment="1">
      <alignment vertical="center" wrapText="1"/>
    </xf>
    <xf numFmtId="10" fontId="18" fillId="0" borderId="24" xfId="21" applyNumberFormat="1" applyFont="1" applyFill="1" applyBorder="1" applyAlignment="1">
      <alignment vertical="center" wrapText="1"/>
    </xf>
    <xf numFmtId="0" fontId="18" fillId="0" borderId="93" xfId="21" applyFont="1" applyFill="1" applyBorder="1" applyAlignment="1">
      <alignment vertical="center" wrapText="1"/>
    </xf>
    <xf numFmtId="0" fontId="18" fillId="0" borderId="0" xfId="137" applyFont="1" applyFill="1" applyBorder="1" applyAlignment="1">
      <alignment horizontal="left" vertical="center" wrapText="1"/>
    </xf>
    <xf numFmtId="0" fontId="18" fillId="0" borderId="0" xfId="21" applyFont="1" applyFill="1" applyBorder="1" applyAlignment="1">
      <alignment vertical="center" wrapText="1"/>
    </xf>
    <xf numFmtId="0" fontId="54" fillId="40" borderId="12" xfId="137" applyFont="1" applyFill="1" applyBorder="1" applyAlignment="1">
      <alignment horizontal="center" vertical="center" wrapText="1"/>
    </xf>
    <xf numFmtId="0" fontId="54" fillId="40" borderId="2" xfId="137" applyFont="1" applyFill="1" applyBorder="1" applyAlignment="1">
      <alignment horizontal="center" vertical="center" wrapText="1"/>
    </xf>
    <xf numFmtId="0" fontId="54" fillId="40" borderId="13" xfId="137" applyFont="1" applyFill="1" applyBorder="1" applyAlignment="1">
      <alignment horizontal="center" vertical="center" wrapText="1"/>
    </xf>
    <xf numFmtId="0" fontId="17" fillId="0" borderId="14" xfId="137" applyFont="1" applyFill="1" applyBorder="1" applyAlignment="1">
      <alignment horizontal="left" vertical="center" wrapText="1"/>
    </xf>
    <xf numFmtId="0" fontId="18" fillId="0" borderId="12" xfId="137" quotePrefix="1" applyFont="1" applyBorder="1" applyAlignment="1" applyProtection="1"/>
    <xf numFmtId="172" fontId="18" fillId="0" borderId="2" xfId="137" applyNumberFormat="1" applyFont="1" applyFill="1" applyBorder="1" applyAlignment="1">
      <alignment horizontal="right" vertical="center" wrapText="1"/>
    </xf>
    <xf numFmtId="172" fontId="18" fillId="0" borderId="13" xfId="137" applyNumberFormat="1" applyFont="1" applyFill="1" applyBorder="1" applyAlignment="1">
      <alignment horizontal="right" vertical="center" wrapText="1"/>
    </xf>
    <xf numFmtId="172" fontId="1" fillId="0" borderId="0" xfId="138" applyNumberFormat="1"/>
    <xf numFmtId="0" fontId="54" fillId="40" borderId="14" xfId="137" applyFont="1" applyFill="1" applyBorder="1" applyAlignment="1">
      <alignment horizontal="center" vertical="center" wrapText="1"/>
    </xf>
    <xf numFmtId="172" fontId="54" fillId="40" borderId="17" xfId="137" applyNumberFormat="1" applyFont="1" applyFill="1" applyBorder="1" applyAlignment="1">
      <alignment horizontal="right" vertical="center" wrapText="1"/>
    </xf>
    <xf numFmtId="172" fontId="54" fillId="40" borderId="15" xfId="137" applyNumberFormat="1" applyFont="1" applyFill="1" applyBorder="1" applyAlignment="1">
      <alignment horizontal="right" vertical="center" wrapText="1"/>
    </xf>
    <xf numFmtId="0" fontId="18" fillId="0" borderId="12" xfId="137" applyFont="1" applyBorder="1" applyAlignment="1" applyProtection="1">
      <alignment horizontal="left" wrapText="1"/>
    </xf>
    <xf numFmtId="0" fontId="18" fillId="0" borderId="12" xfId="137" applyFont="1" applyBorder="1" applyAlignment="1" applyProtection="1"/>
    <xf numFmtId="0" fontId="1" fillId="0" borderId="0" xfId="138" applyFill="1"/>
    <xf numFmtId="172" fontId="14" fillId="0" borderId="0" xfId="106" applyFont="1" applyAlignment="1">
      <alignment vertical="center" wrapText="1"/>
    </xf>
    <xf numFmtId="17" fontId="14" fillId="0" borderId="0" xfId="106" applyNumberFormat="1" applyFont="1" applyAlignment="1">
      <alignment horizontal="center" vertical="center" wrapText="1"/>
    </xf>
    <xf numFmtId="41" fontId="14" fillId="0" borderId="0" xfId="59" applyNumberFormat="1" applyFont="1" applyAlignment="1">
      <alignment horizontal="right" vertical="center" wrapText="1"/>
    </xf>
    <xf numFmtId="17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center" vertical="center" wrapText="1"/>
    </xf>
    <xf numFmtId="170" fontId="14" fillId="0" borderId="0" xfId="25" applyNumberFormat="1" applyFont="1" applyAlignment="1">
      <alignment horizontal="left" vertical="center" wrapText="1"/>
    </xf>
    <xf numFmtId="170" fontId="14" fillId="0" borderId="0" xfId="25" applyNumberFormat="1" applyFont="1" applyAlignment="1">
      <alignment horizontal="right" vertical="center" wrapText="1"/>
    </xf>
    <xf numFmtId="172" fontId="14" fillId="0" borderId="0" xfId="106" applyFont="1" applyAlignment="1">
      <alignment horizontal="center" vertical="center" wrapText="1"/>
    </xf>
    <xf numFmtId="172" fontId="50" fillId="0" borderId="0" xfId="87" applyFont="1" applyAlignment="1">
      <alignment horizontal="right"/>
    </xf>
    <xf numFmtId="172" fontId="21" fillId="6" borderId="94" xfId="106" applyFont="1" applyFill="1" applyBorder="1" applyAlignment="1">
      <alignment horizontal="right" vertical="center" wrapText="1"/>
    </xf>
    <xf numFmtId="172" fontId="21" fillId="6" borderId="94" xfId="106" applyFont="1" applyFill="1" applyBorder="1" applyAlignment="1">
      <alignment vertical="center" wrapText="1"/>
    </xf>
    <xf numFmtId="172" fontId="18" fillId="0" borderId="0" xfId="106" applyFont="1" applyAlignment="1">
      <alignment vertical="center" wrapText="1"/>
    </xf>
    <xf numFmtId="3" fontId="21" fillId="6" borderId="31" xfId="28" applyNumberFormat="1" applyFont="1" applyFill="1" applyBorder="1" applyAlignment="1">
      <alignment horizontal="left" vertical="center" wrapText="1"/>
    </xf>
    <xf numFmtId="17" fontId="21" fillId="6" borderId="94" xfId="140" applyNumberFormat="1" applyFont="1" applyFill="1" applyBorder="1" applyAlignment="1">
      <alignment horizontal="center" vertical="center" wrapText="1"/>
    </xf>
    <xf numFmtId="41" fontId="21" fillId="6" borderId="94" xfId="59" applyNumberFormat="1" applyFont="1" applyFill="1" applyBorder="1" applyAlignment="1">
      <alignment horizontal="center" vertical="center" wrapText="1"/>
    </xf>
    <xf numFmtId="170" fontId="21" fillId="6" borderId="94" xfId="25" applyNumberFormat="1" applyFont="1" applyFill="1" applyBorder="1" applyAlignment="1">
      <alignment horizontal="center" vertical="center" wrapText="1"/>
    </xf>
    <xf numFmtId="172" fontId="21" fillId="9" borderId="38" xfId="140" applyFont="1" applyFill="1" applyBorder="1" applyAlignment="1">
      <alignment vertical="center" wrapText="1"/>
    </xf>
    <xf numFmtId="172" fontId="21" fillId="9" borderId="38" xfId="140" applyFont="1" applyFill="1" applyBorder="1" applyAlignment="1">
      <alignment horizontal="center" vertical="center" wrapText="1"/>
    </xf>
    <xf numFmtId="172" fontId="21" fillId="9" borderId="38" xfId="140" applyFont="1" applyFill="1" applyBorder="1" applyAlignment="1">
      <alignment horizontal="left" vertical="center" wrapText="1"/>
    </xf>
    <xf numFmtId="0" fontId="16" fillId="5" borderId="38" xfId="140" applyNumberFormat="1" applyFont="1" applyFill="1" applyBorder="1" applyAlignment="1">
      <alignment horizontal="right" vertical="center" wrapText="1"/>
    </xf>
    <xf numFmtId="3" fontId="17" fillId="5" borderId="38" xfId="28" applyNumberFormat="1" applyFont="1" applyFill="1" applyBorder="1" applyAlignment="1">
      <alignment horizontal="left" vertical="center" wrapText="1"/>
    </xf>
    <xf numFmtId="172" fontId="22" fillId="0" borderId="38" xfId="140" applyFont="1" applyFill="1" applyBorder="1" applyAlignment="1">
      <alignment horizontal="right" vertical="center" wrapText="1"/>
    </xf>
    <xf numFmtId="0" fontId="22" fillId="2" borderId="38" xfId="31" applyFont="1" applyFill="1" applyBorder="1" applyAlignment="1">
      <alignment horizontal="center" vertical="center" wrapText="1"/>
    </xf>
    <xf numFmtId="170" fontId="17" fillId="5" borderId="38" xfId="25" applyNumberFormat="1" applyFont="1" applyFill="1" applyBorder="1" applyAlignment="1">
      <alignment horizontal="center" vertical="center" wrapText="1"/>
    </xf>
    <xf numFmtId="172" fontId="14" fillId="6" borderId="0" xfId="106" applyFont="1" applyFill="1" applyAlignment="1">
      <alignment vertical="center" wrapText="1"/>
    </xf>
    <xf numFmtId="172" fontId="18" fillId="0" borderId="0" xfId="106" applyFont="1" applyFill="1" applyAlignment="1">
      <alignment horizontal="right" vertical="center" wrapText="1"/>
    </xf>
    <xf numFmtId="0" fontId="22" fillId="2" borderId="0" xfId="31" applyFont="1" applyFill="1" applyBorder="1" applyAlignment="1">
      <alignment horizontal="center" vertical="center" wrapText="1"/>
    </xf>
    <xf numFmtId="170" fontId="18" fillId="2" borderId="0" xfId="25" applyNumberFormat="1" applyFont="1" applyFill="1" applyBorder="1" applyAlignment="1">
      <alignment horizontal="center" vertical="center" wrapText="1"/>
    </xf>
    <xf numFmtId="0" fontId="22" fillId="0" borderId="38" xfId="31" applyFont="1" applyFill="1" applyBorder="1" applyAlignment="1">
      <alignment horizontal="left" vertical="center" wrapText="1"/>
    </xf>
    <xf numFmtId="0" fontId="22" fillId="0" borderId="38" xfId="31" applyFont="1" applyFill="1" applyBorder="1" applyAlignment="1">
      <alignment horizontal="center" vertical="center" wrapText="1"/>
    </xf>
    <xf numFmtId="172" fontId="16" fillId="0" borderId="0" xfId="29" applyFont="1" applyAlignment="1"/>
    <xf numFmtId="3" fontId="21" fillId="8" borderId="28" xfId="28" applyNumberFormat="1" applyFont="1" applyFill="1" applyBorder="1" applyAlignment="1">
      <alignment horizontal="center" vertical="center"/>
    </xf>
    <xf numFmtId="3" fontId="21" fillId="6" borderId="28" xfId="28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3" fontId="21" fillId="6" borderId="94" xfId="28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55" fillId="40" borderId="2" xfId="21" applyFont="1" applyFill="1" applyBorder="1" applyAlignment="1">
      <alignment horizontal="center" vertical="center" wrapText="1"/>
    </xf>
    <xf numFmtId="10" fontId="55" fillId="40" borderId="2" xfId="21" applyNumberFormat="1" applyFont="1" applyFill="1" applyBorder="1" applyAlignment="1">
      <alignment horizontal="center" vertical="center" wrapText="1"/>
    </xf>
    <xf numFmtId="0" fontId="18" fillId="0" borderId="17" xfId="137" applyFont="1" applyFill="1" applyBorder="1" applyAlignment="1">
      <alignment horizontal="center" vertical="center" wrapText="1"/>
    </xf>
    <xf numFmtId="0" fontId="18" fillId="0" borderId="15" xfId="137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left" vertical="center" wrapText="1"/>
    </xf>
    <xf numFmtId="170" fontId="17" fillId="39" borderId="31" xfId="25" applyNumberFormat="1" applyFont="1" applyFill="1" applyBorder="1" applyAlignment="1">
      <alignment horizontal="center" vertical="center" wrapText="1"/>
    </xf>
    <xf numFmtId="181" fontId="17" fillId="39" borderId="31" xfId="94" applyNumberFormat="1" applyFont="1" applyFill="1" applyBorder="1" applyAlignment="1">
      <alignment horizontal="center" vertical="center" wrapText="1"/>
    </xf>
    <xf numFmtId="172" fontId="17" fillId="39" borderId="32" xfId="94" applyFont="1" applyFill="1" applyBorder="1" applyAlignment="1">
      <alignment horizontal="center" vertical="center" wrapText="1"/>
    </xf>
    <xf numFmtId="172" fontId="18" fillId="2" borderId="77" xfId="94" applyFont="1" applyFill="1" applyBorder="1" applyAlignment="1">
      <alignment horizontal="left" vertical="center" wrapText="1"/>
    </xf>
    <xf numFmtId="172" fontId="17" fillId="39" borderId="32" xfId="94" applyFont="1" applyFill="1" applyBorder="1" applyAlignment="1">
      <alignment horizontal="left" vertical="center" wrapText="1"/>
    </xf>
    <xf numFmtId="181" fontId="22" fillId="5" borderId="35" xfId="110" applyNumberFormat="1" applyFont="1" applyFill="1" applyBorder="1" applyAlignment="1">
      <alignment horizontal="center" vertical="center"/>
    </xf>
    <xf numFmtId="172" fontId="18" fillId="2" borderId="77" xfId="94" applyFont="1" applyFill="1" applyBorder="1" applyAlignment="1">
      <alignment horizontal="center" vertical="center" wrapText="1"/>
    </xf>
    <xf numFmtId="172" fontId="17" fillId="39" borderId="36" xfId="94" applyFont="1" applyFill="1" applyBorder="1" applyAlignment="1">
      <alignment horizontal="center" vertical="center" wrapText="1"/>
    </xf>
    <xf numFmtId="181" fontId="17" fillId="39" borderId="36" xfId="94" applyNumberFormat="1" applyFont="1" applyFill="1" applyBorder="1" applyAlignment="1">
      <alignment horizontal="center" vertical="center" wrapText="1"/>
    </xf>
    <xf numFmtId="181" fontId="22" fillId="5" borderId="36" xfId="110" applyNumberFormat="1" applyFont="1" applyFill="1" applyBorder="1" applyAlignment="1">
      <alignment horizontal="center" vertical="center"/>
    </xf>
    <xf numFmtId="172" fontId="18" fillId="2" borderId="84" xfId="94" applyFont="1" applyFill="1" applyBorder="1" applyAlignment="1">
      <alignment horizontal="center" vertical="center" wrapText="1"/>
    </xf>
    <xf numFmtId="172" fontId="18" fillId="2" borderId="85" xfId="94" applyFont="1" applyFill="1" applyBorder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70" fontId="21" fillId="6" borderId="0" xfId="17" applyNumberFormat="1" applyFont="1" applyFill="1" applyBorder="1" applyAlignment="1">
      <alignment horizontal="center" vertical="center" wrapText="1"/>
    </xf>
    <xf numFmtId="170" fontId="21" fillId="9" borderId="2" xfId="17" applyNumberFormat="1" applyFont="1" applyFill="1" applyBorder="1" applyAlignment="1">
      <alignment horizontal="center" vertical="center"/>
    </xf>
    <xf numFmtId="170" fontId="16" fillId="5" borderId="2" xfId="17" applyNumberFormat="1" applyFont="1" applyFill="1" applyBorder="1" applyAlignment="1">
      <alignment horizontal="center" vertical="center"/>
    </xf>
    <xf numFmtId="170" fontId="22" fillId="0" borderId="2" xfId="17" applyNumberFormat="1" applyFont="1" applyFill="1" applyBorder="1" applyAlignment="1">
      <alignment horizontal="center" vertical="center"/>
    </xf>
    <xf numFmtId="170" fontId="21" fillId="38" borderId="2" xfId="17" applyNumberFormat="1" applyFont="1" applyFill="1" applyBorder="1" applyAlignment="1">
      <alignment horizontal="right" vertical="center" wrapText="1"/>
    </xf>
    <xf numFmtId="170" fontId="21" fillId="9" borderId="2" xfId="136" applyNumberFormat="1" applyFont="1" applyFill="1" applyBorder="1" applyAlignment="1">
      <alignment horizontal="right" vertical="center" wrapText="1"/>
    </xf>
    <xf numFmtId="172" fontId="21" fillId="9" borderId="2" xfId="133" applyFont="1" applyFill="1" applyBorder="1" applyAlignment="1">
      <alignment vertical="center" wrapText="1"/>
    </xf>
    <xf numFmtId="174" fontId="17" fillId="5" borderId="2" xfId="28" applyNumberFormat="1" applyFont="1" applyFill="1" applyBorder="1" applyAlignment="1">
      <alignment horizontal="right" vertical="center" wrapText="1"/>
    </xf>
    <xf numFmtId="3" fontId="17" fillId="5" borderId="2" xfId="28" applyNumberFormat="1" applyFont="1" applyFill="1" applyBorder="1" applyAlignment="1">
      <alignment vertical="center" wrapText="1"/>
    </xf>
    <xf numFmtId="0" fontId="22" fillId="2" borderId="2" xfId="31" applyFont="1" applyFill="1" applyBorder="1" applyAlignment="1">
      <alignment horizontal="right" vertical="center" wrapText="1"/>
    </xf>
    <xf numFmtId="0" fontId="22" fillId="2" borderId="2" xfId="31" applyFont="1" applyFill="1" applyBorder="1" applyAlignment="1">
      <alignment horizontal="justify" vertical="center" wrapText="1"/>
    </xf>
    <xf numFmtId="170" fontId="17" fillId="5" borderId="2" xfId="17" applyNumberFormat="1" applyFont="1" applyFill="1" applyBorder="1" applyAlignment="1">
      <alignment horizontal="center" vertical="center" wrapText="1"/>
    </xf>
    <xf numFmtId="172" fontId="21" fillId="6" borderId="2" xfId="87" applyFont="1" applyFill="1" applyBorder="1" applyAlignment="1">
      <alignment horizontal="right"/>
    </xf>
    <xf numFmtId="172" fontId="21" fillId="6" borderId="2" xfId="87" applyFont="1" applyFill="1" applyBorder="1"/>
    <xf numFmtId="172" fontId="21" fillId="6" borderId="0" xfId="87" applyFont="1" applyFill="1" applyBorder="1" applyAlignment="1">
      <alignment horizontal="center" vertical="center" wrapText="1"/>
    </xf>
    <xf numFmtId="170" fontId="17" fillId="0" borderId="0" xfId="17" applyNumberFormat="1" applyFont="1"/>
    <xf numFmtId="170" fontId="16" fillId="0" borderId="2" xfId="17" applyNumberFormat="1" applyFont="1" applyFill="1" applyBorder="1" applyAlignment="1">
      <alignment horizontal="center" vertical="center"/>
    </xf>
    <xf numFmtId="172" fontId="17" fillId="0" borderId="0" xfId="28" applyFont="1" applyAlignment="1">
      <alignment horizontal="center" vertical="center"/>
    </xf>
    <xf numFmtId="172" fontId="16" fillId="0" borderId="0" xfId="29" applyFont="1" applyAlignment="1">
      <alignment horizontal="center"/>
    </xf>
    <xf numFmtId="172" fontId="16" fillId="0" borderId="0" xfId="87" applyFont="1" applyAlignment="1">
      <alignment horizontal="center"/>
    </xf>
    <xf numFmtId="172" fontId="16" fillId="0" borderId="0" xfId="29" applyFont="1" applyBorder="1" applyAlignment="1">
      <alignment horizontal="center"/>
    </xf>
    <xf numFmtId="3" fontId="21" fillId="6" borderId="0" xfId="28" applyNumberFormat="1" applyFont="1" applyFill="1" applyBorder="1" applyAlignment="1">
      <alignment horizontal="left" vertical="center" wrapText="1"/>
    </xf>
    <xf numFmtId="0" fontId="22" fillId="2" borderId="38" xfId="31" applyFont="1" applyFill="1" applyBorder="1" applyAlignment="1">
      <alignment horizontal="left" vertical="center" wrapText="1"/>
    </xf>
    <xf numFmtId="17" fontId="21" fillId="8" borderId="28" xfId="28" applyNumberFormat="1" applyFont="1" applyFill="1" applyBorder="1" applyAlignment="1">
      <alignment horizontal="center" vertical="center" wrapText="1"/>
    </xf>
    <xf numFmtId="3" fontId="21" fillId="8" borderId="28" xfId="28" applyNumberFormat="1" applyFont="1" applyFill="1" applyBorder="1" applyAlignment="1">
      <alignment horizontal="center" vertical="center"/>
    </xf>
    <xf numFmtId="3" fontId="21" fillId="6" borderId="28" xfId="28" applyNumberFormat="1" applyFont="1" applyFill="1" applyBorder="1" applyAlignment="1">
      <alignment horizontal="center" vertical="center"/>
    </xf>
    <xf numFmtId="170" fontId="21" fillId="6" borderId="53" xfId="25" applyNumberFormat="1" applyFont="1" applyFill="1" applyBorder="1" applyAlignment="1">
      <alignment horizontal="center" vertical="center"/>
    </xf>
    <xf numFmtId="170" fontId="21" fillId="6" borderId="54" xfId="25" applyNumberFormat="1" applyFont="1" applyFill="1" applyBorder="1" applyAlignment="1">
      <alignment horizontal="center" vertical="center"/>
    </xf>
    <xf numFmtId="170" fontId="21" fillId="6" borderId="55" xfId="25" applyNumberFormat="1" applyFont="1" applyFill="1" applyBorder="1" applyAlignment="1">
      <alignment horizontal="center" vertical="center"/>
    </xf>
    <xf numFmtId="3" fontId="21" fillId="8" borderId="28" xfId="28" applyNumberFormat="1" applyFont="1" applyFill="1" applyBorder="1" applyAlignment="1">
      <alignment horizontal="right" vertical="center" wrapText="1"/>
    </xf>
    <xf numFmtId="3" fontId="21" fillId="8" borderId="28" xfId="28" applyNumberFormat="1" applyFont="1" applyFill="1" applyBorder="1" applyAlignment="1">
      <alignment horizontal="center" vertical="center" wrapText="1"/>
    </xf>
    <xf numFmtId="3" fontId="21" fillId="8" borderId="101" xfId="28" applyNumberFormat="1" applyFont="1" applyFill="1" applyBorder="1" applyAlignment="1">
      <alignment horizontal="center" vertical="center" wrapText="1"/>
    </xf>
    <xf numFmtId="3" fontId="21" fillId="8" borderId="102" xfId="28" applyNumberFormat="1" applyFont="1" applyFill="1" applyBorder="1" applyAlignment="1">
      <alignment horizontal="center" vertical="center" wrapText="1"/>
    </xf>
    <xf numFmtId="172" fontId="17" fillId="0" borderId="0" xfId="28" applyFont="1" applyAlignment="1">
      <alignment horizontal="center" vertical="center"/>
    </xf>
    <xf numFmtId="172" fontId="16" fillId="0" borderId="0" xfId="29" applyFont="1" applyAlignment="1">
      <alignment horizontal="center"/>
    </xf>
    <xf numFmtId="172" fontId="16" fillId="0" borderId="27" xfId="29" applyFont="1" applyBorder="1" applyAlignment="1">
      <alignment horizontal="center"/>
    </xf>
    <xf numFmtId="3" fontId="21" fillId="6" borderId="53" xfId="28" applyNumberFormat="1" applyFont="1" applyFill="1" applyBorder="1" applyAlignment="1">
      <alignment horizontal="center" vertical="center"/>
    </xf>
    <xf numFmtId="3" fontId="21" fillId="6" borderId="54" xfId="28" applyNumberFormat="1" applyFont="1" applyFill="1" applyBorder="1" applyAlignment="1">
      <alignment horizontal="center" vertical="center"/>
    </xf>
    <xf numFmtId="3" fontId="21" fillId="6" borderId="55" xfId="28" applyNumberFormat="1" applyFont="1" applyFill="1" applyBorder="1" applyAlignment="1">
      <alignment horizontal="center" vertical="center"/>
    </xf>
    <xf numFmtId="3" fontId="21" fillId="8" borderId="53" xfId="28" applyNumberFormat="1" applyFont="1" applyFill="1" applyBorder="1" applyAlignment="1">
      <alignment horizontal="center" vertical="center"/>
    </xf>
    <xf numFmtId="3" fontId="21" fillId="8" borderId="54" xfId="28" applyNumberFormat="1" applyFont="1" applyFill="1" applyBorder="1" applyAlignment="1">
      <alignment horizontal="center" vertical="center"/>
    </xf>
    <xf numFmtId="3" fontId="21" fillId="8" borderId="55" xfId="28" applyNumberFormat="1" applyFont="1" applyFill="1" applyBorder="1" applyAlignment="1">
      <alignment horizontal="center" vertical="center"/>
    </xf>
    <xf numFmtId="3" fontId="21" fillId="6" borderId="94" xfId="28" applyNumberFormat="1" applyFont="1" applyFill="1" applyBorder="1" applyAlignment="1">
      <alignment horizontal="center" vertical="center"/>
    </xf>
    <xf numFmtId="172" fontId="21" fillId="6" borderId="94" xfId="106" applyFont="1" applyFill="1" applyBorder="1" applyAlignment="1">
      <alignment horizontal="center" vertical="center" wrapText="1"/>
    </xf>
    <xf numFmtId="172" fontId="21" fillId="6" borderId="95" xfId="106" applyFont="1" applyFill="1" applyBorder="1" applyAlignment="1">
      <alignment horizontal="center" vertical="center" wrapText="1"/>
    </xf>
    <xf numFmtId="172" fontId="21" fillId="6" borderId="96" xfId="106" applyFont="1" applyFill="1" applyBorder="1" applyAlignment="1">
      <alignment horizontal="center" vertical="center" wrapText="1"/>
    </xf>
    <xf numFmtId="172" fontId="21" fillId="6" borderId="65" xfId="106" applyFont="1" applyFill="1" applyBorder="1" applyAlignment="1">
      <alignment horizontal="center" vertical="center" wrapText="1"/>
    </xf>
    <xf numFmtId="172" fontId="21" fillId="6" borderId="66" xfId="106" applyFont="1" applyFill="1" applyBorder="1" applyAlignment="1">
      <alignment horizontal="center" vertical="center" wrapText="1"/>
    </xf>
    <xf numFmtId="172" fontId="21" fillId="6" borderId="67" xfId="106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5" fillId="7" borderId="24" xfId="0" applyFont="1" applyFill="1" applyBorder="1" applyAlignment="1">
      <alignment horizontal="center" vertical="center" wrapText="1"/>
    </xf>
    <xf numFmtId="0" fontId="25" fillId="7" borderId="26" xfId="0" applyFont="1" applyFill="1" applyBorder="1" applyAlignment="1">
      <alignment horizontal="center" vertical="center" wrapText="1"/>
    </xf>
    <xf numFmtId="0" fontId="25" fillId="7" borderId="23" xfId="0" applyFont="1" applyFill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/>
    </xf>
    <xf numFmtId="172" fontId="21" fillId="6" borderId="101" xfId="87" applyFont="1" applyFill="1" applyBorder="1" applyAlignment="1">
      <alignment horizontal="center" vertical="center" wrapText="1"/>
    </xf>
    <xf numFmtId="172" fontId="21" fillId="6" borderId="103" xfId="87" applyFont="1" applyFill="1" applyBorder="1" applyAlignment="1">
      <alignment horizontal="center" vertical="center" wrapText="1"/>
    </xf>
    <xf numFmtId="172" fontId="21" fillId="6" borderId="104" xfId="87" applyFont="1" applyFill="1" applyBorder="1" applyAlignment="1">
      <alignment horizontal="center" vertical="center" wrapText="1"/>
    </xf>
    <xf numFmtId="172" fontId="16" fillId="0" borderId="0" xfId="87" applyFont="1" applyAlignment="1">
      <alignment horizontal="center"/>
    </xf>
    <xf numFmtId="172" fontId="21" fillId="6" borderId="49" xfId="87" applyFont="1" applyFill="1" applyBorder="1" applyAlignment="1">
      <alignment horizontal="center" vertical="center" wrapText="1"/>
    </xf>
    <xf numFmtId="172" fontId="21" fillId="6" borderId="50" xfId="87" applyFont="1" applyFill="1" applyBorder="1" applyAlignment="1">
      <alignment horizontal="center" vertical="center" wrapText="1"/>
    </xf>
    <xf numFmtId="172" fontId="21" fillId="6" borderId="51" xfId="87" applyFont="1" applyFill="1" applyBorder="1" applyAlignment="1">
      <alignment horizontal="center" vertical="center" wrapText="1"/>
    </xf>
    <xf numFmtId="172" fontId="21" fillId="6" borderId="52" xfId="87" applyFont="1" applyFill="1" applyBorder="1" applyAlignment="1">
      <alignment horizontal="center" vertical="center" wrapText="1"/>
    </xf>
    <xf numFmtId="170" fontId="21" fillId="6" borderId="97" xfId="17" applyNumberFormat="1" applyFont="1" applyFill="1" applyBorder="1" applyAlignment="1">
      <alignment horizontal="center" vertical="center" wrapText="1"/>
    </xf>
    <xf numFmtId="170" fontId="21" fillId="6" borderId="0" xfId="17" applyNumberFormat="1" applyFont="1" applyFill="1" applyBorder="1" applyAlignment="1">
      <alignment horizontal="center" vertical="center" wrapText="1"/>
    </xf>
    <xf numFmtId="170" fontId="21" fillId="6" borderId="98" xfId="17" applyNumberFormat="1" applyFont="1" applyFill="1" applyBorder="1" applyAlignment="1">
      <alignment horizontal="center" vertical="center" wrapText="1"/>
    </xf>
    <xf numFmtId="170" fontId="21" fillId="6" borderId="100" xfId="17" applyNumberFormat="1" applyFont="1" applyFill="1" applyBorder="1" applyAlignment="1">
      <alignment horizontal="center" vertical="center" wrapText="1"/>
    </xf>
    <xf numFmtId="170" fontId="21" fillId="6" borderId="99" xfId="17" applyNumberFormat="1" applyFont="1" applyFill="1" applyBorder="1" applyAlignment="1">
      <alignment horizontal="center" vertical="center" wrapText="1"/>
    </xf>
    <xf numFmtId="172" fontId="21" fillId="6" borderId="98" xfId="87" applyFont="1" applyFill="1" applyBorder="1" applyAlignment="1">
      <alignment horizontal="center" vertical="center" wrapText="1"/>
    </xf>
    <xf numFmtId="172" fontId="21" fillId="6" borderId="99" xfId="87" applyFont="1" applyFill="1" applyBorder="1" applyAlignment="1">
      <alignment horizontal="center" vertical="center" wrapText="1"/>
    </xf>
    <xf numFmtId="172" fontId="21" fillId="6" borderId="105" xfId="87" applyFont="1" applyFill="1" applyBorder="1" applyAlignment="1">
      <alignment horizontal="center" vertical="center" wrapText="1"/>
    </xf>
    <xf numFmtId="0" fontId="53" fillId="0" borderId="23" xfId="21" applyFont="1" applyFill="1" applyBorder="1" applyAlignment="1">
      <alignment horizontal="left" vertical="center" wrapText="1"/>
    </xf>
    <xf numFmtId="0" fontId="53" fillId="0" borderId="68" xfId="21" applyFont="1" applyFill="1" applyBorder="1" applyAlignment="1">
      <alignment horizontal="left" vertical="center" wrapText="1"/>
    </xf>
    <xf numFmtId="0" fontId="53" fillId="0" borderId="4" xfId="21" applyFont="1" applyFill="1" applyBorder="1" applyAlignment="1">
      <alignment horizontal="left" vertical="center" wrapText="1"/>
    </xf>
    <xf numFmtId="0" fontId="54" fillId="40" borderId="8" xfId="21" applyFont="1" applyFill="1" applyBorder="1" applyAlignment="1">
      <alignment horizontal="left" vertical="center" wrapText="1"/>
    </xf>
    <xf numFmtId="0" fontId="54" fillId="40" borderId="61" xfId="21" applyFont="1" applyFill="1" applyBorder="1" applyAlignment="1">
      <alignment horizontal="left" vertical="center" wrapText="1"/>
    </xf>
    <xf numFmtId="0" fontId="54" fillId="40" borderId="7" xfId="21" applyFont="1" applyFill="1" applyBorder="1" applyAlignment="1">
      <alignment horizontal="left" vertical="center" wrapText="1"/>
    </xf>
    <xf numFmtId="0" fontId="55" fillId="40" borderId="12" xfId="21" applyFont="1" applyFill="1" applyBorder="1" applyAlignment="1">
      <alignment horizontal="center" vertical="center" wrapText="1"/>
    </xf>
    <xf numFmtId="0" fontId="55" fillId="40" borderId="2" xfId="21" applyFont="1" applyFill="1" applyBorder="1" applyAlignment="1">
      <alignment horizontal="center" vertical="center" wrapText="1"/>
    </xf>
    <xf numFmtId="0" fontId="55" fillId="40" borderId="2" xfId="21" applyFont="1" applyFill="1" applyBorder="1" applyAlignment="1">
      <alignment horizontal="center" vertical="center"/>
    </xf>
    <xf numFmtId="0" fontId="55" fillId="40" borderId="13" xfId="21" applyFont="1" applyFill="1" applyBorder="1" applyAlignment="1">
      <alignment horizontal="center" vertical="center" wrapText="1"/>
    </xf>
    <xf numFmtId="0" fontId="54" fillId="40" borderId="2" xfId="21" applyFont="1" applyFill="1" applyBorder="1" applyAlignment="1">
      <alignment horizontal="left" vertical="center" wrapText="1"/>
    </xf>
    <xf numFmtId="10" fontId="55" fillId="40" borderId="2" xfId="21" applyNumberFormat="1" applyFont="1" applyFill="1" applyBorder="1" applyAlignment="1">
      <alignment horizontal="center" vertical="center" wrapText="1"/>
    </xf>
    <xf numFmtId="0" fontId="54" fillId="40" borderId="8" xfId="137" applyFont="1" applyFill="1" applyBorder="1" applyAlignment="1">
      <alignment horizontal="center" vertical="center" wrapText="1"/>
    </xf>
    <xf numFmtId="0" fontId="54" fillId="40" borderId="61" xfId="137" applyFont="1" applyFill="1" applyBorder="1" applyAlignment="1">
      <alignment horizontal="center" vertical="center" wrapText="1"/>
    </xf>
    <xf numFmtId="0" fontId="54" fillId="40" borderId="7" xfId="137" applyFont="1" applyFill="1" applyBorder="1" applyAlignment="1">
      <alignment horizontal="center" vertical="center" wrapText="1"/>
    </xf>
    <xf numFmtId="0" fontId="60" fillId="0" borderId="24" xfId="137" applyFont="1" applyFill="1" applyBorder="1" applyAlignment="1">
      <alignment horizontal="center" vertical="center" wrapText="1"/>
    </xf>
    <xf numFmtId="0" fontId="17" fillId="0" borderId="26" xfId="137" applyFont="1" applyFill="1" applyBorder="1" applyAlignment="1">
      <alignment horizontal="center" vertical="center" wrapText="1"/>
    </xf>
    <xf numFmtId="0" fontId="18" fillId="0" borderId="17" xfId="137" applyFont="1" applyFill="1" applyBorder="1" applyAlignment="1">
      <alignment horizontal="center" vertical="center" wrapText="1"/>
    </xf>
    <xf numFmtId="0" fontId="18" fillId="0" borderId="15" xfId="137" applyFont="1" applyFill="1" applyBorder="1" applyAlignment="1">
      <alignment horizontal="center" vertical="center" wrapText="1"/>
    </xf>
    <xf numFmtId="172" fontId="17" fillId="2" borderId="36" xfId="94" applyFont="1" applyFill="1" applyBorder="1" applyAlignment="1">
      <alignment horizontal="left" vertical="center" wrapText="1"/>
    </xf>
    <xf numFmtId="172" fontId="18" fillId="2" borderId="36" xfId="94" applyFont="1" applyFill="1" applyBorder="1" applyAlignment="1">
      <alignment horizontal="left" vertical="center" wrapText="1"/>
    </xf>
    <xf numFmtId="172" fontId="17" fillId="39" borderId="36" xfId="94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center" vertical="center" wrapText="1"/>
    </xf>
    <xf numFmtId="181" fontId="17" fillId="39" borderId="31" xfId="94" applyNumberFormat="1" applyFont="1" applyFill="1" applyBorder="1" applyAlignment="1">
      <alignment horizontal="center" vertical="center" wrapText="1"/>
    </xf>
    <xf numFmtId="172" fontId="17" fillId="39" borderId="31" xfId="94" applyFont="1" applyFill="1" applyBorder="1" applyAlignment="1">
      <alignment horizontal="center" vertical="center"/>
    </xf>
    <xf numFmtId="172" fontId="16" fillId="5" borderId="31" xfId="110" applyFont="1" applyFill="1" applyBorder="1" applyAlignment="1">
      <alignment horizontal="right" vertical="center"/>
    </xf>
    <xf numFmtId="172" fontId="17" fillId="39" borderId="31" xfId="94" applyFont="1" applyFill="1" applyBorder="1" applyAlignment="1">
      <alignment horizontal="left" vertical="center" wrapText="1"/>
    </xf>
    <xf numFmtId="172" fontId="18" fillId="2" borderId="76" xfId="94" applyFont="1" applyFill="1" applyBorder="1" applyAlignment="1">
      <alignment horizontal="center" vertical="center" wrapText="1"/>
    </xf>
    <xf numFmtId="172" fontId="18" fillId="2" borderId="77" xfId="94" applyFont="1" applyFill="1" applyBorder="1" applyAlignment="1">
      <alignment horizontal="center" vertical="center" wrapText="1"/>
    </xf>
    <xf numFmtId="181" fontId="17" fillId="39" borderId="36" xfId="94" applyNumberFormat="1" applyFont="1" applyFill="1" applyBorder="1" applyAlignment="1">
      <alignment horizontal="center" vertical="center" wrapText="1"/>
    </xf>
    <xf numFmtId="172" fontId="16" fillId="5" borderId="36" xfId="110" applyFont="1" applyFill="1" applyBorder="1" applyAlignment="1">
      <alignment horizontal="right" vertical="center"/>
    </xf>
    <xf numFmtId="181" fontId="22" fillId="5" borderId="36" xfId="110" applyNumberFormat="1" applyFont="1" applyFill="1" applyBorder="1" applyAlignment="1">
      <alignment horizontal="center" vertical="center"/>
    </xf>
    <xf numFmtId="172" fontId="18" fillId="2" borderId="84" xfId="94" applyFont="1" applyFill="1" applyBorder="1" applyAlignment="1">
      <alignment horizontal="center" vertical="center" wrapText="1"/>
    </xf>
    <xf numFmtId="172" fontId="18" fillId="2" borderId="85" xfId="94" applyFont="1" applyFill="1" applyBorder="1" applyAlignment="1">
      <alignment horizontal="center" vertical="center" wrapText="1"/>
    </xf>
    <xf numFmtId="172" fontId="18" fillId="5" borderId="36" xfId="110" applyFont="1" applyFill="1" applyBorder="1" applyAlignment="1">
      <alignment horizontal="center" vertical="center"/>
    </xf>
    <xf numFmtId="172" fontId="17" fillId="39" borderId="36" xfId="94" applyFont="1" applyFill="1" applyBorder="1" applyAlignment="1">
      <alignment horizontal="left" vertical="center" wrapText="1"/>
    </xf>
    <xf numFmtId="172" fontId="17" fillId="39" borderId="36" xfId="94" applyFont="1" applyFill="1" applyBorder="1" applyAlignment="1">
      <alignment horizontal="center" vertical="center"/>
    </xf>
    <xf numFmtId="172" fontId="17" fillId="39" borderId="36" xfId="94" applyFont="1" applyFill="1" applyBorder="1" applyAlignment="1">
      <alignment vertical="center"/>
    </xf>
    <xf numFmtId="181" fontId="22" fillId="5" borderId="35" xfId="110" applyNumberFormat="1" applyFont="1" applyFill="1" applyBorder="1" applyAlignment="1">
      <alignment horizontal="center" vertical="center"/>
    </xf>
    <xf numFmtId="181" fontId="22" fillId="5" borderId="79" xfId="110" applyNumberFormat="1" applyFont="1" applyFill="1" applyBorder="1" applyAlignment="1">
      <alignment horizontal="center" vertical="center"/>
    </xf>
    <xf numFmtId="172" fontId="17" fillId="39" borderId="31" xfId="94" applyFont="1" applyFill="1" applyBorder="1" applyAlignment="1">
      <alignment vertical="center"/>
    </xf>
    <xf numFmtId="172" fontId="17" fillId="39" borderId="35" xfId="94" applyFont="1" applyFill="1" applyBorder="1" applyAlignment="1">
      <alignment vertical="center"/>
    </xf>
    <xf numFmtId="172" fontId="17" fillId="39" borderId="70" xfId="94" applyFont="1" applyFill="1" applyBorder="1" applyAlignment="1">
      <alignment horizontal="center" vertical="center" wrapText="1"/>
    </xf>
    <xf numFmtId="172" fontId="17" fillId="39" borderId="71" xfId="94" applyFont="1" applyFill="1" applyBorder="1" applyAlignment="1">
      <alignment horizontal="center" vertical="center" wrapText="1"/>
    </xf>
    <xf numFmtId="172" fontId="17" fillId="39" borderId="72" xfId="94" applyFont="1" applyFill="1" applyBorder="1" applyAlignment="1">
      <alignment horizontal="center" vertical="center" wrapText="1"/>
    </xf>
    <xf numFmtId="172" fontId="17" fillId="39" borderId="73" xfId="94" applyFont="1" applyFill="1" applyBorder="1" applyAlignment="1">
      <alignment horizontal="center" vertical="center" wrapText="1"/>
    </xf>
    <xf numFmtId="172" fontId="18" fillId="2" borderId="74" xfId="94" applyFont="1" applyFill="1" applyBorder="1" applyAlignment="1">
      <alignment horizontal="left" vertical="center" wrapText="1"/>
    </xf>
    <xf numFmtId="172" fontId="18" fillId="2" borderId="75" xfId="94" applyFont="1" applyFill="1" applyBorder="1" applyAlignment="1">
      <alignment horizontal="left" vertical="center" wrapText="1"/>
    </xf>
    <xf numFmtId="172" fontId="17" fillId="5" borderId="29" xfId="94" applyFont="1" applyFill="1" applyBorder="1" applyAlignment="1">
      <alignment horizontal="right" vertical="center" wrapText="1"/>
    </xf>
    <xf numFmtId="172" fontId="17" fillId="39" borderId="69" xfId="94" applyFont="1" applyFill="1" applyBorder="1" applyAlignment="1">
      <alignment horizontal="center" vertical="center" wrapText="1"/>
    </xf>
    <xf numFmtId="172" fontId="17" fillId="39" borderId="0" xfId="94" applyFont="1" applyFill="1" applyBorder="1" applyAlignment="1">
      <alignment horizontal="center" vertical="center" wrapText="1"/>
    </xf>
    <xf numFmtId="172" fontId="17" fillId="39" borderId="32" xfId="94" applyFont="1" applyFill="1" applyBorder="1" applyAlignment="1">
      <alignment horizontal="center" vertical="center" wrapText="1"/>
    </xf>
    <xf numFmtId="172" fontId="17" fillId="39" borderId="29" xfId="94" applyFont="1" applyFill="1" applyBorder="1" applyAlignment="1">
      <alignment horizontal="center" vertical="center" wrapText="1"/>
    </xf>
    <xf numFmtId="172" fontId="18" fillId="2" borderId="76" xfId="94" applyFont="1" applyFill="1" applyBorder="1" applyAlignment="1">
      <alignment horizontal="left" vertical="center" wrapText="1"/>
    </xf>
    <xf numFmtId="172" fontId="18" fillId="2" borderId="77" xfId="94" applyFont="1" applyFill="1" applyBorder="1" applyAlignment="1">
      <alignment horizontal="left" vertical="center" wrapText="1"/>
    </xf>
    <xf numFmtId="172" fontId="17" fillId="5" borderId="31" xfId="94" applyFont="1" applyFill="1" applyBorder="1" applyAlignment="1">
      <alignment horizontal="right" vertical="center" wrapText="1"/>
    </xf>
    <xf numFmtId="172" fontId="17" fillId="39" borderId="32" xfId="94" applyFont="1" applyFill="1" applyBorder="1" applyAlignment="1">
      <alignment horizontal="left" vertical="center" wrapText="1"/>
    </xf>
    <xf numFmtId="172" fontId="17" fillId="39" borderId="32" xfId="94" applyFont="1" applyFill="1" applyBorder="1" applyAlignment="1">
      <alignment horizontal="center" vertical="center"/>
    </xf>
    <xf numFmtId="170" fontId="17" fillId="39" borderId="31" xfId="25" applyNumberFormat="1" applyFont="1" applyFill="1" applyBorder="1" applyAlignment="1">
      <alignment horizontal="center" vertical="center" wrapText="1"/>
    </xf>
    <xf numFmtId="172" fontId="17" fillId="39" borderId="32" xfId="94" applyFont="1" applyFill="1" applyBorder="1" applyAlignment="1">
      <alignment vertical="center"/>
    </xf>
    <xf numFmtId="172" fontId="21" fillId="38" borderId="65" xfId="94" applyFont="1" applyFill="1" applyBorder="1" applyAlignment="1">
      <alignment horizontal="center" vertical="center" wrapText="1"/>
    </xf>
    <xf numFmtId="172" fontId="28" fillId="38" borderId="66" xfId="94" applyFont="1" applyFill="1" applyBorder="1" applyAlignment="1">
      <alignment vertical="center"/>
    </xf>
    <xf numFmtId="172" fontId="28" fillId="38" borderId="67" xfId="94" applyFont="1" applyFill="1" applyBorder="1" applyAlignment="1">
      <alignment vertical="center"/>
    </xf>
    <xf numFmtId="172" fontId="17" fillId="39" borderId="29" xfId="94" applyFont="1" applyFill="1" applyBorder="1" applyAlignment="1">
      <alignment vertical="center"/>
    </xf>
    <xf numFmtId="3" fontId="15" fillId="36" borderId="16" xfId="95" applyNumberFormat="1" applyFont="1" applyFill="1" applyBorder="1" applyAlignment="1">
      <alignment horizontal="center"/>
    </xf>
    <xf numFmtId="3" fontId="15" fillId="36" borderId="6" xfId="95" applyNumberFormat="1" applyFont="1" applyFill="1" applyBorder="1" applyAlignment="1">
      <alignment horizontal="center"/>
    </xf>
    <xf numFmtId="0" fontId="46" fillId="0" borderId="0" xfId="95" applyFont="1" applyAlignment="1">
      <alignment horizontal="center" wrapText="1"/>
    </xf>
    <xf numFmtId="9" fontId="15" fillId="0" borderId="0" xfId="95" applyNumberFormat="1" applyFont="1" applyAlignment="1">
      <alignment horizontal="center" vertical="center" wrapText="1"/>
    </xf>
    <xf numFmtId="0" fontId="46" fillId="0" borderId="0" xfId="95" applyFont="1" applyAlignment="1">
      <alignment horizontal="left"/>
    </xf>
    <xf numFmtId="3" fontId="46" fillId="0" borderId="0" xfId="95" applyNumberFormat="1" applyFont="1" applyAlignment="1">
      <alignment horizontal="left"/>
    </xf>
    <xf numFmtId="180" fontId="48" fillId="0" borderId="0" xfId="95" applyNumberFormat="1" applyFont="1" applyAlignment="1">
      <alignment horizontal="center"/>
    </xf>
  </cellXfs>
  <cellStyles count="142">
    <cellStyle name="20% - Accent1 2" xfId="32"/>
    <cellStyle name="20% - Accent2 2" xfId="33"/>
    <cellStyle name="20% - Accent3 2" xfId="34"/>
    <cellStyle name="20% - Accent4 2" xfId="35"/>
    <cellStyle name="20% - Accent5 2" xfId="36"/>
    <cellStyle name="20% - Accent6 2" xfId="37"/>
    <cellStyle name="40% - Accent1 2" xfId="38"/>
    <cellStyle name="40% - Accent2 2" xfId="39"/>
    <cellStyle name="40% - Accent3 2" xfId="40"/>
    <cellStyle name="40% - Accent4 2" xfId="41"/>
    <cellStyle name="40% - Accent5 2" xfId="42"/>
    <cellStyle name="40% - Accent6 2" xfId="43"/>
    <cellStyle name="60% - Accent1 2" xfId="44"/>
    <cellStyle name="60% - Accent2 2" xfId="45"/>
    <cellStyle name="60% - Accent3 2" xfId="46"/>
    <cellStyle name="60% - Accent4 2" xfId="47"/>
    <cellStyle name="60% - Accent5 2" xfId="48"/>
    <cellStyle name="60% - Accent6 2" xfId="49"/>
    <cellStyle name="Accent1 2" xfId="50"/>
    <cellStyle name="Accent2 2" xfId="51"/>
    <cellStyle name="Accent3 2" xfId="52"/>
    <cellStyle name="Accent4 2" xfId="53"/>
    <cellStyle name="Accent5 2" xfId="54"/>
    <cellStyle name="Accent6 2" xfId="55"/>
    <cellStyle name="Bad 2" xfId="56"/>
    <cellStyle name="Cabecera 1" xfId="1"/>
    <cellStyle name="Cabecera 2" xfId="2"/>
    <cellStyle name="Calculation 2" xfId="57"/>
    <cellStyle name="Check Cell 2" xfId="58"/>
    <cellStyle name="Comma" xfId="136" builtinId="3"/>
    <cellStyle name="Comma [0] 2" xfId="59"/>
    <cellStyle name="Comma 2" xfId="25"/>
    <cellStyle name="Comma 3" xfId="60"/>
    <cellStyle name="Comma 4" xfId="61"/>
    <cellStyle name="Comma 5" xfId="139"/>
    <cellStyle name="Comma 6" xfId="141"/>
    <cellStyle name="Euro" xfId="3"/>
    <cellStyle name="Euro 2" xfId="4"/>
    <cellStyle name="Explanatory Text 2" xfId="62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echa" xfId="12"/>
    <cellStyle name="Fijo" xfId="13"/>
    <cellStyle name="Good 2" xfId="63"/>
    <cellStyle name="Heading 1 2" xfId="64"/>
    <cellStyle name="Heading 2 2" xfId="65"/>
    <cellStyle name="Heading 3 2" xfId="66"/>
    <cellStyle name="Heading 4 2" xfId="67"/>
    <cellStyle name="Heading1" xfId="14"/>
    <cellStyle name="Heading2" xfId="15"/>
    <cellStyle name="Input 2" xfId="68"/>
    <cellStyle name="Linked Cell 2" xfId="69"/>
    <cellStyle name="Millares [0] 2" xfId="16"/>
    <cellStyle name="Millares [0] 2 2" xfId="70"/>
    <cellStyle name="Millares [0] 3" xfId="71"/>
    <cellStyle name="Millares 2" xfId="17"/>
    <cellStyle name="Millares 3" xfId="18"/>
    <cellStyle name="Millares 3 2" xfId="72"/>
    <cellStyle name="Millares 4" xfId="73"/>
    <cellStyle name="Millares 4 2" xfId="74"/>
    <cellStyle name="Millares 5" xfId="75"/>
    <cellStyle name="Millares 5 2" xfId="76"/>
    <cellStyle name="Millares 5 3" xfId="77"/>
    <cellStyle name="Millares 6" xfId="78"/>
    <cellStyle name="Moneda 2" xfId="79"/>
    <cellStyle name="Moneda 2 2" xfId="80"/>
    <cellStyle name="Moneda 2 3" xfId="81"/>
    <cellStyle name="Monetario" xfId="19"/>
    <cellStyle name="Monetario0" xfId="20"/>
    <cellStyle name="Neutral 2" xfId="82"/>
    <cellStyle name="Normal" xfId="0" builtinId="0"/>
    <cellStyle name="Normal 10" xfId="83"/>
    <cellStyle name="Normal 10 2" xfId="84"/>
    <cellStyle name="Normal 10 2 2" xfId="85"/>
    <cellStyle name="Normal 10 3" xfId="86"/>
    <cellStyle name="Normal 11" xfId="87"/>
    <cellStyle name="Normal 12" xfId="88"/>
    <cellStyle name="Normal 13" xfId="31"/>
    <cellStyle name="Normal 14" xfId="89"/>
    <cellStyle name="Normal 14 2" xfId="90"/>
    <cellStyle name="Normal 15" xfId="91"/>
    <cellStyle name="Normal 16" xfId="92"/>
    <cellStyle name="Normal 17" xfId="138"/>
    <cellStyle name="Normal 2" xfId="21"/>
    <cellStyle name="Normal 2 2" xfId="93"/>
    <cellStyle name="Normal 2 2 2" xfId="94"/>
    <cellStyle name="Normal 2 3" xfId="95"/>
    <cellStyle name="Normal 2_POA 18 meses" xfId="96"/>
    <cellStyle name="Normal 3" xfId="26"/>
    <cellStyle name="Normal 3 2" xfId="97"/>
    <cellStyle name="Normal 3 2 2" xfId="98"/>
    <cellStyle name="Normal 3 3" xfId="137"/>
    <cellStyle name="Normal 4" xfId="29"/>
    <cellStyle name="Normal 4 2" xfId="99"/>
    <cellStyle name="Normal 4 3" xfId="100"/>
    <cellStyle name="Normal 5" xfId="101"/>
    <cellStyle name="Normal 5 2" xfId="102"/>
    <cellStyle name="Normal 5 2 2" xfId="103"/>
    <cellStyle name="Normal 5 3" xfId="104"/>
    <cellStyle name="Normal 6" xfId="105"/>
    <cellStyle name="Normal 7" xfId="27"/>
    <cellStyle name="Normal 7 2" xfId="28"/>
    <cellStyle name="Normal 7 3" xfId="106"/>
    <cellStyle name="Normal 8" xfId="107"/>
    <cellStyle name="Normal 8 2" xfId="108"/>
    <cellStyle name="Normal 9" xfId="109"/>
    <cellStyle name="Normal 9 2" xfId="110"/>
    <cellStyle name="Normal 9 2 2" xfId="111"/>
    <cellStyle name="Normal 9 3" xfId="112"/>
    <cellStyle name="Normal_9. PA" xfId="135"/>
    <cellStyle name="Normal_PA_1" xfId="134"/>
    <cellStyle name="Normal_PEP" xfId="30"/>
    <cellStyle name="Normal_PEP 2" xfId="130"/>
    <cellStyle name="Normal_PEP 3" xfId="131"/>
    <cellStyle name="Normal_PEP 3 2" xfId="140"/>
    <cellStyle name="Normal_PEP 4" xfId="133"/>
    <cellStyle name="Note 2" xfId="113"/>
    <cellStyle name="Output 2" xfId="114"/>
    <cellStyle name="Percent" xfId="132" builtinId="5"/>
    <cellStyle name="Porcentaje 2" xfId="22"/>
    <cellStyle name="Porcentaje 2 2" xfId="115"/>
    <cellStyle name="Porcentaje 3" xfId="116"/>
    <cellStyle name="Porcentual 2" xfId="117"/>
    <cellStyle name="Porcentual 2 2" xfId="118"/>
    <cellStyle name="Porcentual 2 3" xfId="119"/>
    <cellStyle name="Porcentual 3" xfId="120"/>
    <cellStyle name="Porcentual 4" xfId="121"/>
    <cellStyle name="Porcentual 5" xfId="122"/>
    <cellStyle name="Porcentual 6" xfId="123"/>
    <cellStyle name="Porcentual 6 2" xfId="124"/>
    <cellStyle name="Porcentual 7" xfId="125"/>
    <cellStyle name="Porcentual 7 2" xfId="126"/>
    <cellStyle name="Punto" xfId="23"/>
    <cellStyle name="Punto0" xfId="24"/>
    <cellStyle name="Title 2" xfId="127"/>
    <cellStyle name="Total 2" xfId="128"/>
    <cellStyle name="Warning Text 2" xfId="12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28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Relationship Id="rId30" Type="http://schemas.openxmlformats.org/officeDocument/2006/relationships/customXml" Target="../customXml/item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'R41'!$A$18:$A$42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'R41'!$C$18:$C$42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14-4D2E-A920-F1B67202359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'R41'!$A$18:$A$42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'R41'!$F$18:$F$42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14-4D2E-A920-F1B672023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Re!$C$18:$C$42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CD-498C-B7EE-38F607E3BD9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Re!$F$18:$F$42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CD-498C-B7EE-38F607E3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C7-43D1-AE18-B6FDB94BFA51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C7-43D1-AE18-B6FDB94BF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26</xdr:col>
      <xdr:colOff>141514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DE286-2DC9-4B5F-BEB4-12C90F0DC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CA234-1FC4-4FA5-971C-87A88ABCD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ODORON/Local%20Settings/Temporary%20Internet%20Files/Content.Outlook/K2JWR7MW/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osa/AppData/Local/Microsoft/Windows/Temporary%20Internet%20Files/Content.Outlook/AL0H3DBL/1092/-v4-EER%231_Plan_de_Ejecuci&#243;n_Plurianual_(PEP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odoy/Documents/PR-L1105/PEP%20poa%201105/IDBDOCS-%2339818965-v4-EER%232_Plan_Operativo_Anual_(POA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odoy.IDB/Documents/AR-L1274/Preparaci&#243;n/PEP%20POA%20PA/AR-L1274%20Borrador%20plan%20de%20adquisicione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A8">
            <v>0</v>
          </cell>
          <cell r="G8">
            <v>0</v>
          </cell>
        </row>
        <row r="9">
          <cell r="G9">
            <v>0</v>
          </cell>
        </row>
        <row r="32">
          <cell r="G32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 "/>
      <sheetName val="1.EDT"/>
      <sheetName val="2.MdR"/>
      <sheetName val="3. PEP"/>
      <sheetName val="4. CC D"/>
      <sheetName val="5. CC R-1"/>
      <sheetName val="6. PF M BID"/>
      <sheetName val="7. PF A BID"/>
      <sheetName val="8. Ejecucion por producto"/>
      <sheetName val="9. PD A"/>
      <sheetName val="10. PA"/>
      <sheetName val="11. PAI"/>
      <sheetName val="12. POA año 1"/>
      <sheetName val="caledario"/>
      <sheetName val="12.1 CAMINOS"/>
      <sheetName val="12.2 PUENTES"/>
      <sheetName val="Caminos G1"/>
      <sheetName val="Fisc CG1"/>
      <sheetName val="Camino G2"/>
      <sheetName val="Fisc CG2"/>
      <sheetName val="Puentes G1"/>
      <sheetName val="Fisca PG1"/>
      <sheetName val="Puentes G2"/>
      <sheetName val="12.8 Mantenimiento"/>
      <sheetName val="Fisc PG2"/>
      <sheetName val="MANT. 504,90 km"/>
      <sheetName val="CRONOG FISICO-FINANCIERO"/>
      <sheetName val="12.3Mitigación"/>
    </sheetNames>
    <sheetDataSet>
      <sheetData sheetId="0"/>
      <sheetData sheetId="1"/>
      <sheetData sheetId="2"/>
      <sheetData sheetId="3">
        <row r="26">
          <cell r="G26">
            <v>58220000</v>
          </cell>
        </row>
        <row r="27">
          <cell r="G27">
            <v>42340000</v>
          </cell>
        </row>
        <row r="28">
          <cell r="D28" t="str">
            <v>T2 - Año 1</v>
          </cell>
          <cell r="F28" t="str">
            <v>T3 - Año 3</v>
          </cell>
          <cell r="G28">
            <v>13200000</v>
          </cell>
        </row>
        <row r="29">
          <cell r="D29" t="str">
            <v>T2 - Año 2</v>
          </cell>
          <cell r="F29" t="str">
            <v>T3 - Año 4</v>
          </cell>
          <cell r="G29">
            <v>24800000</v>
          </cell>
        </row>
        <row r="30">
          <cell r="D30" t="str">
            <v>T2 - Año 1</v>
          </cell>
          <cell r="F30" t="str">
            <v>T3 - Año 3</v>
          </cell>
          <cell r="G30">
            <v>875000</v>
          </cell>
        </row>
        <row r="32">
          <cell r="D32" t="str">
            <v>T2 - Año 1</v>
          </cell>
          <cell r="F32" t="str">
            <v>T3 - Año 2</v>
          </cell>
          <cell r="G32">
            <v>1820000</v>
          </cell>
        </row>
        <row r="33">
          <cell r="G33">
            <v>4000000</v>
          </cell>
        </row>
        <row r="34">
          <cell r="D34" t="str">
            <v>T1 - Año 1</v>
          </cell>
          <cell r="F34" t="str">
            <v>T4 - Año 5</v>
          </cell>
          <cell r="G34">
            <v>764080</v>
          </cell>
        </row>
        <row r="40">
          <cell r="G40">
            <v>11660000</v>
          </cell>
        </row>
        <row r="41">
          <cell r="D41" t="str">
            <v>T2 - Año 1</v>
          </cell>
          <cell r="F41" t="str">
            <v>T1 - Año 3</v>
          </cell>
          <cell r="G41">
            <v>6885000</v>
          </cell>
        </row>
        <row r="42">
          <cell r="D42" t="str">
            <v>T3 - Año 2</v>
          </cell>
          <cell r="F42" t="str">
            <v>T4 - Año 4</v>
          </cell>
          <cell r="G42">
            <v>3315000</v>
          </cell>
        </row>
        <row r="43">
          <cell r="D43" t="str">
            <v>T1 - Año 1</v>
          </cell>
          <cell r="F43" t="str">
            <v>T1 - Año 3</v>
          </cell>
          <cell r="G43">
            <v>460000</v>
          </cell>
        </row>
        <row r="44">
          <cell r="D44" t="str">
            <v>T2 - Año 2</v>
          </cell>
          <cell r="F44" t="str">
            <v>T1 - Año 5</v>
          </cell>
          <cell r="G44">
            <v>220000</v>
          </cell>
        </row>
        <row r="46">
          <cell r="G46">
            <v>220000</v>
          </cell>
        </row>
        <row r="47">
          <cell r="D47" t="str">
            <v>T2 - Año 1</v>
          </cell>
          <cell r="F47" t="str">
            <v>T2 - Año 4</v>
          </cell>
          <cell r="G47">
            <v>90000</v>
          </cell>
        </row>
        <row r="57">
          <cell r="D57" t="str">
            <v>T1 - Año 2</v>
          </cell>
          <cell r="F57" t="str">
            <v>T3 - Año 4</v>
          </cell>
          <cell r="G57">
            <v>65000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Plan de Adquisiciones"/>
      <sheetName val="Detalle Plan de Adquisiciones"/>
    </sheetNames>
    <sheetDataSet>
      <sheetData sheetId="0"/>
      <sheetData sheetId="1">
        <row r="11">
          <cell r="A11" t="str">
            <v>Obras de mejoramiento en red vial principal de la PBA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E51"/>
  <sheetViews>
    <sheetView showGridLines="0" topLeftCell="A27" zoomScale="70" zoomScaleNormal="70" workbookViewId="0">
      <selection activeCell="C46" sqref="C46"/>
    </sheetView>
  </sheetViews>
  <sheetFormatPr defaultColWidth="11.44140625" defaultRowHeight="13.8" x14ac:dyDescent="0.25"/>
  <cols>
    <col min="1" max="1" width="5" style="93" bestFit="1" customWidth="1"/>
    <col min="2" max="2" width="77" style="29" customWidth="1"/>
    <col min="3" max="3" width="46.44140625" style="29" customWidth="1"/>
    <col min="4" max="4" width="12.88671875" style="24" customWidth="1"/>
    <col min="5" max="5" width="15.5546875" style="25" customWidth="1"/>
    <col min="6" max="6" width="12.88671875" style="26" customWidth="1"/>
    <col min="7" max="7" width="13.44140625" style="26" bestFit="1" customWidth="1"/>
    <col min="8" max="11" width="17.6640625" style="27" customWidth="1"/>
    <col min="12" max="69" width="4.5546875" style="23" customWidth="1"/>
    <col min="70" max="71" width="4.88671875" style="23" customWidth="1"/>
    <col min="72" max="83" width="3.88671875" style="23" bestFit="1" customWidth="1"/>
    <col min="84" max="221" width="11.44140625" style="23"/>
    <col min="222" max="222" width="44.44140625" style="23" customWidth="1"/>
    <col min="223" max="223" width="13" style="23" customWidth="1"/>
    <col min="224" max="229" width="2" style="23" customWidth="1"/>
    <col min="230" max="230" width="2.44140625" style="23" customWidth="1"/>
    <col min="231" max="231" width="3" style="23" customWidth="1"/>
    <col min="232" max="234" width="2" style="23" customWidth="1"/>
    <col min="235" max="235" width="2.88671875" style="23" customWidth="1"/>
    <col min="236" max="236" width="3" style="23" customWidth="1"/>
    <col min="237" max="237" width="2.6640625" style="23" customWidth="1"/>
    <col min="238" max="238" width="2.44140625" style="23" customWidth="1"/>
    <col min="239" max="239" width="3.33203125" style="23" customWidth="1"/>
    <col min="240" max="240" width="3.5546875" style="23" customWidth="1"/>
    <col min="241" max="241" width="4" style="23" customWidth="1"/>
    <col min="242" max="242" width="3.44140625" style="23" customWidth="1"/>
    <col min="243" max="243" width="3" style="23" customWidth="1"/>
    <col min="244" max="477" width="11.44140625" style="23"/>
    <col min="478" max="478" width="44.44140625" style="23" customWidth="1"/>
    <col min="479" max="479" width="13" style="23" customWidth="1"/>
    <col min="480" max="485" width="2" style="23" customWidth="1"/>
    <col min="486" max="486" width="2.44140625" style="23" customWidth="1"/>
    <col min="487" max="487" width="3" style="23" customWidth="1"/>
    <col min="488" max="490" width="2" style="23" customWidth="1"/>
    <col min="491" max="491" width="2.88671875" style="23" customWidth="1"/>
    <col min="492" max="492" width="3" style="23" customWidth="1"/>
    <col min="493" max="493" width="2.6640625" style="23" customWidth="1"/>
    <col min="494" max="494" width="2.44140625" style="23" customWidth="1"/>
    <col min="495" max="495" width="3.33203125" style="23" customWidth="1"/>
    <col min="496" max="496" width="3.5546875" style="23" customWidth="1"/>
    <col min="497" max="497" width="4" style="23" customWidth="1"/>
    <col min="498" max="498" width="3.44140625" style="23" customWidth="1"/>
    <col min="499" max="499" width="3" style="23" customWidth="1"/>
    <col min="500" max="733" width="11.44140625" style="23"/>
    <col min="734" max="734" width="44.44140625" style="23" customWidth="1"/>
    <col min="735" max="735" width="13" style="23" customWidth="1"/>
    <col min="736" max="741" width="2" style="23" customWidth="1"/>
    <col min="742" max="742" width="2.44140625" style="23" customWidth="1"/>
    <col min="743" max="743" width="3" style="23" customWidth="1"/>
    <col min="744" max="746" width="2" style="23" customWidth="1"/>
    <col min="747" max="747" width="2.88671875" style="23" customWidth="1"/>
    <col min="748" max="748" width="3" style="23" customWidth="1"/>
    <col min="749" max="749" width="2.6640625" style="23" customWidth="1"/>
    <col min="750" max="750" width="2.44140625" style="23" customWidth="1"/>
    <col min="751" max="751" width="3.33203125" style="23" customWidth="1"/>
    <col min="752" max="752" width="3.5546875" style="23" customWidth="1"/>
    <col min="753" max="753" width="4" style="23" customWidth="1"/>
    <col min="754" max="754" width="3.44140625" style="23" customWidth="1"/>
    <col min="755" max="755" width="3" style="23" customWidth="1"/>
    <col min="756" max="989" width="11.44140625" style="23"/>
    <col min="990" max="990" width="44.44140625" style="23" customWidth="1"/>
    <col min="991" max="991" width="13" style="23" customWidth="1"/>
    <col min="992" max="997" width="2" style="23" customWidth="1"/>
    <col min="998" max="998" width="2.44140625" style="23" customWidth="1"/>
    <col min="999" max="999" width="3" style="23" customWidth="1"/>
    <col min="1000" max="1002" width="2" style="23" customWidth="1"/>
    <col min="1003" max="1003" width="2.88671875" style="23" customWidth="1"/>
    <col min="1004" max="1004" width="3" style="23" customWidth="1"/>
    <col min="1005" max="1005" width="2.6640625" style="23" customWidth="1"/>
    <col min="1006" max="1006" width="2.44140625" style="23" customWidth="1"/>
    <col min="1007" max="1007" width="3.33203125" style="23" customWidth="1"/>
    <col min="1008" max="1008" width="3.5546875" style="23" customWidth="1"/>
    <col min="1009" max="1009" width="4" style="23" customWidth="1"/>
    <col min="1010" max="1010" width="3.44140625" style="23" customWidth="1"/>
    <col min="1011" max="1011" width="3" style="23" customWidth="1"/>
    <col min="1012" max="1245" width="11.44140625" style="23"/>
    <col min="1246" max="1246" width="44.44140625" style="23" customWidth="1"/>
    <col min="1247" max="1247" width="13" style="23" customWidth="1"/>
    <col min="1248" max="1253" width="2" style="23" customWidth="1"/>
    <col min="1254" max="1254" width="2.44140625" style="23" customWidth="1"/>
    <col min="1255" max="1255" width="3" style="23" customWidth="1"/>
    <col min="1256" max="1258" width="2" style="23" customWidth="1"/>
    <col min="1259" max="1259" width="2.88671875" style="23" customWidth="1"/>
    <col min="1260" max="1260" width="3" style="23" customWidth="1"/>
    <col min="1261" max="1261" width="2.6640625" style="23" customWidth="1"/>
    <col min="1262" max="1262" width="2.44140625" style="23" customWidth="1"/>
    <col min="1263" max="1263" width="3.33203125" style="23" customWidth="1"/>
    <col min="1264" max="1264" width="3.5546875" style="23" customWidth="1"/>
    <col min="1265" max="1265" width="4" style="23" customWidth="1"/>
    <col min="1266" max="1266" width="3.44140625" style="23" customWidth="1"/>
    <col min="1267" max="1267" width="3" style="23" customWidth="1"/>
    <col min="1268" max="1501" width="11.44140625" style="23"/>
    <col min="1502" max="1502" width="44.44140625" style="23" customWidth="1"/>
    <col min="1503" max="1503" width="13" style="23" customWidth="1"/>
    <col min="1504" max="1509" width="2" style="23" customWidth="1"/>
    <col min="1510" max="1510" width="2.44140625" style="23" customWidth="1"/>
    <col min="1511" max="1511" width="3" style="23" customWidth="1"/>
    <col min="1512" max="1514" width="2" style="23" customWidth="1"/>
    <col min="1515" max="1515" width="2.88671875" style="23" customWidth="1"/>
    <col min="1516" max="1516" width="3" style="23" customWidth="1"/>
    <col min="1517" max="1517" width="2.6640625" style="23" customWidth="1"/>
    <col min="1518" max="1518" width="2.44140625" style="23" customWidth="1"/>
    <col min="1519" max="1519" width="3.33203125" style="23" customWidth="1"/>
    <col min="1520" max="1520" width="3.5546875" style="23" customWidth="1"/>
    <col min="1521" max="1521" width="4" style="23" customWidth="1"/>
    <col min="1522" max="1522" width="3.44140625" style="23" customWidth="1"/>
    <col min="1523" max="1523" width="3" style="23" customWidth="1"/>
    <col min="1524" max="1757" width="11.44140625" style="23"/>
    <col min="1758" max="1758" width="44.44140625" style="23" customWidth="1"/>
    <col min="1759" max="1759" width="13" style="23" customWidth="1"/>
    <col min="1760" max="1765" width="2" style="23" customWidth="1"/>
    <col min="1766" max="1766" width="2.44140625" style="23" customWidth="1"/>
    <col min="1767" max="1767" width="3" style="23" customWidth="1"/>
    <col min="1768" max="1770" width="2" style="23" customWidth="1"/>
    <col min="1771" max="1771" width="2.88671875" style="23" customWidth="1"/>
    <col min="1772" max="1772" width="3" style="23" customWidth="1"/>
    <col min="1773" max="1773" width="2.6640625" style="23" customWidth="1"/>
    <col min="1774" max="1774" width="2.44140625" style="23" customWidth="1"/>
    <col min="1775" max="1775" width="3.33203125" style="23" customWidth="1"/>
    <col min="1776" max="1776" width="3.5546875" style="23" customWidth="1"/>
    <col min="1777" max="1777" width="4" style="23" customWidth="1"/>
    <col min="1778" max="1778" width="3.44140625" style="23" customWidth="1"/>
    <col min="1779" max="1779" width="3" style="23" customWidth="1"/>
    <col min="1780" max="2013" width="11.44140625" style="23"/>
    <col min="2014" max="2014" width="44.44140625" style="23" customWidth="1"/>
    <col min="2015" max="2015" width="13" style="23" customWidth="1"/>
    <col min="2016" max="2021" width="2" style="23" customWidth="1"/>
    <col min="2022" max="2022" width="2.44140625" style="23" customWidth="1"/>
    <col min="2023" max="2023" width="3" style="23" customWidth="1"/>
    <col min="2024" max="2026" width="2" style="23" customWidth="1"/>
    <col min="2027" max="2027" width="2.88671875" style="23" customWidth="1"/>
    <col min="2028" max="2028" width="3" style="23" customWidth="1"/>
    <col min="2029" max="2029" width="2.6640625" style="23" customWidth="1"/>
    <col min="2030" max="2030" width="2.44140625" style="23" customWidth="1"/>
    <col min="2031" max="2031" width="3.33203125" style="23" customWidth="1"/>
    <col min="2032" max="2032" width="3.5546875" style="23" customWidth="1"/>
    <col min="2033" max="2033" width="4" style="23" customWidth="1"/>
    <col min="2034" max="2034" width="3.44140625" style="23" customWidth="1"/>
    <col min="2035" max="2035" width="3" style="23" customWidth="1"/>
    <col min="2036" max="2269" width="11.44140625" style="23"/>
    <col min="2270" max="2270" width="44.44140625" style="23" customWidth="1"/>
    <col min="2271" max="2271" width="13" style="23" customWidth="1"/>
    <col min="2272" max="2277" width="2" style="23" customWidth="1"/>
    <col min="2278" max="2278" width="2.44140625" style="23" customWidth="1"/>
    <col min="2279" max="2279" width="3" style="23" customWidth="1"/>
    <col min="2280" max="2282" width="2" style="23" customWidth="1"/>
    <col min="2283" max="2283" width="2.88671875" style="23" customWidth="1"/>
    <col min="2284" max="2284" width="3" style="23" customWidth="1"/>
    <col min="2285" max="2285" width="2.6640625" style="23" customWidth="1"/>
    <col min="2286" max="2286" width="2.44140625" style="23" customWidth="1"/>
    <col min="2287" max="2287" width="3.33203125" style="23" customWidth="1"/>
    <col min="2288" max="2288" width="3.5546875" style="23" customWidth="1"/>
    <col min="2289" max="2289" width="4" style="23" customWidth="1"/>
    <col min="2290" max="2290" width="3.44140625" style="23" customWidth="1"/>
    <col min="2291" max="2291" width="3" style="23" customWidth="1"/>
    <col min="2292" max="2525" width="11.44140625" style="23"/>
    <col min="2526" max="2526" width="44.44140625" style="23" customWidth="1"/>
    <col min="2527" max="2527" width="13" style="23" customWidth="1"/>
    <col min="2528" max="2533" width="2" style="23" customWidth="1"/>
    <col min="2534" max="2534" width="2.44140625" style="23" customWidth="1"/>
    <col min="2535" max="2535" width="3" style="23" customWidth="1"/>
    <col min="2536" max="2538" width="2" style="23" customWidth="1"/>
    <col min="2539" max="2539" width="2.88671875" style="23" customWidth="1"/>
    <col min="2540" max="2540" width="3" style="23" customWidth="1"/>
    <col min="2541" max="2541" width="2.6640625" style="23" customWidth="1"/>
    <col min="2542" max="2542" width="2.44140625" style="23" customWidth="1"/>
    <col min="2543" max="2543" width="3.33203125" style="23" customWidth="1"/>
    <col min="2544" max="2544" width="3.5546875" style="23" customWidth="1"/>
    <col min="2545" max="2545" width="4" style="23" customWidth="1"/>
    <col min="2546" max="2546" width="3.44140625" style="23" customWidth="1"/>
    <col min="2547" max="2547" width="3" style="23" customWidth="1"/>
    <col min="2548" max="2781" width="11.44140625" style="23"/>
    <col min="2782" max="2782" width="44.44140625" style="23" customWidth="1"/>
    <col min="2783" max="2783" width="13" style="23" customWidth="1"/>
    <col min="2784" max="2789" width="2" style="23" customWidth="1"/>
    <col min="2790" max="2790" width="2.44140625" style="23" customWidth="1"/>
    <col min="2791" max="2791" width="3" style="23" customWidth="1"/>
    <col min="2792" max="2794" width="2" style="23" customWidth="1"/>
    <col min="2795" max="2795" width="2.88671875" style="23" customWidth="1"/>
    <col min="2796" max="2796" width="3" style="23" customWidth="1"/>
    <col min="2797" max="2797" width="2.6640625" style="23" customWidth="1"/>
    <col min="2798" max="2798" width="2.44140625" style="23" customWidth="1"/>
    <col min="2799" max="2799" width="3.33203125" style="23" customWidth="1"/>
    <col min="2800" max="2800" width="3.5546875" style="23" customWidth="1"/>
    <col min="2801" max="2801" width="4" style="23" customWidth="1"/>
    <col min="2802" max="2802" width="3.44140625" style="23" customWidth="1"/>
    <col min="2803" max="2803" width="3" style="23" customWidth="1"/>
    <col min="2804" max="3037" width="11.44140625" style="23"/>
    <col min="3038" max="3038" width="44.44140625" style="23" customWidth="1"/>
    <col min="3039" max="3039" width="13" style="23" customWidth="1"/>
    <col min="3040" max="3045" width="2" style="23" customWidth="1"/>
    <col min="3046" max="3046" width="2.44140625" style="23" customWidth="1"/>
    <col min="3047" max="3047" width="3" style="23" customWidth="1"/>
    <col min="3048" max="3050" width="2" style="23" customWidth="1"/>
    <col min="3051" max="3051" width="2.88671875" style="23" customWidth="1"/>
    <col min="3052" max="3052" width="3" style="23" customWidth="1"/>
    <col min="3053" max="3053" width="2.6640625" style="23" customWidth="1"/>
    <col min="3054" max="3054" width="2.44140625" style="23" customWidth="1"/>
    <col min="3055" max="3055" width="3.33203125" style="23" customWidth="1"/>
    <col min="3056" max="3056" width="3.5546875" style="23" customWidth="1"/>
    <col min="3057" max="3057" width="4" style="23" customWidth="1"/>
    <col min="3058" max="3058" width="3.44140625" style="23" customWidth="1"/>
    <col min="3059" max="3059" width="3" style="23" customWidth="1"/>
    <col min="3060" max="3293" width="11.44140625" style="23"/>
    <col min="3294" max="3294" width="44.44140625" style="23" customWidth="1"/>
    <col min="3295" max="3295" width="13" style="23" customWidth="1"/>
    <col min="3296" max="3301" width="2" style="23" customWidth="1"/>
    <col min="3302" max="3302" width="2.44140625" style="23" customWidth="1"/>
    <col min="3303" max="3303" width="3" style="23" customWidth="1"/>
    <col min="3304" max="3306" width="2" style="23" customWidth="1"/>
    <col min="3307" max="3307" width="2.88671875" style="23" customWidth="1"/>
    <col min="3308" max="3308" width="3" style="23" customWidth="1"/>
    <col min="3309" max="3309" width="2.6640625" style="23" customWidth="1"/>
    <col min="3310" max="3310" width="2.44140625" style="23" customWidth="1"/>
    <col min="3311" max="3311" width="3.33203125" style="23" customWidth="1"/>
    <col min="3312" max="3312" width="3.5546875" style="23" customWidth="1"/>
    <col min="3313" max="3313" width="4" style="23" customWidth="1"/>
    <col min="3314" max="3314" width="3.44140625" style="23" customWidth="1"/>
    <col min="3315" max="3315" width="3" style="23" customWidth="1"/>
    <col min="3316" max="3549" width="11.44140625" style="23"/>
    <col min="3550" max="3550" width="44.44140625" style="23" customWidth="1"/>
    <col min="3551" max="3551" width="13" style="23" customWidth="1"/>
    <col min="3552" max="3557" width="2" style="23" customWidth="1"/>
    <col min="3558" max="3558" width="2.44140625" style="23" customWidth="1"/>
    <col min="3559" max="3559" width="3" style="23" customWidth="1"/>
    <col min="3560" max="3562" width="2" style="23" customWidth="1"/>
    <col min="3563" max="3563" width="2.88671875" style="23" customWidth="1"/>
    <col min="3564" max="3564" width="3" style="23" customWidth="1"/>
    <col min="3565" max="3565" width="2.6640625" style="23" customWidth="1"/>
    <col min="3566" max="3566" width="2.44140625" style="23" customWidth="1"/>
    <col min="3567" max="3567" width="3.33203125" style="23" customWidth="1"/>
    <col min="3568" max="3568" width="3.5546875" style="23" customWidth="1"/>
    <col min="3569" max="3569" width="4" style="23" customWidth="1"/>
    <col min="3570" max="3570" width="3.44140625" style="23" customWidth="1"/>
    <col min="3571" max="3571" width="3" style="23" customWidth="1"/>
    <col min="3572" max="3805" width="11.44140625" style="23"/>
    <col min="3806" max="3806" width="44.44140625" style="23" customWidth="1"/>
    <col min="3807" max="3807" width="13" style="23" customWidth="1"/>
    <col min="3808" max="3813" width="2" style="23" customWidth="1"/>
    <col min="3814" max="3814" width="2.44140625" style="23" customWidth="1"/>
    <col min="3815" max="3815" width="3" style="23" customWidth="1"/>
    <col min="3816" max="3818" width="2" style="23" customWidth="1"/>
    <col min="3819" max="3819" width="2.88671875" style="23" customWidth="1"/>
    <col min="3820" max="3820" width="3" style="23" customWidth="1"/>
    <col min="3821" max="3821" width="2.6640625" style="23" customWidth="1"/>
    <col min="3822" max="3822" width="2.44140625" style="23" customWidth="1"/>
    <col min="3823" max="3823" width="3.33203125" style="23" customWidth="1"/>
    <col min="3824" max="3824" width="3.5546875" style="23" customWidth="1"/>
    <col min="3825" max="3825" width="4" style="23" customWidth="1"/>
    <col min="3826" max="3826" width="3.44140625" style="23" customWidth="1"/>
    <col min="3827" max="3827" width="3" style="23" customWidth="1"/>
    <col min="3828" max="4061" width="11.44140625" style="23"/>
    <col min="4062" max="4062" width="44.44140625" style="23" customWidth="1"/>
    <col min="4063" max="4063" width="13" style="23" customWidth="1"/>
    <col min="4064" max="4069" width="2" style="23" customWidth="1"/>
    <col min="4070" max="4070" width="2.44140625" style="23" customWidth="1"/>
    <col min="4071" max="4071" width="3" style="23" customWidth="1"/>
    <col min="4072" max="4074" width="2" style="23" customWidth="1"/>
    <col min="4075" max="4075" width="2.88671875" style="23" customWidth="1"/>
    <col min="4076" max="4076" width="3" style="23" customWidth="1"/>
    <col min="4077" max="4077" width="2.6640625" style="23" customWidth="1"/>
    <col min="4078" max="4078" width="2.44140625" style="23" customWidth="1"/>
    <col min="4079" max="4079" width="3.33203125" style="23" customWidth="1"/>
    <col min="4080" max="4080" width="3.5546875" style="23" customWidth="1"/>
    <col min="4081" max="4081" width="4" style="23" customWidth="1"/>
    <col min="4082" max="4082" width="3.44140625" style="23" customWidth="1"/>
    <col min="4083" max="4083" width="3" style="23" customWidth="1"/>
    <col min="4084" max="4317" width="11.44140625" style="23"/>
    <col min="4318" max="4318" width="44.44140625" style="23" customWidth="1"/>
    <col min="4319" max="4319" width="13" style="23" customWidth="1"/>
    <col min="4320" max="4325" width="2" style="23" customWidth="1"/>
    <col min="4326" max="4326" width="2.44140625" style="23" customWidth="1"/>
    <col min="4327" max="4327" width="3" style="23" customWidth="1"/>
    <col min="4328" max="4330" width="2" style="23" customWidth="1"/>
    <col min="4331" max="4331" width="2.88671875" style="23" customWidth="1"/>
    <col min="4332" max="4332" width="3" style="23" customWidth="1"/>
    <col min="4333" max="4333" width="2.6640625" style="23" customWidth="1"/>
    <col min="4334" max="4334" width="2.44140625" style="23" customWidth="1"/>
    <col min="4335" max="4335" width="3.33203125" style="23" customWidth="1"/>
    <col min="4336" max="4336" width="3.5546875" style="23" customWidth="1"/>
    <col min="4337" max="4337" width="4" style="23" customWidth="1"/>
    <col min="4338" max="4338" width="3.44140625" style="23" customWidth="1"/>
    <col min="4339" max="4339" width="3" style="23" customWidth="1"/>
    <col min="4340" max="4573" width="11.44140625" style="23"/>
    <col min="4574" max="4574" width="44.44140625" style="23" customWidth="1"/>
    <col min="4575" max="4575" width="13" style="23" customWidth="1"/>
    <col min="4576" max="4581" width="2" style="23" customWidth="1"/>
    <col min="4582" max="4582" width="2.44140625" style="23" customWidth="1"/>
    <col min="4583" max="4583" width="3" style="23" customWidth="1"/>
    <col min="4584" max="4586" width="2" style="23" customWidth="1"/>
    <col min="4587" max="4587" width="2.88671875" style="23" customWidth="1"/>
    <col min="4588" max="4588" width="3" style="23" customWidth="1"/>
    <col min="4589" max="4589" width="2.6640625" style="23" customWidth="1"/>
    <col min="4590" max="4590" width="2.44140625" style="23" customWidth="1"/>
    <col min="4591" max="4591" width="3.33203125" style="23" customWidth="1"/>
    <col min="4592" max="4592" width="3.5546875" style="23" customWidth="1"/>
    <col min="4593" max="4593" width="4" style="23" customWidth="1"/>
    <col min="4594" max="4594" width="3.44140625" style="23" customWidth="1"/>
    <col min="4595" max="4595" width="3" style="23" customWidth="1"/>
    <col min="4596" max="4829" width="11.44140625" style="23"/>
    <col min="4830" max="4830" width="44.44140625" style="23" customWidth="1"/>
    <col min="4831" max="4831" width="13" style="23" customWidth="1"/>
    <col min="4832" max="4837" width="2" style="23" customWidth="1"/>
    <col min="4838" max="4838" width="2.44140625" style="23" customWidth="1"/>
    <col min="4839" max="4839" width="3" style="23" customWidth="1"/>
    <col min="4840" max="4842" width="2" style="23" customWidth="1"/>
    <col min="4843" max="4843" width="2.88671875" style="23" customWidth="1"/>
    <col min="4844" max="4844" width="3" style="23" customWidth="1"/>
    <col min="4845" max="4845" width="2.6640625" style="23" customWidth="1"/>
    <col min="4846" max="4846" width="2.44140625" style="23" customWidth="1"/>
    <col min="4847" max="4847" width="3.33203125" style="23" customWidth="1"/>
    <col min="4848" max="4848" width="3.5546875" style="23" customWidth="1"/>
    <col min="4849" max="4849" width="4" style="23" customWidth="1"/>
    <col min="4850" max="4850" width="3.44140625" style="23" customWidth="1"/>
    <col min="4851" max="4851" width="3" style="23" customWidth="1"/>
    <col min="4852" max="5085" width="11.44140625" style="23"/>
    <col min="5086" max="5086" width="44.44140625" style="23" customWidth="1"/>
    <col min="5087" max="5087" width="13" style="23" customWidth="1"/>
    <col min="5088" max="5093" width="2" style="23" customWidth="1"/>
    <col min="5094" max="5094" width="2.44140625" style="23" customWidth="1"/>
    <col min="5095" max="5095" width="3" style="23" customWidth="1"/>
    <col min="5096" max="5098" width="2" style="23" customWidth="1"/>
    <col min="5099" max="5099" width="2.88671875" style="23" customWidth="1"/>
    <col min="5100" max="5100" width="3" style="23" customWidth="1"/>
    <col min="5101" max="5101" width="2.6640625" style="23" customWidth="1"/>
    <col min="5102" max="5102" width="2.44140625" style="23" customWidth="1"/>
    <col min="5103" max="5103" width="3.33203125" style="23" customWidth="1"/>
    <col min="5104" max="5104" width="3.5546875" style="23" customWidth="1"/>
    <col min="5105" max="5105" width="4" style="23" customWidth="1"/>
    <col min="5106" max="5106" width="3.44140625" style="23" customWidth="1"/>
    <col min="5107" max="5107" width="3" style="23" customWidth="1"/>
    <col min="5108" max="5341" width="11.44140625" style="23"/>
    <col min="5342" max="5342" width="44.44140625" style="23" customWidth="1"/>
    <col min="5343" max="5343" width="13" style="23" customWidth="1"/>
    <col min="5344" max="5349" width="2" style="23" customWidth="1"/>
    <col min="5350" max="5350" width="2.44140625" style="23" customWidth="1"/>
    <col min="5351" max="5351" width="3" style="23" customWidth="1"/>
    <col min="5352" max="5354" width="2" style="23" customWidth="1"/>
    <col min="5355" max="5355" width="2.88671875" style="23" customWidth="1"/>
    <col min="5356" max="5356" width="3" style="23" customWidth="1"/>
    <col min="5357" max="5357" width="2.6640625" style="23" customWidth="1"/>
    <col min="5358" max="5358" width="2.44140625" style="23" customWidth="1"/>
    <col min="5359" max="5359" width="3.33203125" style="23" customWidth="1"/>
    <col min="5360" max="5360" width="3.5546875" style="23" customWidth="1"/>
    <col min="5361" max="5361" width="4" style="23" customWidth="1"/>
    <col min="5362" max="5362" width="3.44140625" style="23" customWidth="1"/>
    <col min="5363" max="5363" width="3" style="23" customWidth="1"/>
    <col min="5364" max="5597" width="11.44140625" style="23"/>
    <col min="5598" max="5598" width="44.44140625" style="23" customWidth="1"/>
    <col min="5599" max="5599" width="13" style="23" customWidth="1"/>
    <col min="5600" max="5605" width="2" style="23" customWidth="1"/>
    <col min="5606" max="5606" width="2.44140625" style="23" customWidth="1"/>
    <col min="5607" max="5607" width="3" style="23" customWidth="1"/>
    <col min="5608" max="5610" width="2" style="23" customWidth="1"/>
    <col min="5611" max="5611" width="2.88671875" style="23" customWidth="1"/>
    <col min="5612" max="5612" width="3" style="23" customWidth="1"/>
    <col min="5613" max="5613" width="2.6640625" style="23" customWidth="1"/>
    <col min="5614" max="5614" width="2.44140625" style="23" customWidth="1"/>
    <col min="5615" max="5615" width="3.33203125" style="23" customWidth="1"/>
    <col min="5616" max="5616" width="3.5546875" style="23" customWidth="1"/>
    <col min="5617" max="5617" width="4" style="23" customWidth="1"/>
    <col min="5618" max="5618" width="3.44140625" style="23" customWidth="1"/>
    <col min="5619" max="5619" width="3" style="23" customWidth="1"/>
    <col min="5620" max="5853" width="11.44140625" style="23"/>
    <col min="5854" max="5854" width="44.44140625" style="23" customWidth="1"/>
    <col min="5855" max="5855" width="13" style="23" customWidth="1"/>
    <col min="5856" max="5861" width="2" style="23" customWidth="1"/>
    <col min="5862" max="5862" width="2.44140625" style="23" customWidth="1"/>
    <col min="5863" max="5863" width="3" style="23" customWidth="1"/>
    <col min="5864" max="5866" width="2" style="23" customWidth="1"/>
    <col min="5867" max="5867" width="2.88671875" style="23" customWidth="1"/>
    <col min="5868" max="5868" width="3" style="23" customWidth="1"/>
    <col min="5869" max="5869" width="2.6640625" style="23" customWidth="1"/>
    <col min="5870" max="5870" width="2.44140625" style="23" customWidth="1"/>
    <col min="5871" max="5871" width="3.33203125" style="23" customWidth="1"/>
    <col min="5872" max="5872" width="3.5546875" style="23" customWidth="1"/>
    <col min="5873" max="5873" width="4" style="23" customWidth="1"/>
    <col min="5874" max="5874" width="3.44140625" style="23" customWidth="1"/>
    <col min="5875" max="5875" width="3" style="23" customWidth="1"/>
    <col min="5876" max="6109" width="11.44140625" style="23"/>
    <col min="6110" max="6110" width="44.44140625" style="23" customWidth="1"/>
    <col min="6111" max="6111" width="13" style="23" customWidth="1"/>
    <col min="6112" max="6117" width="2" style="23" customWidth="1"/>
    <col min="6118" max="6118" width="2.44140625" style="23" customWidth="1"/>
    <col min="6119" max="6119" width="3" style="23" customWidth="1"/>
    <col min="6120" max="6122" width="2" style="23" customWidth="1"/>
    <col min="6123" max="6123" width="2.88671875" style="23" customWidth="1"/>
    <col min="6124" max="6124" width="3" style="23" customWidth="1"/>
    <col min="6125" max="6125" width="2.6640625" style="23" customWidth="1"/>
    <col min="6126" max="6126" width="2.44140625" style="23" customWidth="1"/>
    <col min="6127" max="6127" width="3.33203125" style="23" customWidth="1"/>
    <col min="6128" max="6128" width="3.5546875" style="23" customWidth="1"/>
    <col min="6129" max="6129" width="4" style="23" customWidth="1"/>
    <col min="6130" max="6130" width="3.44140625" style="23" customWidth="1"/>
    <col min="6131" max="6131" width="3" style="23" customWidth="1"/>
    <col min="6132" max="6365" width="11.44140625" style="23"/>
    <col min="6366" max="6366" width="44.44140625" style="23" customWidth="1"/>
    <col min="6367" max="6367" width="13" style="23" customWidth="1"/>
    <col min="6368" max="6373" width="2" style="23" customWidth="1"/>
    <col min="6374" max="6374" width="2.44140625" style="23" customWidth="1"/>
    <col min="6375" max="6375" width="3" style="23" customWidth="1"/>
    <col min="6376" max="6378" width="2" style="23" customWidth="1"/>
    <col min="6379" max="6379" width="2.88671875" style="23" customWidth="1"/>
    <col min="6380" max="6380" width="3" style="23" customWidth="1"/>
    <col min="6381" max="6381" width="2.6640625" style="23" customWidth="1"/>
    <col min="6382" max="6382" width="2.44140625" style="23" customWidth="1"/>
    <col min="6383" max="6383" width="3.33203125" style="23" customWidth="1"/>
    <col min="6384" max="6384" width="3.5546875" style="23" customWidth="1"/>
    <col min="6385" max="6385" width="4" style="23" customWidth="1"/>
    <col min="6386" max="6386" width="3.44140625" style="23" customWidth="1"/>
    <col min="6387" max="6387" width="3" style="23" customWidth="1"/>
    <col min="6388" max="6621" width="11.44140625" style="23"/>
    <col min="6622" max="6622" width="44.44140625" style="23" customWidth="1"/>
    <col min="6623" max="6623" width="13" style="23" customWidth="1"/>
    <col min="6624" max="6629" width="2" style="23" customWidth="1"/>
    <col min="6630" max="6630" width="2.44140625" style="23" customWidth="1"/>
    <col min="6631" max="6631" width="3" style="23" customWidth="1"/>
    <col min="6632" max="6634" width="2" style="23" customWidth="1"/>
    <col min="6635" max="6635" width="2.88671875" style="23" customWidth="1"/>
    <col min="6636" max="6636" width="3" style="23" customWidth="1"/>
    <col min="6637" max="6637" width="2.6640625" style="23" customWidth="1"/>
    <col min="6638" max="6638" width="2.44140625" style="23" customWidth="1"/>
    <col min="6639" max="6639" width="3.33203125" style="23" customWidth="1"/>
    <col min="6640" max="6640" width="3.5546875" style="23" customWidth="1"/>
    <col min="6641" max="6641" width="4" style="23" customWidth="1"/>
    <col min="6642" max="6642" width="3.44140625" style="23" customWidth="1"/>
    <col min="6643" max="6643" width="3" style="23" customWidth="1"/>
    <col min="6644" max="6877" width="11.44140625" style="23"/>
    <col min="6878" max="6878" width="44.44140625" style="23" customWidth="1"/>
    <col min="6879" max="6879" width="13" style="23" customWidth="1"/>
    <col min="6880" max="6885" width="2" style="23" customWidth="1"/>
    <col min="6886" max="6886" width="2.44140625" style="23" customWidth="1"/>
    <col min="6887" max="6887" width="3" style="23" customWidth="1"/>
    <col min="6888" max="6890" width="2" style="23" customWidth="1"/>
    <col min="6891" max="6891" width="2.88671875" style="23" customWidth="1"/>
    <col min="6892" max="6892" width="3" style="23" customWidth="1"/>
    <col min="6893" max="6893" width="2.6640625" style="23" customWidth="1"/>
    <col min="6894" max="6894" width="2.44140625" style="23" customWidth="1"/>
    <col min="6895" max="6895" width="3.33203125" style="23" customWidth="1"/>
    <col min="6896" max="6896" width="3.5546875" style="23" customWidth="1"/>
    <col min="6897" max="6897" width="4" style="23" customWidth="1"/>
    <col min="6898" max="6898" width="3.44140625" style="23" customWidth="1"/>
    <col min="6899" max="6899" width="3" style="23" customWidth="1"/>
    <col min="6900" max="7133" width="11.44140625" style="23"/>
    <col min="7134" max="7134" width="44.44140625" style="23" customWidth="1"/>
    <col min="7135" max="7135" width="13" style="23" customWidth="1"/>
    <col min="7136" max="7141" width="2" style="23" customWidth="1"/>
    <col min="7142" max="7142" width="2.44140625" style="23" customWidth="1"/>
    <col min="7143" max="7143" width="3" style="23" customWidth="1"/>
    <col min="7144" max="7146" width="2" style="23" customWidth="1"/>
    <col min="7147" max="7147" width="2.88671875" style="23" customWidth="1"/>
    <col min="7148" max="7148" width="3" style="23" customWidth="1"/>
    <col min="7149" max="7149" width="2.6640625" style="23" customWidth="1"/>
    <col min="7150" max="7150" width="2.44140625" style="23" customWidth="1"/>
    <col min="7151" max="7151" width="3.33203125" style="23" customWidth="1"/>
    <col min="7152" max="7152" width="3.5546875" style="23" customWidth="1"/>
    <col min="7153" max="7153" width="4" style="23" customWidth="1"/>
    <col min="7154" max="7154" width="3.44140625" style="23" customWidth="1"/>
    <col min="7155" max="7155" width="3" style="23" customWidth="1"/>
    <col min="7156" max="7389" width="11.44140625" style="23"/>
    <col min="7390" max="7390" width="44.44140625" style="23" customWidth="1"/>
    <col min="7391" max="7391" width="13" style="23" customWidth="1"/>
    <col min="7392" max="7397" width="2" style="23" customWidth="1"/>
    <col min="7398" max="7398" width="2.44140625" style="23" customWidth="1"/>
    <col min="7399" max="7399" width="3" style="23" customWidth="1"/>
    <col min="7400" max="7402" width="2" style="23" customWidth="1"/>
    <col min="7403" max="7403" width="2.88671875" style="23" customWidth="1"/>
    <col min="7404" max="7404" width="3" style="23" customWidth="1"/>
    <col min="7405" max="7405" width="2.6640625" style="23" customWidth="1"/>
    <col min="7406" max="7406" width="2.44140625" style="23" customWidth="1"/>
    <col min="7407" max="7407" width="3.33203125" style="23" customWidth="1"/>
    <col min="7408" max="7408" width="3.5546875" style="23" customWidth="1"/>
    <col min="7409" max="7409" width="4" style="23" customWidth="1"/>
    <col min="7410" max="7410" width="3.44140625" style="23" customWidth="1"/>
    <col min="7411" max="7411" width="3" style="23" customWidth="1"/>
    <col min="7412" max="7645" width="11.44140625" style="23"/>
    <col min="7646" max="7646" width="44.44140625" style="23" customWidth="1"/>
    <col min="7647" max="7647" width="13" style="23" customWidth="1"/>
    <col min="7648" max="7653" width="2" style="23" customWidth="1"/>
    <col min="7654" max="7654" width="2.44140625" style="23" customWidth="1"/>
    <col min="7655" max="7655" width="3" style="23" customWidth="1"/>
    <col min="7656" max="7658" width="2" style="23" customWidth="1"/>
    <col min="7659" max="7659" width="2.88671875" style="23" customWidth="1"/>
    <col min="7660" max="7660" width="3" style="23" customWidth="1"/>
    <col min="7661" max="7661" width="2.6640625" style="23" customWidth="1"/>
    <col min="7662" max="7662" width="2.44140625" style="23" customWidth="1"/>
    <col min="7663" max="7663" width="3.33203125" style="23" customWidth="1"/>
    <col min="7664" max="7664" width="3.5546875" style="23" customWidth="1"/>
    <col min="7665" max="7665" width="4" style="23" customWidth="1"/>
    <col min="7666" max="7666" width="3.44140625" style="23" customWidth="1"/>
    <col min="7667" max="7667" width="3" style="23" customWidth="1"/>
    <col min="7668" max="7901" width="11.44140625" style="23"/>
    <col min="7902" max="7902" width="44.44140625" style="23" customWidth="1"/>
    <col min="7903" max="7903" width="13" style="23" customWidth="1"/>
    <col min="7904" max="7909" width="2" style="23" customWidth="1"/>
    <col min="7910" max="7910" width="2.44140625" style="23" customWidth="1"/>
    <col min="7911" max="7911" width="3" style="23" customWidth="1"/>
    <col min="7912" max="7914" width="2" style="23" customWidth="1"/>
    <col min="7915" max="7915" width="2.88671875" style="23" customWidth="1"/>
    <col min="7916" max="7916" width="3" style="23" customWidth="1"/>
    <col min="7917" max="7917" width="2.6640625" style="23" customWidth="1"/>
    <col min="7918" max="7918" width="2.44140625" style="23" customWidth="1"/>
    <col min="7919" max="7919" width="3.33203125" style="23" customWidth="1"/>
    <col min="7920" max="7920" width="3.5546875" style="23" customWidth="1"/>
    <col min="7921" max="7921" width="4" style="23" customWidth="1"/>
    <col min="7922" max="7922" width="3.44140625" style="23" customWidth="1"/>
    <col min="7923" max="7923" width="3" style="23" customWidth="1"/>
    <col min="7924" max="8157" width="11.44140625" style="23"/>
    <col min="8158" max="8158" width="44.44140625" style="23" customWidth="1"/>
    <col min="8159" max="8159" width="13" style="23" customWidth="1"/>
    <col min="8160" max="8165" width="2" style="23" customWidth="1"/>
    <col min="8166" max="8166" width="2.44140625" style="23" customWidth="1"/>
    <col min="8167" max="8167" width="3" style="23" customWidth="1"/>
    <col min="8168" max="8170" width="2" style="23" customWidth="1"/>
    <col min="8171" max="8171" width="2.88671875" style="23" customWidth="1"/>
    <col min="8172" max="8172" width="3" style="23" customWidth="1"/>
    <col min="8173" max="8173" width="2.6640625" style="23" customWidth="1"/>
    <col min="8174" max="8174" width="2.44140625" style="23" customWidth="1"/>
    <col min="8175" max="8175" width="3.33203125" style="23" customWidth="1"/>
    <col min="8176" max="8176" width="3.5546875" style="23" customWidth="1"/>
    <col min="8177" max="8177" width="4" style="23" customWidth="1"/>
    <col min="8178" max="8178" width="3.44140625" style="23" customWidth="1"/>
    <col min="8179" max="8179" width="3" style="23" customWidth="1"/>
    <col min="8180" max="8413" width="11.44140625" style="23"/>
    <col min="8414" max="8414" width="44.44140625" style="23" customWidth="1"/>
    <col min="8415" max="8415" width="13" style="23" customWidth="1"/>
    <col min="8416" max="8421" width="2" style="23" customWidth="1"/>
    <col min="8422" max="8422" width="2.44140625" style="23" customWidth="1"/>
    <col min="8423" max="8423" width="3" style="23" customWidth="1"/>
    <col min="8424" max="8426" width="2" style="23" customWidth="1"/>
    <col min="8427" max="8427" width="2.88671875" style="23" customWidth="1"/>
    <col min="8428" max="8428" width="3" style="23" customWidth="1"/>
    <col min="8429" max="8429" width="2.6640625" style="23" customWidth="1"/>
    <col min="8430" max="8430" width="2.44140625" style="23" customWidth="1"/>
    <col min="8431" max="8431" width="3.33203125" style="23" customWidth="1"/>
    <col min="8432" max="8432" width="3.5546875" style="23" customWidth="1"/>
    <col min="8433" max="8433" width="4" style="23" customWidth="1"/>
    <col min="8434" max="8434" width="3.44140625" style="23" customWidth="1"/>
    <col min="8435" max="8435" width="3" style="23" customWidth="1"/>
    <col min="8436" max="8669" width="11.44140625" style="23"/>
    <col min="8670" max="8670" width="44.44140625" style="23" customWidth="1"/>
    <col min="8671" max="8671" width="13" style="23" customWidth="1"/>
    <col min="8672" max="8677" width="2" style="23" customWidth="1"/>
    <col min="8678" max="8678" width="2.44140625" style="23" customWidth="1"/>
    <col min="8679" max="8679" width="3" style="23" customWidth="1"/>
    <col min="8680" max="8682" width="2" style="23" customWidth="1"/>
    <col min="8683" max="8683" width="2.88671875" style="23" customWidth="1"/>
    <col min="8684" max="8684" width="3" style="23" customWidth="1"/>
    <col min="8685" max="8685" width="2.6640625" style="23" customWidth="1"/>
    <col min="8686" max="8686" width="2.44140625" style="23" customWidth="1"/>
    <col min="8687" max="8687" width="3.33203125" style="23" customWidth="1"/>
    <col min="8688" max="8688" width="3.5546875" style="23" customWidth="1"/>
    <col min="8689" max="8689" width="4" style="23" customWidth="1"/>
    <col min="8690" max="8690" width="3.44140625" style="23" customWidth="1"/>
    <col min="8691" max="8691" width="3" style="23" customWidth="1"/>
    <col min="8692" max="8925" width="11.44140625" style="23"/>
    <col min="8926" max="8926" width="44.44140625" style="23" customWidth="1"/>
    <col min="8927" max="8927" width="13" style="23" customWidth="1"/>
    <col min="8928" max="8933" width="2" style="23" customWidth="1"/>
    <col min="8934" max="8934" width="2.44140625" style="23" customWidth="1"/>
    <col min="8935" max="8935" width="3" style="23" customWidth="1"/>
    <col min="8936" max="8938" width="2" style="23" customWidth="1"/>
    <col min="8939" max="8939" width="2.88671875" style="23" customWidth="1"/>
    <col min="8940" max="8940" width="3" style="23" customWidth="1"/>
    <col min="8941" max="8941" width="2.6640625" style="23" customWidth="1"/>
    <col min="8942" max="8942" width="2.44140625" style="23" customWidth="1"/>
    <col min="8943" max="8943" width="3.33203125" style="23" customWidth="1"/>
    <col min="8944" max="8944" width="3.5546875" style="23" customWidth="1"/>
    <col min="8945" max="8945" width="4" style="23" customWidth="1"/>
    <col min="8946" max="8946" width="3.44140625" style="23" customWidth="1"/>
    <col min="8947" max="8947" width="3" style="23" customWidth="1"/>
    <col min="8948" max="9181" width="11.44140625" style="23"/>
    <col min="9182" max="9182" width="44.44140625" style="23" customWidth="1"/>
    <col min="9183" max="9183" width="13" style="23" customWidth="1"/>
    <col min="9184" max="9189" width="2" style="23" customWidth="1"/>
    <col min="9190" max="9190" width="2.44140625" style="23" customWidth="1"/>
    <col min="9191" max="9191" width="3" style="23" customWidth="1"/>
    <col min="9192" max="9194" width="2" style="23" customWidth="1"/>
    <col min="9195" max="9195" width="2.88671875" style="23" customWidth="1"/>
    <col min="9196" max="9196" width="3" style="23" customWidth="1"/>
    <col min="9197" max="9197" width="2.6640625" style="23" customWidth="1"/>
    <col min="9198" max="9198" width="2.44140625" style="23" customWidth="1"/>
    <col min="9199" max="9199" width="3.33203125" style="23" customWidth="1"/>
    <col min="9200" max="9200" width="3.5546875" style="23" customWidth="1"/>
    <col min="9201" max="9201" width="4" style="23" customWidth="1"/>
    <col min="9202" max="9202" width="3.44140625" style="23" customWidth="1"/>
    <col min="9203" max="9203" width="3" style="23" customWidth="1"/>
    <col min="9204" max="9437" width="11.44140625" style="23"/>
    <col min="9438" max="9438" width="44.44140625" style="23" customWidth="1"/>
    <col min="9439" max="9439" width="13" style="23" customWidth="1"/>
    <col min="9440" max="9445" width="2" style="23" customWidth="1"/>
    <col min="9446" max="9446" width="2.44140625" style="23" customWidth="1"/>
    <col min="9447" max="9447" width="3" style="23" customWidth="1"/>
    <col min="9448" max="9450" width="2" style="23" customWidth="1"/>
    <col min="9451" max="9451" width="2.88671875" style="23" customWidth="1"/>
    <col min="9452" max="9452" width="3" style="23" customWidth="1"/>
    <col min="9453" max="9453" width="2.6640625" style="23" customWidth="1"/>
    <col min="9454" max="9454" width="2.44140625" style="23" customWidth="1"/>
    <col min="9455" max="9455" width="3.33203125" style="23" customWidth="1"/>
    <col min="9456" max="9456" width="3.5546875" style="23" customWidth="1"/>
    <col min="9457" max="9457" width="4" style="23" customWidth="1"/>
    <col min="9458" max="9458" width="3.44140625" style="23" customWidth="1"/>
    <col min="9459" max="9459" width="3" style="23" customWidth="1"/>
    <col min="9460" max="9693" width="11.44140625" style="23"/>
    <col min="9694" max="9694" width="44.44140625" style="23" customWidth="1"/>
    <col min="9695" max="9695" width="13" style="23" customWidth="1"/>
    <col min="9696" max="9701" width="2" style="23" customWidth="1"/>
    <col min="9702" max="9702" width="2.44140625" style="23" customWidth="1"/>
    <col min="9703" max="9703" width="3" style="23" customWidth="1"/>
    <col min="9704" max="9706" width="2" style="23" customWidth="1"/>
    <col min="9707" max="9707" width="2.88671875" style="23" customWidth="1"/>
    <col min="9708" max="9708" width="3" style="23" customWidth="1"/>
    <col min="9709" max="9709" width="2.6640625" style="23" customWidth="1"/>
    <col min="9710" max="9710" width="2.44140625" style="23" customWidth="1"/>
    <col min="9711" max="9711" width="3.33203125" style="23" customWidth="1"/>
    <col min="9712" max="9712" width="3.5546875" style="23" customWidth="1"/>
    <col min="9713" max="9713" width="4" style="23" customWidth="1"/>
    <col min="9714" max="9714" width="3.44140625" style="23" customWidth="1"/>
    <col min="9715" max="9715" width="3" style="23" customWidth="1"/>
    <col min="9716" max="9949" width="11.44140625" style="23"/>
    <col min="9950" max="9950" width="44.44140625" style="23" customWidth="1"/>
    <col min="9951" max="9951" width="13" style="23" customWidth="1"/>
    <col min="9952" max="9957" width="2" style="23" customWidth="1"/>
    <col min="9958" max="9958" width="2.44140625" style="23" customWidth="1"/>
    <col min="9959" max="9959" width="3" style="23" customWidth="1"/>
    <col min="9960" max="9962" width="2" style="23" customWidth="1"/>
    <col min="9963" max="9963" width="2.88671875" style="23" customWidth="1"/>
    <col min="9964" max="9964" width="3" style="23" customWidth="1"/>
    <col min="9965" max="9965" width="2.6640625" style="23" customWidth="1"/>
    <col min="9966" max="9966" width="2.44140625" style="23" customWidth="1"/>
    <col min="9967" max="9967" width="3.33203125" style="23" customWidth="1"/>
    <col min="9968" max="9968" width="3.5546875" style="23" customWidth="1"/>
    <col min="9969" max="9969" width="4" style="23" customWidth="1"/>
    <col min="9970" max="9970" width="3.44140625" style="23" customWidth="1"/>
    <col min="9971" max="9971" width="3" style="23" customWidth="1"/>
    <col min="9972" max="10205" width="11.44140625" style="23"/>
    <col min="10206" max="10206" width="44.44140625" style="23" customWidth="1"/>
    <col min="10207" max="10207" width="13" style="23" customWidth="1"/>
    <col min="10208" max="10213" width="2" style="23" customWidth="1"/>
    <col min="10214" max="10214" width="2.44140625" style="23" customWidth="1"/>
    <col min="10215" max="10215" width="3" style="23" customWidth="1"/>
    <col min="10216" max="10218" width="2" style="23" customWidth="1"/>
    <col min="10219" max="10219" width="2.88671875" style="23" customWidth="1"/>
    <col min="10220" max="10220" width="3" style="23" customWidth="1"/>
    <col min="10221" max="10221" width="2.6640625" style="23" customWidth="1"/>
    <col min="10222" max="10222" width="2.44140625" style="23" customWidth="1"/>
    <col min="10223" max="10223" width="3.33203125" style="23" customWidth="1"/>
    <col min="10224" max="10224" width="3.5546875" style="23" customWidth="1"/>
    <col min="10225" max="10225" width="4" style="23" customWidth="1"/>
    <col min="10226" max="10226" width="3.44140625" style="23" customWidth="1"/>
    <col min="10227" max="10227" width="3" style="23" customWidth="1"/>
    <col min="10228" max="10461" width="11.44140625" style="23"/>
    <col min="10462" max="10462" width="44.44140625" style="23" customWidth="1"/>
    <col min="10463" max="10463" width="13" style="23" customWidth="1"/>
    <col min="10464" max="10469" width="2" style="23" customWidth="1"/>
    <col min="10470" max="10470" width="2.44140625" style="23" customWidth="1"/>
    <col min="10471" max="10471" width="3" style="23" customWidth="1"/>
    <col min="10472" max="10474" width="2" style="23" customWidth="1"/>
    <col min="10475" max="10475" width="2.88671875" style="23" customWidth="1"/>
    <col min="10476" max="10476" width="3" style="23" customWidth="1"/>
    <col min="10477" max="10477" width="2.6640625" style="23" customWidth="1"/>
    <col min="10478" max="10478" width="2.44140625" style="23" customWidth="1"/>
    <col min="10479" max="10479" width="3.33203125" style="23" customWidth="1"/>
    <col min="10480" max="10480" width="3.5546875" style="23" customWidth="1"/>
    <col min="10481" max="10481" width="4" style="23" customWidth="1"/>
    <col min="10482" max="10482" width="3.44140625" style="23" customWidth="1"/>
    <col min="10483" max="10483" width="3" style="23" customWidth="1"/>
    <col min="10484" max="10717" width="11.44140625" style="23"/>
    <col min="10718" max="10718" width="44.44140625" style="23" customWidth="1"/>
    <col min="10719" max="10719" width="13" style="23" customWidth="1"/>
    <col min="10720" max="10725" width="2" style="23" customWidth="1"/>
    <col min="10726" max="10726" width="2.44140625" style="23" customWidth="1"/>
    <col min="10727" max="10727" width="3" style="23" customWidth="1"/>
    <col min="10728" max="10730" width="2" style="23" customWidth="1"/>
    <col min="10731" max="10731" width="2.88671875" style="23" customWidth="1"/>
    <col min="10732" max="10732" width="3" style="23" customWidth="1"/>
    <col min="10733" max="10733" width="2.6640625" style="23" customWidth="1"/>
    <col min="10734" max="10734" width="2.44140625" style="23" customWidth="1"/>
    <col min="10735" max="10735" width="3.33203125" style="23" customWidth="1"/>
    <col min="10736" max="10736" width="3.5546875" style="23" customWidth="1"/>
    <col min="10737" max="10737" width="4" style="23" customWidth="1"/>
    <col min="10738" max="10738" width="3.44140625" style="23" customWidth="1"/>
    <col min="10739" max="10739" width="3" style="23" customWidth="1"/>
    <col min="10740" max="10973" width="11.44140625" style="23"/>
    <col min="10974" max="10974" width="44.44140625" style="23" customWidth="1"/>
    <col min="10975" max="10975" width="13" style="23" customWidth="1"/>
    <col min="10976" max="10981" width="2" style="23" customWidth="1"/>
    <col min="10982" max="10982" width="2.44140625" style="23" customWidth="1"/>
    <col min="10983" max="10983" width="3" style="23" customWidth="1"/>
    <col min="10984" max="10986" width="2" style="23" customWidth="1"/>
    <col min="10987" max="10987" width="2.88671875" style="23" customWidth="1"/>
    <col min="10988" max="10988" width="3" style="23" customWidth="1"/>
    <col min="10989" max="10989" width="2.6640625" style="23" customWidth="1"/>
    <col min="10990" max="10990" width="2.44140625" style="23" customWidth="1"/>
    <col min="10991" max="10991" width="3.33203125" style="23" customWidth="1"/>
    <col min="10992" max="10992" width="3.5546875" style="23" customWidth="1"/>
    <col min="10993" max="10993" width="4" style="23" customWidth="1"/>
    <col min="10994" max="10994" width="3.44140625" style="23" customWidth="1"/>
    <col min="10995" max="10995" width="3" style="23" customWidth="1"/>
    <col min="10996" max="11229" width="11.44140625" style="23"/>
    <col min="11230" max="11230" width="44.44140625" style="23" customWidth="1"/>
    <col min="11231" max="11231" width="13" style="23" customWidth="1"/>
    <col min="11232" max="11237" width="2" style="23" customWidth="1"/>
    <col min="11238" max="11238" width="2.44140625" style="23" customWidth="1"/>
    <col min="11239" max="11239" width="3" style="23" customWidth="1"/>
    <col min="11240" max="11242" width="2" style="23" customWidth="1"/>
    <col min="11243" max="11243" width="2.88671875" style="23" customWidth="1"/>
    <col min="11244" max="11244" width="3" style="23" customWidth="1"/>
    <col min="11245" max="11245" width="2.6640625" style="23" customWidth="1"/>
    <col min="11246" max="11246" width="2.44140625" style="23" customWidth="1"/>
    <col min="11247" max="11247" width="3.33203125" style="23" customWidth="1"/>
    <col min="11248" max="11248" width="3.5546875" style="23" customWidth="1"/>
    <col min="11249" max="11249" width="4" style="23" customWidth="1"/>
    <col min="11250" max="11250" width="3.44140625" style="23" customWidth="1"/>
    <col min="11251" max="11251" width="3" style="23" customWidth="1"/>
    <col min="11252" max="11485" width="11.44140625" style="23"/>
    <col min="11486" max="11486" width="44.44140625" style="23" customWidth="1"/>
    <col min="11487" max="11487" width="13" style="23" customWidth="1"/>
    <col min="11488" max="11493" width="2" style="23" customWidth="1"/>
    <col min="11494" max="11494" width="2.44140625" style="23" customWidth="1"/>
    <col min="11495" max="11495" width="3" style="23" customWidth="1"/>
    <col min="11496" max="11498" width="2" style="23" customWidth="1"/>
    <col min="11499" max="11499" width="2.88671875" style="23" customWidth="1"/>
    <col min="11500" max="11500" width="3" style="23" customWidth="1"/>
    <col min="11501" max="11501" width="2.6640625" style="23" customWidth="1"/>
    <col min="11502" max="11502" width="2.44140625" style="23" customWidth="1"/>
    <col min="11503" max="11503" width="3.33203125" style="23" customWidth="1"/>
    <col min="11504" max="11504" width="3.5546875" style="23" customWidth="1"/>
    <col min="11505" max="11505" width="4" style="23" customWidth="1"/>
    <col min="11506" max="11506" width="3.44140625" style="23" customWidth="1"/>
    <col min="11507" max="11507" width="3" style="23" customWidth="1"/>
    <col min="11508" max="11741" width="11.44140625" style="23"/>
    <col min="11742" max="11742" width="44.44140625" style="23" customWidth="1"/>
    <col min="11743" max="11743" width="13" style="23" customWidth="1"/>
    <col min="11744" max="11749" width="2" style="23" customWidth="1"/>
    <col min="11750" max="11750" width="2.44140625" style="23" customWidth="1"/>
    <col min="11751" max="11751" width="3" style="23" customWidth="1"/>
    <col min="11752" max="11754" width="2" style="23" customWidth="1"/>
    <col min="11755" max="11755" width="2.88671875" style="23" customWidth="1"/>
    <col min="11756" max="11756" width="3" style="23" customWidth="1"/>
    <col min="11757" max="11757" width="2.6640625" style="23" customWidth="1"/>
    <col min="11758" max="11758" width="2.44140625" style="23" customWidth="1"/>
    <col min="11759" max="11759" width="3.33203125" style="23" customWidth="1"/>
    <col min="11760" max="11760" width="3.5546875" style="23" customWidth="1"/>
    <col min="11761" max="11761" width="4" style="23" customWidth="1"/>
    <col min="11762" max="11762" width="3.44140625" style="23" customWidth="1"/>
    <col min="11763" max="11763" width="3" style="23" customWidth="1"/>
    <col min="11764" max="11997" width="11.44140625" style="23"/>
    <col min="11998" max="11998" width="44.44140625" style="23" customWidth="1"/>
    <col min="11999" max="11999" width="13" style="23" customWidth="1"/>
    <col min="12000" max="12005" width="2" style="23" customWidth="1"/>
    <col min="12006" max="12006" width="2.44140625" style="23" customWidth="1"/>
    <col min="12007" max="12007" width="3" style="23" customWidth="1"/>
    <col min="12008" max="12010" width="2" style="23" customWidth="1"/>
    <col min="12011" max="12011" width="2.88671875" style="23" customWidth="1"/>
    <col min="12012" max="12012" width="3" style="23" customWidth="1"/>
    <col min="12013" max="12013" width="2.6640625" style="23" customWidth="1"/>
    <col min="12014" max="12014" width="2.44140625" style="23" customWidth="1"/>
    <col min="12015" max="12015" width="3.33203125" style="23" customWidth="1"/>
    <col min="12016" max="12016" width="3.5546875" style="23" customWidth="1"/>
    <col min="12017" max="12017" width="4" style="23" customWidth="1"/>
    <col min="12018" max="12018" width="3.44140625" style="23" customWidth="1"/>
    <col min="12019" max="12019" width="3" style="23" customWidth="1"/>
    <col min="12020" max="12253" width="11.44140625" style="23"/>
    <col min="12254" max="12254" width="44.44140625" style="23" customWidth="1"/>
    <col min="12255" max="12255" width="13" style="23" customWidth="1"/>
    <col min="12256" max="12261" width="2" style="23" customWidth="1"/>
    <col min="12262" max="12262" width="2.44140625" style="23" customWidth="1"/>
    <col min="12263" max="12263" width="3" style="23" customWidth="1"/>
    <col min="12264" max="12266" width="2" style="23" customWidth="1"/>
    <col min="12267" max="12267" width="2.88671875" style="23" customWidth="1"/>
    <col min="12268" max="12268" width="3" style="23" customWidth="1"/>
    <col min="12269" max="12269" width="2.6640625" style="23" customWidth="1"/>
    <col min="12270" max="12270" width="2.44140625" style="23" customWidth="1"/>
    <col min="12271" max="12271" width="3.33203125" style="23" customWidth="1"/>
    <col min="12272" max="12272" width="3.5546875" style="23" customWidth="1"/>
    <col min="12273" max="12273" width="4" style="23" customWidth="1"/>
    <col min="12274" max="12274" width="3.44140625" style="23" customWidth="1"/>
    <col min="12275" max="12275" width="3" style="23" customWidth="1"/>
    <col min="12276" max="12509" width="11.44140625" style="23"/>
    <col min="12510" max="12510" width="44.44140625" style="23" customWidth="1"/>
    <col min="12511" max="12511" width="13" style="23" customWidth="1"/>
    <col min="12512" max="12517" width="2" style="23" customWidth="1"/>
    <col min="12518" max="12518" width="2.44140625" style="23" customWidth="1"/>
    <col min="12519" max="12519" width="3" style="23" customWidth="1"/>
    <col min="12520" max="12522" width="2" style="23" customWidth="1"/>
    <col min="12523" max="12523" width="2.88671875" style="23" customWidth="1"/>
    <col min="12524" max="12524" width="3" style="23" customWidth="1"/>
    <col min="12525" max="12525" width="2.6640625" style="23" customWidth="1"/>
    <col min="12526" max="12526" width="2.44140625" style="23" customWidth="1"/>
    <col min="12527" max="12527" width="3.33203125" style="23" customWidth="1"/>
    <col min="12528" max="12528" width="3.5546875" style="23" customWidth="1"/>
    <col min="12529" max="12529" width="4" style="23" customWidth="1"/>
    <col min="12530" max="12530" width="3.44140625" style="23" customWidth="1"/>
    <col min="12531" max="12531" width="3" style="23" customWidth="1"/>
    <col min="12532" max="12765" width="11.44140625" style="23"/>
    <col min="12766" max="12766" width="44.44140625" style="23" customWidth="1"/>
    <col min="12767" max="12767" width="13" style="23" customWidth="1"/>
    <col min="12768" max="12773" width="2" style="23" customWidth="1"/>
    <col min="12774" max="12774" width="2.44140625" style="23" customWidth="1"/>
    <col min="12775" max="12775" width="3" style="23" customWidth="1"/>
    <col min="12776" max="12778" width="2" style="23" customWidth="1"/>
    <col min="12779" max="12779" width="2.88671875" style="23" customWidth="1"/>
    <col min="12780" max="12780" width="3" style="23" customWidth="1"/>
    <col min="12781" max="12781" width="2.6640625" style="23" customWidth="1"/>
    <col min="12782" max="12782" width="2.44140625" style="23" customWidth="1"/>
    <col min="12783" max="12783" width="3.33203125" style="23" customWidth="1"/>
    <col min="12784" max="12784" width="3.5546875" style="23" customWidth="1"/>
    <col min="12785" max="12785" width="4" style="23" customWidth="1"/>
    <col min="12786" max="12786" width="3.44140625" style="23" customWidth="1"/>
    <col min="12787" max="12787" width="3" style="23" customWidth="1"/>
    <col min="12788" max="13021" width="11.44140625" style="23"/>
    <col min="13022" max="13022" width="44.44140625" style="23" customWidth="1"/>
    <col min="13023" max="13023" width="13" style="23" customWidth="1"/>
    <col min="13024" max="13029" width="2" style="23" customWidth="1"/>
    <col min="13030" max="13030" width="2.44140625" style="23" customWidth="1"/>
    <col min="13031" max="13031" width="3" style="23" customWidth="1"/>
    <col min="13032" max="13034" width="2" style="23" customWidth="1"/>
    <col min="13035" max="13035" width="2.88671875" style="23" customWidth="1"/>
    <col min="13036" max="13036" width="3" style="23" customWidth="1"/>
    <col min="13037" max="13037" width="2.6640625" style="23" customWidth="1"/>
    <col min="13038" max="13038" width="2.44140625" style="23" customWidth="1"/>
    <col min="13039" max="13039" width="3.33203125" style="23" customWidth="1"/>
    <col min="13040" max="13040" width="3.5546875" style="23" customWidth="1"/>
    <col min="13041" max="13041" width="4" style="23" customWidth="1"/>
    <col min="13042" max="13042" width="3.44140625" style="23" customWidth="1"/>
    <col min="13043" max="13043" width="3" style="23" customWidth="1"/>
    <col min="13044" max="13277" width="11.44140625" style="23"/>
    <col min="13278" max="13278" width="44.44140625" style="23" customWidth="1"/>
    <col min="13279" max="13279" width="13" style="23" customWidth="1"/>
    <col min="13280" max="13285" width="2" style="23" customWidth="1"/>
    <col min="13286" max="13286" width="2.44140625" style="23" customWidth="1"/>
    <col min="13287" max="13287" width="3" style="23" customWidth="1"/>
    <col min="13288" max="13290" width="2" style="23" customWidth="1"/>
    <col min="13291" max="13291" width="2.88671875" style="23" customWidth="1"/>
    <col min="13292" max="13292" width="3" style="23" customWidth="1"/>
    <col min="13293" max="13293" width="2.6640625" style="23" customWidth="1"/>
    <col min="13294" max="13294" width="2.44140625" style="23" customWidth="1"/>
    <col min="13295" max="13295" width="3.33203125" style="23" customWidth="1"/>
    <col min="13296" max="13296" width="3.5546875" style="23" customWidth="1"/>
    <col min="13297" max="13297" width="4" style="23" customWidth="1"/>
    <col min="13298" max="13298" width="3.44140625" style="23" customWidth="1"/>
    <col min="13299" max="13299" width="3" style="23" customWidth="1"/>
    <col min="13300" max="13533" width="11.44140625" style="23"/>
    <col min="13534" max="13534" width="44.44140625" style="23" customWidth="1"/>
    <col min="13535" max="13535" width="13" style="23" customWidth="1"/>
    <col min="13536" max="13541" width="2" style="23" customWidth="1"/>
    <col min="13542" max="13542" width="2.44140625" style="23" customWidth="1"/>
    <col min="13543" max="13543" width="3" style="23" customWidth="1"/>
    <col min="13544" max="13546" width="2" style="23" customWidth="1"/>
    <col min="13547" max="13547" width="2.88671875" style="23" customWidth="1"/>
    <col min="13548" max="13548" width="3" style="23" customWidth="1"/>
    <col min="13549" max="13549" width="2.6640625" style="23" customWidth="1"/>
    <col min="13550" max="13550" width="2.44140625" style="23" customWidth="1"/>
    <col min="13551" max="13551" width="3.33203125" style="23" customWidth="1"/>
    <col min="13552" max="13552" width="3.5546875" style="23" customWidth="1"/>
    <col min="13553" max="13553" width="4" style="23" customWidth="1"/>
    <col min="13554" max="13554" width="3.44140625" style="23" customWidth="1"/>
    <col min="13555" max="13555" width="3" style="23" customWidth="1"/>
    <col min="13556" max="13789" width="11.44140625" style="23"/>
    <col min="13790" max="13790" width="44.44140625" style="23" customWidth="1"/>
    <col min="13791" max="13791" width="13" style="23" customWidth="1"/>
    <col min="13792" max="13797" width="2" style="23" customWidth="1"/>
    <col min="13798" max="13798" width="2.44140625" style="23" customWidth="1"/>
    <col min="13799" max="13799" width="3" style="23" customWidth="1"/>
    <col min="13800" max="13802" width="2" style="23" customWidth="1"/>
    <col min="13803" max="13803" width="2.88671875" style="23" customWidth="1"/>
    <col min="13804" max="13804" width="3" style="23" customWidth="1"/>
    <col min="13805" max="13805" width="2.6640625" style="23" customWidth="1"/>
    <col min="13806" max="13806" width="2.44140625" style="23" customWidth="1"/>
    <col min="13807" max="13807" width="3.33203125" style="23" customWidth="1"/>
    <col min="13808" max="13808" width="3.5546875" style="23" customWidth="1"/>
    <col min="13809" max="13809" width="4" style="23" customWidth="1"/>
    <col min="13810" max="13810" width="3.44140625" style="23" customWidth="1"/>
    <col min="13811" max="13811" width="3" style="23" customWidth="1"/>
    <col min="13812" max="14045" width="11.44140625" style="23"/>
    <col min="14046" max="14046" width="44.44140625" style="23" customWidth="1"/>
    <col min="14047" max="14047" width="13" style="23" customWidth="1"/>
    <col min="14048" max="14053" width="2" style="23" customWidth="1"/>
    <col min="14054" max="14054" width="2.44140625" style="23" customWidth="1"/>
    <col min="14055" max="14055" width="3" style="23" customWidth="1"/>
    <col min="14056" max="14058" width="2" style="23" customWidth="1"/>
    <col min="14059" max="14059" width="2.88671875" style="23" customWidth="1"/>
    <col min="14060" max="14060" width="3" style="23" customWidth="1"/>
    <col min="14061" max="14061" width="2.6640625" style="23" customWidth="1"/>
    <col min="14062" max="14062" width="2.44140625" style="23" customWidth="1"/>
    <col min="14063" max="14063" width="3.33203125" style="23" customWidth="1"/>
    <col min="14064" max="14064" width="3.5546875" style="23" customWidth="1"/>
    <col min="14065" max="14065" width="4" style="23" customWidth="1"/>
    <col min="14066" max="14066" width="3.44140625" style="23" customWidth="1"/>
    <col min="14067" max="14067" width="3" style="23" customWidth="1"/>
    <col min="14068" max="14301" width="11.44140625" style="23"/>
    <col min="14302" max="14302" width="44.44140625" style="23" customWidth="1"/>
    <col min="14303" max="14303" width="13" style="23" customWidth="1"/>
    <col min="14304" max="14309" width="2" style="23" customWidth="1"/>
    <col min="14310" max="14310" width="2.44140625" style="23" customWidth="1"/>
    <col min="14311" max="14311" width="3" style="23" customWidth="1"/>
    <col min="14312" max="14314" width="2" style="23" customWidth="1"/>
    <col min="14315" max="14315" width="2.88671875" style="23" customWidth="1"/>
    <col min="14316" max="14316" width="3" style="23" customWidth="1"/>
    <col min="14317" max="14317" width="2.6640625" style="23" customWidth="1"/>
    <col min="14318" max="14318" width="2.44140625" style="23" customWidth="1"/>
    <col min="14319" max="14319" width="3.33203125" style="23" customWidth="1"/>
    <col min="14320" max="14320" width="3.5546875" style="23" customWidth="1"/>
    <col min="14321" max="14321" width="4" style="23" customWidth="1"/>
    <col min="14322" max="14322" width="3.44140625" style="23" customWidth="1"/>
    <col min="14323" max="14323" width="3" style="23" customWidth="1"/>
    <col min="14324" max="14557" width="11.44140625" style="23"/>
    <col min="14558" max="14558" width="44.44140625" style="23" customWidth="1"/>
    <col min="14559" max="14559" width="13" style="23" customWidth="1"/>
    <col min="14560" max="14565" width="2" style="23" customWidth="1"/>
    <col min="14566" max="14566" width="2.44140625" style="23" customWidth="1"/>
    <col min="14567" max="14567" width="3" style="23" customWidth="1"/>
    <col min="14568" max="14570" width="2" style="23" customWidth="1"/>
    <col min="14571" max="14571" width="2.88671875" style="23" customWidth="1"/>
    <col min="14572" max="14572" width="3" style="23" customWidth="1"/>
    <col min="14573" max="14573" width="2.6640625" style="23" customWidth="1"/>
    <col min="14574" max="14574" width="2.44140625" style="23" customWidth="1"/>
    <col min="14575" max="14575" width="3.33203125" style="23" customWidth="1"/>
    <col min="14576" max="14576" width="3.5546875" style="23" customWidth="1"/>
    <col min="14577" max="14577" width="4" style="23" customWidth="1"/>
    <col min="14578" max="14578" width="3.44140625" style="23" customWidth="1"/>
    <col min="14579" max="14579" width="3" style="23" customWidth="1"/>
    <col min="14580" max="14813" width="11.44140625" style="23"/>
    <col min="14814" max="14814" width="44.44140625" style="23" customWidth="1"/>
    <col min="14815" max="14815" width="13" style="23" customWidth="1"/>
    <col min="14816" max="14821" width="2" style="23" customWidth="1"/>
    <col min="14822" max="14822" width="2.44140625" style="23" customWidth="1"/>
    <col min="14823" max="14823" width="3" style="23" customWidth="1"/>
    <col min="14824" max="14826" width="2" style="23" customWidth="1"/>
    <col min="14827" max="14827" width="2.88671875" style="23" customWidth="1"/>
    <col min="14828" max="14828" width="3" style="23" customWidth="1"/>
    <col min="14829" max="14829" width="2.6640625" style="23" customWidth="1"/>
    <col min="14830" max="14830" width="2.44140625" style="23" customWidth="1"/>
    <col min="14831" max="14831" width="3.33203125" style="23" customWidth="1"/>
    <col min="14832" max="14832" width="3.5546875" style="23" customWidth="1"/>
    <col min="14833" max="14833" width="4" style="23" customWidth="1"/>
    <col min="14834" max="14834" width="3.44140625" style="23" customWidth="1"/>
    <col min="14835" max="14835" width="3" style="23" customWidth="1"/>
    <col min="14836" max="15069" width="11.44140625" style="23"/>
    <col min="15070" max="15070" width="44.44140625" style="23" customWidth="1"/>
    <col min="15071" max="15071" width="13" style="23" customWidth="1"/>
    <col min="15072" max="15077" width="2" style="23" customWidth="1"/>
    <col min="15078" max="15078" width="2.44140625" style="23" customWidth="1"/>
    <col min="15079" max="15079" width="3" style="23" customWidth="1"/>
    <col min="15080" max="15082" width="2" style="23" customWidth="1"/>
    <col min="15083" max="15083" width="2.88671875" style="23" customWidth="1"/>
    <col min="15084" max="15084" width="3" style="23" customWidth="1"/>
    <col min="15085" max="15085" width="2.6640625" style="23" customWidth="1"/>
    <col min="15086" max="15086" width="2.44140625" style="23" customWidth="1"/>
    <col min="15087" max="15087" width="3.33203125" style="23" customWidth="1"/>
    <col min="15088" max="15088" width="3.5546875" style="23" customWidth="1"/>
    <col min="15089" max="15089" width="4" style="23" customWidth="1"/>
    <col min="15090" max="15090" width="3.44140625" style="23" customWidth="1"/>
    <col min="15091" max="15091" width="3" style="23" customWidth="1"/>
    <col min="15092" max="15325" width="11.44140625" style="23"/>
    <col min="15326" max="15326" width="44.44140625" style="23" customWidth="1"/>
    <col min="15327" max="15327" width="13" style="23" customWidth="1"/>
    <col min="15328" max="15333" width="2" style="23" customWidth="1"/>
    <col min="15334" max="15334" width="2.44140625" style="23" customWidth="1"/>
    <col min="15335" max="15335" width="3" style="23" customWidth="1"/>
    <col min="15336" max="15338" width="2" style="23" customWidth="1"/>
    <col min="15339" max="15339" width="2.88671875" style="23" customWidth="1"/>
    <col min="15340" max="15340" width="3" style="23" customWidth="1"/>
    <col min="15341" max="15341" width="2.6640625" style="23" customWidth="1"/>
    <col min="15342" max="15342" width="2.44140625" style="23" customWidth="1"/>
    <col min="15343" max="15343" width="3.33203125" style="23" customWidth="1"/>
    <col min="15344" max="15344" width="3.5546875" style="23" customWidth="1"/>
    <col min="15345" max="15345" width="4" style="23" customWidth="1"/>
    <col min="15346" max="15346" width="3.44140625" style="23" customWidth="1"/>
    <col min="15347" max="15347" width="3" style="23" customWidth="1"/>
    <col min="15348" max="15581" width="11.44140625" style="23"/>
    <col min="15582" max="15582" width="44.44140625" style="23" customWidth="1"/>
    <col min="15583" max="15583" width="13" style="23" customWidth="1"/>
    <col min="15584" max="15589" width="2" style="23" customWidth="1"/>
    <col min="15590" max="15590" width="2.44140625" style="23" customWidth="1"/>
    <col min="15591" max="15591" width="3" style="23" customWidth="1"/>
    <col min="15592" max="15594" width="2" style="23" customWidth="1"/>
    <col min="15595" max="15595" width="2.88671875" style="23" customWidth="1"/>
    <col min="15596" max="15596" width="3" style="23" customWidth="1"/>
    <col min="15597" max="15597" width="2.6640625" style="23" customWidth="1"/>
    <col min="15598" max="15598" width="2.44140625" style="23" customWidth="1"/>
    <col min="15599" max="15599" width="3.33203125" style="23" customWidth="1"/>
    <col min="15600" max="15600" width="3.5546875" style="23" customWidth="1"/>
    <col min="15601" max="15601" width="4" style="23" customWidth="1"/>
    <col min="15602" max="15602" width="3.44140625" style="23" customWidth="1"/>
    <col min="15603" max="15603" width="3" style="23" customWidth="1"/>
    <col min="15604" max="15837" width="11.44140625" style="23"/>
    <col min="15838" max="15838" width="44.44140625" style="23" customWidth="1"/>
    <col min="15839" max="15839" width="13" style="23" customWidth="1"/>
    <col min="15840" max="15845" width="2" style="23" customWidth="1"/>
    <col min="15846" max="15846" width="2.44140625" style="23" customWidth="1"/>
    <col min="15847" max="15847" width="3" style="23" customWidth="1"/>
    <col min="15848" max="15850" width="2" style="23" customWidth="1"/>
    <col min="15851" max="15851" width="2.88671875" style="23" customWidth="1"/>
    <col min="15852" max="15852" width="3" style="23" customWidth="1"/>
    <col min="15853" max="15853" width="2.6640625" style="23" customWidth="1"/>
    <col min="15854" max="15854" width="2.44140625" style="23" customWidth="1"/>
    <col min="15855" max="15855" width="3.33203125" style="23" customWidth="1"/>
    <col min="15856" max="15856" width="3.5546875" style="23" customWidth="1"/>
    <col min="15857" max="15857" width="4" style="23" customWidth="1"/>
    <col min="15858" max="15858" width="3.44140625" style="23" customWidth="1"/>
    <col min="15859" max="15859" width="3" style="23" customWidth="1"/>
    <col min="15860" max="16093" width="11.44140625" style="23"/>
    <col min="16094" max="16094" width="44.44140625" style="23" customWidth="1"/>
    <col min="16095" max="16095" width="13" style="23" customWidth="1"/>
    <col min="16096" max="16101" width="2" style="23" customWidth="1"/>
    <col min="16102" max="16102" width="2.44140625" style="23" customWidth="1"/>
    <col min="16103" max="16103" width="3" style="23" customWidth="1"/>
    <col min="16104" max="16106" width="2" style="23" customWidth="1"/>
    <col min="16107" max="16107" width="2.88671875" style="23" customWidth="1"/>
    <col min="16108" max="16108" width="3" style="23" customWidth="1"/>
    <col min="16109" max="16109" width="2.6640625" style="23" customWidth="1"/>
    <col min="16110" max="16110" width="2.44140625" style="23" customWidth="1"/>
    <col min="16111" max="16111" width="3.33203125" style="23" customWidth="1"/>
    <col min="16112" max="16112" width="3.5546875" style="23" customWidth="1"/>
    <col min="16113" max="16113" width="4" style="23" customWidth="1"/>
    <col min="16114" max="16114" width="3.44140625" style="23" customWidth="1"/>
    <col min="16115" max="16115" width="3" style="23" customWidth="1"/>
    <col min="16116" max="16384" width="11.44140625" style="23"/>
  </cols>
  <sheetData>
    <row r="1" spans="1:83" x14ac:dyDescent="0.25">
      <c r="A1" s="536" t="s">
        <v>0</v>
      </c>
      <c r="B1" s="536"/>
      <c r="C1" s="520"/>
      <c r="D1" s="19"/>
      <c r="E1" s="20"/>
      <c r="F1" s="20"/>
      <c r="G1" s="20"/>
      <c r="H1" s="21"/>
      <c r="I1" s="21"/>
      <c r="J1" s="21"/>
      <c r="K1" s="21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</row>
    <row r="2" spans="1:83" x14ac:dyDescent="0.3">
      <c r="A2" s="537" t="s">
        <v>1</v>
      </c>
      <c r="B2" s="537"/>
      <c r="C2" s="521"/>
    </row>
    <row r="3" spans="1:83" x14ac:dyDescent="0.3">
      <c r="A3" s="28"/>
    </row>
    <row r="4" spans="1:83" x14ac:dyDescent="0.3">
      <c r="A4" s="537" t="str">
        <f>+CC!A1:G1</f>
        <v>Programa de Conectividad y Seguridad en Corredores Viales de la Provincia de Buenos Aires</v>
      </c>
      <c r="B4" s="537"/>
      <c r="C4" s="521"/>
    </row>
    <row r="5" spans="1:83" x14ac:dyDescent="0.3">
      <c r="A5" s="28"/>
    </row>
    <row r="6" spans="1:83" x14ac:dyDescent="0.3">
      <c r="A6" s="538" t="s">
        <v>2</v>
      </c>
      <c r="B6" s="538"/>
      <c r="C6" s="523"/>
    </row>
    <row r="7" spans="1:83" s="22" customFormat="1" x14ac:dyDescent="0.25">
      <c r="A7" s="30"/>
      <c r="B7" s="31"/>
      <c r="C7" s="31"/>
      <c r="D7" s="32"/>
      <c r="E7" s="32"/>
      <c r="F7" s="33"/>
      <c r="G7" s="33"/>
      <c r="H7" s="529" t="s">
        <v>3</v>
      </c>
      <c r="I7" s="530"/>
      <c r="J7" s="531"/>
      <c r="K7" s="34" t="s">
        <v>4</v>
      </c>
      <c r="L7" s="529" t="s">
        <v>5</v>
      </c>
      <c r="M7" s="530"/>
      <c r="N7" s="530"/>
      <c r="O7" s="530"/>
      <c r="P7" s="530"/>
      <c r="Q7" s="530"/>
      <c r="R7" s="530"/>
      <c r="S7" s="530"/>
      <c r="T7" s="530"/>
      <c r="U7" s="530"/>
      <c r="V7" s="530"/>
      <c r="W7" s="531"/>
      <c r="X7" s="528" t="s">
        <v>6</v>
      </c>
      <c r="Y7" s="528"/>
      <c r="Z7" s="528"/>
      <c r="AA7" s="528"/>
      <c r="AB7" s="528"/>
      <c r="AC7" s="528"/>
      <c r="AD7" s="528"/>
      <c r="AE7" s="528"/>
      <c r="AF7" s="528"/>
      <c r="AG7" s="528"/>
      <c r="AH7" s="528"/>
      <c r="AI7" s="528"/>
      <c r="AJ7" s="528" t="s">
        <v>7</v>
      </c>
      <c r="AK7" s="528"/>
      <c r="AL7" s="528"/>
      <c r="AM7" s="528"/>
      <c r="AN7" s="528"/>
      <c r="AO7" s="528"/>
      <c r="AP7" s="528"/>
      <c r="AQ7" s="528"/>
      <c r="AR7" s="528"/>
      <c r="AS7" s="528"/>
      <c r="AT7" s="528"/>
      <c r="AU7" s="528"/>
      <c r="AV7" s="528" t="s">
        <v>8</v>
      </c>
      <c r="AW7" s="528"/>
      <c r="AX7" s="528"/>
      <c r="AY7" s="528"/>
      <c r="AZ7" s="528"/>
      <c r="BA7" s="528"/>
      <c r="BB7" s="528"/>
      <c r="BC7" s="528"/>
      <c r="BD7" s="528"/>
      <c r="BE7" s="528"/>
      <c r="BF7" s="528"/>
      <c r="BG7" s="528"/>
      <c r="BH7" s="528" t="s">
        <v>9</v>
      </c>
      <c r="BI7" s="528"/>
      <c r="BJ7" s="528"/>
      <c r="BK7" s="528"/>
      <c r="BL7" s="528"/>
      <c r="BM7" s="528"/>
      <c r="BN7" s="528"/>
      <c r="BO7" s="528"/>
      <c r="BP7" s="528"/>
      <c r="BQ7" s="528"/>
      <c r="BR7" s="528"/>
      <c r="BS7" s="528"/>
      <c r="BT7" s="539" t="s">
        <v>10</v>
      </c>
      <c r="BU7" s="540"/>
      <c r="BV7" s="540"/>
      <c r="BW7" s="540"/>
      <c r="BX7" s="540"/>
      <c r="BY7" s="540"/>
      <c r="BZ7" s="540"/>
      <c r="CA7" s="540"/>
      <c r="CB7" s="540"/>
      <c r="CC7" s="540"/>
      <c r="CD7" s="540"/>
      <c r="CE7" s="541"/>
    </row>
    <row r="8" spans="1:83" x14ac:dyDescent="0.25">
      <c r="A8" s="532"/>
      <c r="B8" s="533" t="s">
        <v>11</v>
      </c>
      <c r="C8" s="534" t="str">
        <f>+'CC D'!C7</f>
        <v>Producto de Matriz de Resultados Asociado</v>
      </c>
      <c r="D8" s="533" t="s">
        <v>12</v>
      </c>
      <c r="E8" s="526" t="s">
        <v>13</v>
      </c>
      <c r="F8" s="526" t="s">
        <v>14</v>
      </c>
      <c r="G8" s="526" t="s">
        <v>15</v>
      </c>
      <c r="H8" s="35" t="s">
        <v>16</v>
      </c>
      <c r="I8" s="35" t="s">
        <v>17</v>
      </c>
      <c r="J8" s="35" t="s">
        <v>18</v>
      </c>
      <c r="K8" s="35"/>
      <c r="L8" s="527" t="s">
        <v>19</v>
      </c>
      <c r="M8" s="527"/>
      <c r="N8" s="527"/>
      <c r="O8" s="527" t="s">
        <v>20</v>
      </c>
      <c r="P8" s="527"/>
      <c r="Q8" s="527"/>
      <c r="R8" s="527" t="s">
        <v>21</v>
      </c>
      <c r="S8" s="527"/>
      <c r="T8" s="527"/>
      <c r="U8" s="527" t="s">
        <v>22</v>
      </c>
      <c r="V8" s="527"/>
      <c r="W8" s="527"/>
      <c r="X8" s="527" t="s">
        <v>19</v>
      </c>
      <c r="Y8" s="527"/>
      <c r="Z8" s="527"/>
      <c r="AA8" s="527" t="s">
        <v>20</v>
      </c>
      <c r="AB8" s="527"/>
      <c r="AC8" s="527"/>
      <c r="AD8" s="527" t="s">
        <v>21</v>
      </c>
      <c r="AE8" s="527"/>
      <c r="AF8" s="527"/>
      <c r="AG8" s="527" t="s">
        <v>22</v>
      </c>
      <c r="AH8" s="527"/>
      <c r="AI8" s="527"/>
      <c r="AJ8" s="527" t="s">
        <v>19</v>
      </c>
      <c r="AK8" s="527"/>
      <c r="AL8" s="527"/>
      <c r="AM8" s="527" t="s">
        <v>20</v>
      </c>
      <c r="AN8" s="527"/>
      <c r="AO8" s="527"/>
      <c r="AP8" s="527" t="s">
        <v>21</v>
      </c>
      <c r="AQ8" s="527"/>
      <c r="AR8" s="527"/>
      <c r="AS8" s="527" t="s">
        <v>22</v>
      </c>
      <c r="AT8" s="527"/>
      <c r="AU8" s="527"/>
      <c r="AV8" s="527" t="s">
        <v>19</v>
      </c>
      <c r="AW8" s="527"/>
      <c r="AX8" s="527"/>
      <c r="AY8" s="527" t="s">
        <v>20</v>
      </c>
      <c r="AZ8" s="527"/>
      <c r="BA8" s="527"/>
      <c r="BB8" s="527" t="s">
        <v>21</v>
      </c>
      <c r="BC8" s="527"/>
      <c r="BD8" s="527"/>
      <c r="BE8" s="527" t="s">
        <v>22</v>
      </c>
      <c r="BF8" s="527"/>
      <c r="BG8" s="527"/>
      <c r="BH8" s="527" t="s">
        <v>19</v>
      </c>
      <c r="BI8" s="527"/>
      <c r="BJ8" s="527"/>
      <c r="BK8" s="527" t="s">
        <v>20</v>
      </c>
      <c r="BL8" s="527"/>
      <c r="BM8" s="527"/>
      <c r="BN8" s="527" t="s">
        <v>21</v>
      </c>
      <c r="BO8" s="527"/>
      <c r="BP8" s="527"/>
      <c r="BQ8" s="527" t="s">
        <v>22</v>
      </c>
      <c r="BR8" s="527"/>
      <c r="BS8" s="527"/>
      <c r="BT8" s="542" t="s">
        <v>19</v>
      </c>
      <c r="BU8" s="543"/>
      <c r="BV8" s="544"/>
      <c r="BW8" s="542" t="s">
        <v>20</v>
      </c>
      <c r="BX8" s="543"/>
      <c r="BY8" s="544"/>
      <c r="BZ8" s="542" t="s">
        <v>21</v>
      </c>
      <c r="CA8" s="543"/>
      <c r="CB8" s="544"/>
      <c r="CC8" s="542" t="s">
        <v>22</v>
      </c>
      <c r="CD8" s="543"/>
      <c r="CE8" s="544"/>
    </row>
    <row r="9" spans="1:83" x14ac:dyDescent="0.25">
      <c r="A9" s="532"/>
      <c r="B9" s="533"/>
      <c r="C9" s="535"/>
      <c r="D9" s="533"/>
      <c r="E9" s="526"/>
      <c r="F9" s="526"/>
      <c r="G9" s="526"/>
      <c r="H9" s="35"/>
      <c r="I9" s="35"/>
      <c r="J9" s="35"/>
      <c r="K9" s="35"/>
      <c r="L9" s="477">
        <v>1</v>
      </c>
      <c r="M9" s="477">
        <v>2</v>
      </c>
      <c r="N9" s="477">
        <v>3</v>
      </c>
      <c r="O9" s="477">
        <v>4</v>
      </c>
      <c r="P9" s="477">
        <v>5</v>
      </c>
      <c r="Q9" s="477">
        <v>6</v>
      </c>
      <c r="R9" s="477">
        <v>7</v>
      </c>
      <c r="S9" s="477">
        <v>8</v>
      </c>
      <c r="T9" s="477">
        <v>9</v>
      </c>
      <c r="U9" s="477">
        <v>10</v>
      </c>
      <c r="V9" s="477">
        <v>11</v>
      </c>
      <c r="W9" s="477">
        <v>12</v>
      </c>
      <c r="X9" s="477">
        <v>1</v>
      </c>
      <c r="Y9" s="477">
        <v>2</v>
      </c>
      <c r="Z9" s="477">
        <v>3</v>
      </c>
      <c r="AA9" s="477">
        <v>4</v>
      </c>
      <c r="AB9" s="477">
        <v>5</v>
      </c>
      <c r="AC9" s="477">
        <v>6</v>
      </c>
      <c r="AD9" s="477">
        <v>7</v>
      </c>
      <c r="AE9" s="477">
        <v>8</v>
      </c>
      <c r="AF9" s="477">
        <v>9</v>
      </c>
      <c r="AG9" s="477">
        <v>10</v>
      </c>
      <c r="AH9" s="477">
        <v>11</v>
      </c>
      <c r="AI9" s="477">
        <v>12</v>
      </c>
      <c r="AJ9" s="477">
        <v>13</v>
      </c>
      <c r="AK9" s="477">
        <v>14</v>
      </c>
      <c r="AL9" s="477">
        <v>15</v>
      </c>
      <c r="AM9" s="477">
        <v>16</v>
      </c>
      <c r="AN9" s="477">
        <v>17</v>
      </c>
      <c r="AO9" s="477">
        <v>18</v>
      </c>
      <c r="AP9" s="477">
        <v>19</v>
      </c>
      <c r="AQ9" s="477">
        <v>20</v>
      </c>
      <c r="AR9" s="477">
        <v>21</v>
      </c>
      <c r="AS9" s="477">
        <v>22</v>
      </c>
      <c r="AT9" s="477">
        <v>23</v>
      </c>
      <c r="AU9" s="477">
        <v>24</v>
      </c>
      <c r="AV9" s="477">
        <v>25</v>
      </c>
      <c r="AW9" s="477">
        <v>26</v>
      </c>
      <c r="AX9" s="477">
        <v>27</v>
      </c>
      <c r="AY9" s="477">
        <v>28</v>
      </c>
      <c r="AZ9" s="477">
        <v>29</v>
      </c>
      <c r="BA9" s="477">
        <v>30</v>
      </c>
      <c r="BB9" s="477">
        <v>31</v>
      </c>
      <c r="BC9" s="477">
        <v>32</v>
      </c>
      <c r="BD9" s="477">
        <v>33</v>
      </c>
      <c r="BE9" s="477">
        <v>34</v>
      </c>
      <c r="BF9" s="477">
        <v>35</v>
      </c>
      <c r="BG9" s="477">
        <v>36</v>
      </c>
      <c r="BH9" s="477">
        <v>37</v>
      </c>
      <c r="BI9" s="477">
        <v>38</v>
      </c>
      <c r="BJ9" s="477">
        <v>39</v>
      </c>
      <c r="BK9" s="477">
        <v>40</v>
      </c>
      <c r="BL9" s="477">
        <v>41</v>
      </c>
      <c r="BM9" s="477">
        <v>42</v>
      </c>
      <c r="BN9" s="477">
        <v>43</v>
      </c>
      <c r="BO9" s="477">
        <v>44</v>
      </c>
      <c r="BP9" s="477">
        <v>45</v>
      </c>
      <c r="BQ9" s="477">
        <v>46</v>
      </c>
      <c r="BR9" s="477">
        <v>47</v>
      </c>
      <c r="BS9" s="477">
        <v>48</v>
      </c>
      <c r="BT9" s="477">
        <v>49</v>
      </c>
      <c r="BU9" s="477">
        <v>50</v>
      </c>
      <c r="BV9" s="477">
        <v>51</v>
      </c>
      <c r="BW9" s="477">
        <v>52</v>
      </c>
      <c r="BX9" s="477">
        <v>53</v>
      </c>
      <c r="BY9" s="477">
        <v>54</v>
      </c>
      <c r="BZ9" s="477">
        <v>55</v>
      </c>
      <c r="CA9" s="477">
        <v>56</v>
      </c>
      <c r="CB9" s="477">
        <v>57</v>
      </c>
      <c r="CC9" s="477">
        <v>58</v>
      </c>
      <c r="CD9" s="477">
        <v>59</v>
      </c>
      <c r="CE9" s="477">
        <v>60</v>
      </c>
    </row>
    <row r="10" spans="1:83" ht="13.95" hidden="1" customHeight="1" x14ac:dyDescent="0.25">
      <c r="A10" s="36"/>
      <c r="B10" s="37" t="s">
        <v>23</v>
      </c>
      <c r="C10" s="37"/>
      <c r="D10" s="38"/>
      <c r="E10" s="39"/>
      <c r="F10" s="40"/>
      <c r="G10" s="40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</row>
    <row r="11" spans="1:83" ht="13.95" hidden="1" customHeight="1" x14ac:dyDescent="0.25">
      <c r="A11" s="44" t="s">
        <v>24</v>
      </c>
      <c r="B11" s="45" t="s">
        <v>25</v>
      </c>
      <c r="C11" s="45"/>
      <c r="D11" s="46"/>
      <c r="E11" s="47"/>
      <c r="F11" s="48"/>
      <c r="G11" s="48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43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</row>
    <row r="12" spans="1:83" ht="13.95" hidden="1" customHeight="1" x14ac:dyDescent="0.25">
      <c r="A12" s="51" t="s">
        <v>26</v>
      </c>
      <c r="B12" s="52" t="s">
        <v>27</v>
      </c>
      <c r="C12" s="52"/>
      <c r="D12" s="53"/>
      <c r="E12" s="54"/>
      <c r="F12" s="55"/>
      <c r="G12" s="55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43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</row>
    <row r="13" spans="1:83" ht="13.95" hidden="1" customHeight="1" x14ac:dyDescent="0.25">
      <c r="A13" s="51" t="s">
        <v>28</v>
      </c>
      <c r="B13" s="52" t="s">
        <v>29</v>
      </c>
      <c r="C13" s="52"/>
      <c r="D13" s="53"/>
      <c r="E13" s="54"/>
      <c r="F13" s="55"/>
      <c r="G13" s="55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43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</row>
    <row r="14" spans="1:83" ht="13.95" hidden="1" customHeight="1" x14ac:dyDescent="0.25">
      <c r="A14" s="51" t="s">
        <v>30</v>
      </c>
      <c r="B14" s="52" t="s">
        <v>31</v>
      </c>
      <c r="C14" s="52"/>
      <c r="D14" s="53"/>
      <c r="E14" s="54"/>
      <c r="F14" s="55"/>
      <c r="G14" s="55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43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</row>
    <row r="15" spans="1:83" ht="13.95" hidden="1" customHeight="1" x14ac:dyDescent="0.25">
      <c r="A15" s="51" t="s">
        <v>32</v>
      </c>
      <c r="B15" s="52" t="s">
        <v>33</v>
      </c>
      <c r="C15" s="52"/>
      <c r="D15" s="53"/>
      <c r="E15" s="54"/>
      <c r="F15" s="55"/>
      <c r="G15" s="55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43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</row>
    <row r="16" spans="1:83" ht="13.95" hidden="1" customHeight="1" x14ac:dyDescent="0.25">
      <c r="A16" s="51" t="s">
        <v>34</v>
      </c>
      <c r="B16" s="52" t="s">
        <v>35</v>
      </c>
      <c r="C16" s="52"/>
      <c r="D16" s="53"/>
      <c r="E16" s="54"/>
      <c r="F16" s="55"/>
      <c r="G16" s="55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43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</row>
    <row r="17" spans="1:83" ht="13.95" hidden="1" customHeight="1" x14ac:dyDescent="0.25">
      <c r="A17" s="51" t="s">
        <v>36</v>
      </c>
      <c r="B17" s="52" t="s">
        <v>37</v>
      </c>
      <c r="C17" s="52"/>
      <c r="D17" s="53"/>
      <c r="E17" s="54"/>
      <c r="F17" s="55"/>
      <c r="G17" s="55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43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</row>
    <row r="18" spans="1:83" ht="13.95" hidden="1" customHeight="1" x14ac:dyDescent="0.25">
      <c r="A18" s="44"/>
      <c r="B18" s="45" t="s">
        <v>38</v>
      </c>
      <c r="C18" s="45"/>
      <c r="D18" s="46"/>
      <c r="E18" s="47"/>
      <c r="F18" s="48"/>
      <c r="G18" s="48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43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</row>
    <row r="19" spans="1:83" ht="13.95" hidden="1" customHeight="1" x14ac:dyDescent="0.25">
      <c r="A19" s="51" t="s">
        <v>39</v>
      </c>
      <c r="B19" s="52" t="s">
        <v>40</v>
      </c>
      <c r="C19" s="52"/>
      <c r="D19" s="53"/>
      <c r="E19" s="54"/>
      <c r="F19" s="55"/>
      <c r="G19" s="55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43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</row>
    <row r="20" spans="1:83" ht="13.95" hidden="1" customHeight="1" x14ac:dyDescent="0.25">
      <c r="A20" s="51" t="s">
        <v>41</v>
      </c>
      <c r="B20" s="52" t="s">
        <v>42</v>
      </c>
      <c r="C20" s="52"/>
      <c r="D20" s="53"/>
      <c r="E20" s="54"/>
      <c r="F20" s="55"/>
      <c r="G20" s="55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43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</row>
    <row r="21" spans="1:83" ht="13.95" hidden="1" customHeight="1" x14ac:dyDescent="0.25">
      <c r="A21" s="51" t="s">
        <v>43</v>
      </c>
      <c r="B21" s="52" t="s">
        <v>44</v>
      </c>
      <c r="C21" s="52"/>
      <c r="D21" s="53"/>
      <c r="E21" s="54"/>
      <c r="F21" s="55"/>
      <c r="G21" s="55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43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</row>
    <row r="22" spans="1:83" ht="13.95" hidden="1" customHeight="1" x14ac:dyDescent="0.25">
      <c r="A22" s="51" t="s">
        <v>45</v>
      </c>
      <c r="B22" s="52" t="s">
        <v>46</v>
      </c>
      <c r="C22" s="52"/>
      <c r="D22" s="53"/>
      <c r="E22" s="54"/>
      <c r="F22" s="55"/>
      <c r="G22" s="55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0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8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</row>
    <row r="23" spans="1:83" ht="13.95" hidden="1" customHeight="1" x14ac:dyDescent="0.25">
      <c r="A23" s="51" t="s">
        <v>47</v>
      </c>
      <c r="B23" s="52" t="s">
        <v>48</v>
      </c>
      <c r="C23" s="52"/>
      <c r="D23" s="53"/>
      <c r="E23" s="54"/>
      <c r="F23" s="55"/>
      <c r="G23" s="55"/>
      <c r="H23" s="56"/>
      <c r="I23" s="56"/>
      <c r="J23" s="56"/>
      <c r="K23" s="56"/>
      <c r="L23" s="397"/>
      <c r="M23" s="397"/>
      <c r="N23" s="397"/>
      <c r="O23" s="397"/>
      <c r="P23" s="397"/>
      <c r="Q23" s="397"/>
      <c r="R23" s="397"/>
      <c r="S23" s="397"/>
      <c r="T23" s="397"/>
      <c r="U23" s="397"/>
      <c r="V23" s="397"/>
      <c r="W23" s="397"/>
      <c r="X23" s="60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</row>
    <row r="24" spans="1:83" s="69" customFormat="1" x14ac:dyDescent="0.25">
      <c r="A24" s="62"/>
      <c r="B24" s="63" t="s">
        <v>49</v>
      </c>
      <c r="C24" s="63"/>
      <c r="D24" s="64"/>
      <c r="E24" s="65"/>
      <c r="F24" s="65"/>
      <c r="G24" s="65"/>
      <c r="H24" s="66"/>
      <c r="I24" s="66"/>
      <c r="J24" s="66"/>
      <c r="K24" s="66"/>
      <c r="L24" s="398"/>
      <c r="M24" s="398"/>
      <c r="N24" s="398"/>
      <c r="O24" s="398"/>
      <c r="P24" s="398"/>
      <c r="Q24" s="398"/>
      <c r="R24" s="398"/>
      <c r="S24" s="398"/>
      <c r="T24" s="398"/>
      <c r="U24" s="398"/>
      <c r="V24" s="398"/>
      <c r="W24" s="398"/>
      <c r="X24" s="67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</row>
    <row r="25" spans="1:83" s="69" customFormat="1" x14ac:dyDescent="0.25">
      <c r="A25" s="70">
        <v>1</v>
      </c>
      <c r="B25" s="71" t="str">
        <f>+A4</f>
        <v>Programa de Conectividad y Seguridad en Corredores Viales de la Provincia de Buenos Aires</v>
      </c>
      <c r="C25" s="524"/>
      <c r="D25" s="72"/>
      <c r="E25" s="73"/>
      <c r="F25" s="73"/>
      <c r="G25" s="73"/>
      <c r="H25" s="74">
        <f>+'CC D'!I8</f>
        <v>200000000</v>
      </c>
      <c r="I25" s="74">
        <f>+'CC D'!J8</f>
        <v>80000000</v>
      </c>
      <c r="J25" s="74">
        <f>+'CC D'!K8</f>
        <v>280000000</v>
      </c>
      <c r="K25" s="74">
        <f>'[2]4. CC D'!G8</f>
        <v>0</v>
      </c>
      <c r="L25" s="399"/>
      <c r="M25" s="399"/>
      <c r="N25" s="399"/>
      <c r="O25" s="399"/>
      <c r="P25" s="399"/>
      <c r="Q25" s="399"/>
      <c r="R25" s="399"/>
      <c r="S25" s="399"/>
      <c r="T25" s="399"/>
      <c r="U25" s="399"/>
      <c r="V25" s="399"/>
      <c r="W25" s="399"/>
      <c r="X25" s="394"/>
      <c r="Y25" s="395"/>
      <c r="Z25" s="395"/>
      <c r="AA25" s="395"/>
      <c r="AB25" s="395"/>
      <c r="AC25" s="395"/>
      <c r="AD25" s="395"/>
      <c r="AE25" s="395"/>
      <c r="AF25" s="395"/>
      <c r="AG25" s="395"/>
      <c r="AH25" s="395"/>
      <c r="AI25" s="395"/>
      <c r="AJ25" s="395"/>
      <c r="AK25" s="395"/>
      <c r="AL25" s="395"/>
      <c r="AM25" s="395"/>
      <c r="AN25" s="395"/>
      <c r="AO25" s="395"/>
      <c r="AP25" s="395"/>
      <c r="AQ25" s="395"/>
      <c r="AR25" s="395"/>
      <c r="AS25" s="395"/>
      <c r="AT25" s="395"/>
      <c r="AU25" s="395"/>
      <c r="AV25" s="395"/>
      <c r="AW25" s="395"/>
      <c r="AX25" s="395"/>
      <c r="AY25" s="395"/>
      <c r="AZ25" s="395"/>
      <c r="BA25" s="395"/>
      <c r="BB25" s="395"/>
      <c r="BC25" s="395"/>
      <c r="BD25" s="395"/>
      <c r="BE25" s="395"/>
      <c r="BF25" s="395"/>
      <c r="BG25" s="395"/>
      <c r="BH25" s="395"/>
      <c r="BI25" s="395"/>
      <c r="BJ25" s="395"/>
      <c r="BK25" s="395"/>
      <c r="BL25" s="395"/>
      <c r="BM25" s="395"/>
      <c r="BN25" s="395"/>
      <c r="BO25" s="395"/>
      <c r="BP25" s="395"/>
      <c r="BQ25" s="395"/>
      <c r="BR25" s="395"/>
      <c r="BS25" s="395"/>
      <c r="BT25" s="395"/>
      <c r="BU25" s="395"/>
      <c r="BV25" s="395"/>
      <c r="BW25" s="395"/>
      <c r="BX25" s="395"/>
      <c r="BY25" s="395"/>
      <c r="BZ25" s="395"/>
      <c r="CA25" s="395"/>
      <c r="CB25" s="395"/>
      <c r="CC25" s="395"/>
      <c r="CD25" s="395"/>
      <c r="CE25" s="395"/>
    </row>
    <row r="26" spans="1:83" s="69" customFormat="1" x14ac:dyDescent="0.25">
      <c r="A26" s="91">
        <f>+'CC D'!A9</f>
        <v>1</v>
      </c>
      <c r="B26" s="75" t="str">
        <f>+CC!B8</f>
        <v>Componente Unico Obras civiles</v>
      </c>
      <c r="C26" s="75"/>
      <c r="D26" s="76"/>
      <c r="E26" s="77"/>
      <c r="F26" s="77"/>
      <c r="G26" s="77"/>
      <c r="H26" s="78">
        <f>+'CC D'!I9</f>
        <v>187700000</v>
      </c>
      <c r="I26" s="78">
        <f>+'CC D'!J9</f>
        <v>80000000</v>
      </c>
      <c r="J26" s="78">
        <f>+'CC D'!K9</f>
        <v>267700000</v>
      </c>
      <c r="K26" s="392">
        <f>'[2]4. CC D'!G9</f>
        <v>0</v>
      </c>
      <c r="L26" s="393"/>
      <c r="M26" s="393"/>
      <c r="N26" s="393"/>
      <c r="O26" s="393"/>
      <c r="P26" s="393"/>
      <c r="Q26" s="393"/>
      <c r="R26" s="393"/>
      <c r="S26" s="393"/>
      <c r="T26" s="393"/>
      <c r="U26" s="393"/>
      <c r="V26" s="393"/>
      <c r="W26" s="393"/>
      <c r="X26" s="393"/>
      <c r="Y26" s="393"/>
      <c r="Z26" s="393"/>
      <c r="AA26" s="393"/>
      <c r="AB26" s="393"/>
      <c r="AC26" s="393"/>
      <c r="AD26" s="393"/>
      <c r="AE26" s="393"/>
      <c r="AF26" s="393"/>
      <c r="AG26" s="393"/>
      <c r="AH26" s="393"/>
      <c r="AI26" s="393"/>
      <c r="AJ26" s="393"/>
      <c r="AK26" s="393"/>
      <c r="AL26" s="393"/>
      <c r="AM26" s="393"/>
      <c r="AN26" s="393"/>
      <c r="AO26" s="393"/>
      <c r="AP26" s="393"/>
      <c r="AQ26" s="393"/>
      <c r="AR26" s="393"/>
      <c r="AS26" s="393"/>
      <c r="AT26" s="393"/>
      <c r="AU26" s="393"/>
      <c r="AV26" s="393"/>
      <c r="AW26" s="393"/>
      <c r="AX26" s="393"/>
      <c r="AY26" s="393"/>
      <c r="AZ26" s="393"/>
      <c r="BA26" s="393"/>
      <c r="BB26" s="393"/>
      <c r="BC26" s="393"/>
      <c r="BD26" s="393"/>
      <c r="BE26" s="393"/>
      <c r="BF26" s="393"/>
      <c r="BG26" s="393"/>
      <c r="BH26" s="393"/>
      <c r="BI26" s="393"/>
      <c r="BJ26" s="393"/>
      <c r="BK26" s="393"/>
      <c r="BL26" s="393"/>
      <c r="BM26" s="393"/>
      <c r="BN26" s="393"/>
      <c r="BO26" s="393"/>
      <c r="BP26" s="393"/>
      <c r="BQ26" s="393"/>
      <c r="BR26" s="393"/>
      <c r="BS26" s="393"/>
      <c r="BT26" s="393"/>
      <c r="BU26" s="393"/>
      <c r="BV26" s="393"/>
      <c r="BW26" s="393"/>
      <c r="BX26" s="393"/>
      <c r="BY26" s="393"/>
      <c r="BZ26" s="393"/>
      <c r="CA26" s="393"/>
      <c r="CB26" s="393"/>
      <c r="CC26" s="393"/>
      <c r="CD26" s="393"/>
      <c r="CE26" s="393"/>
    </row>
    <row r="27" spans="1:83" s="69" customFormat="1" x14ac:dyDescent="0.25">
      <c r="A27" s="90">
        <f>+'CC D'!A10</f>
        <v>1.1000000000000001</v>
      </c>
      <c r="B27" s="79" t="str">
        <f>+'CC D'!B10</f>
        <v>Mejoramiento de la RP Nº 41</v>
      </c>
      <c r="C27" s="79"/>
      <c r="D27" s="80"/>
      <c r="E27" s="81"/>
      <c r="F27" s="81"/>
      <c r="G27" s="81"/>
      <c r="H27" s="82">
        <f>+'CC D'!I10</f>
        <v>72000000</v>
      </c>
      <c r="I27" s="82">
        <f>+'CC D'!J10</f>
        <v>30000000</v>
      </c>
      <c r="J27" s="82">
        <f>+'CC D'!K10</f>
        <v>102000000</v>
      </c>
      <c r="K27" s="82" t="str">
        <f>+'CC D'!G10</f>
        <v>UEP</v>
      </c>
      <c r="L27" s="396"/>
      <c r="M27" s="396"/>
      <c r="N27" s="396"/>
      <c r="O27" s="396"/>
      <c r="P27" s="396"/>
      <c r="Q27" s="396"/>
      <c r="R27" s="396"/>
      <c r="S27" s="396"/>
      <c r="T27" s="396"/>
      <c r="U27" s="396"/>
      <c r="V27" s="396"/>
      <c r="W27" s="396"/>
      <c r="X27" s="396"/>
      <c r="Y27" s="396"/>
      <c r="Z27" s="396"/>
      <c r="AA27" s="396"/>
      <c r="AB27" s="396"/>
      <c r="AC27" s="396"/>
      <c r="AD27" s="396"/>
      <c r="AE27" s="396"/>
      <c r="AF27" s="396"/>
      <c r="AG27" s="396"/>
      <c r="AH27" s="396"/>
      <c r="AI27" s="396"/>
      <c r="AJ27" s="396"/>
      <c r="AK27" s="396"/>
      <c r="AL27" s="396"/>
      <c r="AM27" s="396"/>
      <c r="AN27" s="396"/>
      <c r="AO27" s="396"/>
      <c r="AP27" s="396"/>
      <c r="AQ27" s="396"/>
      <c r="AR27" s="396"/>
      <c r="AS27" s="396"/>
      <c r="AT27" s="396"/>
      <c r="AU27" s="396"/>
      <c r="AV27" s="396"/>
      <c r="AW27" s="396"/>
      <c r="AX27" s="396"/>
      <c r="AY27" s="396"/>
      <c r="AZ27" s="396"/>
      <c r="BA27" s="396"/>
      <c r="BB27" s="396"/>
      <c r="BC27" s="396"/>
      <c r="BD27" s="396"/>
      <c r="BE27" s="396"/>
      <c r="BF27" s="396"/>
      <c r="BG27" s="396"/>
      <c r="BH27" s="396"/>
      <c r="BI27" s="396"/>
      <c r="BJ27" s="396"/>
      <c r="BK27" s="396"/>
      <c r="BL27" s="396"/>
      <c r="BM27" s="396"/>
      <c r="BN27" s="396"/>
      <c r="BO27" s="396"/>
      <c r="BP27" s="396"/>
      <c r="BQ27" s="396"/>
      <c r="BR27" s="396"/>
      <c r="BS27" s="396"/>
      <c r="BT27" s="396"/>
      <c r="BU27" s="396"/>
      <c r="BV27" s="396"/>
      <c r="BW27" s="396"/>
      <c r="BX27" s="396"/>
      <c r="BY27" s="396"/>
      <c r="BZ27" s="396"/>
      <c r="CA27" s="396"/>
      <c r="CB27" s="396"/>
      <c r="CC27" s="396"/>
      <c r="CD27" s="396"/>
      <c r="CE27" s="396"/>
    </row>
    <row r="28" spans="1:83" s="69" customFormat="1" ht="27.6" x14ac:dyDescent="0.25">
      <c r="A28" s="83" t="str">
        <f>+'CC D'!A11</f>
        <v>1.1.1</v>
      </c>
      <c r="B28" s="84" t="str">
        <f>+'CC D'!B11</f>
        <v>Contratación de Firma Constructora para las Obras de Mejoramiento de la Ruta Nº 41</v>
      </c>
      <c r="C28" s="84" t="str">
        <f>+'CC D'!C11</f>
        <v>Km de carreteras de la RP Nº41 mejoradas por el programa</v>
      </c>
      <c r="D28" s="85" t="str">
        <f>+'CC D'!H11</f>
        <v>24 meses</v>
      </c>
      <c r="E28" s="85" t="s">
        <v>50</v>
      </c>
      <c r="F28" s="85" t="s">
        <v>51</v>
      </c>
      <c r="G28" s="85" t="s">
        <v>52</v>
      </c>
      <c r="H28" s="86">
        <f>+'CC D'!I11</f>
        <v>72000000</v>
      </c>
      <c r="I28" s="86">
        <f>+'CC D'!J11</f>
        <v>30000000</v>
      </c>
      <c r="J28" s="86">
        <f>+'CC D'!K11</f>
        <v>102000000</v>
      </c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7"/>
      <c r="W28" s="87"/>
      <c r="X28" s="88"/>
      <c r="Y28" s="88"/>
      <c r="Z28" s="88"/>
      <c r="AA28" s="88"/>
      <c r="AB28" s="88"/>
      <c r="AC28" s="88"/>
      <c r="AD28" s="88"/>
      <c r="AE28" s="89">
        <v>1</v>
      </c>
      <c r="AF28" s="89">
        <v>2</v>
      </c>
      <c r="AG28" s="89">
        <v>3</v>
      </c>
      <c r="AH28" s="89">
        <v>4</v>
      </c>
      <c r="AI28" s="89">
        <v>5</v>
      </c>
      <c r="AJ28" s="89">
        <v>6</v>
      </c>
      <c r="AK28" s="89">
        <v>7</v>
      </c>
      <c r="AL28" s="89">
        <v>8</v>
      </c>
      <c r="AM28" s="89">
        <v>9</v>
      </c>
      <c r="AN28" s="89">
        <v>10</v>
      </c>
      <c r="AO28" s="89">
        <v>11</v>
      </c>
      <c r="AP28" s="89">
        <v>12</v>
      </c>
      <c r="AQ28" s="89">
        <v>13</v>
      </c>
      <c r="AR28" s="89">
        <v>14</v>
      </c>
      <c r="AS28" s="89">
        <v>15</v>
      </c>
      <c r="AT28" s="89">
        <v>16</v>
      </c>
      <c r="AU28" s="89">
        <v>17</v>
      </c>
      <c r="AV28" s="89">
        <v>18</v>
      </c>
      <c r="AW28" s="89">
        <v>19</v>
      </c>
      <c r="AX28" s="89">
        <v>20</v>
      </c>
      <c r="AY28" s="89">
        <v>21</v>
      </c>
      <c r="AZ28" s="89">
        <v>22</v>
      </c>
      <c r="BA28" s="89">
        <v>23</v>
      </c>
      <c r="BB28" s="89">
        <v>24</v>
      </c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</row>
    <row r="29" spans="1:83" s="69" customFormat="1" x14ac:dyDescent="0.25">
      <c r="A29" s="90">
        <f>+'CC D'!A12</f>
        <v>1.2</v>
      </c>
      <c r="B29" s="79" t="str">
        <f>+'CC D'!B12</f>
        <v>Otras Obras de mejoramiento</v>
      </c>
      <c r="C29" s="79"/>
      <c r="D29" s="81"/>
      <c r="E29" s="81"/>
      <c r="F29" s="81"/>
      <c r="G29" s="81"/>
      <c r="H29" s="82">
        <f>+'CC D'!I12</f>
        <v>110000000</v>
      </c>
      <c r="I29" s="82">
        <f>+'CC D'!J12</f>
        <v>50000000</v>
      </c>
      <c r="J29" s="82">
        <f>+'CC D'!K12</f>
        <v>160000000</v>
      </c>
      <c r="K29" s="82" t="str">
        <f>+'CC D'!G12</f>
        <v>UEP</v>
      </c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396"/>
      <c r="Z29" s="396"/>
      <c r="AA29" s="396"/>
      <c r="AB29" s="396"/>
      <c r="AC29" s="396"/>
      <c r="AD29" s="396"/>
      <c r="AE29" s="396"/>
      <c r="AF29" s="396"/>
      <c r="AG29" s="396"/>
      <c r="AH29" s="396"/>
      <c r="AI29" s="396"/>
      <c r="AJ29" s="396"/>
      <c r="AK29" s="396"/>
      <c r="AL29" s="396"/>
      <c r="AM29" s="396"/>
      <c r="AN29" s="396"/>
      <c r="AO29" s="396"/>
      <c r="AP29" s="396"/>
      <c r="AQ29" s="396"/>
      <c r="AR29" s="396"/>
      <c r="AS29" s="396"/>
      <c r="AT29" s="396"/>
      <c r="AU29" s="396"/>
      <c r="AV29" s="396"/>
      <c r="AW29" s="396"/>
      <c r="AX29" s="396"/>
      <c r="AY29" s="396"/>
      <c r="AZ29" s="396"/>
      <c r="BA29" s="396"/>
      <c r="BB29" s="396"/>
      <c r="BC29" s="396"/>
      <c r="BD29" s="396"/>
      <c r="BE29" s="396"/>
      <c r="BF29" s="396"/>
      <c r="BG29" s="396"/>
      <c r="BH29" s="396"/>
      <c r="BI29" s="396"/>
      <c r="BJ29" s="396"/>
      <c r="BK29" s="396"/>
      <c r="BL29" s="396"/>
      <c r="BM29" s="396"/>
      <c r="BN29" s="396"/>
      <c r="BO29" s="396"/>
      <c r="BP29" s="396"/>
      <c r="BQ29" s="396"/>
      <c r="BR29" s="396"/>
      <c r="BS29" s="396"/>
      <c r="BT29" s="396"/>
      <c r="BU29" s="396"/>
      <c r="BV29" s="396"/>
      <c r="BW29" s="396"/>
      <c r="BX29" s="396"/>
      <c r="BY29" s="396"/>
      <c r="BZ29" s="396"/>
      <c r="CA29" s="396"/>
      <c r="CB29" s="396"/>
      <c r="CC29" s="396"/>
      <c r="CD29" s="396"/>
      <c r="CE29" s="396"/>
    </row>
    <row r="30" spans="1:83" s="69" customFormat="1" ht="27.6" x14ac:dyDescent="0.25">
      <c r="A30" s="83" t="str">
        <f>+'CC D'!A13</f>
        <v>1.2.1</v>
      </c>
      <c r="B30" s="84" t="str">
        <f>+'CC D'!B13</f>
        <v>Contratación de Firma Constructora para las Obras de Mejoramiento de la red vial principal de la PBA (Tramo según criterio de elegibilidad)</v>
      </c>
      <c r="C30" s="84" t="str">
        <f>+'CC D'!C13</f>
        <v>Km de carreteras de la red vial primaria provincial mejoradas por el programa (otras obras)</v>
      </c>
      <c r="D30" s="85" t="str">
        <f>+'CC D'!H13</f>
        <v>24 meses</v>
      </c>
      <c r="E30" s="85" t="s">
        <v>53</v>
      </c>
      <c r="F30" s="85" t="s">
        <v>54</v>
      </c>
      <c r="G30" s="85" t="s">
        <v>55</v>
      </c>
      <c r="H30" s="86">
        <f>+'CC D'!I13</f>
        <v>110000000</v>
      </c>
      <c r="I30" s="86">
        <f>+'CC D'!J13</f>
        <v>50000000</v>
      </c>
      <c r="J30" s="86">
        <f>+'CC D'!K13</f>
        <v>160000000</v>
      </c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M30" s="87"/>
      <c r="AN30" s="87"/>
      <c r="AO30" s="88"/>
      <c r="AP30" s="88"/>
      <c r="AQ30" s="88"/>
      <c r="AR30" s="88"/>
      <c r="AS30" s="88"/>
      <c r="AT30" s="88"/>
      <c r="AU30" s="88"/>
      <c r="AV30" s="89">
        <v>1</v>
      </c>
      <c r="AW30" s="89">
        <v>2</v>
      </c>
      <c r="AX30" s="89">
        <v>3</v>
      </c>
      <c r="AY30" s="89">
        <v>4</v>
      </c>
      <c r="AZ30" s="89">
        <v>5</v>
      </c>
      <c r="BA30" s="89">
        <v>6</v>
      </c>
      <c r="BB30" s="89">
        <v>7</v>
      </c>
      <c r="BC30" s="89">
        <v>8</v>
      </c>
      <c r="BD30" s="89">
        <v>9</v>
      </c>
      <c r="BE30" s="89">
        <v>10</v>
      </c>
      <c r="BF30" s="89">
        <v>11</v>
      </c>
      <c r="BG30" s="89">
        <v>12</v>
      </c>
      <c r="BH30" s="89">
        <v>13</v>
      </c>
      <c r="BI30" s="89">
        <v>14</v>
      </c>
      <c r="BJ30" s="89">
        <v>15</v>
      </c>
      <c r="BK30" s="89">
        <v>16</v>
      </c>
      <c r="BL30" s="89">
        <v>17</v>
      </c>
      <c r="BM30" s="89">
        <v>18</v>
      </c>
      <c r="BN30" s="89">
        <v>19</v>
      </c>
      <c r="BO30" s="89">
        <v>20</v>
      </c>
      <c r="BP30" s="89">
        <v>21</v>
      </c>
      <c r="BQ30" s="89">
        <v>22</v>
      </c>
      <c r="BR30" s="89">
        <v>23</v>
      </c>
      <c r="BS30" s="89">
        <v>24</v>
      </c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</row>
    <row r="31" spans="1:83" s="69" customFormat="1" x14ac:dyDescent="0.25">
      <c r="A31" s="90">
        <f>+'CC D'!A14</f>
        <v>1.3</v>
      </c>
      <c r="B31" s="79" t="str">
        <f>+'CC D'!B14</f>
        <v>Inspección de Obras</v>
      </c>
      <c r="C31" s="79"/>
      <c r="D31" s="81"/>
      <c r="E31" s="81"/>
      <c r="F31" s="81"/>
      <c r="G31" s="81"/>
      <c r="H31" s="82">
        <f>+'CC D'!I14</f>
        <v>5700000</v>
      </c>
      <c r="I31" s="82">
        <f>+'CC D'!J14</f>
        <v>0</v>
      </c>
      <c r="J31" s="82">
        <f>+'CC D'!K14</f>
        <v>5700000</v>
      </c>
      <c r="K31" s="82" t="str">
        <f>+'CC D'!G14</f>
        <v>UEP</v>
      </c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2"/>
      <c r="CA31" s="82"/>
      <c r="CB31" s="82"/>
      <c r="CC31" s="82"/>
      <c r="CD31" s="82"/>
      <c r="CE31" s="82"/>
    </row>
    <row r="32" spans="1:83" s="69" customFormat="1" ht="27.6" x14ac:dyDescent="0.25">
      <c r="A32" s="83" t="str">
        <f>+'CC D'!A15</f>
        <v>1.3.1</v>
      </c>
      <c r="B32" s="84" t="str">
        <f>+'CC D'!B15</f>
        <v>Contratación de Firmas Consultoras para la inspección de las Obras de la muestra del programa</v>
      </c>
      <c r="C32" s="84" t="str">
        <f>+'CC D'!C15</f>
        <v>Km de carreteras de la RP Nº41 mejoradas por el programa</v>
      </c>
      <c r="D32" s="85" t="str">
        <f>+'CC D'!H15</f>
        <v>27 meses</v>
      </c>
      <c r="E32" s="85" t="s">
        <v>50</v>
      </c>
      <c r="F32" s="85" t="s">
        <v>56</v>
      </c>
      <c r="G32" s="85" t="s">
        <v>52</v>
      </c>
      <c r="H32" s="86">
        <f>+'CC D'!I15</f>
        <v>2700000</v>
      </c>
      <c r="I32" s="86">
        <f>+'CC D'!J15</f>
        <v>0</v>
      </c>
      <c r="J32" s="86">
        <f>+'CC D'!K15</f>
        <v>2700000</v>
      </c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7"/>
      <c r="V32" s="87"/>
      <c r="W32" s="87"/>
      <c r="X32" s="88"/>
      <c r="Y32" s="88"/>
      <c r="Z32" s="88"/>
      <c r="AA32" s="88"/>
      <c r="AB32" s="88"/>
      <c r="AC32" s="89">
        <v>1</v>
      </c>
      <c r="AD32" s="89">
        <v>2</v>
      </c>
      <c r="AE32" s="89">
        <v>3</v>
      </c>
      <c r="AF32" s="89">
        <v>4</v>
      </c>
      <c r="AG32" s="89">
        <v>5</v>
      </c>
      <c r="AH32" s="89">
        <v>6</v>
      </c>
      <c r="AI32" s="89">
        <v>7</v>
      </c>
      <c r="AJ32" s="89">
        <v>8</v>
      </c>
      <c r="AK32" s="89">
        <v>9</v>
      </c>
      <c r="AL32" s="89">
        <v>10</v>
      </c>
      <c r="AM32" s="89">
        <v>11</v>
      </c>
      <c r="AN32" s="89">
        <v>12</v>
      </c>
      <c r="AO32" s="89">
        <v>13</v>
      </c>
      <c r="AP32" s="89">
        <v>14</v>
      </c>
      <c r="AQ32" s="89">
        <v>15</v>
      </c>
      <c r="AR32" s="89">
        <v>16</v>
      </c>
      <c r="AS32" s="89">
        <v>17</v>
      </c>
      <c r="AT32" s="89">
        <v>18</v>
      </c>
      <c r="AU32" s="89">
        <v>19</v>
      </c>
      <c r="AV32" s="89">
        <v>20</v>
      </c>
      <c r="AW32" s="89">
        <v>21</v>
      </c>
      <c r="AX32" s="89">
        <v>22</v>
      </c>
      <c r="AY32" s="89">
        <v>23</v>
      </c>
      <c r="AZ32" s="89">
        <v>24</v>
      </c>
      <c r="BA32" s="89">
        <v>25</v>
      </c>
      <c r="BB32" s="89">
        <v>26</v>
      </c>
      <c r="BC32" s="89">
        <v>27</v>
      </c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</row>
    <row r="33" spans="1:83" s="69" customFormat="1" ht="27.6" x14ac:dyDescent="0.25">
      <c r="A33" s="83" t="str">
        <f>+'CC D'!A16</f>
        <v>1.3.2</v>
      </c>
      <c r="B33" s="84" t="str">
        <f>+'CC D'!B16</f>
        <v>Contratación de Firmas Consultoras para la inspección de otras Obras de mejoramieto</v>
      </c>
      <c r="C33" s="84" t="str">
        <f>+'CC D'!C16</f>
        <v>Km de carreteras de la red vial primaria provincial mejoradas por el programa (otras obras)</v>
      </c>
      <c r="D33" s="85" t="str">
        <f>+'CC D'!H16</f>
        <v>27 meses</v>
      </c>
      <c r="E33" s="85" t="s">
        <v>53</v>
      </c>
      <c r="F33" s="85" t="s">
        <v>57</v>
      </c>
      <c r="G33" s="85" t="s">
        <v>58</v>
      </c>
      <c r="H33" s="86">
        <f>+'CC D'!I16</f>
        <v>3000000</v>
      </c>
      <c r="I33" s="86">
        <f>+'CC D'!J16</f>
        <v>0</v>
      </c>
      <c r="J33" s="86">
        <f>+'CC D'!K16</f>
        <v>3000000</v>
      </c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7"/>
      <c r="AM33" s="87"/>
      <c r="AN33" s="87"/>
      <c r="AO33" s="88"/>
      <c r="AP33" s="88"/>
      <c r="AQ33" s="88"/>
      <c r="AR33" s="88"/>
      <c r="AS33" s="88"/>
      <c r="AT33" s="89">
        <v>1</v>
      </c>
      <c r="AU33" s="89">
        <v>2</v>
      </c>
      <c r="AV33" s="89">
        <v>3</v>
      </c>
      <c r="AW33" s="89">
        <v>4</v>
      </c>
      <c r="AX33" s="89">
        <v>5</v>
      </c>
      <c r="AY33" s="89">
        <v>6</v>
      </c>
      <c r="AZ33" s="89">
        <v>7</v>
      </c>
      <c r="BA33" s="89">
        <v>8</v>
      </c>
      <c r="BB33" s="89">
        <v>9</v>
      </c>
      <c r="BC33" s="89">
        <v>10</v>
      </c>
      <c r="BD33" s="89">
        <v>11</v>
      </c>
      <c r="BE33" s="89">
        <v>12</v>
      </c>
      <c r="BF33" s="89">
        <v>13</v>
      </c>
      <c r="BG33" s="89">
        <v>14</v>
      </c>
      <c r="BH33" s="89">
        <v>15</v>
      </c>
      <c r="BI33" s="89">
        <v>16</v>
      </c>
      <c r="BJ33" s="89">
        <v>17</v>
      </c>
      <c r="BK33" s="89">
        <v>18</v>
      </c>
      <c r="BL33" s="89">
        <v>19</v>
      </c>
      <c r="BM33" s="89">
        <v>20</v>
      </c>
      <c r="BN33" s="89">
        <v>21</v>
      </c>
      <c r="BO33" s="89">
        <v>22</v>
      </c>
      <c r="BP33" s="89">
        <v>23</v>
      </c>
      <c r="BQ33" s="89">
        <v>24</v>
      </c>
      <c r="BR33" s="89">
        <v>25</v>
      </c>
      <c r="BS33" s="89">
        <v>26</v>
      </c>
      <c r="BT33" s="89">
        <v>27</v>
      </c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</row>
    <row r="34" spans="1:83" s="69" customFormat="1" x14ac:dyDescent="0.25">
      <c r="A34" s="91">
        <f>+'CC D'!A17</f>
        <v>2</v>
      </c>
      <c r="B34" s="120" t="str">
        <f>+'CC D'!B17</f>
        <v>Componente 2. Fortalecimiento Institucional</v>
      </c>
      <c r="C34" s="120"/>
      <c r="D34" s="77"/>
      <c r="E34" s="77"/>
      <c r="F34" s="77"/>
      <c r="G34" s="77"/>
      <c r="H34" s="392">
        <f>+H35+H37+H40+H44</f>
        <v>11200000</v>
      </c>
      <c r="I34" s="392">
        <f t="shared" ref="I34:J34" si="0">+I35+I37+I40+I44</f>
        <v>0</v>
      </c>
      <c r="J34" s="392">
        <f t="shared" si="0"/>
        <v>11200000</v>
      </c>
      <c r="K34" s="393"/>
      <c r="L34" s="393"/>
      <c r="M34" s="393"/>
      <c r="N34" s="393"/>
      <c r="O34" s="393"/>
      <c r="P34" s="393"/>
      <c r="Q34" s="393"/>
      <c r="R34" s="393"/>
      <c r="S34" s="393"/>
      <c r="T34" s="393"/>
      <c r="U34" s="393"/>
      <c r="V34" s="393"/>
      <c r="W34" s="393"/>
      <c r="X34" s="393"/>
      <c r="Y34" s="393"/>
      <c r="Z34" s="393"/>
      <c r="AA34" s="393"/>
      <c r="AB34" s="393"/>
      <c r="AC34" s="393"/>
      <c r="AD34" s="393"/>
      <c r="AE34" s="393"/>
      <c r="AF34" s="393"/>
      <c r="AG34" s="393"/>
      <c r="AH34" s="393"/>
      <c r="AI34" s="393"/>
      <c r="AJ34" s="393"/>
      <c r="AK34" s="393"/>
      <c r="AL34" s="393"/>
      <c r="AM34" s="393"/>
      <c r="AN34" s="393"/>
      <c r="AO34" s="393"/>
      <c r="AP34" s="393"/>
      <c r="AQ34" s="393"/>
      <c r="AR34" s="393"/>
      <c r="AS34" s="393"/>
      <c r="AT34" s="393"/>
      <c r="AU34" s="393"/>
      <c r="AV34" s="393"/>
      <c r="AW34" s="393"/>
      <c r="AX34" s="393"/>
      <c r="AY34" s="393"/>
      <c r="AZ34" s="393"/>
      <c r="BA34" s="393"/>
      <c r="BB34" s="393"/>
      <c r="BC34" s="393"/>
      <c r="BD34" s="393"/>
      <c r="BE34" s="393"/>
      <c r="BF34" s="393"/>
      <c r="BG34" s="393"/>
      <c r="BH34" s="393"/>
      <c r="BI34" s="393"/>
      <c r="BJ34" s="393"/>
      <c r="BK34" s="393"/>
      <c r="BL34" s="393"/>
      <c r="BM34" s="393"/>
      <c r="BN34" s="393"/>
      <c r="BO34" s="393"/>
      <c r="BP34" s="393"/>
      <c r="BQ34" s="393"/>
      <c r="BR34" s="393"/>
      <c r="BS34" s="393"/>
      <c r="BT34" s="393"/>
      <c r="BU34" s="393"/>
      <c r="BV34" s="393"/>
      <c r="BW34" s="393"/>
      <c r="BX34" s="393"/>
      <c r="BY34" s="393"/>
      <c r="BZ34" s="393"/>
      <c r="CA34" s="393"/>
      <c r="CB34" s="393"/>
      <c r="CC34" s="393"/>
      <c r="CD34" s="393"/>
      <c r="CE34" s="393"/>
    </row>
    <row r="35" spans="1:83" s="69" customFormat="1" x14ac:dyDescent="0.25">
      <c r="A35" s="90">
        <f>+'CC D'!A18</f>
        <v>2.1</v>
      </c>
      <c r="B35" s="79" t="str">
        <f>+'CC D'!B18</f>
        <v>Estudios de Pre inversión</v>
      </c>
      <c r="C35" s="79"/>
      <c r="D35" s="81"/>
      <c r="E35" s="81"/>
      <c r="F35" s="81"/>
      <c r="G35" s="81"/>
      <c r="H35" s="82">
        <f>+'CC D'!I18</f>
        <v>6200000</v>
      </c>
      <c r="I35" s="82">
        <f>+'CC D'!J18</f>
        <v>0</v>
      </c>
      <c r="J35" s="82">
        <f>+'CC D'!K18</f>
        <v>6200000</v>
      </c>
      <c r="K35" s="82" t="str">
        <f>+'CC D'!G18</f>
        <v>UEP</v>
      </c>
      <c r="L35" s="396"/>
      <c r="M35" s="396"/>
      <c r="N35" s="396"/>
      <c r="O35" s="396"/>
      <c r="P35" s="396"/>
      <c r="Q35" s="396"/>
      <c r="R35" s="396"/>
      <c r="S35" s="396"/>
      <c r="T35" s="396"/>
      <c r="U35" s="396"/>
      <c r="V35" s="396"/>
      <c r="W35" s="396"/>
      <c r="X35" s="396"/>
      <c r="Y35" s="396"/>
      <c r="Z35" s="396"/>
      <c r="AA35" s="396"/>
      <c r="AB35" s="396"/>
      <c r="AC35" s="396"/>
      <c r="AD35" s="396"/>
      <c r="AE35" s="396"/>
      <c r="AF35" s="396"/>
      <c r="AG35" s="396"/>
      <c r="AH35" s="396"/>
      <c r="AI35" s="396"/>
      <c r="AJ35" s="396"/>
      <c r="AK35" s="396"/>
      <c r="AL35" s="396"/>
      <c r="AM35" s="396"/>
      <c r="AN35" s="396"/>
      <c r="AO35" s="396"/>
      <c r="AP35" s="396"/>
      <c r="AQ35" s="396"/>
      <c r="AR35" s="396"/>
      <c r="AS35" s="396"/>
      <c r="AT35" s="396"/>
      <c r="AU35" s="396"/>
      <c r="AV35" s="396"/>
      <c r="AW35" s="396"/>
      <c r="AX35" s="396"/>
      <c r="AY35" s="396"/>
      <c r="AZ35" s="396"/>
      <c r="BA35" s="396"/>
      <c r="BB35" s="396"/>
      <c r="BC35" s="396"/>
      <c r="BD35" s="396"/>
      <c r="BE35" s="396"/>
      <c r="BF35" s="396"/>
      <c r="BG35" s="396"/>
      <c r="BH35" s="396"/>
      <c r="BI35" s="396"/>
      <c r="BJ35" s="396"/>
      <c r="BK35" s="396"/>
      <c r="BL35" s="396"/>
      <c r="BM35" s="396"/>
      <c r="BN35" s="396"/>
      <c r="BO35" s="396"/>
      <c r="BP35" s="396"/>
      <c r="BQ35" s="396"/>
      <c r="BR35" s="396"/>
      <c r="BS35" s="396"/>
      <c r="BT35" s="396"/>
      <c r="BU35" s="396"/>
      <c r="BV35" s="396"/>
      <c r="BW35" s="396"/>
      <c r="BX35" s="396"/>
      <c r="BY35" s="396"/>
      <c r="BZ35" s="396"/>
      <c r="CA35" s="396"/>
      <c r="CB35" s="396"/>
      <c r="CC35" s="396"/>
      <c r="CD35" s="396"/>
      <c r="CE35" s="396"/>
    </row>
    <row r="36" spans="1:83" s="69" customFormat="1" ht="27.6" x14ac:dyDescent="0.25">
      <c r="A36" s="83" t="str">
        <f>+'CC D'!A19</f>
        <v>2.1.1</v>
      </c>
      <c r="B36" s="84" t="str">
        <f>+'CC D'!B19</f>
        <v>Contratación de Firma Consultora para la elaboración de proyectos ejecutivos del programa de inversión de la DVBA</v>
      </c>
      <c r="C36" s="84" t="str">
        <f>+'CC D'!C19</f>
        <v>Km de carreteras con proyectos en condiciones de ser licitados</v>
      </c>
      <c r="D36" s="85" t="str">
        <f>+'CC D'!H19</f>
        <v>18 meses</v>
      </c>
      <c r="E36" s="85" t="s">
        <v>59</v>
      </c>
      <c r="F36" s="85" t="s">
        <v>60</v>
      </c>
      <c r="G36" s="85" t="s">
        <v>57</v>
      </c>
      <c r="H36" s="86">
        <f>+'CC D'!I19</f>
        <v>6200000</v>
      </c>
      <c r="I36" s="86">
        <f>+'CC D'!J19</f>
        <v>0</v>
      </c>
      <c r="J36" s="86">
        <f>+'CC D'!K19</f>
        <v>6200000</v>
      </c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7"/>
      <c r="Y36" s="87"/>
      <c r="Z36" s="87"/>
      <c r="AA36" s="88"/>
      <c r="AB36" s="88"/>
      <c r="AC36" s="88"/>
      <c r="AD36" s="89">
        <v>1</v>
      </c>
      <c r="AE36" s="89">
        <v>2</v>
      </c>
      <c r="AF36" s="89">
        <v>3</v>
      </c>
      <c r="AG36" s="89">
        <v>4</v>
      </c>
      <c r="AH36" s="89">
        <v>5</v>
      </c>
      <c r="AI36" s="89">
        <v>6</v>
      </c>
      <c r="AJ36" s="89">
        <v>7</v>
      </c>
      <c r="AK36" s="89">
        <v>8</v>
      </c>
      <c r="AL36" s="89">
        <v>9</v>
      </c>
      <c r="AM36" s="89">
        <v>10</v>
      </c>
      <c r="AN36" s="89">
        <v>11</v>
      </c>
      <c r="AO36" s="89">
        <v>12</v>
      </c>
      <c r="AP36" s="89">
        <v>13</v>
      </c>
      <c r="AQ36" s="89">
        <v>14</v>
      </c>
      <c r="AR36" s="89">
        <v>15</v>
      </c>
      <c r="AS36" s="89">
        <v>16</v>
      </c>
      <c r="AT36" s="89">
        <v>17</v>
      </c>
      <c r="AU36" s="89">
        <v>18</v>
      </c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</row>
    <row r="37" spans="1:83" s="69" customFormat="1" x14ac:dyDescent="0.25">
      <c r="A37" s="90">
        <f>+'CC D'!A20</f>
        <v>2.2000000000000002</v>
      </c>
      <c r="B37" s="79" t="str">
        <f>+'CC D'!B20</f>
        <v>Seguridad Vial</v>
      </c>
      <c r="C37" s="79"/>
      <c r="D37" s="81"/>
      <c r="E37" s="81"/>
      <c r="F37" s="81"/>
      <c r="G37" s="81"/>
      <c r="H37" s="82">
        <f>+'CC D'!I20</f>
        <v>500000</v>
      </c>
      <c r="I37" s="82">
        <f>+'CC D'!J20</f>
        <v>0</v>
      </c>
      <c r="J37" s="82">
        <f>+'CC D'!K20</f>
        <v>500000</v>
      </c>
      <c r="K37" s="82" t="str">
        <f>+'CC D'!G20</f>
        <v>UEP</v>
      </c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396"/>
      <c r="AK37" s="396"/>
      <c r="AL37" s="396"/>
      <c r="AM37" s="396"/>
      <c r="AN37" s="396"/>
      <c r="AO37" s="396"/>
      <c r="AP37" s="396"/>
      <c r="AQ37" s="396"/>
      <c r="AR37" s="396"/>
      <c r="AS37" s="396"/>
      <c r="AT37" s="396"/>
      <c r="AU37" s="396"/>
      <c r="AV37" s="396"/>
      <c r="AW37" s="396"/>
      <c r="AX37" s="396"/>
      <c r="AY37" s="396"/>
      <c r="AZ37" s="396"/>
      <c r="BA37" s="396"/>
      <c r="BB37" s="396"/>
      <c r="BC37" s="396"/>
      <c r="BD37" s="396"/>
      <c r="BE37" s="396"/>
      <c r="BF37" s="396"/>
      <c r="BG37" s="396"/>
      <c r="BH37" s="396"/>
      <c r="BI37" s="396"/>
      <c r="BJ37" s="396"/>
      <c r="BK37" s="396"/>
      <c r="BL37" s="396"/>
      <c r="BM37" s="396"/>
      <c r="BN37" s="396"/>
      <c r="BO37" s="396"/>
      <c r="BP37" s="396"/>
      <c r="BQ37" s="396"/>
      <c r="BR37" s="396"/>
      <c r="BS37" s="396"/>
      <c r="BT37" s="396"/>
      <c r="BU37" s="396"/>
      <c r="BV37" s="396"/>
      <c r="BW37" s="396"/>
      <c r="BX37" s="396"/>
      <c r="BY37" s="396"/>
      <c r="BZ37" s="396"/>
      <c r="CA37" s="396"/>
      <c r="CB37" s="396"/>
      <c r="CC37" s="396"/>
      <c r="CD37" s="396"/>
      <c r="CE37" s="396"/>
    </row>
    <row r="38" spans="1:83" s="69" customFormat="1" ht="27.6" x14ac:dyDescent="0.25">
      <c r="A38" s="83" t="str">
        <f>+'CC D'!A21</f>
        <v>2.2.1</v>
      </c>
      <c r="B38" s="84" t="str">
        <f>+'CC D'!B21</f>
        <v>Contratación de Firmas Consultoras para  Auditorías de Seguridad Vial en Corredores</v>
      </c>
      <c r="C38" s="84" t="str">
        <f>+'CC D'!C21</f>
        <v>Nº de corredores de la RVP de la PBA con auditorías de seguridad vial</v>
      </c>
      <c r="D38" s="85" t="str">
        <f>+'CC D'!H21</f>
        <v>10 meses</v>
      </c>
      <c r="E38" s="85" t="s">
        <v>59</v>
      </c>
      <c r="F38" s="85" t="s">
        <v>51</v>
      </c>
      <c r="G38" s="85" t="s">
        <v>61</v>
      </c>
      <c r="H38" s="86">
        <f>+'CC D'!I21</f>
        <v>300000</v>
      </c>
      <c r="I38" s="86">
        <f>+'CC D'!J21</f>
        <v>0</v>
      </c>
      <c r="J38" s="86">
        <f>+'CC D'!K21</f>
        <v>300000</v>
      </c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7"/>
      <c r="Z38" s="87"/>
      <c r="AA38" s="87"/>
      <c r="AB38" s="88"/>
      <c r="AC38" s="88"/>
      <c r="AD38" s="88"/>
      <c r="AE38" s="88"/>
      <c r="AF38" s="89">
        <v>1</v>
      </c>
      <c r="AG38" s="89">
        <v>2</v>
      </c>
      <c r="AH38" s="89">
        <v>3</v>
      </c>
      <c r="AI38" s="89">
        <v>4</v>
      </c>
      <c r="AJ38" s="89">
        <v>5</v>
      </c>
      <c r="AK38" s="89">
        <v>6</v>
      </c>
      <c r="AL38" s="89">
        <v>7</v>
      </c>
      <c r="AM38" s="89">
        <v>8</v>
      </c>
      <c r="AN38" s="89">
        <v>9</v>
      </c>
      <c r="AO38" s="89">
        <v>10</v>
      </c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</row>
    <row r="39" spans="1:83" s="69" customFormat="1" ht="27.6" x14ac:dyDescent="0.25">
      <c r="A39" s="83" t="str">
        <f>+'CC D'!A22</f>
        <v>2.2.2</v>
      </c>
      <c r="B39" s="84" t="str">
        <f>+'CC D'!B22</f>
        <v>Contratación de Firma Consultora la elaboración del Plan fortalecimiento del área  de seguridad vial de la DVBA</v>
      </c>
      <c r="C39" s="84" t="str">
        <f>+'CC D'!C22</f>
        <v>Plan de fortalecimiento del área de seguridad vial de la PBA</v>
      </c>
      <c r="D39" s="85" t="str">
        <f>+'CC D'!H22</f>
        <v>12 meses</v>
      </c>
      <c r="E39" s="85" t="s">
        <v>51</v>
      </c>
      <c r="F39" s="85" t="s">
        <v>62</v>
      </c>
      <c r="G39" s="85" t="s">
        <v>57</v>
      </c>
      <c r="H39" s="86">
        <f>+'CC D'!I22</f>
        <v>200000</v>
      </c>
      <c r="I39" s="86">
        <f>+'CC D'!J22</f>
        <v>0</v>
      </c>
      <c r="J39" s="86">
        <f>+'CC D'!K22</f>
        <v>200000</v>
      </c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7"/>
      <c r="AE39" s="87"/>
      <c r="AF39" s="87"/>
      <c r="AG39" s="88"/>
      <c r="AH39" s="88"/>
      <c r="AI39" s="88"/>
      <c r="AJ39" s="89">
        <v>1</v>
      </c>
      <c r="AK39" s="89">
        <v>2</v>
      </c>
      <c r="AL39" s="89">
        <v>3</v>
      </c>
      <c r="AM39" s="89">
        <v>4</v>
      </c>
      <c r="AN39" s="89">
        <v>5</v>
      </c>
      <c r="AO39" s="89">
        <v>6</v>
      </c>
      <c r="AP39" s="89">
        <v>7</v>
      </c>
      <c r="AQ39" s="89">
        <v>8</v>
      </c>
      <c r="AR39" s="89">
        <v>9</v>
      </c>
      <c r="AS39" s="89">
        <v>10</v>
      </c>
      <c r="AT39" s="89">
        <v>11</v>
      </c>
      <c r="AU39" s="89">
        <v>12</v>
      </c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</row>
    <row r="40" spans="1:83" s="69" customFormat="1" x14ac:dyDescent="0.25">
      <c r="A40" s="90">
        <f>+'CC D'!A23</f>
        <v>2.2999999999999998</v>
      </c>
      <c r="B40" s="79" t="str">
        <f>+'CC D'!B23</f>
        <v>Fortalecimiento de la DVBA</v>
      </c>
      <c r="C40" s="79"/>
      <c r="D40" s="81"/>
      <c r="E40" s="81"/>
      <c r="F40" s="81"/>
      <c r="G40" s="81"/>
      <c r="H40" s="82">
        <f>+'CC D'!I23</f>
        <v>4000000</v>
      </c>
      <c r="I40" s="82">
        <f>+'CC D'!J23</f>
        <v>0</v>
      </c>
      <c r="J40" s="82">
        <f>+'CC D'!K23</f>
        <v>4000000</v>
      </c>
      <c r="K40" s="82" t="str">
        <f>+'CC D'!G23</f>
        <v>UEP</v>
      </c>
      <c r="L40" s="396"/>
      <c r="M40" s="396"/>
      <c r="N40" s="396"/>
      <c r="O40" s="396"/>
      <c r="P40" s="396"/>
      <c r="Q40" s="396"/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/>
      <c r="AE40" s="396"/>
      <c r="AF40" s="396"/>
      <c r="AG40" s="396"/>
      <c r="AH40" s="396"/>
      <c r="AI40" s="396"/>
      <c r="AJ40" s="396"/>
      <c r="AK40" s="396"/>
      <c r="AL40" s="396"/>
      <c r="AM40" s="396"/>
      <c r="AN40" s="396"/>
      <c r="AO40" s="396"/>
      <c r="AP40" s="396"/>
      <c r="AQ40" s="396"/>
      <c r="AR40" s="396"/>
      <c r="AS40" s="396"/>
      <c r="AT40" s="396"/>
      <c r="AU40" s="396"/>
      <c r="AV40" s="396"/>
      <c r="AW40" s="396"/>
      <c r="AX40" s="396"/>
      <c r="AY40" s="396"/>
      <c r="AZ40" s="396"/>
      <c r="BA40" s="396"/>
      <c r="BB40" s="396"/>
      <c r="BC40" s="396"/>
      <c r="BD40" s="396"/>
      <c r="BE40" s="396"/>
      <c r="BF40" s="396"/>
      <c r="BG40" s="396"/>
      <c r="BH40" s="396"/>
      <c r="BI40" s="396"/>
      <c r="BJ40" s="396"/>
      <c r="BK40" s="396"/>
      <c r="BL40" s="396"/>
      <c r="BM40" s="396"/>
      <c r="BN40" s="396"/>
      <c r="BO40" s="396"/>
      <c r="BP40" s="396"/>
      <c r="BQ40" s="396"/>
      <c r="BR40" s="396"/>
      <c r="BS40" s="396"/>
      <c r="BT40" s="396"/>
      <c r="BU40" s="396"/>
      <c r="BV40" s="396"/>
      <c r="BW40" s="396"/>
      <c r="BX40" s="396"/>
      <c r="BY40" s="396"/>
      <c r="BZ40" s="396"/>
      <c r="CA40" s="396"/>
      <c r="CB40" s="396"/>
      <c r="CC40" s="396"/>
      <c r="CD40" s="396"/>
      <c r="CE40" s="396"/>
    </row>
    <row r="41" spans="1:83" s="69" customFormat="1" ht="27.6" x14ac:dyDescent="0.25">
      <c r="A41" s="83" t="str">
        <f>+'CC D'!A24</f>
        <v>2.3.1</v>
      </c>
      <c r="B41" s="84" t="str">
        <f>+'CC D'!B24</f>
        <v>Contratación de Firma Consultora para la elaboración del Plan Maestro de inversión vial de la PBA</v>
      </c>
      <c r="C41" s="84" t="str">
        <f>+'CC D'!C24</f>
        <v>Plan de inversión vial de la PBA</v>
      </c>
      <c r="D41" s="85" t="str">
        <f>+'CC D'!H24</f>
        <v>20 meses</v>
      </c>
      <c r="E41" s="85" t="s">
        <v>63</v>
      </c>
      <c r="F41" s="85" t="s">
        <v>64</v>
      </c>
      <c r="G41" s="85" t="s">
        <v>65</v>
      </c>
      <c r="H41" s="86">
        <f>+'CC D'!I24</f>
        <v>1000000</v>
      </c>
      <c r="I41" s="86">
        <f>+'CC D'!J24</f>
        <v>0</v>
      </c>
      <c r="J41" s="86">
        <f>+'CC D'!K24</f>
        <v>1000000</v>
      </c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7"/>
      <c r="AB41" s="87"/>
      <c r="AC41" s="87"/>
      <c r="AD41" s="88"/>
      <c r="AE41" s="88"/>
      <c r="AF41" s="88"/>
      <c r="AG41" s="88"/>
      <c r="AH41" s="89">
        <v>1</v>
      </c>
      <c r="AI41" s="89">
        <v>2</v>
      </c>
      <c r="AJ41" s="89">
        <v>3</v>
      </c>
      <c r="AK41" s="89">
        <v>4</v>
      </c>
      <c r="AL41" s="89">
        <v>5</v>
      </c>
      <c r="AM41" s="89">
        <v>6</v>
      </c>
      <c r="AN41" s="89">
        <v>7</v>
      </c>
      <c r="AO41" s="89">
        <v>8</v>
      </c>
      <c r="AP41" s="89">
        <v>9</v>
      </c>
      <c r="AQ41" s="89">
        <v>10</v>
      </c>
      <c r="AR41" s="89">
        <v>11</v>
      </c>
      <c r="AS41" s="89">
        <v>12</v>
      </c>
      <c r="AT41" s="89">
        <v>13</v>
      </c>
      <c r="AU41" s="89">
        <v>14</v>
      </c>
      <c r="AV41" s="89">
        <v>15</v>
      </c>
      <c r="AW41" s="89">
        <v>16</v>
      </c>
      <c r="AX41" s="89">
        <v>17</v>
      </c>
      <c r="AY41" s="89">
        <v>18</v>
      </c>
      <c r="AZ41" s="89">
        <v>19</v>
      </c>
      <c r="BA41" s="89">
        <v>20</v>
      </c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</row>
    <row r="42" spans="1:83" s="69" customFormat="1" x14ac:dyDescent="0.25">
      <c r="A42" s="83" t="str">
        <f>+'CC D'!A25</f>
        <v>2.3.2</v>
      </c>
      <c r="B42" s="84" t="str">
        <f>+'CC D'!B25</f>
        <v>Contratación de Firma Consultora para la mejora de procesos de gestión de Activos Viales</v>
      </c>
      <c r="C42" s="84" t="str">
        <f>+'CC D'!C25</f>
        <v>Sistema de gestión de activos viales de la PBA</v>
      </c>
      <c r="D42" s="85" t="str">
        <f>+'CC D'!H25</f>
        <v>12 meses</v>
      </c>
      <c r="E42" s="85" t="s">
        <v>51</v>
      </c>
      <c r="F42" s="85" t="s">
        <v>62</v>
      </c>
      <c r="G42" s="85" t="s">
        <v>57</v>
      </c>
      <c r="H42" s="86">
        <f>+'CC D'!I25</f>
        <v>2500000</v>
      </c>
      <c r="I42" s="86">
        <f>+'CC D'!J25</f>
        <v>0</v>
      </c>
      <c r="J42" s="86">
        <f>+'CC D'!K25</f>
        <v>2500000</v>
      </c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7"/>
      <c r="AE42" s="87"/>
      <c r="AF42" s="87"/>
      <c r="AG42" s="88"/>
      <c r="AH42" s="88"/>
      <c r="AI42" s="88"/>
      <c r="AJ42" s="89">
        <v>1</v>
      </c>
      <c r="AK42" s="89">
        <v>2</v>
      </c>
      <c r="AL42" s="89">
        <v>3</v>
      </c>
      <c r="AM42" s="89">
        <v>4</v>
      </c>
      <c r="AN42" s="89">
        <v>5</v>
      </c>
      <c r="AO42" s="89">
        <v>6</v>
      </c>
      <c r="AP42" s="89">
        <v>7</v>
      </c>
      <c r="AQ42" s="89">
        <v>8</v>
      </c>
      <c r="AR42" s="89">
        <v>9</v>
      </c>
      <c r="AS42" s="89">
        <v>10</v>
      </c>
      <c r="AT42" s="89">
        <v>11</v>
      </c>
      <c r="AU42" s="89">
        <v>12</v>
      </c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</row>
    <row r="43" spans="1:83" s="69" customFormat="1" x14ac:dyDescent="0.25">
      <c r="A43" s="83" t="str">
        <f>+'CC D'!A26</f>
        <v>2.3.4</v>
      </c>
      <c r="B43" s="84" t="str">
        <f>+'CC D'!B26</f>
        <v>Adquisición de Software para gestión de activos viales DVBA</v>
      </c>
      <c r="C43" s="84" t="str">
        <f>+'CC D'!C26</f>
        <v>Sistema de gestión de activos viales de la PBA</v>
      </c>
      <c r="D43" s="85" t="s">
        <v>66</v>
      </c>
      <c r="E43" s="85" t="s">
        <v>66</v>
      </c>
      <c r="F43" s="85" t="s">
        <v>66</v>
      </c>
      <c r="G43" s="85" t="s">
        <v>66</v>
      </c>
      <c r="H43" s="86">
        <f>+'CC D'!I26</f>
        <v>500000</v>
      </c>
      <c r="I43" s="86">
        <f>+'CC D'!J26</f>
        <v>0</v>
      </c>
      <c r="J43" s="86">
        <f>+'CC D'!K26</f>
        <v>500000</v>
      </c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8"/>
      <c r="AR43" s="88"/>
      <c r="AS43" s="88"/>
      <c r="AT43" s="88"/>
      <c r="AU43" s="88"/>
      <c r="AV43" s="88"/>
      <c r="AW43" s="89">
        <v>1</v>
      </c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</row>
    <row r="44" spans="1:83" s="69" customFormat="1" x14ac:dyDescent="0.25">
      <c r="A44" s="90">
        <f>+'CC D'!A27</f>
        <v>2.4</v>
      </c>
      <c r="B44" s="79" t="str">
        <f>+'CC D'!B27</f>
        <v>Fortalecimiento de la AUBASA</v>
      </c>
      <c r="C44" s="79"/>
      <c r="D44" s="81"/>
      <c r="E44" s="81"/>
      <c r="F44" s="81"/>
      <c r="G44" s="81"/>
      <c r="H44" s="82">
        <f>+'CC D'!I27</f>
        <v>500000</v>
      </c>
      <c r="I44" s="82">
        <f>+'CC D'!J27</f>
        <v>0</v>
      </c>
      <c r="J44" s="82">
        <f>+'CC D'!K27</f>
        <v>500000</v>
      </c>
      <c r="K44" s="82" t="str">
        <f>+'CC D'!G27</f>
        <v>UEP</v>
      </c>
      <c r="L44" s="396"/>
      <c r="M44" s="396"/>
      <c r="N44" s="396"/>
      <c r="O44" s="396"/>
      <c r="P44" s="396"/>
      <c r="Q44" s="396"/>
      <c r="R44" s="396"/>
      <c r="S44" s="396"/>
      <c r="T44" s="396"/>
      <c r="U44" s="396"/>
      <c r="V44" s="396"/>
      <c r="W44" s="396"/>
      <c r="X44" s="396"/>
      <c r="Y44" s="396"/>
      <c r="Z44" s="396"/>
      <c r="AA44" s="396"/>
      <c r="AB44" s="396"/>
      <c r="AC44" s="396"/>
      <c r="AD44" s="396"/>
      <c r="AE44" s="396"/>
      <c r="AF44" s="396"/>
      <c r="AG44" s="396"/>
      <c r="AH44" s="396"/>
      <c r="AI44" s="396"/>
      <c r="AJ44" s="396"/>
      <c r="AK44" s="396"/>
      <c r="AL44" s="396"/>
      <c r="AM44" s="396"/>
      <c r="AN44" s="396"/>
      <c r="AO44" s="396"/>
      <c r="AP44" s="396"/>
      <c r="AQ44" s="396"/>
      <c r="AR44" s="396"/>
      <c r="AS44" s="396"/>
      <c r="AT44" s="396"/>
      <c r="AU44" s="396"/>
      <c r="AV44" s="396"/>
      <c r="AW44" s="396"/>
      <c r="AX44" s="396"/>
      <c r="AY44" s="396"/>
      <c r="AZ44" s="396"/>
      <c r="BA44" s="396"/>
      <c r="BB44" s="396"/>
      <c r="BC44" s="396"/>
      <c r="BD44" s="396"/>
      <c r="BE44" s="396"/>
      <c r="BF44" s="396"/>
      <c r="BG44" s="396"/>
      <c r="BH44" s="396"/>
      <c r="BI44" s="396"/>
      <c r="BJ44" s="396"/>
      <c r="BK44" s="396"/>
      <c r="BL44" s="396"/>
      <c r="BM44" s="396"/>
      <c r="BN44" s="396"/>
      <c r="BO44" s="396"/>
      <c r="BP44" s="396"/>
      <c r="BQ44" s="396"/>
      <c r="BR44" s="396"/>
      <c r="BS44" s="396"/>
      <c r="BT44" s="396"/>
      <c r="BU44" s="396"/>
      <c r="BV44" s="396"/>
      <c r="BW44" s="396"/>
      <c r="BX44" s="396"/>
      <c r="BY44" s="396"/>
      <c r="BZ44" s="396"/>
      <c r="CA44" s="396"/>
      <c r="CB44" s="396"/>
      <c r="CC44" s="396"/>
      <c r="CD44" s="396"/>
      <c r="CE44" s="396"/>
    </row>
    <row r="45" spans="1:83" s="69" customFormat="1" x14ac:dyDescent="0.25">
      <c r="A45" s="83" t="str">
        <f>+'CC D'!A28</f>
        <v>2.4.1</v>
      </c>
      <c r="B45" s="84" t="str">
        <f>+'CC D'!B28</f>
        <v>Contratación de Firma Consultora para el mejoramiento del sistema de gobernanza de AUBASA</v>
      </c>
      <c r="C45" s="84" t="str">
        <f>+'CC D'!C28</f>
        <v>Plan de mejora de gobernanza corporativa de AUBASA</v>
      </c>
      <c r="D45" s="85" t="str">
        <f>+'CC D'!H28</f>
        <v>12 meses</v>
      </c>
      <c r="E45" s="85" t="s">
        <v>51</v>
      </c>
      <c r="F45" s="85" t="s">
        <v>62</v>
      </c>
      <c r="G45" s="85" t="s">
        <v>57</v>
      </c>
      <c r="H45" s="86">
        <f>+'CC D'!I28</f>
        <v>200000</v>
      </c>
      <c r="I45" s="86">
        <f>+'CC D'!J28</f>
        <v>0</v>
      </c>
      <c r="J45" s="86">
        <f>+'CC D'!K28</f>
        <v>200000</v>
      </c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7"/>
      <c r="AE45" s="87"/>
      <c r="AF45" s="87"/>
      <c r="AG45" s="88"/>
      <c r="AH45" s="88"/>
      <c r="AI45" s="88"/>
      <c r="AJ45" s="89">
        <v>1</v>
      </c>
      <c r="AK45" s="89">
        <v>2</v>
      </c>
      <c r="AL45" s="89">
        <v>3</v>
      </c>
      <c r="AM45" s="89">
        <v>4</v>
      </c>
      <c r="AN45" s="89">
        <v>5</v>
      </c>
      <c r="AO45" s="89">
        <v>6</v>
      </c>
      <c r="AP45" s="89">
        <v>7</v>
      </c>
      <c r="AQ45" s="89">
        <v>8</v>
      </c>
      <c r="AR45" s="89">
        <v>9</v>
      </c>
      <c r="AS45" s="89">
        <v>10</v>
      </c>
      <c r="AT45" s="89">
        <v>11</v>
      </c>
      <c r="AU45" s="89">
        <v>12</v>
      </c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</row>
    <row r="46" spans="1:83" s="69" customFormat="1" ht="27.6" x14ac:dyDescent="0.25">
      <c r="A46" s="83" t="str">
        <f>+'CC D'!A29</f>
        <v>2.4.2</v>
      </c>
      <c r="B46" s="84" t="str">
        <f>+'CC D'!B29</f>
        <v>Contratacción de Firma Consultora para la incorporación de ITS en sistema de recaudo de peaje</v>
      </c>
      <c r="C46" s="84" t="str">
        <f>+'CC D'!C29</f>
        <v>Plan de incorporación de ITS para recaudación de peajes en AUBASA</v>
      </c>
      <c r="D46" s="85" t="str">
        <f>+'CC D'!H29</f>
        <v>12 meses</v>
      </c>
      <c r="E46" s="85" t="s">
        <v>51</v>
      </c>
      <c r="F46" s="85" t="s">
        <v>62</v>
      </c>
      <c r="G46" s="85" t="s">
        <v>57</v>
      </c>
      <c r="H46" s="86">
        <f>+'CC D'!I29</f>
        <v>300000</v>
      </c>
      <c r="I46" s="86">
        <f>+'CC D'!J29</f>
        <v>0</v>
      </c>
      <c r="J46" s="86">
        <f>+'CC D'!K29</f>
        <v>300000</v>
      </c>
      <c r="K46" s="86">
        <f>'[2]4. CC D'!G32</f>
        <v>0</v>
      </c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7"/>
      <c r="AE46" s="87"/>
      <c r="AF46" s="87"/>
      <c r="AG46" s="88"/>
      <c r="AH46" s="88"/>
      <c r="AI46" s="88"/>
      <c r="AJ46" s="89">
        <v>1</v>
      </c>
      <c r="AK46" s="89">
        <v>2</v>
      </c>
      <c r="AL46" s="89">
        <v>3</v>
      </c>
      <c r="AM46" s="89">
        <v>4</v>
      </c>
      <c r="AN46" s="89">
        <v>5</v>
      </c>
      <c r="AO46" s="89">
        <v>6</v>
      </c>
      <c r="AP46" s="89">
        <v>7</v>
      </c>
      <c r="AQ46" s="89">
        <v>8</v>
      </c>
      <c r="AR46" s="89">
        <v>9</v>
      </c>
      <c r="AS46" s="89">
        <v>10</v>
      </c>
      <c r="AT46" s="89">
        <v>11</v>
      </c>
      <c r="AU46" s="89">
        <v>12</v>
      </c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</row>
    <row r="47" spans="1:83" s="69" customFormat="1" x14ac:dyDescent="0.25">
      <c r="A47" s="91">
        <f>+'CC D'!A30</f>
        <v>3</v>
      </c>
      <c r="B47" s="75" t="str">
        <f>+'CC D'!B30</f>
        <v>Otros Costos</v>
      </c>
      <c r="C47" s="75"/>
      <c r="D47" s="77"/>
      <c r="E47" s="77"/>
      <c r="F47" s="77"/>
      <c r="G47" s="77"/>
      <c r="H47" s="392">
        <f>+'CC D'!K30</f>
        <v>1100000</v>
      </c>
      <c r="I47" s="392">
        <f>+'CC D'!J31</f>
        <v>0</v>
      </c>
      <c r="J47" s="392">
        <f>+'CC D'!K30</f>
        <v>1100000</v>
      </c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V47" s="393"/>
      <c r="W47" s="393"/>
      <c r="X47" s="393"/>
      <c r="Y47" s="393"/>
      <c r="Z47" s="393"/>
      <c r="AA47" s="393"/>
      <c r="AB47" s="393"/>
      <c r="AC47" s="393"/>
      <c r="AD47" s="393"/>
      <c r="AE47" s="393"/>
      <c r="AF47" s="393"/>
      <c r="AG47" s="393"/>
      <c r="AH47" s="393"/>
      <c r="AI47" s="393"/>
      <c r="AJ47" s="393"/>
      <c r="AK47" s="393"/>
      <c r="AL47" s="393"/>
      <c r="AM47" s="393"/>
      <c r="AN47" s="393"/>
      <c r="AO47" s="393"/>
      <c r="AP47" s="393"/>
      <c r="AQ47" s="393"/>
      <c r="AR47" s="393"/>
      <c r="AS47" s="393"/>
      <c r="AT47" s="393"/>
      <c r="AU47" s="393"/>
      <c r="AV47" s="393"/>
      <c r="AW47" s="393"/>
      <c r="AX47" s="393"/>
      <c r="AY47" s="393"/>
      <c r="AZ47" s="393"/>
      <c r="BA47" s="393"/>
      <c r="BB47" s="393"/>
      <c r="BC47" s="393"/>
      <c r="BD47" s="393"/>
      <c r="BE47" s="393"/>
      <c r="BF47" s="393"/>
      <c r="BG47" s="393"/>
      <c r="BH47" s="393"/>
      <c r="BI47" s="393"/>
      <c r="BJ47" s="393"/>
      <c r="BK47" s="393"/>
      <c r="BL47" s="393"/>
      <c r="BM47" s="393"/>
      <c r="BN47" s="393"/>
      <c r="BO47" s="393"/>
      <c r="BP47" s="393"/>
      <c r="BQ47" s="393"/>
      <c r="BR47" s="393"/>
      <c r="BS47" s="393"/>
      <c r="BT47" s="393"/>
      <c r="BU47" s="393"/>
      <c r="BV47" s="393"/>
      <c r="BW47" s="393"/>
      <c r="BX47" s="393"/>
      <c r="BY47" s="393"/>
      <c r="BZ47" s="393"/>
      <c r="CA47" s="393"/>
      <c r="CB47" s="393"/>
      <c r="CC47" s="393"/>
      <c r="CD47" s="393"/>
      <c r="CE47" s="393"/>
    </row>
    <row r="48" spans="1:83" s="69" customFormat="1" x14ac:dyDescent="0.25">
      <c r="A48" s="90">
        <f>+'CC D'!A31</f>
        <v>3.1</v>
      </c>
      <c r="B48" s="79" t="str">
        <f>+'CC D'!B31</f>
        <v>Administración del Programa</v>
      </c>
      <c r="C48" s="79"/>
      <c r="D48" s="81"/>
      <c r="E48" s="81"/>
      <c r="F48" s="81"/>
      <c r="G48" s="81"/>
      <c r="H48" s="82">
        <f>+'CC D'!I31</f>
        <v>1000000</v>
      </c>
      <c r="I48" s="82">
        <f>+'CC D'!J31</f>
        <v>0</v>
      </c>
      <c r="J48" s="82">
        <f>+'CC D'!K31</f>
        <v>1000000</v>
      </c>
      <c r="K48" s="82" t="str">
        <f>+'CC D'!G31</f>
        <v>UEP</v>
      </c>
      <c r="L48" s="396"/>
      <c r="M48" s="396"/>
      <c r="N48" s="396"/>
      <c r="O48" s="396"/>
      <c r="P48" s="396"/>
      <c r="Q48" s="396"/>
      <c r="R48" s="396"/>
      <c r="S48" s="396"/>
      <c r="T48" s="396"/>
      <c r="U48" s="396"/>
      <c r="V48" s="396"/>
      <c r="W48" s="396"/>
      <c r="X48" s="396"/>
      <c r="Y48" s="396"/>
      <c r="Z48" s="396"/>
      <c r="AA48" s="396"/>
      <c r="AB48" s="396"/>
      <c r="AC48" s="396"/>
      <c r="AD48" s="396"/>
      <c r="AE48" s="396"/>
      <c r="AF48" s="396"/>
      <c r="AG48" s="396"/>
      <c r="AH48" s="396"/>
      <c r="AI48" s="396"/>
      <c r="AJ48" s="396"/>
      <c r="AK48" s="396"/>
      <c r="AL48" s="396"/>
      <c r="AM48" s="396"/>
      <c r="AN48" s="396"/>
      <c r="AO48" s="396"/>
      <c r="AP48" s="396"/>
      <c r="AQ48" s="396"/>
      <c r="AR48" s="396"/>
      <c r="AS48" s="396"/>
      <c r="AT48" s="396"/>
      <c r="AU48" s="396"/>
      <c r="AV48" s="396"/>
      <c r="AW48" s="396"/>
      <c r="AX48" s="396"/>
      <c r="AY48" s="396"/>
      <c r="AZ48" s="396"/>
      <c r="BA48" s="396"/>
      <c r="BB48" s="396"/>
      <c r="BC48" s="396"/>
      <c r="BD48" s="396"/>
      <c r="BE48" s="396"/>
      <c r="BF48" s="396"/>
      <c r="BG48" s="396"/>
      <c r="BH48" s="396"/>
      <c r="BI48" s="396"/>
      <c r="BJ48" s="396"/>
      <c r="BK48" s="396"/>
      <c r="BL48" s="396"/>
      <c r="BM48" s="396"/>
      <c r="BN48" s="396"/>
      <c r="BO48" s="396"/>
      <c r="BP48" s="396"/>
      <c r="BQ48" s="396"/>
      <c r="BR48" s="396"/>
      <c r="BS48" s="396"/>
      <c r="BT48" s="396"/>
      <c r="BU48" s="396"/>
      <c r="BV48" s="396"/>
      <c r="BW48" s="396"/>
      <c r="BX48" s="396"/>
      <c r="BY48" s="396"/>
      <c r="BZ48" s="396"/>
      <c r="CA48" s="396"/>
      <c r="CB48" s="396"/>
      <c r="CC48" s="396"/>
      <c r="CD48" s="396"/>
      <c r="CE48" s="396"/>
    </row>
    <row r="49" spans="1:83" s="69" customFormat="1" x14ac:dyDescent="0.25">
      <c r="A49" s="83" t="str">
        <f>+'CC D'!A32</f>
        <v>3.1.1</v>
      </c>
      <c r="B49" s="84" t="str">
        <f>+'CC D'!B32</f>
        <v>Contratación de consultores individuales para conformación de UEP dentro de la DVBA</v>
      </c>
      <c r="C49" s="84"/>
      <c r="D49" s="85" t="str">
        <f>+'CC D'!H32</f>
        <v>60 meses</v>
      </c>
      <c r="E49" s="85" t="s">
        <v>67</v>
      </c>
      <c r="F49" s="85" t="s">
        <v>59</v>
      </c>
      <c r="G49" s="85" t="s">
        <v>68</v>
      </c>
      <c r="H49" s="86">
        <f>+'CC D'!I32</f>
        <v>1000000</v>
      </c>
      <c r="I49" s="86">
        <f>+'CC D'!J32</f>
        <v>0</v>
      </c>
      <c r="J49" s="86">
        <f>+'CC D'!K32</f>
        <v>1000000</v>
      </c>
      <c r="K49" s="86"/>
      <c r="L49" s="86"/>
      <c r="M49" s="86"/>
      <c r="N49" s="86"/>
      <c r="O49" s="86"/>
      <c r="P49" s="86"/>
      <c r="Q49" s="86"/>
      <c r="R49" s="86"/>
      <c r="S49" s="86"/>
      <c r="T49" s="87"/>
      <c r="U49" s="87"/>
      <c r="V49" s="88"/>
      <c r="W49" s="88"/>
      <c r="X49" s="89">
        <v>1</v>
      </c>
      <c r="Y49" s="89">
        <v>2</v>
      </c>
      <c r="Z49" s="89">
        <v>3</v>
      </c>
      <c r="AA49" s="89">
        <v>4</v>
      </c>
      <c r="AB49" s="89">
        <v>5</v>
      </c>
      <c r="AC49" s="89">
        <v>6</v>
      </c>
      <c r="AD49" s="89">
        <v>7</v>
      </c>
      <c r="AE49" s="89">
        <v>8</v>
      </c>
      <c r="AF49" s="89">
        <v>9</v>
      </c>
      <c r="AG49" s="89">
        <v>10</v>
      </c>
      <c r="AH49" s="89">
        <v>11</v>
      </c>
      <c r="AI49" s="89">
        <v>12</v>
      </c>
      <c r="AJ49" s="89">
        <v>13</v>
      </c>
      <c r="AK49" s="89">
        <v>14</v>
      </c>
      <c r="AL49" s="89">
        <v>15</v>
      </c>
      <c r="AM49" s="89">
        <v>16</v>
      </c>
      <c r="AN49" s="89">
        <v>17</v>
      </c>
      <c r="AO49" s="89">
        <v>18</v>
      </c>
      <c r="AP49" s="89">
        <v>19</v>
      </c>
      <c r="AQ49" s="89">
        <v>20</v>
      </c>
      <c r="AR49" s="89">
        <v>21</v>
      </c>
      <c r="AS49" s="89">
        <v>22</v>
      </c>
      <c r="AT49" s="89">
        <v>23</v>
      </c>
      <c r="AU49" s="89">
        <v>24</v>
      </c>
      <c r="AV49" s="89">
        <v>25</v>
      </c>
      <c r="AW49" s="89">
        <v>26</v>
      </c>
      <c r="AX49" s="89">
        <v>27</v>
      </c>
      <c r="AY49" s="89">
        <v>28</v>
      </c>
      <c r="AZ49" s="89">
        <v>29</v>
      </c>
      <c r="BA49" s="89">
        <v>30</v>
      </c>
      <c r="BB49" s="89">
        <v>31</v>
      </c>
      <c r="BC49" s="89">
        <v>32</v>
      </c>
      <c r="BD49" s="89">
        <v>33</v>
      </c>
      <c r="BE49" s="89">
        <v>34</v>
      </c>
      <c r="BF49" s="89">
        <v>35</v>
      </c>
      <c r="BG49" s="89">
        <v>36</v>
      </c>
      <c r="BH49" s="89">
        <v>37</v>
      </c>
      <c r="BI49" s="89">
        <v>38</v>
      </c>
      <c r="BJ49" s="89">
        <v>39</v>
      </c>
      <c r="BK49" s="89">
        <v>40</v>
      </c>
      <c r="BL49" s="89">
        <v>41</v>
      </c>
      <c r="BM49" s="89">
        <v>42</v>
      </c>
      <c r="BN49" s="89">
        <v>43</v>
      </c>
      <c r="BO49" s="89">
        <v>44</v>
      </c>
      <c r="BP49" s="89">
        <v>45</v>
      </c>
      <c r="BQ49" s="89">
        <v>46</v>
      </c>
      <c r="BR49" s="89">
        <v>47</v>
      </c>
      <c r="BS49" s="89">
        <v>48</v>
      </c>
      <c r="BT49" s="89">
        <v>49</v>
      </c>
      <c r="BU49" s="89">
        <v>50</v>
      </c>
      <c r="BV49" s="89">
        <v>51</v>
      </c>
      <c r="BW49" s="89">
        <v>52</v>
      </c>
      <c r="BX49" s="89">
        <v>53</v>
      </c>
      <c r="BY49" s="89">
        <v>54</v>
      </c>
      <c r="BZ49" s="89">
        <v>55</v>
      </c>
      <c r="CA49" s="89">
        <v>56</v>
      </c>
      <c r="CB49" s="89">
        <v>57</v>
      </c>
      <c r="CC49" s="89">
        <v>58</v>
      </c>
      <c r="CD49" s="89">
        <v>59</v>
      </c>
      <c r="CE49" s="89">
        <v>60</v>
      </c>
    </row>
    <row r="50" spans="1:83" s="69" customFormat="1" x14ac:dyDescent="0.25">
      <c r="A50" s="90">
        <f>+'CC D'!A33</f>
        <v>3.2</v>
      </c>
      <c r="B50" s="79" t="str">
        <f>+'CC D'!B33</f>
        <v>Auditoria, Monitoreo y Evaluación desarrollados</v>
      </c>
      <c r="C50" s="79"/>
      <c r="D50" s="81"/>
      <c r="E50" s="81"/>
      <c r="F50" s="81"/>
      <c r="G50" s="81"/>
      <c r="H50" s="82">
        <f>+'CC D'!I33</f>
        <v>100000</v>
      </c>
      <c r="I50" s="82">
        <f>+'CC D'!J33</f>
        <v>0</v>
      </c>
      <c r="J50" s="82">
        <f>+'CC D'!K33</f>
        <v>100000</v>
      </c>
      <c r="K50" s="82" t="str">
        <f>+'CC D'!G33</f>
        <v>UEP</v>
      </c>
      <c r="L50" s="396"/>
      <c r="M50" s="396"/>
      <c r="N50" s="396"/>
      <c r="O50" s="396"/>
      <c r="P50" s="396"/>
      <c r="Q50" s="396"/>
      <c r="R50" s="396"/>
      <c r="S50" s="396"/>
      <c r="T50" s="396"/>
      <c r="U50" s="396"/>
      <c r="V50" s="396"/>
      <c r="W50" s="396"/>
      <c r="X50" s="396"/>
      <c r="Y50" s="396"/>
      <c r="Z50" s="396"/>
      <c r="AA50" s="396"/>
      <c r="AB50" s="396"/>
      <c r="AC50" s="396"/>
      <c r="AD50" s="396"/>
      <c r="AE50" s="396"/>
      <c r="AF50" s="396"/>
      <c r="AG50" s="396"/>
      <c r="AH50" s="396"/>
      <c r="AI50" s="396"/>
      <c r="AJ50" s="396"/>
      <c r="AK50" s="396"/>
      <c r="AL50" s="396"/>
      <c r="AM50" s="396"/>
      <c r="AN50" s="396"/>
      <c r="AO50" s="396"/>
      <c r="AP50" s="396"/>
      <c r="AQ50" s="396"/>
      <c r="AR50" s="396"/>
      <c r="AS50" s="396"/>
      <c r="AT50" s="396"/>
      <c r="AU50" s="396"/>
      <c r="AV50" s="396"/>
      <c r="AW50" s="396"/>
      <c r="AX50" s="396"/>
      <c r="AY50" s="396"/>
      <c r="AZ50" s="396"/>
      <c r="BA50" s="396"/>
      <c r="BB50" s="396"/>
      <c r="BC50" s="396"/>
      <c r="BD50" s="396"/>
      <c r="BE50" s="396"/>
      <c r="BF50" s="396"/>
      <c r="BG50" s="396"/>
      <c r="BH50" s="396"/>
      <c r="BI50" s="396"/>
      <c r="BJ50" s="396"/>
      <c r="BK50" s="396"/>
      <c r="BL50" s="396"/>
      <c r="BM50" s="396"/>
      <c r="BN50" s="396"/>
      <c r="BO50" s="396"/>
      <c r="BP50" s="396"/>
      <c r="BQ50" s="396"/>
      <c r="BR50" s="396"/>
      <c r="BS50" s="396"/>
      <c r="BT50" s="396"/>
      <c r="BU50" s="396"/>
      <c r="BV50" s="396"/>
      <c r="BW50" s="396"/>
      <c r="BX50" s="396"/>
      <c r="BY50" s="396"/>
      <c r="BZ50" s="396"/>
      <c r="CA50" s="396"/>
      <c r="CB50" s="396"/>
      <c r="CC50" s="396"/>
      <c r="CD50" s="396"/>
      <c r="CE50" s="396"/>
    </row>
    <row r="51" spans="1:83" s="69" customFormat="1" x14ac:dyDescent="0.25">
      <c r="A51" s="83" t="str">
        <f>+'CC D'!A34</f>
        <v>3.2.1</v>
      </c>
      <c r="B51" s="84" t="str">
        <f>+'CC D'!B34</f>
        <v>Contratación de Firma Consultora para la Auditoria Externa del Programa</v>
      </c>
      <c r="C51" s="84"/>
      <c r="D51" s="85" t="str">
        <f>+'CC D'!H34</f>
        <v>50 meses</v>
      </c>
      <c r="E51" s="85" t="s">
        <v>63</v>
      </c>
      <c r="F51" s="85" t="s">
        <v>69</v>
      </c>
      <c r="G51" s="85" t="s">
        <v>68</v>
      </c>
      <c r="H51" s="86">
        <f>+'CC D'!I34</f>
        <v>100000</v>
      </c>
      <c r="I51" s="86">
        <f>+'CC D'!J34</f>
        <v>0</v>
      </c>
      <c r="J51" s="86">
        <f>+'CC D'!K34</f>
        <v>100000</v>
      </c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87"/>
      <c r="AD51" s="87"/>
      <c r="AE51" s="88"/>
      <c r="AF51" s="88"/>
      <c r="AG51" s="88"/>
      <c r="AH51" s="89">
        <v>1</v>
      </c>
      <c r="AI51" s="89">
        <v>2</v>
      </c>
      <c r="AJ51" s="89">
        <v>3</v>
      </c>
      <c r="AK51" s="89">
        <v>4</v>
      </c>
      <c r="AL51" s="89">
        <v>5</v>
      </c>
      <c r="AM51" s="89">
        <v>6</v>
      </c>
      <c r="AN51" s="89">
        <v>7</v>
      </c>
      <c r="AO51" s="89">
        <v>8</v>
      </c>
      <c r="AP51" s="89">
        <v>9</v>
      </c>
      <c r="AQ51" s="89">
        <v>10</v>
      </c>
      <c r="AR51" s="89">
        <v>11</v>
      </c>
      <c r="AS51" s="89">
        <v>12</v>
      </c>
      <c r="AT51" s="89">
        <v>13</v>
      </c>
      <c r="AU51" s="89">
        <v>14</v>
      </c>
      <c r="AV51" s="89">
        <v>15</v>
      </c>
      <c r="AW51" s="89">
        <v>16</v>
      </c>
      <c r="AX51" s="89">
        <v>17</v>
      </c>
      <c r="AY51" s="89">
        <v>18</v>
      </c>
      <c r="AZ51" s="89">
        <v>19</v>
      </c>
      <c r="BA51" s="89">
        <v>20</v>
      </c>
      <c r="BB51" s="89">
        <v>21</v>
      </c>
      <c r="BC51" s="89">
        <v>22</v>
      </c>
      <c r="BD51" s="89">
        <v>23</v>
      </c>
      <c r="BE51" s="89">
        <v>24</v>
      </c>
      <c r="BF51" s="89">
        <v>25</v>
      </c>
      <c r="BG51" s="89">
        <v>26</v>
      </c>
      <c r="BH51" s="89">
        <v>27</v>
      </c>
      <c r="BI51" s="89">
        <v>28</v>
      </c>
      <c r="BJ51" s="89">
        <v>29</v>
      </c>
      <c r="BK51" s="89">
        <v>30</v>
      </c>
      <c r="BL51" s="89">
        <v>31</v>
      </c>
      <c r="BM51" s="89">
        <v>32</v>
      </c>
      <c r="BN51" s="89">
        <v>33</v>
      </c>
      <c r="BO51" s="89">
        <v>34</v>
      </c>
      <c r="BP51" s="89">
        <v>35</v>
      </c>
      <c r="BQ51" s="89">
        <v>36</v>
      </c>
      <c r="BR51" s="89">
        <v>37</v>
      </c>
      <c r="BS51" s="89">
        <v>38</v>
      </c>
      <c r="BT51" s="89">
        <v>39</v>
      </c>
      <c r="BU51" s="89">
        <v>40</v>
      </c>
      <c r="BV51" s="89">
        <v>41</v>
      </c>
      <c r="BW51" s="89">
        <v>42</v>
      </c>
      <c r="BX51" s="89">
        <v>43</v>
      </c>
      <c r="BY51" s="89">
        <v>44</v>
      </c>
      <c r="BZ51" s="89">
        <v>45</v>
      </c>
      <c r="CA51" s="89">
        <v>46</v>
      </c>
      <c r="CB51" s="89">
        <v>47</v>
      </c>
      <c r="CC51" s="89">
        <v>48</v>
      </c>
      <c r="CD51" s="89">
        <v>49</v>
      </c>
      <c r="CE51" s="89">
        <v>50</v>
      </c>
    </row>
  </sheetData>
  <mergeCells count="42">
    <mergeCell ref="L8:N8"/>
    <mergeCell ref="O8:Q8"/>
    <mergeCell ref="R8:T8"/>
    <mergeCell ref="U8:W8"/>
    <mergeCell ref="BT7:CE7"/>
    <mergeCell ref="BT8:BV8"/>
    <mergeCell ref="BW8:BY8"/>
    <mergeCell ref="BZ8:CB8"/>
    <mergeCell ref="CC8:CE8"/>
    <mergeCell ref="AV7:BG7"/>
    <mergeCell ref="BH7:BS7"/>
    <mergeCell ref="BK8:BM8"/>
    <mergeCell ref="BN8:BP8"/>
    <mergeCell ref="BQ8:BS8"/>
    <mergeCell ref="A1:B1"/>
    <mergeCell ref="A2:B2"/>
    <mergeCell ref="A4:B4"/>
    <mergeCell ref="A6:B6"/>
    <mergeCell ref="X7:AI7"/>
    <mergeCell ref="L7:W7"/>
    <mergeCell ref="A8:A9"/>
    <mergeCell ref="B8:B9"/>
    <mergeCell ref="D8:D9"/>
    <mergeCell ref="E8:E9"/>
    <mergeCell ref="F8:F9"/>
    <mergeCell ref="C8:C9"/>
    <mergeCell ref="G8:G9"/>
    <mergeCell ref="X8:Z8"/>
    <mergeCell ref="AJ7:AU7"/>
    <mergeCell ref="BH8:BJ8"/>
    <mergeCell ref="AA8:AC8"/>
    <mergeCell ref="AD8:AF8"/>
    <mergeCell ref="AG8:AI8"/>
    <mergeCell ref="AJ8:AL8"/>
    <mergeCell ref="AM8:AO8"/>
    <mergeCell ref="AP8:AR8"/>
    <mergeCell ref="AS8:AU8"/>
    <mergeCell ref="AV8:AX8"/>
    <mergeCell ref="AY8:BA8"/>
    <mergeCell ref="BB8:BD8"/>
    <mergeCell ref="BE8:BG8"/>
    <mergeCell ref="H7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Y82"/>
  <sheetViews>
    <sheetView topLeftCell="B1" zoomScale="55" zoomScaleNormal="55" workbookViewId="0">
      <selection activeCell="M12" sqref="M12"/>
    </sheetView>
  </sheetViews>
  <sheetFormatPr defaultColWidth="9.109375" defaultRowHeight="13.8" x14ac:dyDescent="0.25"/>
  <cols>
    <col min="1" max="1" width="6" style="256" hidden="1" customWidth="1"/>
    <col min="2" max="2" width="15.5546875" style="256" customWidth="1"/>
    <col min="3" max="3" width="38.88671875" style="258" customWidth="1"/>
    <col min="4" max="4" width="15.109375" style="259" customWidth="1"/>
    <col min="5" max="5" width="18" style="256" customWidth="1"/>
    <col min="6" max="6" width="9.44140625" style="256" customWidth="1"/>
    <col min="7" max="7" width="17" style="260" customWidth="1"/>
    <col min="8" max="8" width="16.109375" style="256" customWidth="1"/>
    <col min="9" max="9" width="11" style="256" customWidth="1"/>
    <col min="10" max="10" width="26.33203125" style="256" customWidth="1"/>
    <col min="11" max="11" width="14.5546875" style="256" customWidth="1"/>
    <col min="12" max="12" width="17.88671875" style="261" customWidth="1"/>
    <col min="13" max="13" width="18.109375" style="261" customWidth="1"/>
    <col min="14" max="14" width="18.44140625" style="259" customWidth="1"/>
    <col min="15" max="15" width="34.33203125" style="256" customWidth="1"/>
    <col min="16" max="16" width="21" style="256" customWidth="1"/>
    <col min="17" max="17" width="9.109375" style="262"/>
    <col min="18" max="18" width="68.5546875" style="262" hidden="1" customWidth="1"/>
    <col min="19" max="19" width="57.44140625" style="262" hidden="1" customWidth="1"/>
    <col min="20" max="207" width="9.109375" style="262"/>
    <col min="208" max="16384" width="9.109375" style="256"/>
  </cols>
  <sheetData>
    <row r="1" spans="1:207" x14ac:dyDescent="0.3">
      <c r="B1" s="257" t="s">
        <v>368</v>
      </c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256"/>
      <c r="EK1" s="256"/>
      <c r="EL1" s="256"/>
      <c r="EM1" s="256"/>
      <c r="EN1" s="256"/>
      <c r="EO1" s="256"/>
      <c r="EP1" s="256"/>
      <c r="EQ1" s="256"/>
      <c r="ER1" s="256"/>
      <c r="ES1" s="256"/>
      <c r="ET1" s="256"/>
      <c r="EU1" s="256"/>
      <c r="EV1" s="256"/>
      <c r="EW1" s="256"/>
      <c r="EX1" s="256"/>
      <c r="EY1" s="256"/>
      <c r="EZ1" s="256"/>
      <c r="FA1" s="256"/>
      <c r="FB1" s="256"/>
      <c r="FC1" s="256"/>
      <c r="FD1" s="256"/>
      <c r="FE1" s="256"/>
      <c r="FF1" s="256"/>
      <c r="FG1" s="256"/>
      <c r="FH1" s="256"/>
      <c r="FI1" s="256"/>
      <c r="FJ1" s="256"/>
      <c r="FK1" s="256"/>
      <c r="FL1" s="256"/>
      <c r="FM1" s="256"/>
      <c r="FN1" s="256"/>
      <c r="FO1" s="256"/>
      <c r="FP1" s="256"/>
      <c r="FQ1" s="256"/>
      <c r="FR1" s="256"/>
      <c r="FS1" s="256"/>
      <c r="FT1" s="256"/>
      <c r="FU1" s="256"/>
      <c r="FV1" s="256"/>
      <c r="FW1" s="256"/>
      <c r="FX1" s="256"/>
      <c r="FY1" s="256"/>
      <c r="FZ1" s="256"/>
      <c r="GA1" s="256"/>
      <c r="GB1" s="256"/>
      <c r="GC1" s="256"/>
      <c r="GD1" s="256"/>
      <c r="GE1" s="256"/>
      <c r="GF1" s="256"/>
      <c r="GG1" s="256"/>
      <c r="GH1" s="256"/>
      <c r="GI1" s="256"/>
      <c r="GJ1" s="256"/>
      <c r="GK1" s="256"/>
      <c r="GL1" s="256"/>
      <c r="GM1" s="256"/>
      <c r="GN1" s="256"/>
      <c r="GO1" s="256"/>
      <c r="GP1" s="256"/>
      <c r="GQ1" s="256"/>
      <c r="GR1" s="256"/>
      <c r="GS1" s="256"/>
      <c r="GT1" s="256"/>
      <c r="GU1" s="256"/>
      <c r="GV1" s="256"/>
      <c r="GW1" s="256"/>
      <c r="GX1" s="256"/>
      <c r="GY1" s="256"/>
    </row>
    <row r="2" spans="1:207" x14ac:dyDescent="0.3">
      <c r="B2" s="257" t="s">
        <v>1</v>
      </c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F2" s="256"/>
      <c r="BG2" s="256"/>
      <c r="BH2" s="256"/>
      <c r="BI2" s="256"/>
      <c r="BJ2" s="256"/>
      <c r="BK2" s="256"/>
      <c r="BL2" s="256"/>
      <c r="BM2" s="256"/>
      <c r="BN2" s="256"/>
      <c r="BO2" s="256"/>
      <c r="BP2" s="256"/>
      <c r="BQ2" s="256"/>
      <c r="BR2" s="256"/>
      <c r="BS2" s="256"/>
      <c r="BT2" s="256"/>
      <c r="BU2" s="256"/>
      <c r="BV2" s="256"/>
      <c r="BW2" s="256"/>
      <c r="BX2" s="256"/>
      <c r="BY2" s="256"/>
      <c r="BZ2" s="256"/>
      <c r="CA2" s="256"/>
      <c r="CB2" s="256"/>
      <c r="CC2" s="256"/>
      <c r="CD2" s="256"/>
      <c r="CE2" s="256"/>
      <c r="CF2" s="256"/>
      <c r="CG2" s="256"/>
      <c r="CH2" s="256"/>
      <c r="CI2" s="256"/>
      <c r="CJ2" s="256"/>
      <c r="CK2" s="256"/>
      <c r="CL2" s="256"/>
      <c r="CM2" s="256"/>
      <c r="CN2" s="256"/>
      <c r="CO2" s="256"/>
      <c r="CP2" s="256"/>
      <c r="CQ2" s="256"/>
      <c r="CR2" s="256"/>
      <c r="CS2" s="256"/>
      <c r="CT2" s="256"/>
      <c r="CU2" s="256"/>
      <c r="CV2" s="256"/>
      <c r="CW2" s="256"/>
      <c r="CX2" s="256"/>
      <c r="CY2" s="256"/>
      <c r="CZ2" s="256"/>
      <c r="DA2" s="256"/>
      <c r="DB2" s="256"/>
      <c r="DC2" s="256"/>
      <c r="DD2" s="256"/>
      <c r="DE2" s="256"/>
      <c r="DF2" s="256"/>
      <c r="DG2" s="256"/>
      <c r="DH2" s="256"/>
      <c r="DI2" s="256"/>
      <c r="DJ2" s="256"/>
      <c r="DK2" s="256"/>
      <c r="DL2" s="256"/>
      <c r="DM2" s="256"/>
      <c r="DN2" s="256"/>
      <c r="DO2" s="256"/>
      <c r="DP2" s="256"/>
      <c r="DQ2" s="256"/>
      <c r="DR2" s="256"/>
      <c r="DS2" s="256"/>
      <c r="DT2" s="256"/>
      <c r="DU2" s="256"/>
      <c r="DV2" s="256"/>
      <c r="DW2" s="256"/>
      <c r="DX2" s="256"/>
      <c r="DY2" s="256"/>
      <c r="DZ2" s="256"/>
      <c r="EA2" s="256"/>
      <c r="EB2" s="256"/>
      <c r="EC2" s="256"/>
      <c r="ED2" s="256"/>
      <c r="EE2" s="256"/>
      <c r="EF2" s="256"/>
      <c r="EG2" s="256"/>
      <c r="EH2" s="256"/>
      <c r="EI2" s="256"/>
      <c r="EJ2" s="256"/>
      <c r="EK2" s="256"/>
      <c r="EL2" s="256"/>
      <c r="EM2" s="256"/>
      <c r="EN2" s="256"/>
      <c r="EO2" s="256"/>
      <c r="EP2" s="256"/>
      <c r="EQ2" s="256"/>
      <c r="ER2" s="256"/>
      <c r="ES2" s="256"/>
      <c r="ET2" s="256"/>
      <c r="EU2" s="256"/>
      <c r="EV2" s="256"/>
      <c r="EW2" s="256"/>
      <c r="EX2" s="256"/>
      <c r="EY2" s="256"/>
      <c r="EZ2" s="256"/>
      <c r="FA2" s="256"/>
      <c r="FB2" s="256"/>
      <c r="FC2" s="256"/>
      <c r="FD2" s="256"/>
      <c r="FE2" s="256"/>
      <c r="FF2" s="256"/>
      <c r="FG2" s="256"/>
      <c r="FH2" s="256"/>
      <c r="FI2" s="256"/>
      <c r="FJ2" s="256"/>
      <c r="FK2" s="256"/>
      <c r="FL2" s="256"/>
      <c r="FM2" s="256"/>
      <c r="FN2" s="256"/>
      <c r="FO2" s="256"/>
      <c r="FP2" s="256"/>
      <c r="FQ2" s="256"/>
      <c r="FR2" s="256"/>
      <c r="FS2" s="256"/>
      <c r="FT2" s="256"/>
      <c r="FU2" s="256"/>
      <c r="FV2" s="256"/>
      <c r="FW2" s="256"/>
      <c r="FX2" s="256"/>
      <c r="FY2" s="256"/>
      <c r="FZ2" s="256"/>
      <c r="GA2" s="256"/>
      <c r="GB2" s="256"/>
      <c r="GC2" s="256"/>
      <c r="GD2" s="256"/>
      <c r="GE2" s="256"/>
      <c r="GF2" s="256"/>
      <c r="GG2" s="256"/>
      <c r="GH2" s="256"/>
      <c r="GI2" s="256"/>
      <c r="GJ2" s="256"/>
      <c r="GK2" s="256"/>
      <c r="GL2" s="256"/>
      <c r="GM2" s="256"/>
      <c r="GN2" s="256"/>
      <c r="GO2" s="256"/>
      <c r="GP2" s="256"/>
      <c r="GQ2" s="256"/>
      <c r="GR2" s="256"/>
      <c r="GS2" s="256"/>
      <c r="GT2" s="256"/>
      <c r="GU2" s="256"/>
      <c r="GV2" s="256"/>
      <c r="GW2" s="256"/>
      <c r="GX2" s="256"/>
      <c r="GY2" s="256"/>
    </row>
    <row r="3" spans="1:207" x14ac:dyDescent="0.3">
      <c r="B3" s="263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6"/>
      <c r="BP3" s="256"/>
      <c r="BQ3" s="256"/>
      <c r="BR3" s="256"/>
      <c r="BS3" s="256"/>
      <c r="BT3" s="256"/>
      <c r="BU3" s="256"/>
      <c r="BV3" s="256"/>
      <c r="BW3" s="256"/>
      <c r="BX3" s="256"/>
      <c r="BY3" s="256"/>
      <c r="BZ3" s="256"/>
      <c r="CA3" s="256"/>
      <c r="CB3" s="256"/>
      <c r="CC3" s="256"/>
      <c r="CD3" s="256"/>
      <c r="CE3" s="256"/>
      <c r="CF3" s="256"/>
      <c r="CG3" s="256"/>
      <c r="CH3" s="256"/>
      <c r="CI3" s="256"/>
      <c r="CJ3" s="256"/>
      <c r="CK3" s="256"/>
      <c r="CL3" s="256"/>
      <c r="CM3" s="256"/>
      <c r="CN3" s="256"/>
      <c r="CO3" s="256"/>
      <c r="CP3" s="256"/>
      <c r="CQ3" s="256"/>
      <c r="CR3" s="256"/>
      <c r="CS3" s="256"/>
      <c r="CT3" s="256"/>
      <c r="CU3" s="256"/>
      <c r="CV3" s="256"/>
      <c r="CW3" s="256"/>
      <c r="CX3" s="256"/>
      <c r="CY3" s="256"/>
      <c r="CZ3" s="256"/>
      <c r="DA3" s="256"/>
      <c r="DB3" s="256"/>
      <c r="DC3" s="256"/>
      <c r="DD3" s="256"/>
      <c r="DE3" s="256"/>
      <c r="DF3" s="256"/>
      <c r="DG3" s="256"/>
      <c r="DH3" s="256"/>
      <c r="DI3" s="256"/>
      <c r="DJ3" s="256"/>
      <c r="DK3" s="256"/>
      <c r="DL3" s="256"/>
      <c r="DM3" s="256"/>
      <c r="DN3" s="256"/>
      <c r="DO3" s="256"/>
      <c r="DP3" s="256"/>
      <c r="DQ3" s="256"/>
      <c r="DR3" s="256"/>
      <c r="DS3" s="256"/>
      <c r="DT3" s="256"/>
      <c r="DU3" s="256"/>
      <c r="DV3" s="256"/>
      <c r="DW3" s="256"/>
      <c r="DX3" s="256"/>
      <c r="DY3" s="256"/>
      <c r="DZ3" s="256"/>
      <c r="EA3" s="256"/>
      <c r="EB3" s="256"/>
      <c r="EC3" s="256"/>
      <c r="ED3" s="256"/>
      <c r="EE3" s="256"/>
      <c r="EF3" s="256"/>
      <c r="EG3" s="256"/>
      <c r="EH3" s="256"/>
      <c r="EI3" s="256"/>
      <c r="EJ3" s="256"/>
      <c r="EK3" s="256"/>
      <c r="EL3" s="256"/>
      <c r="EM3" s="256"/>
      <c r="EN3" s="256"/>
      <c r="EO3" s="256"/>
      <c r="EP3" s="256"/>
      <c r="EQ3" s="256"/>
      <c r="ER3" s="256"/>
      <c r="ES3" s="256"/>
      <c r="ET3" s="256"/>
      <c r="EU3" s="256"/>
      <c r="EV3" s="256"/>
      <c r="EW3" s="256"/>
      <c r="EX3" s="256"/>
      <c r="EY3" s="256"/>
      <c r="EZ3" s="256"/>
      <c r="FA3" s="256"/>
      <c r="FB3" s="256"/>
      <c r="FC3" s="256"/>
      <c r="FD3" s="256"/>
      <c r="FE3" s="256"/>
      <c r="FF3" s="256"/>
      <c r="FG3" s="256"/>
      <c r="FH3" s="256"/>
      <c r="FI3" s="256"/>
      <c r="FJ3" s="256"/>
      <c r="FK3" s="256"/>
      <c r="FL3" s="256"/>
      <c r="FM3" s="256"/>
      <c r="FN3" s="256"/>
      <c r="FO3" s="256"/>
      <c r="FP3" s="256"/>
      <c r="FQ3" s="256"/>
      <c r="FR3" s="256"/>
      <c r="FS3" s="256"/>
      <c r="FT3" s="256"/>
      <c r="FU3" s="256"/>
      <c r="FV3" s="256"/>
      <c r="FW3" s="256"/>
      <c r="FX3" s="256"/>
      <c r="FY3" s="256"/>
      <c r="FZ3" s="256"/>
      <c r="GA3" s="256"/>
      <c r="GB3" s="256"/>
      <c r="GC3" s="256"/>
      <c r="GD3" s="256"/>
      <c r="GE3" s="256"/>
      <c r="GF3" s="256"/>
      <c r="GG3" s="256"/>
      <c r="GH3" s="256"/>
      <c r="GI3" s="256"/>
      <c r="GJ3" s="256"/>
      <c r="GK3" s="256"/>
      <c r="GL3" s="256"/>
      <c r="GM3" s="256"/>
      <c r="GN3" s="256"/>
      <c r="GO3" s="256"/>
      <c r="GP3" s="256"/>
      <c r="GQ3" s="256"/>
      <c r="GR3" s="256"/>
      <c r="GS3" s="256"/>
      <c r="GT3" s="256"/>
      <c r="GU3" s="256"/>
      <c r="GV3" s="256"/>
      <c r="GW3" s="256"/>
      <c r="GX3" s="256"/>
      <c r="GY3" s="256"/>
    </row>
    <row r="4" spans="1:207" x14ac:dyDescent="0.3">
      <c r="B4" s="366" t="str">
        <f>'CC D'!A4</f>
        <v>Operación:</v>
      </c>
      <c r="C4" s="537" t="s">
        <v>369</v>
      </c>
      <c r="D4" s="537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6"/>
      <c r="BP4" s="256"/>
      <c r="BQ4" s="256"/>
      <c r="BR4" s="256"/>
      <c r="BS4" s="256"/>
      <c r="BT4" s="256"/>
      <c r="BU4" s="256"/>
      <c r="BV4" s="256"/>
      <c r="BW4" s="256"/>
      <c r="BX4" s="256"/>
      <c r="BY4" s="256"/>
      <c r="BZ4" s="256"/>
      <c r="CA4" s="256"/>
      <c r="CB4" s="256"/>
      <c r="CC4" s="256"/>
      <c r="CD4" s="256"/>
      <c r="CE4" s="256"/>
      <c r="CF4" s="256"/>
      <c r="CG4" s="256"/>
      <c r="CH4" s="256"/>
      <c r="CI4" s="256"/>
      <c r="CJ4" s="256"/>
      <c r="CK4" s="256"/>
      <c r="CL4" s="256"/>
      <c r="CM4" s="256"/>
      <c r="CN4" s="256"/>
      <c r="CO4" s="256"/>
      <c r="CP4" s="256"/>
      <c r="CQ4" s="256"/>
      <c r="CR4" s="256"/>
      <c r="CS4" s="256"/>
      <c r="CT4" s="256"/>
      <c r="CU4" s="256"/>
      <c r="CV4" s="256"/>
      <c r="CW4" s="256"/>
      <c r="CX4" s="256"/>
      <c r="CY4" s="256"/>
      <c r="CZ4" s="256"/>
      <c r="DA4" s="256"/>
      <c r="DB4" s="256"/>
      <c r="DC4" s="256"/>
      <c r="DD4" s="256"/>
      <c r="DE4" s="256"/>
      <c r="DF4" s="256"/>
      <c r="DG4" s="256"/>
      <c r="DH4" s="256"/>
      <c r="DI4" s="256"/>
      <c r="DJ4" s="256"/>
      <c r="DK4" s="256"/>
      <c r="DL4" s="256"/>
      <c r="DM4" s="256"/>
      <c r="DN4" s="256"/>
      <c r="DO4" s="256"/>
      <c r="DP4" s="256"/>
      <c r="DQ4" s="256"/>
      <c r="DR4" s="256"/>
      <c r="DS4" s="256"/>
      <c r="DT4" s="256"/>
      <c r="DU4" s="256"/>
      <c r="DV4" s="256"/>
      <c r="DW4" s="256"/>
      <c r="DX4" s="256"/>
      <c r="DY4" s="256"/>
      <c r="DZ4" s="256"/>
      <c r="EA4" s="256"/>
      <c r="EB4" s="256"/>
      <c r="EC4" s="256"/>
      <c r="ED4" s="256"/>
      <c r="EE4" s="256"/>
      <c r="EF4" s="256"/>
      <c r="EG4" s="256"/>
      <c r="EH4" s="256"/>
      <c r="EI4" s="256"/>
      <c r="EJ4" s="256"/>
      <c r="EK4" s="256"/>
      <c r="EL4" s="256"/>
      <c r="EM4" s="256"/>
      <c r="EN4" s="256"/>
      <c r="EO4" s="256"/>
      <c r="EP4" s="256"/>
      <c r="EQ4" s="256"/>
      <c r="ER4" s="256"/>
      <c r="ES4" s="256"/>
      <c r="ET4" s="256"/>
      <c r="EU4" s="256"/>
      <c r="EV4" s="256"/>
      <c r="EW4" s="256"/>
      <c r="EX4" s="256"/>
      <c r="EY4" s="256"/>
      <c r="EZ4" s="256"/>
      <c r="FA4" s="256"/>
      <c r="FB4" s="256"/>
      <c r="FC4" s="256"/>
      <c r="FD4" s="256"/>
      <c r="FE4" s="256"/>
      <c r="FF4" s="256"/>
      <c r="FG4" s="256"/>
      <c r="FH4" s="256"/>
      <c r="FI4" s="256"/>
      <c r="FJ4" s="256"/>
      <c r="FK4" s="256"/>
      <c r="FL4" s="256"/>
      <c r="FM4" s="256"/>
      <c r="FN4" s="256"/>
      <c r="FO4" s="256"/>
      <c r="FP4" s="256"/>
      <c r="FQ4" s="256"/>
      <c r="FR4" s="256"/>
      <c r="FS4" s="256"/>
      <c r="FT4" s="256"/>
      <c r="FU4" s="256"/>
      <c r="FV4" s="256"/>
      <c r="FW4" s="256"/>
      <c r="FX4" s="256"/>
      <c r="FY4" s="256"/>
      <c r="FZ4" s="256"/>
      <c r="GA4" s="256"/>
      <c r="GB4" s="256"/>
      <c r="GC4" s="256"/>
      <c r="GD4" s="256"/>
      <c r="GE4" s="256"/>
      <c r="GF4" s="256"/>
      <c r="GG4" s="256"/>
      <c r="GH4" s="256"/>
      <c r="GI4" s="256"/>
      <c r="GJ4" s="256"/>
      <c r="GK4" s="256"/>
      <c r="GL4" s="256"/>
      <c r="GM4" s="256"/>
      <c r="GN4" s="256"/>
      <c r="GO4" s="256"/>
      <c r="GP4" s="256"/>
      <c r="GQ4" s="256"/>
      <c r="GR4" s="256"/>
      <c r="GS4" s="256"/>
      <c r="GT4" s="256"/>
      <c r="GU4" s="256"/>
      <c r="GV4" s="256"/>
      <c r="GW4" s="256"/>
      <c r="GX4" s="256"/>
      <c r="GY4" s="256"/>
    </row>
    <row r="5" spans="1:207" x14ac:dyDescent="0.3">
      <c r="B5" s="263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6"/>
      <c r="BF5" s="256"/>
      <c r="BG5" s="256"/>
      <c r="BH5" s="256"/>
      <c r="BI5" s="256"/>
      <c r="BJ5" s="256"/>
      <c r="BK5" s="256"/>
      <c r="BL5" s="256"/>
      <c r="BM5" s="256"/>
      <c r="BN5" s="256"/>
      <c r="BO5" s="256"/>
      <c r="BP5" s="256"/>
      <c r="BQ5" s="256"/>
      <c r="BR5" s="256"/>
      <c r="BS5" s="256"/>
      <c r="BT5" s="256"/>
      <c r="BU5" s="256"/>
      <c r="BV5" s="256"/>
      <c r="BW5" s="256"/>
      <c r="BX5" s="256"/>
      <c r="BY5" s="256"/>
      <c r="BZ5" s="256"/>
      <c r="CA5" s="256"/>
      <c r="CB5" s="256"/>
      <c r="CC5" s="256"/>
      <c r="CD5" s="256"/>
      <c r="CE5" s="256"/>
      <c r="CF5" s="256"/>
      <c r="CG5" s="256"/>
      <c r="CH5" s="256"/>
      <c r="CI5" s="256"/>
      <c r="CJ5" s="256"/>
      <c r="CK5" s="256"/>
      <c r="CL5" s="256"/>
      <c r="CM5" s="256"/>
      <c r="CN5" s="256"/>
      <c r="CO5" s="256"/>
      <c r="CP5" s="256"/>
      <c r="CQ5" s="256"/>
      <c r="CR5" s="256"/>
      <c r="CS5" s="256"/>
      <c r="CT5" s="256"/>
      <c r="CU5" s="256"/>
      <c r="CV5" s="256"/>
      <c r="CW5" s="256"/>
      <c r="CX5" s="256"/>
      <c r="CY5" s="256"/>
      <c r="CZ5" s="256"/>
      <c r="DA5" s="256"/>
      <c r="DB5" s="256"/>
      <c r="DC5" s="256"/>
      <c r="DD5" s="256"/>
      <c r="DE5" s="256"/>
      <c r="DF5" s="256"/>
      <c r="DG5" s="256"/>
      <c r="DH5" s="256"/>
      <c r="DI5" s="256"/>
      <c r="DJ5" s="256"/>
      <c r="DK5" s="256"/>
      <c r="DL5" s="256"/>
      <c r="DM5" s="256"/>
      <c r="DN5" s="256"/>
      <c r="DO5" s="256"/>
      <c r="DP5" s="256"/>
      <c r="DQ5" s="256"/>
      <c r="DR5" s="256"/>
      <c r="DS5" s="256"/>
      <c r="DT5" s="256"/>
      <c r="DU5" s="256"/>
      <c r="DV5" s="256"/>
      <c r="DW5" s="256"/>
      <c r="DX5" s="256"/>
      <c r="DY5" s="256"/>
      <c r="DZ5" s="256"/>
      <c r="EA5" s="256"/>
      <c r="EB5" s="256"/>
      <c r="EC5" s="256"/>
      <c r="ED5" s="256"/>
      <c r="EE5" s="256"/>
      <c r="EF5" s="256"/>
      <c r="EG5" s="256"/>
      <c r="EH5" s="256"/>
      <c r="EI5" s="256"/>
      <c r="EJ5" s="256"/>
      <c r="EK5" s="256"/>
      <c r="EL5" s="256"/>
      <c r="EM5" s="256"/>
      <c r="EN5" s="256"/>
      <c r="EO5" s="256"/>
      <c r="EP5" s="256"/>
      <c r="EQ5" s="256"/>
      <c r="ER5" s="256"/>
      <c r="ES5" s="256"/>
      <c r="ET5" s="256"/>
      <c r="EU5" s="256"/>
      <c r="EV5" s="256"/>
      <c r="EW5" s="256"/>
      <c r="EX5" s="256"/>
      <c r="EY5" s="256"/>
      <c r="EZ5" s="256"/>
      <c r="FA5" s="256"/>
      <c r="FB5" s="256"/>
      <c r="FC5" s="256"/>
      <c r="FD5" s="256"/>
      <c r="FE5" s="256"/>
      <c r="FF5" s="256"/>
      <c r="FG5" s="256"/>
      <c r="FH5" s="256"/>
      <c r="FI5" s="256"/>
      <c r="FJ5" s="256"/>
      <c r="FK5" s="256"/>
      <c r="FL5" s="256"/>
      <c r="FM5" s="256"/>
      <c r="FN5" s="256"/>
      <c r="FO5" s="256"/>
      <c r="FP5" s="256"/>
      <c r="FQ5" s="256"/>
      <c r="FR5" s="256"/>
      <c r="FS5" s="256"/>
      <c r="FT5" s="256"/>
      <c r="FU5" s="256"/>
      <c r="FV5" s="256"/>
      <c r="FW5" s="256"/>
      <c r="FX5" s="256"/>
      <c r="FY5" s="256"/>
      <c r="FZ5" s="256"/>
      <c r="GA5" s="256"/>
      <c r="GB5" s="256"/>
      <c r="GC5" s="256"/>
      <c r="GD5" s="256"/>
      <c r="GE5" s="256"/>
      <c r="GF5" s="256"/>
      <c r="GG5" s="256"/>
      <c r="GH5" s="256"/>
      <c r="GI5" s="256"/>
      <c r="GJ5" s="256"/>
      <c r="GK5" s="256"/>
      <c r="GL5" s="256"/>
      <c r="GM5" s="256"/>
      <c r="GN5" s="256"/>
      <c r="GO5" s="256"/>
      <c r="GP5" s="256"/>
      <c r="GQ5" s="256"/>
      <c r="GR5" s="256"/>
      <c r="GS5" s="256"/>
      <c r="GT5" s="256"/>
      <c r="GU5" s="256"/>
      <c r="GV5" s="256"/>
      <c r="GW5" s="256"/>
      <c r="GX5" s="256"/>
      <c r="GY5" s="256"/>
    </row>
    <row r="6" spans="1:207" x14ac:dyDescent="0.3">
      <c r="B6" s="257" t="s">
        <v>186</v>
      </c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6"/>
      <c r="BF6" s="256"/>
      <c r="BG6" s="256"/>
      <c r="BH6" s="256"/>
      <c r="BI6" s="256"/>
      <c r="BJ6" s="256"/>
      <c r="BK6" s="256"/>
      <c r="BL6" s="256"/>
      <c r="BM6" s="256"/>
      <c r="BN6" s="256"/>
      <c r="BO6" s="256"/>
      <c r="BP6" s="256"/>
      <c r="BQ6" s="256"/>
      <c r="BR6" s="256"/>
      <c r="BS6" s="256"/>
      <c r="BT6" s="256"/>
      <c r="BU6" s="256"/>
      <c r="BV6" s="256"/>
      <c r="BW6" s="256"/>
      <c r="BX6" s="256"/>
      <c r="BY6" s="256"/>
      <c r="BZ6" s="256"/>
      <c r="CA6" s="256"/>
      <c r="CB6" s="256"/>
      <c r="CC6" s="256"/>
      <c r="CD6" s="256"/>
      <c r="CE6" s="256"/>
      <c r="CF6" s="256"/>
      <c r="CG6" s="256"/>
      <c r="CH6" s="256"/>
      <c r="CI6" s="256"/>
      <c r="CJ6" s="256"/>
      <c r="CK6" s="256"/>
      <c r="CL6" s="256"/>
      <c r="CM6" s="256"/>
      <c r="CN6" s="256"/>
      <c r="CO6" s="256"/>
      <c r="CP6" s="256"/>
      <c r="CQ6" s="256"/>
      <c r="CR6" s="256"/>
      <c r="CS6" s="256"/>
      <c r="CT6" s="256"/>
      <c r="CU6" s="256"/>
      <c r="CV6" s="256"/>
      <c r="CW6" s="256"/>
      <c r="CX6" s="256"/>
      <c r="CY6" s="256"/>
      <c r="CZ6" s="256"/>
      <c r="DA6" s="256"/>
      <c r="DB6" s="256"/>
      <c r="DC6" s="256"/>
      <c r="DD6" s="256"/>
      <c r="DE6" s="256"/>
      <c r="DF6" s="256"/>
      <c r="DG6" s="256"/>
      <c r="DH6" s="256"/>
      <c r="DI6" s="256"/>
      <c r="DJ6" s="256"/>
      <c r="DK6" s="256"/>
      <c r="DL6" s="256"/>
      <c r="DM6" s="256"/>
      <c r="DN6" s="256"/>
      <c r="DO6" s="256"/>
      <c r="DP6" s="256"/>
      <c r="DQ6" s="256"/>
      <c r="DR6" s="256"/>
      <c r="DS6" s="256"/>
      <c r="DT6" s="256"/>
      <c r="DU6" s="256"/>
      <c r="DV6" s="256"/>
      <c r="DW6" s="256"/>
      <c r="DX6" s="256"/>
      <c r="DY6" s="256"/>
      <c r="DZ6" s="256"/>
      <c r="EA6" s="256"/>
      <c r="EB6" s="256"/>
      <c r="EC6" s="256"/>
      <c r="ED6" s="256"/>
      <c r="EE6" s="256"/>
      <c r="EF6" s="256"/>
      <c r="EG6" s="256"/>
      <c r="EH6" s="256"/>
      <c r="EI6" s="256"/>
      <c r="EJ6" s="256"/>
      <c r="EK6" s="256"/>
      <c r="EL6" s="256"/>
      <c r="EM6" s="256"/>
      <c r="EN6" s="256"/>
      <c r="EO6" s="256"/>
      <c r="EP6" s="256"/>
      <c r="EQ6" s="256"/>
      <c r="ER6" s="256"/>
      <c r="ES6" s="256"/>
      <c r="ET6" s="256"/>
      <c r="EU6" s="256"/>
      <c r="EV6" s="256"/>
      <c r="EW6" s="256"/>
      <c r="EX6" s="256"/>
      <c r="EY6" s="256"/>
      <c r="EZ6" s="256"/>
      <c r="FA6" s="256"/>
      <c r="FB6" s="256"/>
      <c r="FC6" s="256"/>
      <c r="FD6" s="256"/>
      <c r="FE6" s="256"/>
      <c r="FF6" s="256"/>
      <c r="FG6" s="256"/>
      <c r="FH6" s="256"/>
      <c r="FI6" s="256"/>
      <c r="FJ6" s="256"/>
      <c r="FK6" s="256"/>
      <c r="FL6" s="256"/>
      <c r="FM6" s="256"/>
      <c r="FN6" s="256"/>
      <c r="FO6" s="256"/>
      <c r="FP6" s="256"/>
      <c r="FQ6" s="256"/>
      <c r="FR6" s="256"/>
      <c r="FS6" s="256"/>
      <c r="FT6" s="256"/>
      <c r="FU6" s="256"/>
      <c r="FV6" s="256"/>
      <c r="FW6" s="256"/>
      <c r="FX6" s="256"/>
      <c r="FY6" s="256"/>
      <c r="FZ6" s="256"/>
      <c r="GA6" s="256"/>
      <c r="GB6" s="256"/>
      <c r="GC6" s="256"/>
      <c r="GD6" s="256"/>
      <c r="GE6" s="256"/>
      <c r="GF6" s="256"/>
      <c r="GG6" s="256"/>
      <c r="GH6" s="256"/>
      <c r="GI6" s="256"/>
      <c r="GJ6" s="256"/>
      <c r="GK6" s="256"/>
      <c r="GL6" s="256"/>
      <c r="GM6" s="256"/>
      <c r="GN6" s="256"/>
      <c r="GO6" s="256"/>
      <c r="GP6" s="256"/>
      <c r="GQ6" s="256"/>
      <c r="GR6" s="256"/>
      <c r="GS6" s="256"/>
      <c r="GT6" s="256"/>
      <c r="GU6" s="256"/>
      <c r="GV6" s="256"/>
      <c r="GW6" s="256"/>
      <c r="GX6" s="256"/>
      <c r="GY6" s="256"/>
    </row>
    <row r="7" spans="1:207" x14ac:dyDescent="0.3">
      <c r="B7" s="257"/>
      <c r="V7" s="256"/>
      <c r="W7" s="256"/>
      <c r="X7" s="256"/>
      <c r="Y7" s="256"/>
      <c r="Z7" s="256"/>
      <c r="AA7" s="256"/>
      <c r="AB7" s="256"/>
      <c r="AC7" s="256"/>
      <c r="AD7" s="256"/>
      <c r="AE7" s="256"/>
      <c r="AF7" s="256"/>
      <c r="AG7" s="256"/>
      <c r="AH7" s="256"/>
      <c r="AI7" s="256"/>
      <c r="AJ7" s="256"/>
      <c r="AK7" s="256"/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6"/>
      <c r="BF7" s="256"/>
      <c r="BG7" s="256"/>
      <c r="BH7" s="256"/>
      <c r="BI7" s="256"/>
      <c r="BJ7" s="256"/>
      <c r="BK7" s="256"/>
      <c r="BL7" s="256"/>
      <c r="BM7" s="256"/>
      <c r="BN7" s="256"/>
      <c r="BO7" s="256"/>
      <c r="BP7" s="256"/>
      <c r="BQ7" s="256"/>
      <c r="BR7" s="256"/>
      <c r="BS7" s="256"/>
      <c r="BT7" s="256"/>
      <c r="BU7" s="256"/>
      <c r="BV7" s="256"/>
      <c r="BW7" s="256"/>
      <c r="BX7" s="256"/>
      <c r="BY7" s="256"/>
      <c r="BZ7" s="256"/>
      <c r="CA7" s="256"/>
      <c r="CB7" s="256"/>
      <c r="CC7" s="256"/>
      <c r="CD7" s="256"/>
      <c r="CE7" s="256"/>
      <c r="CF7" s="256"/>
      <c r="CG7" s="256"/>
      <c r="CH7" s="256"/>
      <c r="CI7" s="256"/>
      <c r="CJ7" s="256"/>
      <c r="CK7" s="256"/>
      <c r="CL7" s="256"/>
      <c r="CM7" s="256"/>
      <c r="CN7" s="256"/>
      <c r="CO7" s="256"/>
      <c r="CP7" s="256"/>
      <c r="CQ7" s="256"/>
      <c r="CR7" s="256"/>
      <c r="CS7" s="256"/>
      <c r="CT7" s="256"/>
      <c r="CU7" s="256"/>
      <c r="CV7" s="256"/>
      <c r="CW7" s="256"/>
      <c r="CX7" s="256"/>
      <c r="CY7" s="256"/>
      <c r="CZ7" s="256"/>
      <c r="DA7" s="256"/>
      <c r="DB7" s="256"/>
      <c r="DC7" s="256"/>
      <c r="DD7" s="256"/>
      <c r="DE7" s="256"/>
      <c r="DF7" s="256"/>
      <c r="DG7" s="256"/>
      <c r="DH7" s="256"/>
      <c r="DI7" s="256"/>
      <c r="DJ7" s="256"/>
      <c r="DK7" s="256"/>
      <c r="DL7" s="256"/>
      <c r="DM7" s="256"/>
      <c r="DN7" s="256"/>
      <c r="DO7" s="256"/>
      <c r="DP7" s="256"/>
      <c r="DQ7" s="256"/>
      <c r="DR7" s="256"/>
      <c r="DS7" s="256"/>
      <c r="DT7" s="256"/>
      <c r="DU7" s="256"/>
      <c r="DV7" s="256"/>
      <c r="DW7" s="256"/>
      <c r="DX7" s="256"/>
      <c r="DY7" s="256"/>
      <c r="DZ7" s="256"/>
      <c r="EA7" s="256"/>
      <c r="EB7" s="256"/>
      <c r="EC7" s="256"/>
      <c r="ED7" s="256"/>
      <c r="EE7" s="256"/>
      <c r="EF7" s="256"/>
      <c r="EG7" s="256"/>
      <c r="EH7" s="256"/>
      <c r="EI7" s="256"/>
      <c r="EJ7" s="256"/>
      <c r="EK7" s="256"/>
      <c r="EL7" s="256"/>
      <c r="EM7" s="256"/>
      <c r="EN7" s="256"/>
      <c r="EO7" s="256"/>
      <c r="EP7" s="256"/>
      <c r="EQ7" s="256"/>
      <c r="ER7" s="256"/>
      <c r="ES7" s="256"/>
      <c r="ET7" s="256"/>
      <c r="EU7" s="256"/>
      <c r="EV7" s="256"/>
      <c r="EW7" s="256"/>
      <c r="EX7" s="256"/>
      <c r="EY7" s="256"/>
      <c r="EZ7" s="256"/>
      <c r="FA7" s="256"/>
      <c r="FB7" s="256"/>
      <c r="FC7" s="256"/>
      <c r="FD7" s="256"/>
      <c r="FE7" s="256"/>
      <c r="FF7" s="256"/>
      <c r="FG7" s="256"/>
      <c r="FH7" s="256"/>
      <c r="FI7" s="256"/>
      <c r="FJ7" s="256"/>
      <c r="FK7" s="256"/>
      <c r="FL7" s="256"/>
      <c r="FM7" s="256"/>
      <c r="FN7" s="256"/>
      <c r="FO7" s="256"/>
      <c r="FP7" s="256"/>
      <c r="FQ7" s="256"/>
      <c r="FR7" s="256"/>
      <c r="FS7" s="256"/>
      <c r="FT7" s="256"/>
      <c r="FU7" s="256"/>
      <c r="FV7" s="256"/>
      <c r="FW7" s="256"/>
      <c r="FX7" s="256"/>
      <c r="FY7" s="256"/>
      <c r="FZ7" s="256"/>
      <c r="GA7" s="256"/>
      <c r="GB7" s="256"/>
      <c r="GC7" s="256"/>
      <c r="GD7" s="256"/>
      <c r="GE7" s="256"/>
      <c r="GF7" s="256"/>
      <c r="GG7" s="256"/>
      <c r="GH7" s="256"/>
      <c r="GI7" s="256"/>
      <c r="GJ7" s="256"/>
      <c r="GK7" s="256"/>
      <c r="GL7" s="256"/>
      <c r="GM7" s="256"/>
      <c r="GN7" s="256"/>
      <c r="GO7" s="256"/>
      <c r="GP7" s="256"/>
      <c r="GQ7" s="256"/>
      <c r="GR7" s="256"/>
      <c r="GS7" s="256"/>
      <c r="GT7" s="256"/>
      <c r="GU7" s="256"/>
      <c r="GV7" s="256"/>
      <c r="GW7" s="256"/>
      <c r="GX7" s="256"/>
      <c r="GY7" s="256"/>
    </row>
    <row r="8" spans="1:207" s="262" customFormat="1" x14ac:dyDescent="0.25">
      <c r="A8" s="256"/>
      <c r="B8" s="636" t="s">
        <v>262</v>
      </c>
      <c r="C8" s="637"/>
      <c r="D8" s="637"/>
      <c r="E8" s="637"/>
      <c r="F8" s="637"/>
      <c r="G8" s="637"/>
      <c r="H8" s="637"/>
      <c r="I8" s="637"/>
      <c r="J8" s="637"/>
      <c r="K8" s="637"/>
      <c r="L8" s="637"/>
      <c r="M8" s="637"/>
      <c r="N8" s="637"/>
      <c r="O8" s="638"/>
      <c r="P8" s="264"/>
      <c r="Q8" s="265"/>
      <c r="R8" s="266"/>
      <c r="S8" s="265"/>
      <c r="T8" s="265"/>
      <c r="U8" s="265"/>
    </row>
    <row r="9" spans="1:207" s="262" customFormat="1" x14ac:dyDescent="0.25">
      <c r="A9" s="256"/>
      <c r="B9" s="628" t="s">
        <v>263</v>
      </c>
      <c r="C9" s="639"/>
      <c r="D9" s="639"/>
      <c r="E9" s="639"/>
      <c r="F9" s="639"/>
      <c r="G9" s="639"/>
      <c r="H9" s="639"/>
      <c r="I9" s="639"/>
      <c r="J9" s="639"/>
      <c r="K9" s="639"/>
      <c r="L9" s="639"/>
      <c r="M9" s="639"/>
      <c r="N9" s="639"/>
      <c r="O9" s="639"/>
      <c r="P9" s="264"/>
      <c r="Q9" s="265"/>
      <c r="R9" s="266"/>
      <c r="S9" s="265"/>
      <c r="T9" s="265"/>
      <c r="U9" s="265"/>
    </row>
    <row r="10" spans="1:207" s="262" customFormat="1" x14ac:dyDescent="0.25">
      <c r="A10" s="256"/>
      <c r="B10" s="598" t="s">
        <v>265</v>
      </c>
      <c r="C10" s="602" t="s">
        <v>266</v>
      </c>
      <c r="D10" s="602" t="s">
        <v>267</v>
      </c>
      <c r="E10" s="598" t="s">
        <v>370</v>
      </c>
      <c r="F10" s="598" t="s">
        <v>269</v>
      </c>
      <c r="G10" s="634" t="s">
        <v>270</v>
      </c>
      <c r="H10" s="600" t="s">
        <v>271</v>
      </c>
      <c r="I10" s="600"/>
      <c r="J10" s="600"/>
      <c r="K10" s="598" t="s">
        <v>371</v>
      </c>
      <c r="L10" s="599" t="s">
        <v>372</v>
      </c>
      <c r="M10" s="598" t="s">
        <v>274</v>
      </c>
      <c r="N10" s="598"/>
      <c r="O10" s="598" t="s">
        <v>373</v>
      </c>
      <c r="P10" s="264"/>
      <c r="Q10" s="265"/>
      <c r="R10" s="267" t="s">
        <v>276</v>
      </c>
      <c r="S10" s="265"/>
      <c r="T10" s="265"/>
      <c r="U10" s="265"/>
    </row>
    <row r="11" spans="1:207" s="262" customFormat="1" ht="41.4" x14ac:dyDescent="0.25">
      <c r="A11" s="256"/>
      <c r="B11" s="598"/>
      <c r="C11" s="602"/>
      <c r="D11" s="602"/>
      <c r="E11" s="600"/>
      <c r="F11" s="598"/>
      <c r="G11" s="616"/>
      <c r="H11" s="487" t="s">
        <v>374</v>
      </c>
      <c r="I11" s="487" t="s">
        <v>278</v>
      </c>
      <c r="J11" s="487" t="s">
        <v>279</v>
      </c>
      <c r="K11" s="598"/>
      <c r="L11" s="600"/>
      <c r="M11" s="490" t="s">
        <v>280</v>
      </c>
      <c r="N11" s="488" t="s">
        <v>281</v>
      </c>
      <c r="O11" s="598"/>
      <c r="P11" s="264"/>
      <c r="Q11" s="265"/>
      <c r="R11" s="267" t="s">
        <v>282</v>
      </c>
      <c r="S11" s="265"/>
      <c r="T11" s="265"/>
      <c r="U11" s="265"/>
    </row>
    <row r="12" spans="1:207" s="262" customFormat="1" ht="51" customHeight="1" x14ac:dyDescent="0.25">
      <c r="A12" s="256"/>
      <c r="B12" s="268" t="str">
        <f>+'CC D'!G10</f>
        <v>UEP</v>
      </c>
      <c r="C12" s="269" t="str">
        <f>+'CC D'!B11</f>
        <v>Contratación de Firma Constructora para las Obras de Mejoramiento de la Ruta Nº 41</v>
      </c>
      <c r="D12" s="270" t="str">
        <f>+'CC D'!A11</f>
        <v>1.1.1</v>
      </c>
      <c r="E12" s="271" t="s">
        <v>285</v>
      </c>
      <c r="F12" s="272">
        <v>1</v>
      </c>
      <c r="G12" s="272">
        <v>1</v>
      </c>
      <c r="H12" s="272">
        <f>+'CC D'!I11</f>
        <v>72000000</v>
      </c>
      <c r="I12" s="273">
        <v>0.3</v>
      </c>
      <c r="J12" s="273">
        <f>100%-I12</f>
        <v>0.7</v>
      </c>
      <c r="K12" s="271" t="s">
        <v>375</v>
      </c>
      <c r="L12" s="274" t="s">
        <v>282</v>
      </c>
      <c r="M12" s="384" t="str">
        <f>+PEP!E28</f>
        <v>T4 - Año 0</v>
      </c>
      <c r="N12" s="384" t="str">
        <f>+PEP!F28</f>
        <v>T3 - Año 1</v>
      </c>
      <c r="O12" s="275"/>
      <c r="P12" s="264"/>
      <c r="Q12" s="265"/>
      <c r="R12" s="267" t="s">
        <v>287</v>
      </c>
      <c r="S12" s="265"/>
      <c r="T12" s="265"/>
      <c r="U12" s="265"/>
    </row>
    <row r="13" spans="1:207" s="262" customFormat="1" ht="54" customHeight="1" x14ac:dyDescent="0.25">
      <c r="A13" s="256"/>
      <c r="B13" s="268" t="s">
        <v>376</v>
      </c>
      <c r="C13" s="269" t="str">
        <f>+'CC D'!B13</f>
        <v>Contratación de Firma Constructora para las Obras de Mejoramiento de la red vial principal de la PBA (Tramo según criterio de elegibilidad)</v>
      </c>
      <c r="D13" s="270" t="str">
        <f>+'CC D'!A13</f>
        <v>1.2.1</v>
      </c>
      <c r="E13" s="271" t="s">
        <v>285</v>
      </c>
      <c r="F13" s="272">
        <v>1</v>
      </c>
      <c r="G13" s="272">
        <v>2</v>
      </c>
      <c r="H13" s="272">
        <f>+'CC D'!I13</f>
        <v>110000000</v>
      </c>
      <c r="I13" s="273">
        <v>0.3</v>
      </c>
      <c r="J13" s="273">
        <f t="shared" ref="J13" si="0">100%-I13</f>
        <v>0.7</v>
      </c>
      <c r="K13" s="271" t="s">
        <v>375</v>
      </c>
      <c r="L13" s="274" t="s">
        <v>282</v>
      </c>
      <c r="M13" s="384">
        <f>+PEP!E29</f>
        <v>0</v>
      </c>
      <c r="N13" s="384">
        <f>+PEP!F29</f>
        <v>0</v>
      </c>
      <c r="O13" s="275"/>
      <c r="P13" s="264"/>
      <c r="Q13" s="265"/>
      <c r="R13" s="267"/>
      <c r="S13" s="265"/>
      <c r="T13" s="265"/>
      <c r="U13" s="265"/>
    </row>
    <row r="14" spans="1:207" s="262" customFormat="1" ht="41.4" x14ac:dyDescent="0.25">
      <c r="A14" s="256"/>
      <c r="B14" s="268" t="s">
        <v>376</v>
      </c>
      <c r="C14" s="269" t="str">
        <f>+'CC D'!B15</f>
        <v>Contratación de Firmas Consultoras para la inspección de las Obras de la muestra del programa</v>
      </c>
      <c r="D14" s="270" t="str">
        <f>+'CC D'!A15</f>
        <v>1.3.1</v>
      </c>
      <c r="E14" s="271" t="s">
        <v>285</v>
      </c>
      <c r="F14" s="272">
        <v>1</v>
      </c>
      <c r="G14" s="272">
        <v>3</v>
      </c>
      <c r="H14" s="272">
        <f>+'CC D'!I15</f>
        <v>2700000</v>
      </c>
      <c r="I14" s="273">
        <v>0.3</v>
      </c>
      <c r="J14" s="273">
        <f>100%-I14</f>
        <v>0.7</v>
      </c>
      <c r="K14" s="271" t="s">
        <v>375</v>
      </c>
      <c r="L14" s="274" t="s">
        <v>282</v>
      </c>
      <c r="M14" s="384" t="str">
        <f>+PEP!E30</f>
        <v>T2 - Año 2</v>
      </c>
      <c r="N14" s="384" t="str">
        <f>+PEP!F30</f>
        <v>T1 - Año 3</v>
      </c>
      <c r="O14" s="275"/>
      <c r="P14" s="264"/>
      <c r="Q14" s="265"/>
      <c r="R14" s="267"/>
      <c r="S14" s="265"/>
      <c r="T14" s="265"/>
      <c r="U14" s="265"/>
    </row>
    <row r="15" spans="1:207" s="262" customFormat="1" ht="27.6" x14ac:dyDescent="0.25">
      <c r="A15" s="256"/>
      <c r="B15" s="268" t="s">
        <v>376</v>
      </c>
      <c r="C15" s="269" t="e">
        <f>+'CC D'!#REF!</f>
        <v>#REF!</v>
      </c>
      <c r="D15" s="270" t="e">
        <f>+'CC D'!#REF!</f>
        <v>#REF!</v>
      </c>
      <c r="E15" s="271" t="s">
        <v>285</v>
      </c>
      <c r="F15" s="272">
        <v>1</v>
      </c>
      <c r="G15" s="272">
        <v>4</v>
      </c>
      <c r="H15" s="272" t="e">
        <f>+'CC D'!#REF!</f>
        <v>#REF!</v>
      </c>
      <c r="I15" s="273">
        <v>0.3</v>
      </c>
      <c r="J15" s="273">
        <f>100%-I15</f>
        <v>0.7</v>
      </c>
      <c r="K15" s="271" t="s">
        <v>375</v>
      </c>
      <c r="L15" s="274" t="s">
        <v>282</v>
      </c>
      <c r="M15" s="384">
        <f>+PEP!E31</f>
        <v>0</v>
      </c>
      <c r="N15" s="384">
        <f>+PEP!F31</f>
        <v>0</v>
      </c>
      <c r="O15" s="275"/>
      <c r="P15" s="264"/>
      <c r="Q15" s="265"/>
      <c r="R15" s="267"/>
      <c r="S15" s="265"/>
      <c r="T15" s="265"/>
      <c r="U15" s="265"/>
    </row>
    <row r="16" spans="1:207" s="262" customFormat="1" x14ac:dyDescent="0.25">
      <c r="A16" s="256"/>
      <c r="B16" s="631" t="s">
        <v>377</v>
      </c>
      <c r="C16" s="631"/>
      <c r="D16" s="631"/>
      <c r="E16" s="631"/>
      <c r="F16" s="631"/>
      <c r="G16" s="631"/>
      <c r="H16" s="276" t="e">
        <f>SUM(H12:H15)</f>
        <v>#REF!</v>
      </c>
      <c r="I16" s="277"/>
      <c r="J16" s="277"/>
      <c r="K16" s="277"/>
      <c r="L16" s="278"/>
      <c r="M16" s="278"/>
      <c r="N16" s="279"/>
      <c r="O16" s="277"/>
      <c r="P16" s="264"/>
      <c r="Q16" s="265"/>
      <c r="R16" s="267" t="s">
        <v>292</v>
      </c>
      <c r="S16" s="265"/>
      <c r="T16" s="265"/>
      <c r="U16" s="265"/>
    </row>
    <row r="17" spans="1:207" s="262" customFormat="1" x14ac:dyDescent="0.25">
      <c r="A17" s="256"/>
      <c r="B17" s="256"/>
      <c r="C17" s="258"/>
      <c r="D17" s="259"/>
      <c r="E17" s="256"/>
      <c r="F17" s="256"/>
      <c r="G17" s="260"/>
      <c r="H17" s="256"/>
      <c r="I17" s="256"/>
      <c r="J17" s="256"/>
      <c r="K17" s="256"/>
      <c r="L17" s="261"/>
      <c r="M17" s="261"/>
      <c r="N17" s="259"/>
      <c r="O17" s="256"/>
      <c r="P17" s="264"/>
      <c r="R17" s="267" t="s">
        <v>293</v>
      </c>
    </row>
    <row r="18" spans="1:207" s="262" customFormat="1" x14ac:dyDescent="0.25">
      <c r="A18" s="256"/>
      <c r="B18" s="598" t="s">
        <v>378</v>
      </c>
      <c r="C18" s="616"/>
      <c r="D18" s="616"/>
      <c r="E18" s="616"/>
      <c r="F18" s="616"/>
      <c r="G18" s="616"/>
      <c r="H18" s="616"/>
      <c r="I18" s="616"/>
      <c r="J18" s="616"/>
      <c r="K18" s="616"/>
      <c r="L18" s="616"/>
      <c r="M18" s="616"/>
      <c r="N18" s="616"/>
      <c r="O18" s="616"/>
      <c r="P18" s="264"/>
      <c r="Q18" s="265"/>
      <c r="R18" s="267" t="s">
        <v>295</v>
      </c>
      <c r="S18" s="265"/>
      <c r="T18" s="265"/>
      <c r="U18" s="265"/>
    </row>
    <row r="19" spans="1:207" s="262" customFormat="1" x14ac:dyDescent="0.25">
      <c r="A19" s="256"/>
      <c r="B19" s="598" t="s">
        <v>265</v>
      </c>
      <c r="C19" s="602" t="s">
        <v>266</v>
      </c>
      <c r="D19" s="602" t="s">
        <v>267</v>
      </c>
      <c r="E19" s="598" t="s">
        <v>379</v>
      </c>
      <c r="F19" s="598" t="s">
        <v>269</v>
      </c>
      <c r="G19" s="634" t="s">
        <v>270</v>
      </c>
      <c r="H19" s="600" t="s">
        <v>271</v>
      </c>
      <c r="I19" s="600"/>
      <c r="J19" s="600"/>
      <c r="K19" s="598" t="s">
        <v>371</v>
      </c>
      <c r="L19" s="599" t="s">
        <v>372</v>
      </c>
      <c r="M19" s="598" t="s">
        <v>274</v>
      </c>
      <c r="N19" s="598"/>
      <c r="O19" s="598" t="s">
        <v>373</v>
      </c>
      <c r="P19" s="264"/>
      <c r="Q19" s="265"/>
      <c r="R19" s="267" t="s">
        <v>297</v>
      </c>
      <c r="S19" s="265"/>
      <c r="T19" s="265"/>
      <c r="U19" s="265"/>
    </row>
    <row r="20" spans="1:207" s="262" customFormat="1" ht="41.4" x14ac:dyDescent="0.25">
      <c r="A20" s="256"/>
      <c r="B20" s="598"/>
      <c r="C20" s="602"/>
      <c r="D20" s="602"/>
      <c r="E20" s="600"/>
      <c r="F20" s="598"/>
      <c r="G20" s="616"/>
      <c r="H20" s="487" t="s">
        <v>374</v>
      </c>
      <c r="I20" s="487" t="s">
        <v>278</v>
      </c>
      <c r="J20" s="487" t="s">
        <v>279</v>
      </c>
      <c r="K20" s="598"/>
      <c r="L20" s="600"/>
      <c r="M20" s="280" t="s">
        <v>280</v>
      </c>
      <c r="N20" s="493" t="s">
        <v>281</v>
      </c>
      <c r="O20" s="598"/>
      <c r="P20" s="264"/>
      <c r="Q20" s="265"/>
      <c r="R20" s="266"/>
      <c r="S20" s="265"/>
      <c r="T20" s="265"/>
      <c r="U20" s="265"/>
    </row>
    <row r="21" spans="1:207" s="281" customFormat="1" x14ac:dyDescent="0.25">
      <c r="B21" s="282"/>
      <c r="C21" s="283"/>
      <c r="D21" s="284"/>
      <c r="E21" s="268"/>
      <c r="F21" s="285"/>
      <c r="H21" s="56"/>
      <c r="I21" s="286"/>
      <c r="J21" s="286"/>
      <c r="K21" s="287"/>
      <c r="L21" s="288"/>
      <c r="M21" s="289"/>
      <c r="N21" s="289"/>
      <c r="O21" s="290"/>
      <c r="P21" s="262"/>
      <c r="Q21" s="262"/>
      <c r="R21" s="267"/>
      <c r="S21" s="267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BJ21" s="262"/>
      <c r="BK21" s="262"/>
      <c r="BL21" s="262"/>
      <c r="BM21" s="262"/>
      <c r="BN21" s="262"/>
      <c r="BO21" s="262"/>
      <c r="BP21" s="262"/>
      <c r="BQ21" s="262"/>
      <c r="BR21" s="262"/>
      <c r="BS21" s="262"/>
      <c r="BT21" s="262"/>
      <c r="BU21" s="262"/>
      <c r="BV21" s="262"/>
      <c r="BW21" s="262"/>
      <c r="BX21" s="262"/>
      <c r="BY21" s="262"/>
      <c r="BZ21" s="262"/>
      <c r="CA21" s="262"/>
      <c r="CB21" s="262"/>
      <c r="CC21" s="262"/>
      <c r="CD21" s="262"/>
      <c r="CE21" s="262"/>
      <c r="CF21" s="262"/>
      <c r="CG21" s="262"/>
      <c r="CH21" s="262"/>
      <c r="CI21" s="262"/>
      <c r="CJ21" s="262"/>
      <c r="CK21" s="262"/>
      <c r="CL21" s="262"/>
      <c r="CM21" s="262"/>
      <c r="CN21" s="262"/>
      <c r="CO21" s="262"/>
      <c r="CP21" s="262"/>
      <c r="CQ21" s="262"/>
      <c r="CR21" s="262"/>
      <c r="CS21" s="262"/>
      <c r="CT21" s="262"/>
      <c r="CU21" s="262"/>
      <c r="CV21" s="262"/>
      <c r="CW21" s="262"/>
      <c r="CX21" s="262"/>
      <c r="CY21" s="262"/>
      <c r="CZ21" s="262"/>
      <c r="DA21" s="262"/>
      <c r="DB21" s="262"/>
      <c r="DC21" s="262"/>
      <c r="DD21" s="262"/>
      <c r="DE21" s="262"/>
      <c r="DF21" s="262"/>
      <c r="DG21" s="262"/>
      <c r="DH21" s="262"/>
      <c r="DI21" s="262"/>
      <c r="DJ21" s="262"/>
      <c r="DK21" s="262"/>
      <c r="DL21" s="262"/>
      <c r="DM21" s="262"/>
      <c r="DN21" s="262"/>
      <c r="DO21" s="262"/>
      <c r="DP21" s="262"/>
      <c r="DQ21" s="262"/>
      <c r="DR21" s="262"/>
      <c r="DS21" s="262"/>
      <c r="DT21" s="262"/>
      <c r="DU21" s="262"/>
      <c r="DV21" s="262"/>
      <c r="DW21" s="262"/>
      <c r="DX21" s="262"/>
      <c r="DY21" s="262"/>
      <c r="DZ21" s="262"/>
      <c r="EA21" s="262"/>
      <c r="EB21" s="262"/>
      <c r="EC21" s="262"/>
      <c r="ED21" s="262"/>
      <c r="EE21" s="262"/>
      <c r="EF21" s="262"/>
      <c r="EG21" s="262"/>
      <c r="EH21" s="262"/>
      <c r="EI21" s="262"/>
      <c r="EJ21" s="262"/>
      <c r="EK21" s="262"/>
      <c r="EL21" s="262"/>
      <c r="EM21" s="262"/>
      <c r="EN21" s="262"/>
      <c r="EO21" s="262"/>
      <c r="EP21" s="262"/>
      <c r="EQ21" s="262"/>
      <c r="ER21" s="262"/>
      <c r="ES21" s="262"/>
      <c r="ET21" s="262"/>
      <c r="EU21" s="262"/>
      <c r="EV21" s="262"/>
      <c r="EW21" s="262"/>
      <c r="EX21" s="262"/>
      <c r="EY21" s="262"/>
      <c r="EZ21" s="262"/>
      <c r="FA21" s="262"/>
      <c r="FB21" s="262"/>
      <c r="FC21" s="262"/>
      <c r="FD21" s="262"/>
      <c r="FE21" s="262"/>
      <c r="FF21" s="262"/>
      <c r="FG21" s="262"/>
      <c r="FH21" s="262"/>
      <c r="FI21" s="262"/>
      <c r="FJ21" s="262"/>
      <c r="FK21" s="262"/>
      <c r="FL21" s="262"/>
      <c r="FM21" s="262"/>
      <c r="FN21" s="262"/>
      <c r="FO21" s="262"/>
      <c r="FP21" s="262"/>
      <c r="FQ21" s="262"/>
      <c r="FR21" s="262"/>
      <c r="FS21" s="262"/>
      <c r="FT21" s="262"/>
      <c r="FU21" s="262"/>
      <c r="FV21" s="262"/>
      <c r="FW21" s="262"/>
      <c r="FX21" s="262"/>
      <c r="FY21" s="262"/>
      <c r="FZ21" s="262"/>
      <c r="GA21" s="262"/>
      <c r="GB21" s="262"/>
      <c r="GC21" s="262"/>
      <c r="GD21" s="262"/>
      <c r="GE21" s="262"/>
      <c r="GF21" s="262"/>
      <c r="GG21" s="262"/>
      <c r="GH21" s="262"/>
      <c r="GI21" s="262"/>
      <c r="GJ21" s="262"/>
      <c r="GK21" s="262"/>
      <c r="GL21" s="262"/>
      <c r="GM21" s="262"/>
      <c r="GN21" s="262"/>
      <c r="GO21" s="262"/>
      <c r="GP21" s="262"/>
      <c r="GQ21" s="262"/>
      <c r="GR21" s="262"/>
      <c r="GS21" s="262"/>
      <c r="GT21" s="262"/>
      <c r="GU21" s="262"/>
      <c r="GV21" s="262"/>
      <c r="GW21" s="262"/>
      <c r="GX21" s="262"/>
      <c r="GY21" s="262"/>
    </row>
    <row r="22" spans="1:207" s="262" customFormat="1" x14ac:dyDescent="0.25">
      <c r="A22" s="256"/>
      <c r="B22" s="631" t="s">
        <v>380</v>
      </c>
      <c r="C22" s="631"/>
      <c r="D22" s="631"/>
      <c r="E22" s="631"/>
      <c r="F22" s="631"/>
      <c r="G22" s="631"/>
      <c r="H22" s="276">
        <f>SUM(H21:H21)</f>
        <v>0</v>
      </c>
      <c r="I22" s="277"/>
      <c r="J22" s="277"/>
      <c r="K22" s="277"/>
      <c r="L22" s="278"/>
      <c r="M22" s="291"/>
      <c r="N22" s="292"/>
      <c r="O22" s="293"/>
      <c r="P22" s="264"/>
      <c r="Q22" s="265"/>
      <c r="R22" s="267" t="s">
        <v>292</v>
      </c>
      <c r="S22" s="265"/>
      <c r="T22" s="265"/>
      <c r="U22" s="265"/>
    </row>
    <row r="23" spans="1:207" s="262" customFormat="1" x14ac:dyDescent="0.25">
      <c r="A23" s="256"/>
      <c r="B23" s="256"/>
      <c r="C23" s="258"/>
      <c r="D23" s="259"/>
      <c r="E23" s="256"/>
      <c r="F23" s="256"/>
      <c r="G23" s="260"/>
      <c r="H23" s="256"/>
      <c r="I23" s="256"/>
      <c r="J23" s="256"/>
      <c r="K23" s="256"/>
      <c r="L23" s="261"/>
      <c r="M23" s="261"/>
      <c r="N23" s="259"/>
      <c r="O23" s="256"/>
      <c r="P23" s="256"/>
      <c r="R23" s="267" t="s">
        <v>285</v>
      </c>
    </row>
    <row r="24" spans="1:207" s="262" customFormat="1" x14ac:dyDescent="0.25">
      <c r="A24" s="256"/>
      <c r="B24" s="598" t="s">
        <v>303</v>
      </c>
      <c r="C24" s="616"/>
      <c r="D24" s="616"/>
      <c r="E24" s="616"/>
      <c r="F24" s="616"/>
      <c r="G24" s="616"/>
      <c r="H24" s="616"/>
      <c r="I24" s="616"/>
      <c r="J24" s="616"/>
      <c r="K24" s="616"/>
      <c r="L24" s="616"/>
      <c r="M24" s="616"/>
      <c r="N24" s="616"/>
      <c r="O24" s="616"/>
      <c r="P24" s="256"/>
      <c r="R24" s="267" t="s">
        <v>304</v>
      </c>
    </row>
    <row r="25" spans="1:207" s="262" customFormat="1" x14ac:dyDescent="0.25">
      <c r="A25" s="256"/>
      <c r="B25" s="598" t="s">
        <v>265</v>
      </c>
      <c r="C25" s="602" t="s">
        <v>266</v>
      </c>
      <c r="D25" s="602" t="s">
        <v>267</v>
      </c>
      <c r="E25" s="598" t="s">
        <v>379</v>
      </c>
      <c r="F25" s="598" t="s">
        <v>269</v>
      </c>
      <c r="G25" s="634" t="s">
        <v>270</v>
      </c>
      <c r="H25" s="600" t="s">
        <v>271</v>
      </c>
      <c r="I25" s="600"/>
      <c r="J25" s="600"/>
      <c r="K25" s="598" t="s">
        <v>371</v>
      </c>
      <c r="L25" s="599" t="s">
        <v>372</v>
      </c>
      <c r="M25" s="598" t="s">
        <v>274</v>
      </c>
      <c r="N25" s="598"/>
      <c r="O25" s="598" t="s">
        <v>373</v>
      </c>
      <c r="P25" s="256"/>
      <c r="R25" s="267" t="s">
        <v>305</v>
      </c>
    </row>
    <row r="26" spans="1:207" s="262" customFormat="1" ht="41.4" x14ac:dyDescent="0.25">
      <c r="A26" s="256"/>
      <c r="B26" s="627"/>
      <c r="C26" s="632"/>
      <c r="D26" s="632"/>
      <c r="E26" s="633"/>
      <c r="F26" s="627"/>
      <c r="G26" s="635"/>
      <c r="H26" s="491" t="s">
        <v>374</v>
      </c>
      <c r="I26" s="491" t="s">
        <v>278</v>
      </c>
      <c r="J26" s="491" t="s">
        <v>279</v>
      </c>
      <c r="K26" s="627"/>
      <c r="L26" s="633"/>
      <c r="M26" s="280" t="s">
        <v>306</v>
      </c>
      <c r="N26" s="493" t="s">
        <v>281</v>
      </c>
      <c r="O26" s="627"/>
      <c r="P26" s="256"/>
      <c r="R26" s="267" t="s">
        <v>307</v>
      </c>
    </row>
    <row r="27" spans="1:207" s="262" customFormat="1" x14ac:dyDescent="0.25">
      <c r="A27" s="294"/>
      <c r="B27" s="282"/>
      <c r="C27" s="295"/>
      <c r="D27" s="296"/>
      <c r="E27" s="268"/>
      <c r="F27" s="285"/>
      <c r="G27" s="297"/>
      <c r="H27" s="298"/>
      <c r="I27" s="299"/>
      <c r="J27" s="299"/>
      <c r="K27" s="300"/>
      <c r="L27" s="288"/>
      <c r="M27" s="289"/>
      <c r="N27" s="289"/>
      <c r="O27" s="301"/>
      <c r="P27" s="302"/>
      <c r="R27" s="267"/>
      <c r="S27" s="267"/>
    </row>
    <row r="28" spans="1:207" s="262" customFormat="1" x14ac:dyDescent="0.25">
      <c r="A28" s="256"/>
      <c r="B28" s="624" t="s">
        <v>381</v>
      </c>
      <c r="C28" s="624"/>
      <c r="D28" s="624"/>
      <c r="E28" s="624"/>
      <c r="F28" s="624"/>
      <c r="G28" s="624"/>
      <c r="H28" s="303">
        <f>SUM(H27:H27)</f>
        <v>0</v>
      </c>
      <c r="I28" s="293"/>
      <c r="J28" s="293"/>
      <c r="K28" s="293"/>
      <c r="L28" s="291"/>
      <c r="M28" s="291"/>
      <c r="N28" s="292"/>
      <c r="O28" s="274"/>
      <c r="P28" s="304"/>
      <c r="Q28" s="265"/>
      <c r="R28" s="267" t="s">
        <v>292</v>
      </c>
      <c r="S28" s="265"/>
      <c r="T28" s="265"/>
      <c r="U28" s="265"/>
    </row>
    <row r="29" spans="1:207" s="262" customFormat="1" x14ac:dyDescent="0.25">
      <c r="A29" s="256"/>
      <c r="B29" s="305"/>
      <c r="C29" s="306"/>
      <c r="D29" s="306"/>
      <c r="E29" s="307"/>
      <c r="F29" s="307"/>
      <c r="G29" s="308"/>
      <c r="H29" s="307"/>
      <c r="I29" s="307"/>
      <c r="J29" s="307"/>
      <c r="K29" s="307"/>
      <c r="L29" s="309"/>
      <c r="M29" s="309"/>
      <c r="N29" s="306"/>
      <c r="O29" s="307"/>
      <c r="P29" s="256"/>
      <c r="R29" s="267"/>
    </row>
    <row r="30" spans="1:207" s="262" customFormat="1" x14ac:dyDescent="0.25">
      <c r="A30" s="256"/>
      <c r="B30" s="625" t="s">
        <v>311</v>
      </c>
      <c r="C30" s="626"/>
      <c r="D30" s="626"/>
      <c r="E30" s="626"/>
      <c r="F30" s="626"/>
      <c r="G30" s="626"/>
      <c r="H30" s="626"/>
      <c r="I30" s="626"/>
      <c r="J30" s="626"/>
      <c r="K30" s="626"/>
      <c r="L30" s="626"/>
      <c r="M30" s="626"/>
      <c r="N30" s="626"/>
      <c r="O30" s="626"/>
      <c r="P30" s="256"/>
      <c r="R30" s="267" t="s">
        <v>309</v>
      </c>
    </row>
    <row r="31" spans="1:207" s="262" customFormat="1" x14ac:dyDescent="0.25">
      <c r="A31" s="256"/>
      <c r="B31" s="598" t="s">
        <v>265</v>
      </c>
      <c r="C31" s="602" t="s">
        <v>266</v>
      </c>
      <c r="D31" s="627" t="s">
        <v>382</v>
      </c>
      <c r="E31" s="598" t="s">
        <v>379</v>
      </c>
      <c r="F31" s="598" t="s">
        <v>270</v>
      </c>
      <c r="G31" s="600" t="s">
        <v>271</v>
      </c>
      <c r="H31" s="600"/>
      <c r="I31" s="600"/>
      <c r="J31" s="598" t="s">
        <v>371</v>
      </c>
      <c r="K31" s="598" t="s">
        <v>372</v>
      </c>
      <c r="L31" s="598" t="s">
        <v>274</v>
      </c>
      <c r="M31" s="617"/>
      <c r="N31" s="618" t="s">
        <v>373</v>
      </c>
      <c r="O31" s="619"/>
      <c r="P31" s="256"/>
      <c r="R31" s="267" t="s">
        <v>308</v>
      </c>
    </row>
    <row r="32" spans="1:207" s="262" customFormat="1" ht="55.2" x14ac:dyDescent="0.25">
      <c r="A32" s="256"/>
      <c r="B32" s="598"/>
      <c r="C32" s="602"/>
      <c r="D32" s="628"/>
      <c r="E32" s="600"/>
      <c r="F32" s="598"/>
      <c r="G32" s="489" t="s">
        <v>374</v>
      </c>
      <c r="H32" s="487" t="s">
        <v>278</v>
      </c>
      <c r="I32" s="487" t="s">
        <v>279</v>
      </c>
      <c r="J32" s="598"/>
      <c r="K32" s="616"/>
      <c r="L32" s="490" t="s">
        <v>312</v>
      </c>
      <c r="M32" s="310" t="s">
        <v>281</v>
      </c>
      <c r="N32" s="620"/>
      <c r="O32" s="621"/>
      <c r="P32" s="256"/>
      <c r="R32" s="267" t="s">
        <v>383</v>
      </c>
    </row>
    <row r="33" spans="1:21" s="262" customFormat="1" x14ac:dyDescent="0.25">
      <c r="A33" s="294"/>
      <c r="B33" s="268" t="s">
        <v>376</v>
      </c>
      <c r="C33" s="295" t="e">
        <f>+'CC D'!#REF!</f>
        <v>#REF!</v>
      </c>
      <c r="D33" s="297" t="e">
        <f>+'CC D'!#REF!</f>
        <v>#REF!</v>
      </c>
      <c r="E33" s="268" t="s">
        <v>151</v>
      </c>
      <c r="F33" s="297">
        <v>5</v>
      </c>
      <c r="G33" s="298" t="e">
        <f>+'CC D'!#REF!</f>
        <v>#REF!</v>
      </c>
      <c r="H33" s="286">
        <v>0.3</v>
      </c>
      <c r="I33" s="377">
        <f>1-H33</f>
        <v>0.7</v>
      </c>
      <c r="J33" s="300" t="s">
        <v>375</v>
      </c>
      <c r="K33" s="311" t="s">
        <v>384</v>
      </c>
      <c r="L33" s="385">
        <f>+PEP!E34</f>
        <v>0</v>
      </c>
      <c r="M33" s="385">
        <f>+PEP!F34</f>
        <v>0</v>
      </c>
      <c r="N33" s="622"/>
      <c r="O33" s="623"/>
      <c r="P33" s="256"/>
      <c r="R33" s="267"/>
      <c r="S33" s="267"/>
    </row>
    <row r="34" spans="1:21" s="262" customFormat="1" ht="53.25" customHeight="1" x14ac:dyDescent="0.25">
      <c r="A34" s="294"/>
      <c r="B34" s="268" t="s">
        <v>376</v>
      </c>
      <c r="C34" s="295" t="e">
        <f>+'CC D'!#REF!</f>
        <v>#REF!</v>
      </c>
      <c r="D34" s="297" t="e">
        <f>+'CC D'!#REF!</f>
        <v>#REF!</v>
      </c>
      <c r="E34" s="268" t="s">
        <v>151</v>
      </c>
      <c r="F34" s="297">
        <v>6</v>
      </c>
      <c r="G34" s="298" t="e">
        <f>+'CC D'!#REF!</f>
        <v>#REF!</v>
      </c>
      <c r="H34" s="286">
        <v>0.3</v>
      </c>
      <c r="I34" s="377">
        <f t="shared" ref="I34:I43" si="1">1-H34</f>
        <v>0.7</v>
      </c>
      <c r="J34" s="300" t="s">
        <v>375</v>
      </c>
      <c r="K34" s="311" t="s">
        <v>384</v>
      </c>
      <c r="L34" s="385" t="str">
        <f>+PEP!E36</f>
        <v>T1 - Año 1</v>
      </c>
      <c r="M34" s="385" t="str">
        <f>+PEP!F36</f>
        <v>T3 -Año 1</v>
      </c>
      <c r="N34" s="629"/>
      <c r="O34" s="630"/>
      <c r="P34" s="256"/>
      <c r="R34" s="267"/>
      <c r="S34" s="267"/>
    </row>
    <row r="35" spans="1:21" s="262" customFormat="1" ht="53.25" customHeight="1" x14ac:dyDescent="0.25">
      <c r="A35" s="294"/>
      <c r="B35" s="268" t="s">
        <v>376</v>
      </c>
      <c r="C35" s="295" t="str">
        <f>+'CC D'!B22</f>
        <v>Contratación de Firma Consultora la elaboración del Plan fortalecimiento del área  de seguridad vial de la DVBA</v>
      </c>
      <c r="D35" s="297" t="str">
        <f>+'CC D'!A21</f>
        <v>2.2.1</v>
      </c>
      <c r="E35" s="268" t="str">
        <f>+'CC D'!F22</f>
        <v>SCC</v>
      </c>
      <c r="F35" s="297">
        <v>7</v>
      </c>
      <c r="G35" s="298">
        <f>+'CC D'!I22</f>
        <v>200000</v>
      </c>
      <c r="H35" s="286">
        <v>0.3</v>
      </c>
      <c r="I35" s="377">
        <f t="shared" ref="I35:I37" si="2">1-H35</f>
        <v>0.7</v>
      </c>
      <c r="J35" s="300" t="s">
        <v>375</v>
      </c>
      <c r="K35" s="311" t="s">
        <v>384</v>
      </c>
      <c r="L35" s="385" t="str">
        <f>+PEP!E38</f>
        <v>T1 - Año 1</v>
      </c>
      <c r="M35" s="385" t="str">
        <f>+PEP!F38</f>
        <v>T3 - Año 1</v>
      </c>
      <c r="N35" s="386"/>
      <c r="O35" s="492"/>
      <c r="P35" s="256"/>
      <c r="R35" s="267"/>
      <c r="S35" s="267"/>
    </row>
    <row r="36" spans="1:21" s="262" customFormat="1" ht="53.25" customHeight="1" x14ac:dyDescent="0.25">
      <c r="A36" s="294"/>
      <c r="B36" s="268" t="s">
        <v>376</v>
      </c>
      <c r="C36" s="295" t="str">
        <f>+'CC D'!B25</f>
        <v>Contratación de Firma Consultora para la mejora de procesos de gestión de Activos Viales</v>
      </c>
      <c r="D36" s="297" t="str">
        <f>+'CC D'!A25</f>
        <v>2.3.2</v>
      </c>
      <c r="E36" s="268" t="str">
        <f>+'CC D'!F25</f>
        <v>SBCC</v>
      </c>
      <c r="F36" s="297">
        <v>8</v>
      </c>
      <c r="G36" s="298">
        <f>+'CC D'!I25</f>
        <v>2500000</v>
      </c>
      <c r="H36" s="286">
        <v>0.3</v>
      </c>
      <c r="I36" s="377">
        <f t="shared" si="2"/>
        <v>0.7</v>
      </c>
      <c r="J36" s="300" t="s">
        <v>375</v>
      </c>
      <c r="K36" s="311" t="s">
        <v>384</v>
      </c>
      <c r="L36" s="385" t="str">
        <f>+PEP!E41</f>
        <v>T 2 - Año 1</v>
      </c>
      <c r="M36" s="385" t="str">
        <f>+PEP!F41</f>
        <v>T4 -Año 1</v>
      </c>
      <c r="N36" s="386"/>
      <c r="O36" s="492"/>
      <c r="P36" s="256"/>
      <c r="R36" s="267"/>
      <c r="S36" s="267"/>
    </row>
    <row r="37" spans="1:21" s="262" customFormat="1" ht="53.25" customHeight="1" x14ac:dyDescent="0.25">
      <c r="A37" s="294"/>
      <c r="B37" s="268" t="s">
        <v>376</v>
      </c>
      <c r="C37" s="295" t="str">
        <f>+'CC D'!B28</f>
        <v>Contratación de Firma Consultora para el mejoramiento del sistema de gobernanza de AUBASA</v>
      </c>
      <c r="D37" s="297" t="str">
        <f>+'CC D'!A28</f>
        <v>2.4.1</v>
      </c>
      <c r="E37" s="268" t="str">
        <f>+'CC D'!F28</f>
        <v>SCC</v>
      </c>
      <c r="F37" s="297">
        <v>9</v>
      </c>
      <c r="G37" s="298">
        <f>+'CC D'!I28</f>
        <v>200000</v>
      </c>
      <c r="H37" s="286">
        <v>0.3</v>
      </c>
      <c r="I37" s="377">
        <f t="shared" si="2"/>
        <v>0.7</v>
      </c>
      <c r="J37" s="300" t="s">
        <v>375</v>
      </c>
      <c r="K37" s="311" t="s">
        <v>384</v>
      </c>
      <c r="L37" s="385" t="e">
        <f>+PEP!#REF!</f>
        <v>#REF!</v>
      </c>
      <c r="M37" s="385" t="str">
        <f>+PEP!F42</f>
        <v>T1 -Año 2</v>
      </c>
      <c r="N37" s="386"/>
      <c r="O37" s="492"/>
      <c r="P37" s="256"/>
      <c r="R37" s="267"/>
      <c r="S37" s="267"/>
    </row>
    <row r="38" spans="1:21" s="262" customFormat="1" ht="27.6" x14ac:dyDescent="0.25">
      <c r="A38" s="294"/>
      <c r="B38" s="268" t="s">
        <v>376</v>
      </c>
      <c r="C38" s="295" t="str">
        <f>+'CC D'!B34</f>
        <v>Contratación de Firma Consultora para la Auditoria Externa del Programa</v>
      </c>
      <c r="D38" s="297" t="str">
        <f>+'CC D'!A34</f>
        <v>3.2.1</v>
      </c>
      <c r="E38" s="268" t="str">
        <f>+'CC D'!F34</f>
        <v>SCC</v>
      </c>
      <c r="F38" s="297">
        <v>10</v>
      </c>
      <c r="G38" s="298">
        <f>+'CC D'!I34</f>
        <v>100000</v>
      </c>
      <c r="H38" s="286">
        <v>0.3</v>
      </c>
      <c r="I38" s="377">
        <f t="shared" si="1"/>
        <v>0.7</v>
      </c>
      <c r="J38" s="300" t="s">
        <v>112</v>
      </c>
      <c r="K38" s="311" t="s">
        <v>384</v>
      </c>
      <c r="L38" s="385">
        <f>+PEP!E50</f>
        <v>0</v>
      </c>
      <c r="M38" s="385">
        <f>+PEP!F50</f>
        <v>0</v>
      </c>
      <c r="N38" s="312"/>
      <c r="O38" s="495"/>
      <c r="P38" s="256"/>
      <c r="R38" s="267"/>
      <c r="S38" s="267"/>
    </row>
    <row r="39" spans="1:21" s="262" customFormat="1" x14ac:dyDescent="0.25">
      <c r="A39" s="294"/>
      <c r="B39" s="268" t="s">
        <v>376</v>
      </c>
      <c r="C39" s="295" t="e">
        <f>+'CC D'!#REF!</f>
        <v>#REF!</v>
      </c>
      <c r="D39" s="297" t="e">
        <f>+'CC D'!#REF!</f>
        <v>#REF!</v>
      </c>
      <c r="E39" s="268" t="e">
        <f>+'CC D'!#REF!</f>
        <v>#REF!</v>
      </c>
      <c r="F39" s="297">
        <v>11</v>
      </c>
      <c r="G39" s="298" t="e">
        <f>+'CC D'!#REF!</f>
        <v>#REF!</v>
      </c>
      <c r="H39" s="286">
        <v>0.3</v>
      </c>
      <c r="I39" s="377">
        <f t="shared" si="1"/>
        <v>0.7</v>
      </c>
      <c r="J39" s="300" t="s">
        <v>112</v>
      </c>
      <c r="K39" s="311" t="s">
        <v>384</v>
      </c>
      <c r="L39" s="385" t="str">
        <f>+PEP!E51</f>
        <v>T 2 - Año 1</v>
      </c>
      <c r="M39" s="385" t="str">
        <f>+PEP!F51</f>
        <v>T4 - Año 1</v>
      </c>
      <c r="N39" s="312"/>
      <c r="O39" s="495"/>
      <c r="P39" s="256"/>
      <c r="R39" s="267"/>
      <c r="S39" s="267"/>
    </row>
    <row r="40" spans="1:21" s="262" customFormat="1" x14ac:dyDescent="0.25">
      <c r="A40" s="294"/>
      <c r="B40" s="268" t="s">
        <v>376</v>
      </c>
      <c r="C40" s="295" t="e">
        <f>+'CC D'!#REF!</f>
        <v>#REF!</v>
      </c>
      <c r="D40" s="297" t="e">
        <f>+'CC D'!#REF!</f>
        <v>#REF!</v>
      </c>
      <c r="E40" s="268" t="e">
        <f>+'CC D'!#REF!</f>
        <v>#REF!</v>
      </c>
      <c r="F40" s="297">
        <v>12</v>
      </c>
      <c r="G40" s="298" t="e">
        <f>+'CC D'!#REF!</f>
        <v>#REF!</v>
      </c>
      <c r="H40" s="286">
        <v>0.3</v>
      </c>
      <c r="I40" s="377">
        <f t="shared" si="1"/>
        <v>0.7</v>
      </c>
      <c r="J40" s="300" t="s">
        <v>112</v>
      </c>
      <c r="K40" s="311" t="s">
        <v>384</v>
      </c>
      <c r="L40" s="385" t="e">
        <f>+PEP!#REF!</f>
        <v>#REF!</v>
      </c>
      <c r="M40" s="385" t="e">
        <f>+PEP!#REF!</f>
        <v>#REF!</v>
      </c>
      <c r="N40" s="603"/>
      <c r="O40" s="604"/>
      <c r="P40" s="256"/>
      <c r="R40" s="267"/>
      <c r="S40" s="267"/>
    </row>
    <row r="41" spans="1:21" s="262" customFormat="1" ht="25.5" customHeight="1" x14ac:dyDescent="0.25">
      <c r="A41" s="294"/>
      <c r="B41" s="268" t="s">
        <v>376</v>
      </c>
      <c r="C41" s="295" t="e">
        <f>+'CC D'!#REF!</f>
        <v>#REF!</v>
      </c>
      <c r="D41" s="297" t="e">
        <f>+'CC D'!#REF!</f>
        <v>#REF!</v>
      </c>
      <c r="E41" s="268" t="e">
        <f>+'CC D'!#REF!</f>
        <v>#REF!</v>
      </c>
      <c r="F41" s="297">
        <v>13</v>
      </c>
      <c r="G41" s="298" t="e">
        <f>+'CC D'!#REF!</f>
        <v>#REF!</v>
      </c>
      <c r="H41" s="286">
        <v>0.3</v>
      </c>
      <c r="I41" s="377">
        <f t="shared" si="1"/>
        <v>0.7</v>
      </c>
      <c r="J41" s="300" t="s">
        <v>112</v>
      </c>
      <c r="K41" s="311" t="s">
        <v>384</v>
      </c>
      <c r="L41" s="385" t="e">
        <f>+PEP!#REF!</f>
        <v>#REF!</v>
      </c>
      <c r="M41" s="385" t="e">
        <f>+PEP!#REF!</f>
        <v>#REF!</v>
      </c>
      <c r="N41" s="603"/>
      <c r="O41" s="604"/>
      <c r="P41" s="256"/>
      <c r="R41" s="267"/>
      <c r="S41" s="267"/>
    </row>
    <row r="42" spans="1:21" s="262" customFormat="1" x14ac:dyDescent="0.25">
      <c r="A42" s="307"/>
      <c r="B42" s="268" t="s">
        <v>376</v>
      </c>
      <c r="C42" s="295" t="e">
        <f>+'CC D'!#REF!</f>
        <v>#REF!</v>
      </c>
      <c r="D42" s="297" t="e">
        <f>+'CC D'!#REF!</f>
        <v>#REF!</v>
      </c>
      <c r="E42" s="268" t="e">
        <f>+'CC D'!#REF!</f>
        <v>#REF!</v>
      </c>
      <c r="F42" s="297">
        <v>14</v>
      </c>
      <c r="G42" s="298" t="e">
        <f>+'CC D'!#REF!</f>
        <v>#REF!</v>
      </c>
      <c r="H42" s="286">
        <v>0.3</v>
      </c>
      <c r="I42" s="377">
        <f t="shared" si="1"/>
        <v>0.7</v>
      </c>
      <c r="J42" s="300" t="s">
        <v>112</v>
      </c>
      <c r="K42" s="311" t="s">
        <v>384</v>
      </c>
      <c r="L42" s="385" t="e">
        <f>+PEP!#REF!</f>
        <v>#REF!</v>
      </c>
      <c r="M42" s="385" t="e">
        <f>+PEP!#REF!</f>
        <v>#REF!</v>
      </c>
      <c r="N42" s="603"/>
      <c r="O42" s="604"/>
      <c r="P42" s="256"/>
      <c r="R42" s="267"/>
      <c r="S42" s="267"/>
    </row>
    <row r="43" spans="1:21" s="262" customFormat="1" x14ac:dyDescent="0.25">
      <c r="A43" s="307"/>
      <c r="B43" s="268" t="s">
        <v>376</v>
      </c>
      <c r="C43" s="295" t="e">
        <f>+'CC D'!#REF!</f>
        <v>#REF!</v>
      </c>
      <c r="D43" s="297" t="e">
        <f>+'CC D'!#REF!</f>
        <v>#REF!</v>
      </c>
      <c r="E43" s="268" t="e">
        <f>+'CC D'!#REF!</f>
        <v>#REF!</v>
      </c>
      <c r="F43" s="297">
        <v>15</v>
      </c>
      <c r="G43" s="298" t="e">
        <f>+'CC D'!#REF!</f>
        <v>#REF!</v>
      </c>
      <c r="H43" s="286">
        <v>0.3</v>
      </c>
      <c r="I43" s="377">
        <f t="shared" si="1"/>
        <v>0.7</v>
      </c>
      <c r="J43" s="300" t="s">
        <v>112</v>
      </c>
      <c r="K43" s="311" t="s">
        <v>384</v>
      </c>
      <c r="L43" s="385" t="e">
        <f>+PEP!#REF!</f>
        <v>#REF!</v>
      </c>
      <c r="M43" s="385" t="e">
        <f>+PEP!#REF!</f>
        <v>#REF!</v>
      </c>
      <c r="N43" s="603"/>
      <c r="O43" s="604"/>
      <c r="P43" s="256"/>
      <c r="R43" s="267"/>
      <c r="S43" s="267"/>
    </row>
    <row r="44" spans="1:21" s="262" customFormat="1" x14ac:dyDescent="0.25">
      <c r="A44" s="307"/>
      <c r="B44" s="268" t="s">
        <v>376</v>
      </c>
      <c r="C44" s="295" t="e">
        <f>+'CC D'!#REF!</f>
        <v>#REF!</v>
      </c>
      <c r="D44" s="297" t="e">
        <f>+'CC D'!#REF!</f>
        <v>#REF!</v>
      </c>
      <c r="E44" s="268" t="e">
        <f>+'CC D'!#REF!</f>
        <v>#REF!</v>
      </c>
      <c r="F44" s="297">
        <v>16</v>
      </c>
      <c r="G44" s="298" t="e">
        <f>+'CC D'!#REF!</f>
        <v>#REF!</v>
      </c>
      <c r="H44" s="286">
        <v>0.3</v>
      </c>
      <c r="I44" s="377">
        <f t="shared" ref="I44" si="3">1-H44</f>
        <v>0.7</v>
      </c>
      <c r="J44" s="300" t="s">
        <v>112</v>
      </c>
      <c r="K44" s="311" t="s">
        <v>384</v>
      </c>
      <c r="L44" s="385" t="e">
        <f>+PEP!#REF!</f>
        <v>#REF!</v>
      </c>
      <c r="M44" s="385" t="e">
        <f>+PEP!#REF!</f>
        <v>#REF!</v>
      </c>
      <c r="N44" s="603"/>
      <c r="O44" s="604"/>
      <c r="P44" s="256"/>
      <c r="R44" s="267"/>
      <c r="S44" s="267"/>
    </row>
    <row r="45" spans="1:21" s="262" customFormat="1" x14ac:dyDescent="0.25">
      <c r="A45" s="307"/>
      <c r="B45" s="268" t="s">
        <v>376</v>
      </c>
      <c r="C45" s="295" t="e">
        <f>+'CC D'!#REF!</f>
        <v>#REF!</v>
      </c>
      <c r="D45" s="262">
        <f>+'CC D'!A23</f>
        <v>2.2999999999999998</v>
      </c>
      <c r="E45" s="297" t="e">
        <f>+'CC D'!#REF!</f>
        <v>#REF!</v>
      </c>
      <c r="F45" s="297">
        <v>17</v>
      </c>
      <c r="G45" s="298" t="e">
        <f>+'CC D'!#REF!</f>
        <v>#REF!</v>
      </c>
      <c r="H45" s="286">
        <v>0.3</v>
      </c>
      <c r="I45" s="377">
        <f t="shared" ref="I45:I46" si="4">1-H45</f>
        <v>0.7</v>
      </c>
      <c r="J45" s="300" t="s">
        <v>112</v>
      </c>
      <c r="K45" s="311" t="s">
        <v>384</v>
      </c>
      <c r="L45" s="387">
        <f>+PEP!E37</f>
        <v>0</v>
      </c>
      <c r="M45" s="387">
        <f>+PEP!F37</f>
        <v>0</v>
      </c>
      <c r="N45" s="603"/>
      <c r="O45" s="604"/>
      <c r="P45" s="256"/>
      <c r="R45" s="267"/>
      <c r="S45" s="267"/>
    </row>
    <row r="46" spans="1:21" s="262" customFormat="1" x14ac:dyDescent="0.25">
      <c r="A46" s="307"/>
      <c r="B46" s="268" t="s">
        <v>376</v>
      </c>
      <c r="C46" s="295" t="str">
        <f>+'CC D'!B23</f>
        <v>Fortalecimiento de la DVBA</v>
      </c>
      <c r="D46" s="297">
        <f>+'CC D'!A23</f>
        <v>2.2999999999999998</v>
      </c>
      <c r="E46" s="268">
        <f>+'CC D'!F23</f>
        <v>0</v>
      </c>
      <c r="F46" s="297">
        <v>18</v>
      </c>
      <c r="G46" s="298">
        <f>+'CC D'!I23</f>
        <v>4000000</v>
      </c>
      <c r="H46" s="286">
        <v>0.3</v>
      </c>
      <c r="I46" s="377">
        <f t="shared" si="4"/>
        <v>0.7</v>
      </c>
      <c r="J46" s="300" t="s">
        <v>112</v>
      </c>
      <c r="K46" s="311" t="s">
        <v>384</v>
      </c>
      <c r="L46" s="387" t="str">
        <f>+PEP!E39</f>
        <v>T3 - Año 1</v>
      </c>
      <c r="M46" s="387" t="str">
        <f>+PEP!F39</f>
        <v>T1 -Año 2</v>
      </c>
      <c r="N46" s="603"/>
      <c r="O46" s="604"/>
      <c r="P46" s="256"/>
      <c r="R46" s="267"/>
      <c r="S46" s="267"/>
    </row>
    <row r="47" spans="1:21" s="262" customFormat="1" x14ac:dyDescent="0.25">
      <c r="A47" s="256"/>
      <c r="B47" s="601" t="s">
        <v>385</v>
      </c>
      <c r="C47" s="601"/>
      <c r="D47" s="601"/>
      <c r="E47" s="601"/>
      <c r="F47" s="601"/>
      <c r="G47" s="318" t="e">
        <f>SUM(G33:G46)</f>
        <v>#REF!</v>
      </c>
      <c r="H47" s="319"/>
      <c r="I47" s="319"/>
      <c r="J47" s="319"/>
      <c r="K47" s="319"/>
      <c r="L47" s="320"/>
      <c r="M47" s="494"/>
      <c r="N47" s="614"/>
      <c r="O47" s="615"/>
      <c r="P47" s="264"/>
      <c r="Q47" s="265"/>
      <c r="R47" s="267" t="s">
        <v>292</v>
      </c>
      <c r="S47" s="265"/>
      <c r="T47" s="265"/>
      <c r="U47" s="265"/>
    </row>
    <row r="48" spans="1:21" x14ac:dyDescent="0.25">
      <c r="A48" s="307"/>
      <c r="B48" s="305"/>
      <c r="C48" s="321"/>
      <c r="D48" s="322"/>
      <c r="E48" s="307"/>
      <c r="F48" s="307"/>
      <c r="G48" s="308"/>
      <c r="H48" s="323"/>
      <c r="I48" s="323"/>
      <c r="J48" s="307"/>
      <c r="K48" s="307"/>
      <c r="L48" s="309"/>
      <c r="M48" s="324"/>
      <c r="O48" s="325"/>
      <c r="R48" s="267"/>
      <c r="S48" s="267"/>
    </row>
    <row r="49" spans="1:207" x14ac:dyDescent="0.25">
      <c r="B49" s="598" t="s">
        <v>332</v>
      </c>
      <c r="C49" s="616"/>
      <c r="D49" s="616"/>
      <c r="E49" s="616"/>
      <c r="F49" s="616"/>
      <c r="G49" s="616"/>
      <c r="H49" s="616"/>
      <c r="I49" s="616"/>
      <c r="J49" s="616"/>
      <c r="K49" s="616"/>
      <c r="L49" s="616"/>
      <c r="M49" s="616"/>
      <c r="N49" s="616"/>
      <c r="O49" s="616"/>
      <c r="R49" s="267" t="s">
        <v>333</v>
      </c>
      <c r="S49" s="267" t="s">
        <v>328</v>
      </c>
    </row>
    <row r="50" spans="1:207" x14ac:dyDescent="0.25">
      <c r="B50" s="598" t="s">
        <v>265</v>
      </c>
      <c r="C50" s="602" t="s">
        <v>266</v>
      </c>
      <c r="D50" s="602" t="s">
        <v>267</v>
      </c>
      <c r="E50" s="598" t="s">
        <v>379</v>
      </c>
      <c r="F50" s="598" t="s">
        <v>270</v>
      </c>
      <c r="G50" s="600" t="s">
        <v>271</v>
      </c>
      <c r="H50" s="600"/>
      <c r="I50" s="600"/>
      <c r="J50" s="598" t="s">
        <v>386</v>
      </c>
      <c r="K50" s="598" t="s">
        <v>371</v>
      </c>
      <c r="L50" s="599" t="s">
        <v>372</v>
      </c>
      <c r="M50" s="598" t="s">
        <v>274</v>
      </c>
      <c r="N50" s="598"/>
      <c r="O50" s="598" t="s">
        <v>373</v>
      </c>
      <c r="R50" s="267" t="s">
        <v>327</v>
      </c>
      <c r="S50" s="267" t="s">
        <v>335</v>
      </c>
    </row>
    <row r="51" spans="1:207" ht="41.4" x14ac:dyDescent="0.25">
      <c r="B51" s="598"/>
      <c r="C51" s="602"/>
      <c r="D51" s="602"/>
      <c r="E51" s="600"/>
      <c r="F51" s="598"/>
      <c r="G51" s="489" t="s">
        <v>374</v>
      </c>
      <c r="H51" s="487" t="s">
        <v>278</v>
      </c>
      <c r="I51" s="487" t="s">
        <v>279</v>
      </c>
      <c r="J51" s="598"/>
      <c r="K51" s="598"/>
      <c r="L51" s="600"/>
      <c r="M51" s="490" t="s">
        <v>387</v>
      </c>
      <c r="N51" s="487" t="s">
        <v>337</v>
      </c>
      <c r="O51" s="598"/>
      <c r="R51" s="267" t="s">
        <v>331</v>
      </c>
      <c r="S51" s="267" t="s">
        <v>335</v>
      </c>
    </row>
    <row r="52" spans="1:207" x14ac:dyDescent="0.25">
      <c r="B52" s="313"/>
      <c r="C52" s="314"/>
      <c r="D52" s="297"/>
      <c r="E52" s="315"/>
      <c r="F52" s="326"/>
      <c r="G52" s="316"/>
      <c r="H52" s="327"/>
      <c r="I52" s="328"/>
      <c r="J52" s="329"/>
      <c r="K52" s="330"/>
      <c r="L52" s="331"/>
      <c r="M52" s="332"/>
      <c r="N52" s="332"/>
      <c r="O52" s="271"/>
      <c r="R52" s="267"/>
      <c r="S52" s="267"/>
    </row>
    <row r="53" spans="1:207" s="334" customFormat="1" x14ac:dyDescent="0.25">
      <c r="A53" s="256"/>
      <c r="B53" s="313"/>
      <c r="C53" s="314"/>
      <c r="D53" s="297"/>
      <c r="E53" s="315"/>
      <c r="F53" s="326"/>
      <c r="G53" s="316"/>
      <c r="H53" s="327"/>
      <c r="I53" s="328"/>
      <c r="J53" s="329"/>
      <c r="K53" s="329"/>
      <c r="L53" s="333"/>
      <c r="M53" s="317"/>
      <c r="N53" s="317"/>
      <c r="O53" s="271"/>
      <c r="P53" s="256"/>
      <c r="Q53" s="262"/>
      <c r="R53" s="267"/>
      <c r="S53" s="267"/>
      <c r="T53" s="262"/>
      <c r="U53" s="262"/>
      <c r="V53" s="262"/>
      <c r="W53" s="262"/>
      <c r="X53" s="262"/>
      <c r="Y53" s="262"/>
      <c r="Z53" s="262"/>
      <c r="AA53" s="262"/>
      <c r="AB53" s="262"/>
      <c r="AC53" s="262"/>
      <c r="AD53" s="262"/>
      <c r="AE53" s="262"/>
      <c r="AF53" s="262"/>
      <c r="AG53" s="262"/>
      <c r="AH53" s="262"/>
      <c r="AI53" s="262"/>
      <c r="AJ53" s="262"/>
      <c r="AK53" s="262"/>
      <c r="AL53" s="262"/>
      <c r="AM53" s="262"/>
      <c r="AN53" s="262"/>
      <c r="AO53" s="262"/>
      <c r="AP53" s="262"/>
      <c r="AQ53" s="262"/>
      <c r="AR53" s="262"/>
      <c r="AS53" s="262"/>
      <c r="AT53" s="262"/>
      <c r="AU53" s="262"/>
      <c r="AV53" s="262"/>
      <c r="AW53" s="262"/>
      <c r="AX53" s="262"/>
      <c r="AY53" s="262"/>
      <c r="AZ53" s="262"/>
      <c r="BA53" s="262"/>
      <c r="BB53" s="262"/>
      <c r="BC53" s="262"/>
      <c r="BD53" s="262"/>
      <c r="BE53" s="262"/>
      <c r="BF53" s="262"/>
      <c r="BG53" s="262"/>
      <c r="BH53" s="262"/>
      <c r="BI53" s="262"/>
      <c r="BJ53" s="262"/>
      <c r="BK53" s="262"/>
      <c r="BL53" s="262"/>
      <c r="BM53" s="262"/>
      <c r="BN53" s="262"/>
      <c r="BO53" s="262"/>
      <c r="BP53" s="262"/>
      <c r="BQ53" s="262"/>
      <c r="BR53" s="262"/>
      <c r="BS53" s="262"/>
      <c r="BT53" s="262"/>
      <c r="BU53" s="262"/>
      <c r="BV53" s="262"/>
      <c r="BW53" s="262"/>
      <c r="BX53" s="262"/>
      <c r="BY53" s="262"/>
      <c r="BZ53" s="262"/>
      <c r="CA53" s="262"/>
      <c r="CB53" s="262"/>
      <c r="CC53" s="262"/>
      <c r="CD53" s="262"/>
      <c r="CE53" s="262"/>
      <c r="CF53" s="262"/>
      <c r="CG53" s="262"/>
      <c r="CH53" s="262"/>
      <c r="CI53" s="262"/>
      <c r="CJ53" s="262"/>
      <c r="CK53" s="262"/>
      <c r="CL53" s="262"/>
      <c r="CM53" s="262"/>
      <c r="CN53" s="262"/>
      <c r="CO53" s="262"/>
      <c r="CP53" s="262"/>
      <c r="CQ53" s="262"/>
      <c r="CR53" s="262"/>
      <c r="CS53" s="262"/>
      <c r="CT53" s="262"/>
      <c r="CU53" s="262"/>
      <c r="CV53" s="262"/>
      <c r="CW53" s="262"/>
      <c r="CX53" s="262"/>
      <c r="CY53" s="262"/>
      <c r="CZ53" s="262"/>
      <c r="DA53" s="262"/>
      <c r="DB53" s="262"/>
      <c r="DC53" s="262"/>
      <c r="DD53" s="262"/>
      <c r="DE53" s="262"/>
      <c r="DF53" s="262"/>
      <c r="DG53" s="262"/>
      <c r="DH53" s="262"/>
      <c r="DI53" s="262"/>
      <c r="DJ53" s="262"/>
      <c r="DK53" s="262"/>
      <c r="DL53" s="262"/>
      <c r="DM53" s="262"/>
      <c r="DN53" s="262"/>
      <c r="DO53" s="262"/>
      <c r="DP53" s="262"/>
      <c r="DQ53" s="262"/>
      <c r="DR53" s="262"/>
      <c r="DS53" s="262"/>
      <c r="DT53" s="262"/>
      <c r="DU53" s="262"/>
      <c r="DV53" s="262"/>
      <c r="DW53" s="262"/>
      <c r="DX53" s="262"/>
      <c r="DY53" s="262"/>
      <c r="DZ53" s="262"/>
      <c r="EA53" s="262"/>
      <c r="EB53" s="262"/>
      <c r="EC53" s="262"/>
      <c r="ED53" s="262"/>
      <c r="EE53" s="262"/>
      <c r="EF53" s="262"/>
      <c r="EG53" s="262"/>
      <c r="EH53" s="262"/>
      <c r="EI53" s="262"/>
      <c r="EJ53" s="262"/>
      <c r="EK53" s="262"/>
      <c r="EL53" s="262"/>
      <c r="EM53" s="262"/>
      <c r="EN53" s="262"/>
      <c r="EO53" s="262"/>
      <c r="EP53" s="262"/>
      <c r="EQ53" s="262"/>
      <c r="ER53" s="262"/>
      <c r="ES53" s="262"/>
      <c r="ET53" s="262"/>
      <c r="EU53" s="262"/>
      <c r="EV53" s="262"/>
      <c r="EW53" s="262"/>
      <c r="EX53" s="262"/>
      <c r="EY53" s="262"/>
      <c r="EZ53" s="262"/>
      <c r="FA53" s="262"/>
      <c r="FB53" s="262"/>
      <c r="FC53" s="262"/>
      <c r="FD53" s="262"/>
      <c r="FE53" s="262"/>
      <c r="FF53" s="262"/>
      <c r="FG53" s="262"/>
      <c r="FH53" s="262"/>
      <c r="FI53" s="262"/>
      <c r="FJ53" s="262"/>
      <c r="FK53" s="262"/>
      <c r="FL53" s="262"/>
      <c r="FM53" s="262"/>
      <c r="FN53" s="262"/>
      <c r="FO53" s="262"/>
      <c r="FP53" s="262"/>
      <c r="FQ53" s="262"/>
      <c r="FR53" s="262"/>
      <c r="FS53" s="262"/>
      <c r="FT53" s="262"/>
      <c r="FU53" s="262"/>
      <c r="FV53" s="262"/>
      <c r="FW53" s="262"/>
      <c r="FX53" s="262"/>
      <c r="FY53" s="262"/>
      <c r="FZ53" s="262"/>
      <c r="GA53" s="262"/>
      <c r="GB53" s="262"/>
      <c r="GC53" s="262"/>
      <c r="GD53" s="262"/>
      <c r="GE53" s="262"/>
      <c r="GF53" s="262"/>
      <c r="GG53" s="262"/>
      <c r="GH53" s="262"/>
      <c r="GI53" s="262"/>
      <c r="GJ53" s="262"/>
      <c r="GK53" s="262"/>
      <c r="GL53" s="262"/>
      <c r="GM53" s="262"/>
      <c r="GN53" s="262"/>
      <c r="GO53" s="262"/>
      <c r="GP53" s="262"/>
      <c r="GQ53" s="262"/>
      <c r="GR53" s="262"/>
      <c r="GS53" s="262"/>
      <c r="GT53" s="262"/>
      <c r="GU53" s="262"/>
      <c r="GV53" s="262"/>
      <c r="GW53" s="262"/>
      <c r="GX53" s="262"/>
      <c r="GY53" s="262"/>
    </row>
    <row r="54" spans="1:207" x14ac:dyDescent="0.25">
      <c r="B54" s="601" t="s">
        <v>388</v>
      </c>
      <c r="C54" s="601"/>
      <c r="D54" s="601"/>
      <c r="E54" s="601"/>
      <c r="F54" s="601"/>
      <c r="G54" s="318">
        <f>SUM(G52:G53)</f>
        <v>0</v>
      </c>
      <c r="H54" s="319"/>
      <c r="I54" s="319"/>
      <c r="J54" s="319"/>
      <c r="K54" s="319"/>
      <c r="L54" s="320"/>
      <c r="M54" s="320"/>
      <c r="N54" s="320"/>
      <c r="O54" s="320"/>
      <c r="R54" s="267" t="s">
        <v>340</v>
      </c>
      <c r="S54" s="267" t="s">
        <v>339</v>
      </c>
    </row>
    <row r="55" spans="1:207" x14ac:dyDescent="0.25">
      <c r="B55" s="325"/>
      <c r="C55" s="335"/>
      <c r="D55" s="336"/>
      <c r="E55" s="325"/>
      <c r="F55" s="325"/>
      <c r="G55" s="27"/>
      <c r="H55" s="325"/>
      <c r="I55" s="325"/>
      <c r="J55" s="325"/>
      <c r="K55" s="325"/>
      <c r="L55" s="337"/>
      <c r="M55" s="337"/>
      <c r="N55" s="336"/>
      <c r="O55" s="325"/>
      <c r="R55" s="267" t="s">
        <v>342</v>
      </c>
      <c r="S55" s="267" t="s">
        <v>341</v>
      </c>
    </row>
    <row r="56" spans="1:207" x14ac:dyDescent="0.25">
      <c r="B56" s="597" t="s">
        <v>389</v>
      </c>
      <c r="C56" s="597"/>
      <c r="D56" s="597"/>
      <c r="E56" s="597"/>
      <c r="F56" s="597"/>
      <c r="G56" s="597"/>
      <c r="H56" s="597"/>
      <c r="I56" s="597"/>
      <c r="J56" s="597"/>
      <c r="K56" s="597"/>
      <c r="L56" s="597"/>
      <c r="M56" s="597"/>
      <c r="N56" s="597"/>
      <c r="O56" s="597"/>
      <c r="R56" s="267" t="s">
        <v>346</v>
      </c>
      <c r="S56" s="267" t="s">
        <v>341</v>
      </c>
    </row>
    <row r="57" spans="1:207" x14ac:dyDescent="0.25">
      <c r="B57" s="597" t="s">
        <v>265</v>
      </c>
      <c r="C57" s="611" t="s">
        <v>266</v>
      </c>
      <c r="D57" s="611" t="s">
        <v>267</v>
      </c>
      <c r="E57" s="597" t="s">
        <v>379</v>
      </c>
      <c r="F57" s="597" t="s">
        <v>270</v>
      </c>
      <c r="G57" s="612" t="s">
        <v>271</v>
      </c>
      <c r="H57" s="612"/>
      <c r="I57" s="612"/>
      <c r="J57" s="597" t="s">
        <v>371</v>
      </c>
      <c r="K57" s="597" t="s">
        <v>372</v>
      </c>
      <c r="L57" s="597" t="s">
        <v>274</v>
      </c>
      <c r="M57" s="597"/>
      <c r="N57" s="597" t="s">
        <v>373</v>
      </c>
      <c r="O57" s="597"/>
      <c r="R57" s="267"/>
      <c r="S57" s="267" t="s">
        <v>390</v>
      </c>
    </row>
    <row r="58" spans="1:207" ht="41.4" x14ac:dyDescent="0.25">
      <c r="B58" s="597"/>
      <c r="C58" s="611"/>
      <c r="D58" s="611"/>
      <c r="E58" s="612"/>
      <c r="F58" s="597"/>
      <c r="G58" s="338" t="s">
        <v>374</v>
      </c>
      <c r="H58" s="496" t="s">
        <v>278</v>
      </c>
      <c r="I58" s="496" t="s">
        <v>279</v>
      </c>
      <c r="J58" s="597"/>
      <c r="K58" s="613"/>
      <c r="L58" s="490" t="s">
        <v>312</v>
      </c>
      <c r="M58" s="310" t="s">
        <v>281</v>
      </c>
      <c r="N58" s="597"/>
      <c r="O58" s="597"/>
      <c r="R58" s="267"/>
      <c r="S58" s="267" t="s">
        <v>390</v>
      </c>
    </row>
    <row r="59" spans="1:207" s="262" customFormat="1" ht="41.4" x14ac:dyDescent="0.25">
      <c r="A59" s="339"/>
      <c r="B59" s="268" t="s">
        <v>376</v>
      </c>
      <c r="C59" s="283" t="str">
        <f>+'CC D'!B29</f>
        <v>Contratacción de Firma Consultora para la incorporación de ITS en sistema de recaudo de peaje</v>
      </c>
      <c r="D59" s="340" t="str">
        <f>+'CC D'!A29</f>
        <v>2.4.2</v>
      </c>
      <c r="E59" s="341"/>
      <c r="F59" s="297">
        <v>19</v>
      </c>
      <c r="G59" s="342">
        <f>+'CC D'!I29</f>
        <v>300000</v>
      </c>
      <c r="H59" s="343">
        <v>0.7</v>
      </c>
      <c r="I59" s="344">
        <v>0.3</v>
      </c>
      <c r="J59" s="300" t="s">
        <v>375</v>
      </c>
      <c r="K59" s="311" t="s">
        <v>384</v>
      </c>
      <c r="L59" s="345" t="s">
        <v>391</v>
      </c>
      <c r="M59" s="345" t="s">
        <v>392</v>
      </c>
      <c r="N59" s="608"/>
      <c r="O59" s="609"/>
      <c r="P59" s="281"/>
      <c r="R59" s="267"/>
      <c r="S59" s="267"/>
    </row>
    <row r="60" spans="1:207" s="262" customFormat="1" ht="41.4" x14ac:dyDescent="0.25">
      <c r="A60" s="339"/>
      <c r="B60" s="268" t="s">
        <v>376</v>
      </c>
      <c r="C60" s="283" t="str">
        <f>+'CC D'!B24</f>
        <v>Contratación de Firma Consultora para la elaboración del Plan Maestro de inversión vial de la PBA</v>
      </c>
      <c r="D60" s="340" t="str">
        <f>+'CC D'!A24</f>
        <v>2.3.1</v>
      </c>
      <c r="E60" s="341"/>
      <c r="F60" s="382">
        <v>20</v>
      </c>
      <c r="G60" s="342">
        <f>+'CC D'!I24</f>
        <v>1000000</v>
      </c>
      <c r="H60" s="343">
        <v>0.7</v>
      </c>
      <c r="I60" s="344">
        <v>0.3</v>
      </c>
      <c r="J60" s="300" t="s">
        <v>375</v>
      </c>
      <c r="K60" s="304"/>
      <c r="L60" s="345"/>
      <c r="M60" s="345"/>
      <c r="N60" s="499"/>
      <c r="O60" s="500"/>
      <c r="P60" s="281"/>
      <c r="R60" s="267"/>
      <c r="S60" s="267"/>
    </row>
    <row r="61" spans="1:207" s="262" customFormat="1" x14ac:dyDescent="0.25">
      <c r="A61" s="339"/>
      <c r="B61" s="268" t="s">
        <v>376</v>
      </c>
      <c r="C61" s="283" t="str">
        <f>+PEP!B48</f>
        <v>Administración del Programa</v>
      </c>
      <c r="D61" s="340">
        <f>+PEP!A48</f>
        <v>3.1</v>
      </c>
      <c r="E61" s="341"/>
      <c r="F61" s="297">
        <v>21</v>
      </c>
      <c r="G61" s="342">
        <f>+PEP!H48</f>
        <v>1000000</v>
      </c>
      <c r="H61" s="343">
        <v>0.7</v>
      </c>
      <c r="I61" s="344">
        <v>0.3</v>
      </c>
      <c r="J61" s="300" t="s">
        <v>112</v>
      </c>
      <c r="K61" s="345"/>
      <c r="L61" s="345"/>
      <c r="M61" s="345"/>
      <c r="N61" s="499"/>
      <c r="O61" s="500"/>
      <c r="P61" s="281"/>
      <c r="R61" s="267"/>
      <c r="S61" s="267"/>
    </row>
    <row r="62" spans="1:207" s="262" customFormat="1" x14ac:dyDescent="0.25">
      <c r="A62" s="339"/>
      <c r="B62" s="268" t="s">
        <v>376</v>
      </c>
      <c r="C62" s="283" t="e">
        <f>+'CC D'!#REF!</f>
        <v>#REF!</v>
      </c>
      <c r="D62" s="383" t="e">
        <f>+'CC D'!#REF!</f>
        <v>#REF!</v>
      </c>
      <c r="E62" s="341"/>
      <c r="F62" s="382">
        <v>22</v>
      </c>
      <c r="G62" s="342" t="e">
        <f>+'CC D'!#REF!</f>
        <v>#REF!</v>
      </c>
      <c r="H62" s="343"/>
      <c r="I62" s="344">
        <v>1</v>
      </c>
      <c r="J62" s="300" t="s">
        <v>112</v>
      </c>
      <c r="K62" s="345"/>
      <c r="L62" s="345"/>
      <c r="M62" s="345"/>
      <c r="N62" s="499"/>
      <c r="O62" s="500"/>
      <c r="P62" s="281"/>
      <c r="R62" s="267"/>
      <c r="S62" s="267"/>
    </row>
    <row r="63" spans="1:207" s="262" customFormat="1" x14ac:dyDescent="0.25">
      <c r="A63" s="339"/>
      <c r="B63" s="268" t="s">
        <v>376</v>
      </c>
      <c r="C63" s="283" t="e">
        <f>+'CC D'!#REF!</f>
        <v>#REF!</v>
      </c>
      <c r="D63" s="383" t="e">
        <f>+'CC D'!#REF!</f>
        <v>#REF!</v>
      </c>
      <c r="E63" s="341"/>
      <c r="F63" s="297">
        <v>23</v>
      </c>
      <c r="G63" s="342" t="e">
        <f>+'CC D'!#REF!</f>
        <v>#REF!</v>
      </c>
      <c r="H63" s="343"/>
      <c r="I63" s="344">
        <v>1</v>
      </c>
      <c r="J63" s="300" t="s">
        <v>112</v>
      </c>
      <c r="K63" s="345"/>
      <c r="L63" s="345"/>
      <c r="M63" s="345"/>
      <c r="N63" s="499"/>
      <c r="O63" s="500"/>
      <c r="P63" s="281"/>
      <c r="R63" s="267"/>
      <c r="S63" s="267"/>
    </row>
    <row r="64" spans="1:207" s="262" customFormat="1" ht="41.4" x14ac:dyDescent="0.25">
      <c r="A64" s="339"/>
      <c r="B64" s="268" t="s">
        <v>376</v>
      </c>
      <c r="C64" s="283" t="str">
        <f>+PEP!B45</f>
        <v>Contratación de Firma Consultora para el mejoramiento del sistema de gobernanza de AUBASA</v>
      </c>
      <c r="D64" s="383" t="str">
        <f>+PEP!A45</f>
        <v>2.4.1</v>
      </c>
      <c r="E64" s="341"/>
      <c r="F64" s="382">
        <v>24</v>
      </c>
      <c r="G64" s="342">
        <f>+PEP!H45</f>
        <v>200000</v>
      </c>
      <c r="H64" s="343">
        <v>0.7</v>
      </c>
      <c r="I64" s="344">
        <v>0.3</v>
      </c>
      <c r="J64" s="300" t="s">
        <v>375</v>
      </c>
      <c r="K64" s="304"/>
      <c r="L64" s="345"/>
      <c r="M64" s="345"/>
      <c r="N64" s="499"/>
      <c r="O64" s="500"/>
      <c r="P64" s="281"/>
      <c r="R64" s="267"/>
      <c r="S64" s="267"/>
    </row>
    <row r="65" spans="1:207" x14ac:dyDescent="0.25">
      <c r="A65" s="346"/>
      <c r="B65" s="606" t="s">
        <v>393</v>
      </c>
      <c r="C65" s="606"/>
      <c r="D65" s="606"/>
      <c r="E65" s="606"/>
      <c r="F65" s="606"/>
      <c r="G65" s="347" t="e">
        <f>SUM(G59:G64)</f>
        <v>#REF!</v>
      </c>
      <c r="H65" s="348"/>
      <c r="I65" s="348"/>
      <c r="J65" s="348"/>
      <c r="K65" s="348"/>
      <c r="L65" s="498"/>
      <c r="M65" s="498"/>
      <c r="N65" s="610"/>
      <c r="O65" s="610"/>
      <c r="R65" s="267" t="s">
        <v>394</v>
      </c>
      <c r="S65" s="267" t="s">
        <v>328</v>
      </c>
    </row>
    <row r="66" spans="1:207" x14ac:dyDescent="0.25">
      <c r="B66" s="325"/>
      <c r="C66" s="335"/>
      <c r="D66" s="336"/>
      <c r="E66" s="325"/>
      <c r="F66" s="325"/>
      <c r="G66" s="27"/>
      <c r="H66" s="325"/>
      <c r="I66" s="325"/>
      <c r="J66" s="325"/>
      <c r="K66" s="325"/>
      <c r="L66" s="337"/>
      <c r="M66" s="337"/>
      <c r="N66" s="336"/>
      <c r="O66" s="325"/>
      <c r="R66" s="267" t="s">
        <v>395</v>
      </c>
      <c r="S66" s="267" t="s">
        <v>328</v>
      </c>
    </row>
    <row r="67" spans="1:207" x14ac:dyDescent="0.25">
      <c r="B67" s="597" t="s">
        <v>396</v>
      </c>
      <c r="C67" s="597"/>
      <c r="D67" s="597"/>
      <c r="E67" s="597"/>
      <c r="F67" s="597"/>
      <c r="G67" s="597"/>
      <c r="H67" s="597"/>
      <c r="I67" s="597"/>
      <c r="J67" s="597"/>
      <c r="K67" s="597"/>
      <c r="L67" s="597"/>
      <c r="M67" s="597"/>
      <c r="N67" s="597"/>
      <c r="O67" s="597"/>
      <c r="R67" s="267" t="s">
        <v>397</v>
      </c>
      <c r="S67" s="267" t="s">
        <v>328</v>
      </c>
    </row>
    <row r="68" spans="1:207" ht="41.4" x14ac:dyDescent="0.25">
      <c r="B68" s="597" t="s">
        <v>265</v>
      </c>
      <c r="C68" s="611" t="s">
        <v>398</v>
      </c>
      <c r="D68" s="611" t="s">
        <v>267</v>
      </c>
      <c r="E68" s="597" t="s">
        <v>270</v>
      </c>
      <c r="F68" s="597"/>
      <c r="G68" s="612" t="s">
        <v>271</v>
      </c>
      <c r="H68" s="612"/>
      <c r="I68" s="612"/>
      <c r="J68" s="597" t="s">
        <v>371</v>
      </c>
      <c r="K68" s="496" t="s">
        <v>399</v>
      </c>
      <c r="L68" s="597" t="s">
        <v>274</v>
      </c>
      <c r="M68" s="597"/>
      <c r="N68" s="605" t="s">
        <v>373</v>
      </c>
      <c r="O68" s="605"/>
      <c r="R68" s="267" t="s">
        <v>400</v>
      </c>
      <c r="S68" s="267" t="s">
        <v>328</v>
      </c>
    </row>
    <row r="69" spans="1:207" s="349" customFormat="1" ht="55.2" x14ac:dyDescent="0.25">
      <c r="A69" s="256"/>
      <c r="B69" s="597"/>
      <c r="C69" s="611"/>
      <c r="D69" s="611"/>
      <c r="E69" s="597"/>
      <c r="F69" s="597"/>
      <c r="G69" s="496" t="s">
        <v>374</v>
      </c>
      <c r="H69" s="338" t="s">
        <v>278</v>
      </c>
      <c r="I69" s="496" t="s">
        <v>279</v>
      </c>
      <c r="J69" s="597"/>
      <c r="K69" s="496"/>
      <c r="L69" s="496" t="s">
        <v>401</v>
      </c>
      <c r="M69" s="497" t="s">
        <v>402</v>
      </c>
      <c r="N69" s="605"/>
      <c r="O69" s="605"/>
      <c r="Q69" s="262"/>
      <c r="R69" s="266"/>
      <c r="S69" s="266"/>
      <c r="T69" s="262"/>
      <c r="U69" s="262"/>
      <c r="V69" s="262"/>
      <c r="W69" s="262"/>
      <c r="X69" s="262"/>
      <c r="Y69" s="262"/>
      <c r="Z69" s="262"/>
      <c r="AA69" s="262"/>
      <c r="AB69" s="262"/>
      <c r="AC69" s="262"/>
      <c r="AD69" s="262"/>
      <c r="AE69" s="262"/>
      <c r="AF69" s="262"/>
      <c r="AG69" s="262"/>
      <c r="AH69" s="262"/>
      <c r="AI69" s="262"/>
      <c r="AJ69" s="262"/>
      <c r="AK69" s="262"/>
      <c r="AL69" s="262"/>
      <c r="AM69" s="262"/>
      <c r="AN69" s="262"/>
      <c r="AO69" s="262"/>
      <c r="AP69" s="262"/>
      <c r="AQ69" s="262"/>
      <c r="AR69" s="262"/>
      <c r="AS69" s="262"/>
      <c r="AT69" s="262"/>
      <c r="AU69" s="262"/>
      <c r="AV69" s="262"/>
      <c r="AW69" s="262"/>
      <c r="AX69" s="262"/>
      <c r="AY69" s="262"/>
      <c r="AZ69" s="262"/>
      <c r="BA69" s="262"/>
      <c r="BB69" s="262"/>
      <c r="BC69" s="262"/>
      <c r="BD69" s="262"/>
      <c r="BE69" s="262"/>
      <c r="BF69" s="262"/>
      <c r="BG69" s="262"/>
      <c r="BH69" s="262"/>
      <c r="BI69" s="262"/>
      <c r="BJ69" s="262"/>
      <c r="BK69" s="262"/>
      <c r="BL69" s="262"/>
      <c r="BM69" s="262"/>
      <c r="BN69" s="262"/>
      <c r="BO69" s="262"/>
      <c r="BP69" s="262"/>
      <c r="BQ69" s="262"/>
      <c r="BR69" s="262"/>
      <c r="BS69" s="262"/>
      <c r="BT69" s="262"/>
      <c r="BU69" s="262"/>
      <c r="BV69" s="262"/>
      <c r="BW69" s="262"/>
      <c r="BX69" s="262"/>
      <c r="BY69" s="262"/>
      <c r="BZ69" s="262"/>
      <c r="CA69" s="262"/>
      <c r="CB69" s="262"/>
      <c r="CC69" s="262"/>
      <c r="CD69" s="262"/>
      <c r="CE69" s="262"/>
      <c r="CF69" s="262"/>
      <c r="CG69" s="262"/>
      <c r="CH69" s="262"/>
      <c r="CI69" s="262"/>
      <c r="CJ69" s="262"/>
      <c r="CK69" s="262"/>
      <c r="CL69" s="262"/>
      <c r="CM69" s="262"/>
      <c r="CN69" s="262"/>
      <c r="CO69" s="262"/>
      <c r="CP69" s="262"/>
      <c r="CQ69" s="262"/>
      <c r="CR69" s="262"/>
      <c r="CS69" s="262"/>
      <c r="CT69" s="262"/>
      <c r="CU69" s="262"/>
      <c r="CV69" s="262"/>
      <c r="CW69" s="262"/>
      <c r="CX69" s="262"/>
      <c r="CY69" s="262"/>
      <c r="CZ69" s="262"/>
      <c r="DA69" s="262"/>
      <c r="DB69" s="262"/>
      <c r="DC69" s="262"/>
      <c r="DD69" s="262"/>
      <c r="DE69" s="262"/>
      <c r="DF69" s="262"/>
      <c r="DG69" s="262"/>
      <c r="DH69" s="262"/>
      <c r="DI69" s="262"/>
      <c r="DJ69" s="262"/>
      <c r="DK69" s="262"/>
      <c r="DL69" s="262"/>
      <c r="DM69" s="262"/>
      <c r="DN69" s="262"/>
      <c r="DO69" s="262"/>
      <c r="DP69" s="262"/>
      <c r="DQ69" s="262"/>
      <c r="DR69" s="262"/>
      <c r="DS69" s="262"/>
      <c r="DT69" s="262"/>
      <c r="DU69" s="262"/>
      <c r="DV69" s="262"/>
      <c r="DW69" s="262"/>
      <c r="DX69" s="262"/>
      <c r="DY69" s="262"/>
      <c r="DZ69" s="262"/>
      <c r="EA69" s="262"/>
      <c r="EB69" s="262"/>
      <c r="EC69" s="262"/>
      <c r="ED69" s="262"/>
      <c r="EE69" s="262"/>
      <c r="EF69" s="262"/>
      <c r="EG69" s="262"/>
      <c r="EH69" s="262"/>
      <c r="EI69" s="262"/>
      <c r="EJ69" s="262"/>
      <c r="EK69" s="262"/>
      <c r="EL69" s="262"/>
      <c r="EM69" s="262"/>
      <c r="EN69" s="262"/>
      <c r="EO69" s="262"/>
      <c r="EP69" s="262"/>
      <c r="EQ69" s="262"/>
      <c r="ER69" s="262"/>
      <c r="ES69" s="262"/>
      <c r="ET69" s="262"/>
      <c r="EU69" s="262"/>
      <c r="EV69" s="262"/>
      <c r="EW69" s="262"/>
      <c r="EX69" s="262"/>
      <c r="EY69" s="262"/>
      <c r="EZ69" s="262"/>
      <c r="FA69" s="262"/>
      <c r="FB69" s="262"/>
      <c r="FC69" s="262"/>
      <c r="FD69" s="262"/>
      <c r="FE69" s="262"/>
      <c r="FF69" s="262"/>
      <c r="FG69" s="262"/>
      <c r="FH69" s="262"/>
      <c r="FI69" s="262"/>
      <c r="FJ69" s="262"/>
      <c r="FK69" s="262"/>
      <c r="FL69" s="262"/>
      <c r="FM69" s="262"/>
      <c r="FN69" s="262"/>
      <c r="FO69" s="262"/>
      <c r="FP69" s="262"/>
      <c r="FQ69" s="262"/>
      <c r="FR69" s="262"/>
      <c r="FS69" s="262"/>
      <c r="FT69" s="262"/>
      <c r="FU69" s="262"/>
      <c r="FV69" s="262"/>
      <c r="FW69" s="262"/>
      <c r="FX69" s="262"/>
      <c r="FY69" s="262"/>
      <c r="FZ69" s="262"/>
      <c r="GA69" s="262"/>
      <c r="GB69" s="262"/>
      <c r="GC69" s="262"/>
      <c r="GD69" s="262"/>
      <c r="GE69" s="262"/>
      <c r="GF69" s="262"/>
      <c r="GG69" s="262"/>
      <c r="GH69" s="262"/>
      <c r="GI69" s="262"/>
      <c r="GJ69" s="262"/>
      <c r="GK69" s="262"/>
      <c r="GL69" s="262"/>
      <c r="GM69" s="262"/>
      <c r="GN69" s="262"/>
      <c r="GO69" s="262"/>
      <c r="GP69" s="262"/>
      <c r="GQ69" s="262"/>
      <c r="GR69" s="262"/>
      <c r="GS69" s="262"/>
      <c r="GT69" s="262"/>
      <c r="GU69" s="262"/>
      <c r="GV69" s="262"/>
      <c r="GW69" s="262"/>
      <c r="GX69" s="262"/>
      <c r="GY69" s="262"/>
    </row>
    <row r="70" spans="1:207" s="281" customFormat="1" x14ac:dyDescent="0.25">
      <c r="B70" s="350"/>
      <c r="C70" s="283"/>
      <c r="D70" s="341"/>
      <c r="E70" s="351"/>
      <c r="F70" s="352"/>
      <c r="G70" s="353"/>
      <c r="H70" s="354"/>
      <c r="I70" s="355"/>
      <c r="J70" s="356"/>
      <c r="K70" s="357"/>
      <c r="L70" s="358"/>
      <c r="M70" s="358"/>
      <c r="N70" s="359"/>
      <c r="O70" s="360"/>
      <c r="P70" s="262"/>
      <c r="Q70" s="262"/>
      <c r="R70" s="267"/>
      <c r="S70" s="267"/>
      <c r="T70" s="262"/>
      <c r="U70" s="262"/>
      <c r="V70" s="262"/>
      <c r="W70" s="262"/>
      <c r="X70" s="262"/>
      <c r="Y70" s="262"/>
      <c r="Z70" s="262"/>
      <c r="AA70" s="262"/>
      <c r="AB70" s="262"/>
      <c r="AC70" s="262"/>
      <c r="AD70" s="262"/>
      <c r="AE70" s="262"/>
      <c r="AF70" s="262"/>
      <c r="AG70" s="262"/>
      <c r="AH70" s="262"/>
      <c r="AI70" s="262"/>
      <c r="AJ70" s="262"/>
      <c r="AK70" s="262"/>
      <c r="AL70" s="262"/>
      <c r="AM70" s="262"/>
      <c r="AN70" s="262"/>
      <c r="AO70" s="262"/>
      <c r="AP70" s="262"/>
      <c r="AQ70" s="262"/>
      <c r="AR70" s="262"/>
      <c r="AS70" s="262"/>
      <c r="AT70" s="262"/>
      <c r="AU70" s="262"/>
      <c r="AV70" s="262"/>
      <c r="AW70" s="262"/>
      <c r="AX70" s="262"/>
      <c r="AY70" s="262"/>
      <c r="AZ70" s="262"/>
      <c r="BA70" s="262"/>
      <c r="BB70" s="262"/>
      <c r="BC70" s="262"/>
      <c r="BD70" s="262"/>
      <c r="BE70" s="262"/>
      <c r="BF70" s="262"/>
      <c r="BG70" s="262"/>
      <c r="BH70" s="262"/>
      <c r="BI70" s="262"/>
      <c r="BJ70" s="262"/>
      <c r="BK70" s="262"/>
      <c r="BL70" s="262"/>
      <c r="BM70" s="262"/>
      <c r="BN70" s="262"/>
      <c r="BO70" s="262"/>
      <c r="BP70" s="262"/>
      <c r="BQ70" s="262"/>
      <c r="BR70" s="262"/>
      <c r="BS70" s="262"/>
      <c r="BT70" s="262"/>
      <c r="BU70" s="262"/>
      <c r="BV70" s="262"/>
      <c r="BW70" s="262"/>
      <c r="BX70" s="262"/>
      <c r="BY70" s="262"/>
      <c r="BZ70" s="262"/>
      <c r="CA70" s="262"/>
      <c r="CB70" s="262"/>
      <c r="CC70" s="262"/>
      <c r="CD70" s="262"/>
      <c r="CE70" s="262"/>
      <c r="CF70" s="262"/>
      <c r="CG70" s="262"/>
      <c r="CH70" s="262"/>
      <c r="CI70" s="262"/>
      <c r="CJ70" s="262"/>
      <c r="CK70" s="262"/>
      <c r="CL70" s="262"/>
      <c r="CM70" s="262"/>
      <c r="CN70" s="262"/>
      <c r="CO70" s="262"/>
      <c r="CP70" s="262"/>
      <c r="CQ70" s="262"/>
      <c r="CR70" s="262"/>
      <c r="CS70" s="262"/>
      <c r="CT70" s="262"/>
      <c r="CU70" s="262"/>
      <c r="CV70" s="262"/>
      <c r="CW70" s="262"/>
      <c r="CX70" s="262"/>
      <c r="CY70" s="262"/>
      <c r="CZ70" s="262"/>
      <c r="DA70" s="262"/>
      <c r="DB70" s="262"/>
      <c r="DC70" s="262"/>
      <c r="DD70" s="262"/>
      <c r="DE70" s="262"/>
      <c r="DF70" s="262"/>
      <c r="DG70" s="262"/>
      <c r="DH70" s="262"/>
      <c r="DI70" s="262"/>
      <c r="DJ70" s="262"/>
      <c r="DK70" s="262"/>
      <c r="DL70" s="262"/>
      <c r="DM70" s="262"/>
      <c r="DN70" s="262"/>
      <c r="DO70" s="262"/>
      <c r="DP70" s="262"/>
      <c r="DQ70" s="262"/>
      <c r="DR70" s="262"/>
      <c r="DS70" s="262"/>
      <c r="DT70" s="262"/>
      <c r="DU70" s="262"/>
      <c r="DV70" s="262"/>
      <c r="DW70" s="262"/>
      <c r="DX70" s="262"/>
      <c r="DY70" s="262"/>
      <c r="DZ70" s="262"/>
      <c r="EA70" s="262"/>
      <c r="EB70" s="262"/>
      <c r="EC70" s="262"/>
      <c r="ED70" s="262"/>
      <c r="EE70" s="262"/>
      <c r="EF70" s="262"/>
      <c r="EG70" s="262"/>
      <c r="EH70" s="262"/>
      <c r="EI70" s="262"/>
      <c r="EJ70" s="262"/>
      <c r="EK70" s="262"/>
      <c r="EL70" s="262"/>
      <c r="EM70" s="262"/>
      <c r="EN70" s="262"/>
      <c r="EO70" s="262"/>
      <c r="EP70" s="262"/>
      <c r="EQ70" s="262"/>
      <c r="ER70" s="262"/>
      <c r="ES70" s="262"/>
      <c r="ET70" s="262"/>
      <c r="EU70" s="262"/>
      <c r="EV70" s="262"/>
      <c r="EW70" s="262"/>
      <c r="EX70" s="262"/>
      <c r="EY70" s="262"/>
      <c r="EZ70" s="262"/>
      <c r="FA70" s="262"/>
      <c r="FB70" s="262"/>
      <c r="FC70" s="262"/>
      <c r="FD70" s="262"/>
      <c r="FE70" s="262"/>
      <c r="FF70" s="262"/>
      <c r="FG70" s="262"/>
      <c r="FH70" s="262"/>
      <c r="FI70" s="262"/>
      <c r="FJ70" s="262"/>
      <c r="FK70" s="262"/>
      <c r="FL70" s="262"/>
      <c r="FM70" s="262"/>
      <c r="FN70" s="262"/>
      <c r="FO70" s="262"/>
      <c r="FP70" s="262"/>
      <c r="FQ70" s="262"/>
      <c r="FR70" s="262"/>
      <c r="FS70" s="262"/>
      <c r="FT70" s="262"/>
      <c r="FU70" s="262"/>
      <c r="FV70" s="262"/>
      <c r="FW70" s="262"/>
      <c r="FX70" s="262"/>
      <c r="FY70" s="262"/>
      <c r="FZ70" s="262"/>
      <c r="GA70" s="262"/>
      <c r="GB70" s="262"/>
      <c r="GC70" s="262"/>
      <c r="GD70" s="262"/>
      <c r="GE70" s="262"/>
      <c r="GF70" s="262"/>
      <c r="GG70" s="262"/>
      <c r="GH70" s="262"/>
      <c r="GI70" s="262"/>
      <c r="GJ70" s="262"/>
      <c r="GK70" s="262"/>
      <c r="GL70" s="262"/>
      <c r="GM70" s="262"/>
      <c r="GN70" s="262"/>
      <c r="GO70" s="262"/>
      <c r="GP70" s="262"/>
      <c r="GQ70" s="262"/>
      <c r="GR70" s="262"/>
      <c r="GS70" s="262"/>
      <c r="GT70" s="262"/>
      <c r="GU70" s="262"/>
      <c r="GV70" s="262"/>
      <c r="GW70" s="262"/>
      <c r="GX70" s="262"/>
      <c r="GY70" s="262"/>
    </row>
    <row r="71" spans="1:207" x14ac:dyDescent="0.25">
      <c r="B71" s="606" t="s">
        <v>403</v>
      </c>
      <c r="C71" s="606"/>
      <c r="D71" s="606"/>
      <c r="E71" s="606"/>
      <c r="F71" s="606"/>
      <c r="G71" s="361">
        <f>SUM(G70:G70)</f>
        <v>0</v>
      </c>
      <c r="H71" s="348"/>
      <c r="I71" s="348"/>
      <c r="J71" s="348"/>
      <c r="K71" s="348"/>
      <c r="L71" s="498"/>
      <c r="M71" s="498"/>
      <c r="N71" s="607"/>
      <c r="O71" s="607"/>
      <c r="R71" s="266"/>
      <c r="S71" s="267"/>
    </row>
    <row r="72" spans="1:207" x14ac:dyDescent="0.25">
      <c r="R72" s="266"/>
      <c r="S72" s="266"/>
    </row>
    <row r="73" spans="1:207" x14ac:dyDescent="0.25">
      <c r="L73" s="256"/>
      <c r="M73" s="256"/>
      <c r="N73" s="256"/>
      <c r="Q73" s="256"/>
      <c r="R73" s="256"/>
      <c r="S73" s="256"/>
      <c r="T73" s="256"/>
      <c r="U73" s="256"/>
      <c r="V73" s="256"/>
      <c r="W73" s="256"/>
      <c r="X73" s="256"/>
      <c r="Y73" s="256"/>
    </row>
    <row r="74" spans="1:207" x14ac:dyDescent="0.25">
      <c r="L74" s="256"/>
      <c r="M74" s="256"/>
      <c r="N74" s="256"/>
      <c r="Q74" s="256"/>
      <c r="R74" s="256"/>
      <c r="S74" s="256"/>
      <c r="T74" s="256"/>
      <c r="U74" s="256"/>
      <c r="V74" s="256"/>
      <c r="W74" s="256"/>
      <c r="X74" s="256"/>
      <c r="Y74" s="256"/>
    </row>
    <row r="75" spans="1:207" s="262" customFormat="1" x14ac:dyDescent="0.25">
      <c r="A75" s="256"/>
      <c r="C75" s="258"/>
      <c r="D75" s="596" t="s">
        <v>377</v>
      </c>
      <c r="E75" s="596"/>
      <c r="F75" s="596"/>
      <c r="G75" s="362" t="e">
        <f>H16</f>
        <v>#REF!</v>
      </c>
      <c r="H75" s="363" t="e">
        <f t="shared" ref="H75:H81" si="5">G75/$G$82</f>
        <v>#REF!</v>
      </c>
      <c r="I75" s="256"/>
      <c r="J75" s="256"/>
      <c r="K75" s="256"/>
      <c r="L75" s="256"/>
      <c r="M75" s="256"/>
      <c r="N75" s="256"/>
      <c r="O75" s="256"/>
      <c r="P75" s="256"/>
      <c r="Q75" s="256"/>
      <c r="R75" s="256"/>
      <c r="S75" s="256"/>
      <c r="T75" s="256"/>
      <c r="U75" s="256"/>
      <c r="V75" s="256"/>
      <c r="W75" s="256"/>
      <c r="X75" s="256"/>
      <c r="Y75" s="256"/>
    </row>
    <row r="76" spans="1:207" s="262" customFormat="1" x14ac:dyDescent="0.25">
      <c r="A76" s="256"/>
      <c r="C76" s="258"/>
      <c r="D76" s="596" t="s">
        <v>380</v>
      </c>
      <c r="E76" s="596"/>
      <c r="F76" s="596"/>
      <c r="G76" s="362">
        <f>H22</f>
        <v>0</v>
      </c>
      <c r="H76" s="363" t="e">
        <f t="shared" si="5"/>
        <v>#REF!</v>
      </c>
      <c r="I76" s="256"/>
      <c r="J76" s="256"/>
      <c r="K76" s="256"/>
      <c r="L76" s="256"/>
      <c r="M76" s="256"/>
      <c r="N76" s="256"/>
      <c r="O76" s="256"/>
      <c r="P76" s="256"/>
      <c r="Q76" s="256"/>
      <c r="R76" s="256"/>
      <c r="S76" s="256"/>
      <c r="T76" s="256"/>
      <c r="U76" s="256"/>
      <c r="V76" s="256"/>
      <c r="W76" s="256"/>
      <c r="X76" s="256"/>
      <c r="Y76" s="256"/>
    </row>
    <row r="77" spans="1:207" s="262" customFormat="1" ht="12.75" customHeight="1" x14ac:dyDescent="0.25">
      <c r="A77" s="256"/>
      <c r="C77" s="258"/>
      <c r="D77" s="596" t="s">
        <v>381</v>
      </c>
      <c r="E77" s="596"/>
      <c r="F77" s="596"/>
      <c r="G77" s="362">
        <f>H28</f>
        <v>0</v>
      </c>
      <c r="H77" s="363" t="e">
        <f t="shared" si="5"/>
        <v>#REF!</v>
      </c>
      <c r="I77" s="256"/>
      <c r="J77" s="256"/>
      <c r="K77" s="256"/>
      <c r="L77" s="256"/>
      <c r="M77" s="256"/>
      <c r="N77" s="256"/>
      <c r="O77" s="256"/>
      <c r="P77" s="256"/>
      <c r="Q77" s="256"/>
      <c r="R77" s="256"/>
      <c r="S77" s="256"/>
      <c r="T77" s="256"/>
      <c r="U77" s="256"/>
      <c r="V77" s="256"/>
      <c r="W77" s="256"/>
      <c r="X77" s="256"/>
      <c r="Y77" s="256"/>
    </row>
    <row r="78" spans="1:207" s="262" customFormat="1" x14ac:dyDescent="0.25">
      <c r="A78" s="256"/>
      <c r="C78" s="258"/>
      <c r="D78" s="596" t="s">
        <v>385</v>
      </c>
      <c r="E78" s="596"/>
      <c r="F78" s="596"/>
      <c r="G78" s="362" t="e">
        <f>G47</f>
        <v>#REF!</v>
      </c>
      <c r="H78" s="363" t="e">
        <f t="shared" si="5"/>
        <v>#REF!</v>
      </c>
      <c r="I78" s="256"/>
      <c r="J78" s="256"/>
      <c r="K78" s="256"/>
      <c r="L78" s="256"/>
      <c r="M78" s="256"/>
      <c r="N78" s="256"/>
      <c r="O78" s="256"/>
      <c r="P78" s="256"/>
      <c r="Q78" s="256"/>
      <c r="R78" s="256"/>
      <c r="S78" s="256"/>
      <c r="T78" s="256"/>
      <c r="U78" s="256"/>
      <c r="V78" s="256"/>
      <c r="W78" s="256"/>
      <c r="X78" s="256"/>
      <c r="Y78" s="256"/>
    </row>
    <row r="79" spans="1:207" x14ac:dyDescent="0.25">
      <c r="D79" s="596" t="s">
        <v>388</v>
      </c>
      <c r="E79" s="596"/>
      <c r="F79" s="596"/>
      <c r="G79" s="362">
        <f>G54</f>
        <v>0</v>
      </c>
      <c r="H79" s="363" t="e">
        <f t="shared" si="5"/>
        <v>#REF!</v>
      </c>
      <c r="L79" s="256"/>
      <c r="M79" s="256"/>
      <c r="N79" s="256"/>
      <c r="Q79" s="256"/>
      <c r="R79" s="256"/>
      <c r="S79" s="256"/>
      <c r="T79" s="256"/>
      <c r="U79" s="256"/>
      <c r="V79" s="256"/>
      <c r="W79" s="256"/>
      <c r="X79" s="256"/>
      <c r="Y79" s="256"/>
    </row>
    <row r="80" spans="1:207" x14ac:dyDescent="0.25">
      <c r="A80" s="346"/>
      <c r="D80" s="596" t="s">
        <v>404</v>
      </c>
      <c r="E80" s="596"/>
      <c r="F80" s="596"/>
      <c r="G80" s="362"/>
      <c r="H80" s="363" t="e">
        <f t="shared" si="5"/>
        <v>#REF!</v>
      </c>
      <c r="L80" s="256"/>
      <c r="M80" s="256"/>
      <c r="N80" s="256"/>
      <c r="Q80" s="256"/>
      <c r="R80" s="256"/>
      <c r="S80" s="256"/>
      <c r="T80" s="256"/>
      <c r="U80" s="256"/>
      <c r="V80" s="256"/>
      <c r="W80" s="256"/>
      <c r="X80" s="256"/>
      <c r="Y80" s="256"/>
    </row>
    <row r="81" spans="4:25" x14ac:dyDescent="0.25">
      <c r="D81" s="596" t="s">
        <v>405</v>
      </c>
      <c r="E81" s="596"/>
      <c r="F81" s="596"/>
      <c r="G81" s="362" t="e">
        <f>+G65</f>
        <v>#REF!</v>
      </c>
      <c r="H81" s="363" t="e">
        <f t="shared" si="5"/>
        <v>#REF!</v>
      </c>
      <c r="L81" s="256"/>
      <c r="M81" s="256"/>
      <c r="N81" s="256"/>
      <c r="Q81" s="256"/>
      <c r="R81" s="256"/>
      <c r="S81" s="256"/>
      <c r="T81" s="256"/>
      <c r="U81" s="256"/>
      <c r="V81" s="256"/>
      <c r="W81" s="256"/>
      <c r="X81" s="256"/>
      <c r="Y81" s="256"/>
    </row>
    <row r="82" spans="4:25" x14ac:dyDescent="0.25">
      <c r="D82" s="595"/>
      <c r="E82" s="595"/>
      <c r="F82" s="595"/>
      <c r="G82" s="364" t="e">
        <f>SUM(G75:G81)</f>
        <v>#REF!</v>
      </c>
      <c r="H82" s="365" t="e">
        <f>SUM(H75:H81)</f>
        <v>#REF!</v>
      </c>
      <c r="L82" s="256"/>
      <c r="M82" s="256"/>
      <c r="N82" s="256"/>
      <c r="Q82" s="256"/>
      <c r="R82" s="256"/>
      <c r="S82" s="256"/>
      <c r="T82" s="256"/>
      <c r="U82" s="256"/>
      <c r="V82" s="256"/>
      <c r="W82" s="256"/>
      <c r="X82" s="256"/>
      <c r="Y82" s="256"/>
    </row>
  </sheetData>
  <mergeCells count="109"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  <mergeCell ref="G19:G20"/>
    <mergeCell ref="H19:J19"/>
    <mergeCell ref="K19:K20"/>
    <mergeCell ref="L19:L20"/>
    <mergeCell ref="M19:N19"/>
    <mergeCell ref="O19:O20"/>
    <mergeCell ref="L10:L11"/>
    <mergeCell ref="M10:N10"/>
    <mergeCell ref="O10:O11"/>
    <mergeCell ref="B16:G16"/>
    <mergeCell ref="B18:O18"/>
    <mergeCell ref="B19:B20"/>
    <mergeCell ref="C19:C20"/>
    <mergeCell ref="D19:D20"/>
    <mergeCell ref="E19:E20"/>
    <mergeCell ref="F19:F20"/>
    <mergeCell ref="B28:G28"/>
    <mergeCell ref="B30:O30"/>
    <mergeCell ref="B31:B32"/>
    <mergeCell ref="C31:C32"/>
    <mergeCell ref="D31:D32"/>
    <mergeCell ref="E31:E32"/>
    <mergeCell ref="F31:F32"/>
    <mergeCell ref="N34:O34"/>
    <mergeCell ref="B22:G22"/>
    <mergeCell ref="B24:O24"/>
    <mergeCell ref="B25:B26"/>
    <mergeCell ref="C25:C26"/>
    <mergeCell ref="D25:D26"/>
    <mergeCell ref="E25:E26"/>
    <mergeCell ref="F25:F26"/>
    <mergeCell ref="G25:G26"/>
    <mergeCell ref="H25:J25"/>
    <mergeCell ref="K25:K26"/>
    <mergeCell ref="L25:L26"/>
    <mergeCell ref="M25:N25"/>
    <mergeCell ref="O25:O26"/>
    <mergeCell ref="N47:O47"/>
    <mergeCell ref="B49:O49"/>
    <mergeCell ref="G31:I31"/>
    <mergeCell ref="J31:J32"/>
    <mergeCell ref="K31:K32"/>
    <mergeCell ref="L31:M31"/>
    <mergeCell ref="N31:O32"/>
    <mergeCell ref="N33:O33"/>
    <mergeCell ref="N41:O41"/>
    <mergeCell ref="N42:O42"/>
    <mergeCell ref="N43:O43"/>
    <mergeCell ref="N44:O44"/>
    <mergeCell ref="N45:O45"/>
    <mergeCell ref="N46:O46"/>
    <mergeCell ref="L68:M68"/>
    <mergeCell ref="N68:O69"/>
    <mergeCell ref="B71:F71"/>
    <mergeCell ref="N71:O71"/>
    <mergeCell ref="D75:F75"/>
    <mergeCell ref="N57:O58"/>
    <mergeCell ref="N59:O59"/>
    <mergeCell ref="B65:F65"/>
    <mergeCell ref="N65:O65"/>
    <mergeCell ref="B67:O67"/>
    <mergeCell ref="B68:B69"/>
    <mergeCell ref="C68:C69"/>
    <mergeCell ref="D68:D69"/>
    <mergeCell ref="E68:F69"/>
    <mergeCell ref="G68:I68"/>
    <mergeCell ref="B57:B58"/>
    <mergeCell ref="C57:C58"/>
    <mergeCell ref="D57:D58"/>
    <mergeCell ref="E57:E58"/>
    <mergeCell ref="F57:F58"/>
    <mergeCell ref="G57:I57"/>
    <mergeCell ref="J57:J58"/>
    <mergeCell ref="K57:K58"/>
    <mergeCell ref="L57:M57"/>
    <mergeCell ref="C4:D4"/>
    <mergeCell ref="D82:F82"/>
    <mergeCell ref="D76:F76"/>
    <mergeCell ref="D77:F77"/>
    <mergeCell ref="D78:F78"/>
    <mergeCell ref="D79:F79"/>
    <mergeCell ref="D80:F80"/>
    <mergeCell ref="D81:F81"/>
    <mergeCell ref="J68:J69"/>
    <mergeCell ref="B56:O56"/>
    <mergeCell ref="J50:J51"/>
    <mergeCell ref="K50:K51"/>
    <mergeCell ref="L50:L51"/>
    <mergeCell ref="M50:N50"/>
    <mergeCell ref="O50:O51"/>
    <mergeCell ref="B54:F54"/>
    <mergeCell ref="B50:B51"/>
    <mergeCell ref="C50:C51"/>
    <mergeCell ref="D50:D51"/>
    <mergeCell ref="E50:E51"/>
    <mergeCell ref="F50:F51"/>
    <mergeCell ref="G50:I50"/>
    <mergeCell ref="N40:O40"/>
    <mergeCell ref="B47:F47"/>
  </mergeCells>
  <dataValidations disablePrompts="1" count="4">
    <dataValidation type="list" allowBlank="1" showInputMessage="1" showErrorMessage="1" sqref="E29 E12:E15">
      <formula1>$R$21:$R$26</formula1>
    </dataValidation>
    <dataValidation type="list" allowBlank="1" showInputMessage="1" showErrorMessage="1" sqref="E48">
      <formula1>$R$29:$R$32</formula1>
    </dataValidation>
    <dataValidation type="list" allowBlank="1" showInputMessage="1" showErrorMessage="1" sqref="L54 K65 K48 L47 L22 L28:L29 L12:L16">
      <formula1>$R$10:$R$11</formula1>
    </dataValidation>
    <dataValidation type="list" allowBlank="1" showInputMessage="1" showErrorMessage="1" sqref="E52:E53">
      <formula1>#REF!</formula1>
    </dataValidation>
  </dataValidations>
  <pageMargins left="0.7" right="0.7" top="0.75" bottom="0.75" header="0.3" footer="0.3"/>
  <pageSetup scale="1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topLeftCell="A23" zoomScale="85" zoomScaleNormal="85" workbookViewId="0">
      <selection activeCell="B52" sqref="B52"/>
    </sheetView>
  </sheetViews>
  <sheetFormatPr defaultColWidth="9.109375" defaultRowHeight="12" x14ac:dyDescent="0.25"/>
  <cols>
    <col min="1" max="1" width="8.44140625" style="150" customWidth="1"/>
    <col min="2" max="2" width="14.44140625" style="160" customWidth="1"/>
    <col min="3" max="3" width="15.44140625" style="158" customWidth="1"/>
    <col min="4" max="4" width="16.44140625" style="158" customWidth="1"/>
    <col min="5" max="5" width="16.109375" style="158" customWidth="1"/>
    <col min="6" max="6" width="13.6640625" style="150" customWidth="1"/>
    <col min="7" max="7" width="18.88671875" style="150" customWidth="1"/>
    <col min="8" max="8" width="15.6640625" style="155" customWidth="1"/>
    <col min="9" max="10" width="16.5546875" style="150" customWidth="1"/>
    <col min="11" max="11" width="13.109375" style="150" bestFit="1" customWidth="1"/>
    <col min="12" max="12" width="13.44140625" style="150" customWidth="1"/>
    <col min="13" max="13" width="14.6640625" style="150" customWidth="1"/>
    <col min="14" max="14" width="14.6640625" style="150" bestFit="1" customWidth="1"/>
    <col min="15" max="19" width="14.44140625" style="150" customWidth="1"/>
    <col min="20" max="20" width="14.88671875" style="150" bestFit="1" customWidth="1"/>
    <col min="21" max="21" width="10.88671875" style="150" bestFit="1" customWidth="1"/>
    <col min="22" max="22" width="9.109375" style="150"/>
    <col min="23" max="23" width="10.33203125" style="150" bestFit="1" customWidth="1"/>
    <col min="24" max="26" width="9.109375" style="150"/>
    <col min="27" max="27" width="10" style="150" bestFit="1" customWidth="1"/>
    <col min="28" max="256" width="9.109375" style="150"/>
    <col min="257" max="257" width="8.44140625" style="150" customWidth="1"/>
    <col min="258" max="258" width="14.44140625" style="150" customWidth="1"/>
    <col min="259" max="259" width="15.44140625" style="150" customWidth="1"/>
    <col min="260" max="260" width="16.44140625" style="150" customWidth="1"/>
    <col min="261" max="261" width="16.109375" style="150" customWidth="1"/>
    <col min="262" max="262" width="13.6640625" style="150" customWidth="1"/>
    <col min="263" max="263" width="18.88671875" style="150" customWidth="1"/>
    <col min="264" max="264" width="15.6640625" style="150" customWidth="1"/>
    <col min="265" max="266" width="16.5546875" style="150" customWidth="1"/>
    <col min="267" max="267" width="13.109375" style="150" bestFit="1" customWidth="1"/>
    <col min="268" max="268" width="13.44140625" style="150" customWidth="1"/>
    <col min="269" max="269" width="14.6640625" style="150" customWidth="1"/>
    <col min="270" max="270" width="14.6640625" style="150" bestFit="1" customWidth="1"/>
    <col min="271" max="275" width="14.44140625" style="150" customWidth="1"/>
    <col min="276" max="276" width="14.88671875" style="150" bestFit="1" customWidth="1"/>
    <col min="277" max="277" width="10.88671875" style="150" bestFit="1" customWidth="1"/>
    <col min="278" max="512" width="9.109375" style="150"/>
    <col min="513" max="513" width="8.44140625" style="150" customWidth="1"/>
    <col min="514" max="514" width="14.44140625" style="150" customWidth="1"/>
    <col min="515" max="515" width="15.44140625" style="150" customWidth="1"/>
    <col min="516" max="516" width="16.44140625" style="150" customWidth="1"/>
    <col min="517" max="517" width="16.109375" style="150" customWidth="1"/>
    <col min="518" max="518" width="13.6640625" style="150" customWidth="1"/>
    <col min="519" max="519" width="18.88671875" style="150" customWidth="1"/>
    <col min="520" max="520" width="15.6640625" style="150" customWidth="1"/>
    <col min="521" max="522" width="16.5546875" style="150" customWidth="1"/>
    <col min="523" max="523" width="13.109375" style="150" bestFit="1" customWidth="1"/>
    <col min="524" max="524" width="13.44140625" style="150" customWidth="1"/>
    <col min="525" max="525" width="14.6640625" style="150" customWidth="1"/>
    <col min="526" max="526" width="14.6640625" style="150" bestFit="1" customWidth="1"/>
    <col min="527" max="531" width="14.44140625" style="150" customWidth="1"/>
    <col min="532" max="532" width="14.88671875" style="150" bestFit="1" customWidth="1"/>
    <col min="533" max="533" width="10.88671875" style="150" bestFit="1" customWidth="1"/>
    <col min="534" max="768" width="9.109375" style="150"/>
    <col min="769" max="769" width="8.44140625" style="150" customWidth="1"/>
    <col min="770" max="770" width="14.44140625" style="150" customWidth="1"/>
    <col min="771" max="771" width="15.44140625" style="150" customWidth="1"/>
    <col min="772" max="772" width="16.44140625" style="150" customWidth="1"/>
    <col min="773" max="773" width="16.109375" style="150" customWidth="1"/>
    <col min="774" max="774" width="13.6640625" style="150" customWidth="1"/>
    <col min="775" max="775" width="18.88671875" style="150" customWidth="1"/>
    <col min="776" max="776" width="15.6640625" style="150" customWidth="1"/>
    <col min="777" max="778" width="16.5546875" style="150" customWidth="1"/>
    <col min="779" max="779" width="13.109375" style="150" bestFit="1" customWidth="1"/>
    <col min="780" max="780" width="13.44140625" style="150" customWidth="1"/>
    <col min="781" max="781" width="14.6640625" style="150" customWidth="1"/>
    <col min="782" max="782" width="14.6640625" style="150" bestFit="1" customWidth="1"/>
    <col min="783" max="787" width="14.44140625" style="150" customWidth="1"/>
    <col min="788" max="788" width="14.88671875" style="150" bestFit="1" customWidth="1"/>
    <col min="789" max="789" width="10.88671875" style="150" bestFit="1" customWidth="1"/>
    <col min="790" max="1024" width="9.109375" style="150"/>
    <col min="1025" max="1025" width="8.44140625" style="150" customWidth="1"/>
    <col min="1026" max="1026" width="14.44140625" style="150" customWidth="1"/>
    <col min="1027" max="1027" width="15.44140625" style="150" customWidth="1"/>
    <col min="1028" max="1028" width="16.44140625" style="150" customWidth="1"/>
    <col min="1029" max="1029" width="16.109375" style="150" customWidth="1"/>
    <col min="1030" max="1030" width="13.6640625" style="150" customWidth="1"/>
    <col min="1031" max="1031" width="18.88671875" style="150" customWidth="1"/>
    <col min="1032" max="1032" width="15.6640625" style="150" customWidth="1"/>
    <col min="1033" max="1034" width="16.5546875" style="150" customWidth="1"/>
    <col min="1035" max="1035" width="13.109375" style="150" bestFit="1" customWidth="1"/>
    <col min="1036" max="1036" width="13.44140625" style="150" customWidth="1"/>
    <col min="1037" max="1037" width="14.6640625" style="150" customWidth="1"/>
    <col min="1038" max="1038" width="14.6640625" style="150" bestFit="1" customWidth="1"/>
    <col min="1039" max="1043" width="14.44140625" style="150" customWidth="1"/>
    <col min="1044" max="1044" width="14.88671875" style="150" bestFit="1" customWidth="1"/>
    <col min="1045" max="1045" width="10.88671875" style="150" bestFit="1" customWidth="1"/>
    <col min="1046" max="1280" width="9.109375" style="150"/>
    <col min="1281" max="1281" width="8.44140625" style="150" customWidth="1"/>
    <col min="1282" max="1282" width="14.44140625" style="150" customWidth="1"/>
    <col min="1283" max="1283" width="15.44140625" style="150" customWidth="1"/>
    <col min="1284" max="1284" width="16.44140625" style="150" customWidth="1"/>
    <col min="1285" max="1285" width="16.109375" style="150" customWidth="1"/>
    <col min="1286" max="1286" width="13.6640625" style="150" customWidth="1"/>
    <col min="1287" max="1287" width="18.88671875" style="150" customWidth="1"/>
    <col min="1288" max="1288" width="15.6640625" style="150" customWidth="1"/>
    <col min="1289" max="1290" width="16.5546875" style="150" customWidth="1"/>
    <col min="1291" max="1291" width="13.109375" style="150" bestFit="1" customWidth="1"/>
    <col min="1292" max="1292" width="13.44140625" style="150" customWidth="1"/>
    <col min="1293" max="1293" width="14.6640625" style="150" customWidth="1"/>
    <col min="1294" max="1294" width="14.6640625" style="150" bestFit="1" customWidth="1"/>
    <col min="1295" max="1299" width="14.44140625" style="150" customWidth="1"/>
    <col min="1300" max="1300" width="14.88671875" style="150" bestFit="1" customWidth="1"/>
    <col min="1301" max="1301" width="10.88671875" style="150" bestFit="1" customWidth="1"/>
    <col min="1302" max="1536" width="9.109375" style="150"/>
    <col min="1537" max="1537" width="8.44140625" style="150" customWidth="1"/>
    <col min="1538" max="1538" width="14.44140625" style="150" customWidth="1"/>
    <col min="1539" max="1539" width="15.44140625" style="150" customWidth="1"/>
    <col min="1540" max="1540" width="16.44140625" style="150" customWidth="1"/>
    <col min="1541" max="1541" width="16.109375" style="150" customWidth="1"/>
    <col min="1542" max="1542" width="13.6640625" style="150" customWidth="1"/>
    <col min="1543" max="1543" width="18.88671875" style="150" customWidth="1"/>
    <col min="1544" max="1544" width="15.6640625" style="150" customWidth="1"/>
    <col min="1545" max="1546" width="16.5546875" style="150" customWidth="1"/>
    <col min="1547" max="1547" width="13.109375" style="150" bestFit="1" customWidth="1"/>
    <col min="1548" max="1548" width="13.44140625" style="150" customWidth="1"/>
    <col min="1549" max="1549" width="14.6640625" style="150" customWidth="1"/>
    <col min="1550" max="1550" width="14.6640625" style="150" bestFit="1" customWidth="1"/>
    <col min="1551" max="1555" width="14.44140625" style="150" customWidth="1"/>
    <col min="1556" max="1556" width="14.88671875" style="150" bestFit="1" customWidth="1"/>
    <col min="1557" max="1557" width="10.88671875" style="150" bestFit="1" customWidth="1"/>
    <col min="1558" max="1792" width="9.109375" style="150"/>
    <col min="1793" max="1793" width="8.44140625" style="150" customWidth="1"/>
    <col min="1794" max="1794" width="14.44140625" style="150" customWidth="1"/>
    <col min="1795" max="1795" width="15.44140625" style="150" customWidth="1"/>
    <col min="1796" max="1796" width="16.44140625" style="150" customWidth="1"/>
    <col min="1797" max="1797" width="16.109375" style="150" customWidth="1"/>
    <col min="1798" max="1798" width="13.6640625" style="150" customWidth="1"/>
    <col min="1799" max="1799" width="18.88671875" style="150" customWidth="1"/>
    <col min="1800" max="1800" width="15.6640625" style="150" customWidth="1"/>
    <col min="1801" max="1802" width="16.5546875" style="150" customWidth="1"/>
    <col min="1803" max="1803" width="13.109375" style="150" bestFit="1" customWidth="1"/>
    <col min="1804" max="1804" width="13.44140625" style="150" customWidth="1"/>
    <col min="1805" max="1805" width="14.6640625" style="150" customWidth="1"/>
    <col min="1806" max="1806" width="14.6640625" style="150" bestFit="1" customWidth="1"/>
    <col min="1807" max="1811" width="14.44140625" style="150" customWidth="1"/>
    <col min="1812" max="1812" width="14.88671875" style="150" bestFit="1" customWidth="1"/>
    <col min="1813" max="1813" width="10.88671875" style="150" bestFit="1" customWidth="1"/>
    <col min="1814" max="2048" width="9.109375" style="150"/>
    <col min="2049" max="2049" width="8.44140625" style="150" customWidth="1"/>
    <col min="2050" max="2050" width="14.44140625" style="150" customWidth="1"/>
    <col min="2051" max="2051" width="15.44140625" style="150" customWidth="1"/>
    <col min="2052" max="2052" width="16.44140625" style="150" customWidth="1"/>
    <col min="2053" max="2053" width="16.109375" style="150" customWidth="1"/>
    <col min="2054" max="2054" width="13.6640625" style="150" customWidth="1"/>
    <col min="2055" max="2055" width="18.88671875" style="150" customWidth="1"/>
    <col min="2056" max="2056" width="15.6640625" style="150" customWidth="1"/>
    <col min="2057" max="2058" width="16.5546875" style="150" customWidth="1"/>
    <col min="2059" max="2059" width="13.109375" style="150" bestFit="1" customWidth="1"/>
    <col min="2060" max="2060" width="13.44140625" style="150" customWidth="1"/>
    <col min="2061" max="2061" width="14.6640625" style="150" customWidth="1"/>
    <col min="2062" max="2062" width="14.6640625" style="150" bestFit="1" customWidth="1"/>
    <col min="2063" max="2067" width="14.44140625" style="150" customWidth="1"/>
    <col min="2068" max="2068" width="14.88671875" style="150" bestFit="1" customWidth="1"/>
    <col min="2069" max="2069" width="10.88671875" style="150" bestFit="1" customWidth="1"/>
    <col min="2070" max="2304" width="9.109375" style="150"/>
    <col min="2305" max="2305" width="8.44140625" style="150" customWidth="1"/>
    <col min="2306" max="2306" width="14.44140625" style="150" customWidth="1"/>
    <col min="2307" max="2307" width="15.44140625" style="150" customWidth="1"/>
    <col min="2308" max="2308" width="16.44140625" style="150" customWidth="1"/>
    <col min="2309" max="2309" width="16.109375" style="150" customWidth="1"/>
    <col min="2310" max="2310" width="13.6640625" style="150" customWidth="1"/>
    <col min="2311" max="2311" width="18.88671875" style="150" customWidth="1"/>
    <col min="2312" max="2312" width="15.6640625" style="150" customWidth="1"/>
    <col min="2313" max="2314" width="16.5546875" style="150" customWidth="1"/>
    <col min="2315" max="2315" width="13.109375" style="150" bestFit="1" customWidth="1"/>
    <col min="2316" max="2316" width="13.44140625" style="150" customWidth="1"/>
    <col min="2317" max="2317" width="14.6640625" style="150" customWidth="1"/>
    <col min="2318" max="2318" width="14.6640625" style="150" bestFit="1" customWidth="1"/>
    <col min="2319" max="2323" width="14.44140625" style="150" customWidth="1"/>
    <col min="2324" max="2324" width="14.88671875" style="150" bestFit="1" customWidth="1"/>
    <col min="2325" max="2325" width="10.88671875" style="150" bestFit="1" customWidth="1"/>
    <col min="2326" max="2560" width="9.109375" style="150"/>
    <col min="2561" max="2561" width="8.44140625" style="150" customWidth="1"/>
    <col min="2562" max="2562" width="14.44140625" style="150" customWidth="1"/>
    <col min="2563" max="2563" width="15.44140625" style="150" customWidth="1"/>
    <col min="2564" max="2564" width="16.44140625" style="150" customWidth="1"/>
    <col min="2565" max="2565" width="16.109375" style="150" customWidth="1"/>
    <col min="2566" max="2566" width="13.6640625" style="150" customWidth="1"/>
    <col min="2567" max="2567" width="18.88671875" style="150" customWidth="1"/>
    <col min="2568" max="2568" width="15.6640625" style="150" customWidth="1"/>
    <col min="2569" max="2570" width="16.5546875" style="150" customWidth="1"/>
    <col min="2571" max="2571" width="13.109375" style="150" bestFit="1" customWidth="1"/>
    <col min="2572" max="2572" width="13.44140625" style="150" customWidth="1"/>
    <col min="2573" max="2573" width="14.6640625" style="150" customWidth="1"/>
    <col min="2574" max="2574" width="14.6640625" style="150" bestFit="1" customWidth="1"/>
    <col min="2575" max="2579" width="14.44140625" style="150" customWidth="1"/>
    <col min="2580" max="2580" width="14.88671875" style="150" bestFit="1" customWidth="1"/>
    <col min="2581" max="2581" width="10.88671875" style="150" bestFit="1" customWidth="1"/>
    <col min="2582" max="2816" width="9.109375" style="150"/>
    <col min="2817" max="2817" width="8.44140625" style="150" customWidth="1"/>
    <col min="2818" max="2818" width="14.44140625" style="150" customWidth="1"/>
    <col min="2819" max="2819" width="15.44140625" style="150" customWidth="1"/>
    <col min="2820" max="2820" width="16.44140625" style="150" customWidth="1"/>
    <col min="2821" max="2821" width="16.109375" style="150" customWidth="1"/>
    <col min="2822" max="2822" width="13.6640625" style="150" customWidth="1"/>
    <col min="2823" max="2823" width="18.88671875" style="150" customWidth="1"/>
    <col min="2824" max="2824" width="15.6640625" style="150" customWidth="1"/>
    <col min="2825" max="2826" width="16.5546875" style="150" customWidth="1"/>
    <col min="2827" max="2827" width="13.109375" style="150" bestFit="1" customWidth="1"/>
    <col min="2828" max="2828" width="13.44140625" style="150" customWidth="1"/>
    <col min="2829" max="2829" width="14.6640625" style="150" customWidth="1"/>
    <col min="2830" max="2830" width="14.6640625" style="150" bestFit="1" customWidth="1"/>
    <col min="2831" max="2835" width="14.44140625" style="150" customWidth="1"/>
    <col min="2836" max="2836" width="14.88671875" style="150" bestFit="1" customWidth="1"/>
    <col min="2837" max="2837" width="10.88671875" style="150" bestFit="1" customWidth="1"/>
    <col min="2838" max="3072" width="9.109375" style="150"/>
    <col min="3073" max="3073" width="8.44140625" style="150" customWidth="1"/>
    <col min="3074" max="3074" width="14.44140625" style="150" customWidth="1"/>
    <col min="3075" max="3075" width="15.44140625" style="150" customWidth="1"/>
    <col min="3076" max="3076" width="16.44140625" style="150" customWidth="1"/>
    <col min="3077" max="3077" width="16.109375" style="150" customWidth="1"/>
    <col min="3078" max="3078" width="13.6640625" style="150" customWidth="1"/>
    <col min="3079" max="3079" width="18.88671875" style="150" customWidth="1"/>
    <col min="3080" max="3080" width="15.6640625" style="150" customWidth="1"/>
    <col min="3081" max="3082" width="16.5546875" style="150" customWidth="1"/>
    <col min="3083" max="3083" width="13.109375" style="150" bestFit="1" customWidth="1"/>
    <col min="3084" max="3084" width="13.44140625" style="150" customWidth="1"/>
    <col min="3085" max="3085" width="14.6640625" style="150" customWidth="1"/>
    <col min="3086" max="3086" width="14.6640625" style="150" bestFit="1" customWidth="1"/>
    <col min="3087" max="3091" width="14.44140625" style="150" customWidth="1"/>
    <col min="3092" max="3092" width="14.88671875" style="150" bestFit="1" customWidth="1"/>
    <col min="3093" max="3093" width="10.88671875" style="150" bestFit="1" customWidth="1"/>
    <col min="3094" max="3328" width="9.109375" style="150"/>
    <col min="3329" max="3329" width="8.44140625" style="150" customWidth="1"/>
    <col min="3330" max="3330" width="14.44140625" style="150" customWidth="1"/>
    <col min="3331" max="3331" width="15.44140625" style="150" customWidth="1"/>
    <col min="3332" max="3332" width="16.44140625" style="150" customWidth="1"/>
    <col min="3333" max="3333" width="16.109375" style="150" customWidth="1"/>
    <col min="3334" max="3334" width="13.6640625" style="150" customWidth="1"/>
    <col min="3335" max="3335" width="18.88671875" style="150" customWidth="1"/>
    <col min="3336" max="3336" width="15.6640625" style="150" customWidth="1"/>
    <col min="3337" max="3338" width="16.5546875" style="150" customWidth="1"/>
    <col min="3339" max="3339" width="13.109375" style="150" bestFit="1" customWidth="1"/>
    <col min="3340" max="3340" width="13.44140625" style="150" customWidth="1"/>
    <col min="3341" max="3341" width="14.6640625" style="150" customWidth="1"/>
    <col min="3342" max="3342" width="14.6640625" style="150" bestFit="1" customWidth="1"/>
    <col min="3343" max="3347" width="14.44140625" style="150" customWidth="1"/>
    <col min="3348" max="3348" width="14.88671875" style="150" bestFit="1" customWidth="1"/>
    <col min="3349" max="3349" width="10.88671875" style="150" bestFit="1" customWidth="1"/>
    <col min="3350" max="3584" width="9.109375" style="150"/>
    <col min="3585" max="3585" width="8.44140625" style="150" customWidth="1"/>
    <col min="3586" max="3586" width="14.44140625" style="150" customWidth="1"/>
    <col min="3587" max="3587" width="15.44140625" style="150" customWidth="1"/>
    <col min="3588" max="3588" width="16.44140625" style="150" customWidth="1"/>
    <col min="3589" max="3589" width="16.109375" style="150" customWidth="1"/>
    <col min="3590" max="3590" width="13.6640625" style="150" customWidth="1"/>
    <col min="3591" max="3591" width="18.88671875" style="150" customWidth="1"/>
    <col min="3592" max="3592" width="15.6640625" style="150" customWidth="1"/>
    <col min="3593" max="3594" width="16.5546875" style="150" customWidth="1"/>
    <col min="3595" max="3595" width="13.109375" style="150" bestFit="1" customWidth="1"/>
    <col min="3596" max="3596" width="13.44140625" style="150" customWidth="1"/>
    <col min="3597" max="3597" width="14.6640625" style="150" customWidth="1"/>
    <col min="3598" max="3598" width="14.6640625" style="150" bestFit="1" customWidth="1"/>
    <col min="3599" max="3603" width="14.44140625" style="150" customWidth="1"/>
    <col min="3604" max="3604" width="14.88671875" style="150" bestFit="1" customWidth="1"/>
    <col min="3605" max="3605" width="10.88671875" style="150" bestFit="1" customWidth="1"/>
    <col min="3606" max="3840" width="9.109375" style="150"/>
    <col min="3841" max="3841" width="8.44140625" style="150" customWidth="1"/>
    <col min="3842" max="3842" width="14.44140625" style="150" customWidth="1"/>
    <col min="3843" max="3843" width="15.44140625" style="150" customWidth="1"/>
    <col min="3844" max="3844" width="16.44140625" style="150" customWidth="1"/>
    <col min="3845" max="3845" width="16.109375" style="150" customWidth="1"/>
    <col min="3846" max="3846" width="13.6640625" style="150" customWidth="1"/>
    <col min="3847" max="3847" width="18.88671875" style="150" customWidth="1"/>
    <col min="3848" max="3848" width="15.6640625" style="150" customWidth="1"/>
    <col min="3849" max="3850" width="16.5546875" style="150" customWidth="1"/>
    <col min="3851" max="3851" width="13.109375" style="150" bestFit="1" customWidth="1"/>
    <col min="3852" max="3852" width="13.44140625" style="150" customWidth="1"/>
    <col min="3853" max="3853" width="14.6640625" style="150" customWidth="1"/>
    <col min="3854" max="3854" width="14.6640625" style="150" bestFit="1" customWidth="1"/>
    <col min="3855" max="3859" width="14.44140625" style="150" customWidth="1"/>
    <col min="3860" max="3860" width="14.88671875" style="150" bestFit="1" customWidth="1"/>
    <col min="3861" max="3861" width="10.88671875" style="150" bestFit="1" customWidth="1"/>
    <col min="3862" max="4096" width="9.109375" style="150"/>
    <col min="4097" max="4097" width="8.44140625" style="150" customWidth="1"/>
    <col min="4098" max="4098" width="14.44140625" style="150" customWidth="1"/>
    <col min="4099" max="4099" width="15.44140625" style="150" customWidth="1"/>
    <col min="4100" max="4100" width="16.44140625" style="150" customWidth="1"/>
    <col min="4101" max="4101" width="16.109375" style="150" customWidth="1"/>
    <col min="4102" max="4102" width="13.6640625" style="150" customWidth="1"/>
    <col min="4103" max="4103" width="18.88671875" style="150" customWidth="1"/>
    <col min="4104" max="4104" width="15.6640625" style="150" customWidth="1"/>
    <col min="4105" max="4106" width="16.5546875" style="150" customWidth="1"/>
    <col min="4107" max="4107" width="13.109375" style="150" bestFit="1" customWidth="1"/>
    <col min="4108" max="4108" width="13.44140625" style="150" customWidth="1"/>
    <col min="4109" max="4109" width="14.6640625" style="150" customWidth="1"/>
    <col min="4110" max="4110" width="14.6640625" style="150" bestFit="1" customWidth="1"/>
    <col min="4111" max="4115" width="14.44140625" style="150" customWidth="1"/>
    <col min="4116" max="4116" width="14.88671875" style="150" bestFit="1" customWidth="1"/>
    <col min="4117" max="4117" width="10.88671875" style="150" bestFit="1" customWidth="1"/>
    <col min="4118" max="4352" width="9.109375" style="150"/>
    <col min="4353" max="4353" width="8.44140625" style="150" customWidth="1"/>
    <col min="4354" max="4354" width="14.44140625" style="150" customWidth="1"/>
    <col min="4355" max="4355" width="15.44140625" style="150" customWidth="1"/>
    <col min="4356" max="4356" width="16.44140625" style="150" customWidth="1"/>
    <col min="4357" max="4357" width="16.109375" style="150" customWidth="1"/>
    <col min="4358" max="4358" width="13.6640625" style="150" customWidth="1"/>
    <col min="4359" max="4359" width="18.88671875" style="150" customWidth="1"/>
    <col min="4360" max="4360" width="15.6640625" style="150" customWidth="1"/>
    <col min="4361" max="4362" width="16.5546875" style="150" customWidth="1"/>
    <col min="4363" max="4363" width="13.109375" style="150" bestFit="1" customWidth="1"/>
    <col min="4364" max="4364" width="13.44140625" style="150" customWidth="1"/>
    <col min="4365" max="4365" width="14.6640625" style="150" customWidth="1"/>
    <col min="4366" max="4366" width="14.6640625" style="150" bestFit="1" customWidth="1"/>
    <col min="4367" max="4371" width="14.44140625" style="150" customWidth="1"/>
    <col min="4372" max="4372" width="14.88671875" style="150" bestFit="1" customWidth="1"/>
    <col min="4373" max="4373" width="10.88671875" style="150" bestFit="1" customWidth="1"/>
    <col min="4374" max="4608" width="9.109375" style="150"/>
    <col min="4609" max="4609" width="8.44140625" style="150" customWidth="1"/>
    <col min="4610" max="4610" width="14.44140625" style="150" customWidth="1"/>
    <col min="4611" max="4611" width="15.44140625" style="150" customWidth="1"/>
    <col min="4612" max="4612" width="16.44140625" style="150" customWidth="1"/>
    <col min="4613" max="4613" width="16.109375" style="150" customWidth="1"/>
    <col min="4614" max="4614" width="13.6640625" style="150" customWidth="1"/>
    <col min="4615" max="4615" width="18.88671875" style="150" customWidth="1"/>
    <col min="4616" max="4616" width="15.6640625" style="150" customWidth="1"/>
    <col min="4617" max="4618" width="16.5546875" style="150" customWidth="1"/>
    <col min="4619" max="4619" width="13.109375" style="150" bestFit="1" customWidth="1"/>
    <col min="4620" max="4620" width="13.44140625" style="150" customWidth="1"/>
    <col min="4621" max="4621" width="14.6640625" style="150" customWidth="1"/>
    <col min="4622" max="4622" width="14.6640625" style="150" bestFit="1" customWidth="1"/>
    <col min="4623" max="4627" width="14.44140625" style="150" customWidth="1"/>
    <col min="4628" max="4628" width="14.88671875" style="150" bestFit="1" customWidth="1"/>
    <col min="4629" max="4629" width="10.88671875" style="150" bestFit="1" customWidth="1"/>
    <col min="4630" max="4864" width="9.109375" style="150"/>
    <col min="4865" max="4865" width="8.44140625" style="150" customWidth="1"/>
    <col min="4866" max="4866" width="14.44140625" style="150" customWidth="1"/>
    <col min="4867" max="4867" width="15.44140625" style="150" customWidth="1"/>
    <col min="4868" max="4868" width="16.44140625" style="150" customWidth="1"/>
    <col min="4869" max="4869" width="16.109375" style="150" customWidth="1"/>
    <col min="4870" max="4870" width="13.6640625" style="150" customWidth="1"/>
    <col min="4871" max="4871" width="18.88671875" style="150" customWidth="1"/>
    <col min="4872" max="4872" width="15.6640625" style="150" customWidth="1"/>
    <col min="4873" max="4874" width="16.5546875" style="150" customWidth="1"/>
    <col min="4875" max="4875" width="13.109375" style="150" bestFit="1" customWidth="1"/>
    <col min="4876" max="4876" width="13.44140625" style="150" customWidth="1"/>
    <col min="4877" max="4877" width="14.6640625" style="150" customWidth="1"/>
    <col min="4878" max="4878" width="14.6640625" style="150" bestFit="1" customWidth="1"/>
    <col min="4879" max="4883" width="14.44140625" style="150" customWidth="1"/>
    <col min="4884" max="4884" width="14.88671875" style="150" bestFit="1" customWidth="1"/>
    <col min="4885" max="4885" width="10.88671875" style="150" bestFit="1" customWidth="1"/>
    <col min="4886" max="5120" width="9.109375" style="150"/>
    <col min="5121" max="5121" width="8.44140625" style="150" customWidth="1"/>
    <col min="5122" max="5122" width="14.44140625" style="150" customWidth="1"/>
    <col min="5123" max="5123" width="15.44140625" style="150" customWidth="1"/>
    <col min="5124" max="5124" width="16.44140625" style="150" customWidth="1"/>
    <col min="5125" max="5125" width="16.109375" style="150" customWidth="1"/>
    <col min="5126" max="5126" width="13.6640625" style="150" customWidth="1"/>
    <col min="5127" max="5127" width="18.88671875" style="150" customWidth="1"/>
    <col min="5128" max="5128" width="15.6640625" style="150" customWidth="1"/>
    <col min="5129" max="5130" width="16.5546875" style="150" customWidth="1"/>
    <col min="5131" max="5131" width="13.109375" style="150" bestFit="1" customWidth="1"/>
    <col min="5132" max="5132" width="13.44140625" style="150" customWidth="1"/>
    <col min="5133" max="5133" width="14.6640625" style="150" customWidth="1"/>
    <col min="5134" max="5134" width="14.6640625" style="150" bestFit="1" customWidth="1"/>
    <col min="5135" max="5139" width="14.44140625" style="150" customWidth="1"/>
    <col min="5140" max="5140" width="14.88671875" style="150" bestFit="1" customWidth="1"/>
    <col min="5141" max="5141" width="10.88671875" style="150" bestFit="1" customWidth="1"/>
    <col min="5142" max="5376" width="9.109375" style="150"/>
    <col min="5377" max="5377" width="8.44140625" style="150" customWidth="1"/>
    <col min="5378" max="5378" width="14.44140625" style="150" customWidth="1"/>
    <col min="5379" max="5379" width="15.44140625" style="150" customWidth="1"/>
    <col min="5380" max="5380" width="16.44140625" style="150" customWidth="1"/>
    <col min="5381" max="5381" width="16.109375" style="150" customWidth="1"/>
    <col min="5382" max="5382" width="13.6640625" style="150" customWidth="1"/>
    <col min="5383" max="5383" width="18.88671875" style="150" customWidth="1"/>
    <col min="5384" max="5384" width="15.6640625" style="150" customWidth="1"/>
    <col min="5385" max="5386" width="16.5546875" style="150" customWidth="1"/>
    <col min="5387" max="5387" width="13.109375" style="150" bestFit="1" customWidth="1"/>
    <col min="5388" max="5388" width="13.44140625" style="150" customWidth="1"/>
    <col min="5389" max="5389" width="14.6640625" style="150" customWidth="1"/>
    <col min="5390" max="5390" width="14.6640625" style="150" bestFit="1" customWidth="1"/>
    <col min="5391" max="5395" width="14.44140625" style="150" customWidth="1"/>
    <col min="5396" max="5396" width="14.88671875" style="150" bestFit="1" customWidth="1"/>
    <col min="5397" max="5397" width="10.88671875" style="150" bestFit="1" customWidth="1"/>
    <col min="5398" max="5632" width="9.109375" style="150"/>
    <col min="5633" max="5633" width="8.44140625" style="150" customWidth="1"/>
    <col min="5634" max="5634" width="14.44140625" style="150" customWidth="1"/>
    <col min="5635" max="5635" width="15.44140625" style="150" customWidth="1"/>
    <col min="5636" max="5636" width="16.44140625" style="150" customWidth="1"/>
    <col min="5637" max="5637" width="16.109375" style="150" customWidth="1"/>
    <col min="5638" max="5638" width="13.6640625" style="150" customWidth="1"/>
    <col min="5639" max="5639" width="18.88671875" style="150" customWidth="1"/>
    <col min="5640" max="5640" width="15.6640625" style="150" customWidth="1"/>
    <col min="5641" max="5642" width="16.5546875" style="150" customWidth="1"/>
    <col min="5643" max="5643" width="13.109375" style="150" bestFit="1" customWidth="1"/>
    <col min="5644" max="5644" width="13.44140625" style="150" customWidth="1"/>
    <col min="5645" max="5645" width="14.6640625" style="150" customWidth="1"/>
    <col min="5646" max="5646" width="14.6640625" style="150" bestFit="1" customWidth="1"/>
    <col min="5647" max="5651" width="14.44140625" style="150" customWidth="1"/>
    <col min="5652" max="5652" width="14.88671875" style="150" bestFit="1" customWidth="1"/>
    <col min="5653" max="5653" width="10.88671875" style="150" bestFit="1" customWidth="1"/>
    <col min="5654" max="5888" width="9.109375" style="150"/>
    <col min="5889" max="5889" width="8.44140625" style="150" customWidth="1"/>
    <col min="5890" max="5890" width="14.44140625" style="150" customWidth="1"/>
    <col min="5891" max="5891" width="15.44140625" style="150" customWidth="1"/>
    <col min="5892" max="5892" width="16.44140625" style="150" customWidth="1"/>
    <col min="5893" max="5893" width="16.109375" style="150" customWidth="1"/>
    <col min="5894" max="5894" width="13.6640625" style="150" customWidth="1"/>
    <col min="5895" max="5895" width="18.88671875" style="150" customWidth="1"/>
    <col min="5896" max="5896" width="15.6640625" style="150" customWidth="1"/>
    <col min="5897" max="5898" width="16.5546875" style="150" customWidth="1"/>
    <col min="5899" max="5899" width="13.109375" style="150" bestFit="1" customWidth="1"/>
    <col min="5900" max="5900" width="13.44140625" style="150" customWidth="1"/>
    <col min="5901" max="5901" width="14.6640625" style="150" customWidth="1"/>
    <col min="5902" max="5902" width="14.6640625" style="150" bestFit="1" customWidth="1"/>
    <col min="5903" max="5907" width="14.44140625" style="150" customWidth="1"/>
    <col min="5908" max="5908" width="14.88671875" style="150" bestFit="1" customWidth="1"/>
    <col min="5909" max="5909" width="10.88671875" style="150" bestFit="1" customWidth="1"/>
    <col min="5910" max="6144" width="9.109375" style="150"/>
    <col min="6145" max="6145" width="8.44140625" style="150" customWidth="1"/>
    <col min="6146" max="6146" width="14.44140625" style="150" customWidth="1"/>
    <col min="6147" max="6147" width="15.44140625" style="150" customWidth="1"/>
    <col min="6148" max="6148" width="16.44140625" style="150" customWidth="1"/>
    <col min="6149" max="6149" width="16.109375" style="150" customWidth="1"/>
    <col min="6150" max="6150" width="13.6640625" style="150" customWidth="1"/>
    <col min="6151" max="6151" width="18.88671875" style="150" customWidth="1"/>
    <col min="6152" max="6152" width="15.6640625" style="150" customWidth="1"/>
    <col min="6153" max="6154" width="16.5546875" style="150" customWidth="1"/>
    <col min="6155" max="6155" width="13.109375" style="150" bestFit="1" customWidth="1"/>
    <col min="6156" max="6156" width="13.44140625" style="150" customWidth="1"/>
    <col min="6157" max="6157" width="14.6640625" style="150" customWidth="1"/>
    <col min="6158" max="6158" width="14.6640625" style="150" bestFit="1" customWidth="1"/>
    <col min="6159" max="6163" width="14.44140625" style="150" customWidth="1"/>
    <col min="6164" max="6164" width="14.88671875" style="150" bestFit="1" customWidth="1"/>
    <col min="6165" max="6165" width="10.88671875" style="150" bestFit="1" customWidth="1"/>
    <col min="6166" max="6400" width="9.109375" style="150"/>
    <col min="6401" max="6401" width="8.44140625" style="150" customWidth="1"/>
    <col min="6402" max="6402" width="14.44140625" style="150" customWidth="1"/>
    <col min="6403" max="6403" width="15.44140625" style="150" customWidth="1"/>
    <col min="6404" max="6404" width="16.44140625" style="150" customWidth="1"/>
    <col min="6405" max="6405" width="16.109375" style="150" customWidth="1"/>
    <col min="6406" max="6406" width="13.6640625" style="150" customWidth="1"/>
    <col min="6407" max="6407" width="18.88671875" style="150" customWidth="1"/>
    <col min="6408" max="6408" width="15.6640625" style="150" customWidth="1"/>
    <col min="6409" max="6410" width="16.5546875" style="150" customWidth="1"/>
    <col min="6411" max="6411" width="13.109375" style="150" bestFit="1" customWidth="1"/>
    <col min="6412" max="6412" width="13.44140625" style="150" customWidth="1"/>
    <col min="6413" max="6413" width="14.6640625" style="150" customWidth="1"/>
    <col min="6414" max="6414" width="14.6640625" style="150" bestFit="1" customWidth="1"/>
    <col min="6415" max="6419" width="14.44140625" style="150" customWidth="1"/>
    <col min="6420" max="6420" width="14.88671875" style="150" bestFit="1" customWidth="1"/>
    <col min="6421" max="6421" width="10.88671875" style="150" bestFit="1" customWidth="1"/>
    <col min="6422" max="6656" width="9.109375" style="150"/>
    <col min="6657" max="6657" width="8.44140625" style="150" customWidth="1"/>
    <col min="6658" max="6658" width="14.44140625" style="150" customWidth="1"/>
    <col min="6659" max="6659" width="15.44140625" style="150" customWidth="1"/>
    <col min="6660" max="6660" width="16.44140625" style="150" customWidth="1"/>
    <col min="6661" max="6661" width="16.109375" style="150" customWidth="1"/>
    <col min="6662" max="6662" width="13.6640625" style="150" customWidth="1"/>
    <col min="6663" max="6663" width="18.88671875" style="150" customWidth="1"/>
    <col min="6664" max="6664" width="15.6640625" style="150" customWidth="1"/>
    <col min="6665" max="6666" width="16.5546875" style="150" customWidth="1"/>
    <col min="6667" max="6667" width="13.109375" style="150" bestFit="1" customWidth="1"/>
    <col min="6668" max="6668" width="13.44140625" style="150" customWidth="1"/>
    <col min="6669" max="6669" width="14.6640625" style="150" customWidth="1"/>
    <col min="6670" max="6670" width="14.6640625" style="150" bestFit="1" customWidth="1"/>
    <col min="6671" max="6675" width="14.44140625" style="150" customWidth="1"/>
    <col min="6676" max="6676" width="14.88671875" style="150" bestFit="1" customWidth="1"/>
    <col min="6677" max="6677" width="10.88671875" style="150" bestFit="1" customWidth="1"/>
    <col min="6678" max="6912" width="9.109375" style="150"/>
    <col min="6913" max="6913" width="8.44140625" style="150" customWidth="1"/>
    <col min="6914" max="6914" width="14.44140625" style="150" customWidth="1"/>
    <col min="6915" max="6915" width="15.44140625" style="150" customWidth="1"/>
    <col min="6916" max="6916" width="16.44140625" style="150" customWidth="1"/>
    <col min="6917" max="6917" width="16.109375" style="150" customWidth="1"/>
    <col min="6918" max="6918" width="13.6640625" style="150" customWidth="1"/>
    <col min="6919" max="6919" width="18.88671875" style="150" customWidth="1"/>
    <col min="6920" max="6920" width="15.6640625" style="150" customWidth="1"/>
    <col min="6921" max="6922" width="16.5546875" style="150" customWidth="1"/>
    <col min="6923" max="6923" width="13.109375" style="150" bestFit="1" customWidth="1"/>
    <col min="6924" max="6924" width="13.44140625" style="150" customWidth="1"/>
    <col min="6925" max="6925" width="14.6640625" style="150" customWidth="1"/>
    <col min="6926" max="6926" width="14.6640625" style="150" bestFit="1" customWidth="1"/>
    <col min="6927" max="6931" width="14.44140625" style="150" customWidth="1"/>
    <col min="6932" max="6932" width="14.88671875" style="150" bestFit="1" customWidth="1"/>
    <col min="6933" max="6933" width="10.88671875" style="150" bestFit="1" customWidth="1"/>
    <col min="6934" max="7168" width="9.109375" style="150"/>
    <col min="7169" max="7169" width="8.44140625" style="150" customWidth="1"/>
    <col min="7170" max="7170" width="14.44140625" style="150" customWidth="1"/>
    <col min="7171" max="7171" width="15.44140625" style="150" customWidth="1"/>
    <col min="7172" max="7172" width="16.44140625" style="150" customWidth="1"/>
    <col min="7173" max="7173" width="16.109375" style="150" customWidth="1"/>
    <col min="7174" max="7174" width="13.6640625" style="150" customWidth="1"/>
    <col min="7175" max="7175" width="18.88671875" style="150" customWidth="1"/>
    <col min="7176" max="7176" width="15.6640625" style="150" customWidth="1"/>
    <col min="7177" max="7178" width="16.5546875" style="150" customWidth="1"/>
    <col min="7179" max="7179" width="13.109375" style="150" bestFit="1" customWidth="1"/>
    <col min="7180" max="7180" width="13.44140625" style="150" customWidth="1"/>
    <col min="7181" max="7181" width="14.6640625" style="150" customWidth="1"/>
    <col min="7182" max="7182" width="14.6640625" style="150" bestFit="1" customWidth="1"/>
    <col min="7183" max="7187" width="14.44140625" style="150" customWidth="1"/>
    <col min="7188" max="7188" width="14.88671875" style="150" bestFit="1" customWidth="1"/>
    <col min="7189" max="7189" width="10.88671875" style="150" bestFit="1" customWidth="1"/>
    <col min="7190" max="7424" width="9.109375" style="150"/>
    <col min="7425" max="7425" width="8.44140625" style="150" customWidth="1"/>
    <col min="7426" max="7426" width="14.44140625" style="150" customWidth="1"/>
    <col min="7427" max="7427" width="15.44140625" style="150" customWidth="1"/>
    <col min="7428" max="7428" width="16.44140625" style="150" customWidth="1"/>
    <col min="7429" max="7429" width="16.109375" style="150" customWidth="1"/>
    <col min="7430" max="7430" width="13.6640625" style="150" customWidth="1"/>
    <col min="7431" max="7431" width="18.88671875" style="150" customWidth="1"/>
    <col min="7432" max="7432" width="15.6640625" style="150" customWidth="1"/>
    <col min="7433" max="7434" width="16.5546875" style="150" customWidth="1"/>
    <col min="7435" max="7435" width="13.109375" style="150" bestFit="1" customWidth="1"/>
    <col min="7436" max="7436" width="13.44140625" style="150" customWidth="1"/>
    <col min="7437" max="7437" width="14.6640625" style="150" customWidth="1"/>
    <col min="7438" max="7438" width="14.6640625" style="150" bestFit="1" customWidth="1"/>
    <col min="7439" max="7443" width="14.44140625" style="150" customWidth="1"/>
    <col min="7444" max="7444" width="14.88671875" style="150" bestFit="1" customWidth="1"/>
    <col min="7445" max="7445" width="10.88671875" style="150" bestFit="1" customWidth="1"/>
    <col min="7446" max="7680" width="9.109375" style="150"/>
    <col min="7681" max="7681" width="8.44140625" style="150" customWidth="1"/>
    <col min="7682" max="7682" width="14.44140625" style="150" customWidth="1"/>
    <col min="7683" max="7683" width="15.44140625" style="150" customWidth="1"/>
    <col min="7684" max="7684" width="16.44140625" style="150" customWidth="1"/>
    <col min="7685" max="7685" width="16.109375" style="150" customWidth="1"/>
    <col min="7686" max="7686" width="13.6640625" style="150" customWidth="1"/>
    <col min="7687" max="7687" width="18.88671875" style="150" customWidth="1"/>
    <col min="7688" max="7688" width="15.6640625" style="150" customWidth="1"/>
    <col min="7689" max="7690" width="16.5546875" style="150" customWidth="1"/>
    <col min="7691" max="7691" width="13.109375" style="150" bestFit="1" customWidth="1"/>
    <col min="7692" max="7692" width="13.44140625" style="150" customWidth="1"/>
    <col min="7693" max="7693" width="14.6640625" style="150" customWidth="1"/>
    <col min="7694" max="7694" width="14.6640625" style="150" bestFit="1" customWidth="1"/>
    <col min="7695" max="7699" width="14.44140625" style="150" customWidth="1"/>
    <col min="7700" max="7700" width="14.88671875" style="150" bestFit="1" customWidth="1"/>
    <col min="7701" max="7701" width="10.88671875" style="150" bestFit="1" customWidth="1"/>
    <col min="7702" max="7936" width="9.109375" style="150"/>
    <col min="7937" max="7937" width="8.44140625" style="150" customWidth="1"/>
    <col min="7938" max="7938" width="14.44140625" style="150" customWidth="1"/>
    <col min="7939" max="7939" width="15.44140625" style="150" customWidth="1"/>
    <col min="7940" max="7940" width="16.44140625" style="150" customWidth="1"/>
    <col min="7941" max="7941" width="16.109375" style="150" customWidth="1"/>
    <col min="7942" max="7942" width="13.6640625" style="150" customWidth="1"/>
    <col min="7943" max="7943" width="18.88671875" style="150" customWidth="1"/>
    <col min="7944" max="7944" width="15.6640625" style="150" customWidth="1"/>
    <col min="7945" max="7946" width="16.5546875" style="150" customWidth="1"/>
    <col min="7947" max="7947" width="13.109375" style="150" bestFit="1" customWidth="1"/>
    <col min="7948" max="7948" width="13.44140625" style="150" customWidth="1"/>
    <col min="7949" max="7949" width="14.6640625" style="150" customWidth="1"/>
    <col min="7950" max="7950" width="14.6640625" style="150" bestFit="1" customWidth="1"/>
    <col min="7951" max="7955" width="14.44140625" style="150" customWidth="1"/>
    <col min="7956" max="7956" width="14.88671875" style="150" bestFit="1" customWidth="1"/>
    <col min="7957" max="7957" width="10.88671875" style="150" bestFit="1" customWidth="1"/>
    <col min="7958" max="8192" width="9.109375" style="150"/>
    <col min="8193" max="8193" width="8.44140625" style="150" customWidth="1"/>
    <col min="8194" max="8194" width="14.44140625" style="150" customWidth="1"/>
    <col min="8195" max="8195" width="15.44140625" style="150" customWidth="1"/>
    <col min="8196" max="8196" width="16.44140625" style="150" customWidth="1"/>
    <col min="8197" max="8197" width="16.109375" style="150" customWidth="1"/>
    <col min="8198" max="8198" width="13.6640625" style="150" customWidth="1"/>
    <col min="8199" max="8199" width="18.88671875" style="150" customWidth="1"/>
    <col min="8200" max="8200" width="15.6640625" style="150" customWidth="1"/>
    <col min="8201" max="8202" width="16.5546875" style="150" customWidth="1"/>
    <col min="8203" max="8203" width="13.109375" style="150" bestFit="1" customWidth="1"/>
    <col min="8204" max="8204" width="13.44140625" style="150" customWidth="1"/>
    <col min="8205" max="8205" width="14.6640625" style="150" customWidth="1"/>
    <col min="8206" max="8206" width="14.6640625" style="150" bestFit="1" customWidth="1"/>
    <col min="8207" max="8211" width="14.44140625" style="150" customWidth="1"/>
    <col min="8212" max="8212" width="14.88671875" style="150" bestFit="1" customWidth="1"/>
    <col min="8213" max="8213" width="10.88671875" style="150" bestFit="1" customWidth="1"/>
    <col min="8214" max="8448" width="9.109375" style="150"/>
    <col min="8449" max="8449" width="8.44140625" style="150" customWidth="1"/>
    <col min="8450" max="8450" width="14.44140625" style="150" customWidth="1"/>
    <col min="8451" max="8451" width="15.44140625" style="150" customWidth="1"/>
    <col min="8452" max="8452" width="16.44140625" style="150" customWidth="1"/>
    <col min="8453" max="8453" width="16.109375" style="150" customWidth="1"/>
    <col min="8454" max="8454" width="13.6640625" style="150" customWidth="1"/>
    <col min="8455" max="8455" width="18.88671875" style="150" customWidth="1"/>
    <col min="8456" max="8456" width="15.6640625" style="150" customWidth="1"/>
    <col min="8457" max="8458" width="16.5546875" style="150" customWidth="1"/>
    <col min="8459" max="8459" width="13.109375" style="150" bestFit="1" customWidth="1"/>
    <col min="8460" max="8460" width="13.44140625" style="150" customWidth="1"/>
    <col min="8461" max="8461" width="14.6640625" style="150" customWidth="1"/>
    <col min="8462" max="8462" width="14.6640625" style="150" bestFit="1" customWidth="1"/>
    <col min="8463" max="8467" width="14.44140625" style="150" customWidth="1"/>
    <col min="8468" max="8468" width="14.88671875" style="150" bestFit="1" customWidth="1"/>
    <col min="8469" max="8469" width="10.88671875" style="150" bestFit="1" customWidth="1"/>
    <col min="8470" max="8704" width="9.109375" style="150"/>
    <col min="8705" max="8705" width="8.44140625" style="150" customWidth="1"/>
    <col min="8706" max="8706" width="14.44140625" style="150" customWidth="1"/>
    <col min="8707" max="8707" width="15.44140625" style="150" customWidth="1"/>
    <col min="8708" max="8708" width="16.44140625" style="150" customWidth="1"/>
    <col min="8709" max="8709" width="16.109375" style="150" customWidth="1"/>
    <col min="8710" max="8710" width="13.6640625" style="150" customWidth="1"/>
    <col min="8711" max="8711" width="18.88671875" style="150" customWidth="1"/>
    <col min="8712" max="8712" width="15.6640625" style="150" customWidth="1"/>
    <col min="8713" max="8714" width="16.5546875" style="150" customWidth="1"/>
    <col min="8715" max="8715" width="13.109375" style="150" bestFit="1" customWidth="1"/>
    <col min="8716" max="8716" width="13.44140625" style="150" customWidth="1"/>
    <col min="8717" max="8717" width="14.6640625" style="150" customWidth="1"/>
    <col min="8718" max="8718" width="14.6640625" style="150" bestFit="1" customWidth="1"/>
    <col min="8719" max="8723" width="14.44140625" style="150" customWidth="1"/>
    <col min="8724" max="8724" width="14.88671875" style="150" bestFit="1" customWidth="1"/>
    <col min="8725" max="8725" width="10.88671875" style="150" bestFit="1" customWidth="1"/>
    <col min="8726" max="8960" width="9.109375" style="150"/>
    <col min="8961" max="8961" width="8.44140625" style="150" customWidth="1"/>
    <col min="8962" max="8962" width="14.44140625" style="150" customWidth="1"/>
    <col min="8963" max="8963" width="15.44140625" style="150" customWidth="1"/>
    <col min="8964" max="8964" width="16.44140625" style="150" customWidth="1"/>
    <col min="8965" max="8965" width="16.109375" style="150" customWidth="1"/>
    <col min="8966" max="8966" width="13.6640625" style="150" customWidth="1"/>
    <col min="8967" max="8967" width="18.88671875" style="150" customWidth="1"/>
    <col min="8968" max="8968" width="15.6640625" style="150" customWidth="1"/>
    <col min="8969" max="8970" width="16.5546875" style="150" customWidth="1"/>
    <col min="8971" max="8971" width="13.109375" style="150" bestFit="1" customWidth="1"/>
    <col min="8972" max="8972" width="13.44140625" style="150" customWidth="1"/>
    <col min="8973" max="8973" width="14.6640625" style="150" customWidth="1"/>
    <col min="8974" max="8974" width="14.6640625" style="150" bestFit="1" customWidth="1"/>
    <col min="8975" max="8979" width="14.44140625" style="150" customWidth="1"/>
    <col min="8980" max="8980" width="14.88671875" style="150" bestFit="1" customWidth="1"/>
    <col min="8981" max="8981" width="10.88671875" style="150" bestFit="1" customWidth="1"/>
    <col min="8982" max="9216" width="9.109375" style="150"/>
    <col min="9217" max="9217" width="8.44140625" style="150" customWidth="1"/>
    <col min="9218" max="9218" width="14.44140625" style="150" customWidth="1"/>
    <col min="9219" max="9219" width="15.44140625" style="150" customWidth="1"/>
    <col min="9220" max="9220" width="16.44140625" style="150" customWidth="1"/>
    <col min="9221" max="9221" width="16.109375" style="150" customWidth="1"/>
    <col min="9222" max="9222" width="13.6640625" style="150" customWidth="1"/>
    <col min="9223" max="9223" width="18.88671875" style="150" customWidth="1"/>
    <col min="9224" max="9224" width="15.6640625" style="150" customWidth="1"/>
    <col min="9225" max="9226" width="16.5546875" style="150" customWidth="1"/>
    <col min="9227" max="9227" width="13.109375" style="150" bestFit="1" customWidth="1"/>
    <col min="9228" max="9228" width="13.44140625" style="150" customWidth="1"/>
    <col min="9229" max="9229" width="14.6640625" style="150" customWidth="1"/>
    <col min="9230" max="9230" width="14.6640625" style="150" bestFit="1" customWidth="1"/>
    <col min="9231" max="9235" width="14.44140625" style="150" customWidth="1"/>
    <col min="9236" max="9236" width="14.88671875" style="150" bestFit="1" customWidth="1"/>
    <col min="9237" max="9237" width="10.88671875" style="150" bestFit="1" customWidth="1"/>
    <col min="9238" max="9472" width="9.109375" style="150"/>
    <col min="9473" max="9473" width="8.44140625" style="150" customWidth="1"/>
    <col min="9474" max="9474" width="14.44140625" style="150" customWidth="1"/>
    <col min="9475" max="9475" width="15.44140625" style="150" customWidth="1"/>
    <col min="9476" max="9476" width="16.44140625" style="150" customWidth="1"/>
    <col min="9477" max="9477" width="16.109375" style="150" customWidth="1"/>
    <col min="9478" max="9478" width="13.6640625" style="150" customWidth="1"/>
    <col min="9479" max="9479" width="18.88671875" style="150" customWidth="1"/>
    <col min="9480" max="9480" width="15.6640625" style="150" customWidth="1"/>
    <col min="9481" max="9482" width="16.5546875" style="150" customWidth="1"/>
    <col min="9483" max="9483" width="13.109375" style="150" bestFit="1" customWidth="1"/>
    <col min="9484" max="9484" width="13.44140625" style="150" customWidth="1"/>
    <col min="9485" max="9485" width="14.6640625" style="150" customWidth="1"/>
    <col min="9486" max="9486" width="14.6640625" style="150" bestFit="1" customWidth="1"/>
    <col min="9487" max="9491" width="14.44140625" style="150" customWidth="1"/>
    <col min="9492" max="9492" width="14.88671875" style="150" bestFit="1" customWidth="1"/>
    <col min="9493" max="9493" width="10.88671875" style="150" bestFit="1" customWidth="1"/>
    <col min="9494" max="9728" width="9.109375" style="150"/>
    <col min="9729" max="9729" width="8.44140625" style="150" customWidth="1"/>
    <col min="9730" max="9730" width="14.44140625" style="150" customWidth="1"/>
    <col min="9731" max="9731" width="15.44140625" style="150" customWidth="1"/>
    <col min="9732" max="9732" width="16.44140625" style="150" customWidth="1"/>
    <col min="9733" max="9733" width="16.109375" style="150" customWidth="1"/>
    <col min="9734" max="9734" width="13.6640625" style="150" customWidth="1"/>
    <col min="9735" max="9735" width="18.88671875" style="150" customWidth="1"/>
    <col min="9736" max="9736" width="15.6640625" style="150" customWidth="1"/>
    <col min="9737" max="9738" width="16.5546875" style="150" customWidth="1"/>
    <col min="9739" max="9739" width="13.109375" style="150" bestFit="1" customWidth="1"/>
    <col min="9740" max="9740" width="13.44140625" style="150" customWidth="1"/>
    <col min="9741" max="9741" width="14.6640625" style="150" customWidth="1"/>
    <col min="9742" max="9742" width="14.6640625" style="150" bestFit="1" customWidth="1"/>
    <col min="9743" max="9747" width="14.44140625" style="150" customWidth="1"/>
    <col min="9748" max="9748" width="14.88671875" style="150" bestFit="1" customWidth="1"/>
    <col min="9749" max="9749" width="10.88671875" style="150" bestFit="1" customWidth="1"/>
    <col min="9750" max="9984" width="9.109375" style="150"/>
    <col min="9985" max="9985" width="8.44140625" style="150" customWidth="1"/>
    <col min="9986" max="9986" width="14.44140625" style="150" customWidth="1"/>
    <col min="9987" max="9987" width="15.44140625" style="150" customWidth="1"/>
    <col min="9988" max="9988" width="16.44140625" style="150" customWidth="1"/>
    <col min="9989" max="9989" width="16.109375" style="150" customWidth="1"/>
    <col min="9990" max="9990" width="13.6640625" style="150" customWidth="1"/>
    <col min="9991" max="9991" width="18.88671875" style="150" customWidth="1"/>
    <col min="9992" max="9992" width="15.6640625" style="150" customWidth="1"/>
    <col min="9993" max="9994" width="16.5546875" style="150" customWidth="1"/>
    <col min="9995" max="9995" width="13.109375" style="150" bestFit="1" customWidth="1"/>
    <col min="9996" max="9996" width="13.44140625" style="150" customWidth="1"/>
    <col min="9997" max="9997" width="14.6640625" style="150" customWidth="1"/>
    <col min="9998" max="9998" width="14.6640625" style="150" bestFit="1" customWidth="1"/>
    <col min="9999" max="10003" width="14.44140625" style="150" customWidth="1"/>
    <col min="10004" max="10004" width="14.88671875" style="150" bestFit="1" customWidth="1"/>
    <col min="10005" max="10005" width="10.88671875" style="150" bestFit="1" customWidth="1"/>
    <col min="10006" max="10240" width="9.109375" style="150"/>
    <col min="10241" max="10241" width="8.44140625" style="150" customWidth="1"/>
    <col min="10242" max="10242" width="14.44140625" style="150" customWidth="1"/>
    <col min="10243" max="10243" width="15.44140625" style="150" customWidth="1"/>
    <col min="10244" max="10244" width="16.44140625" style="150" customWidth="1"/>
    <col min="10245" max="10245" width="16.109375" style="150" customWidth="1"/>
    <col min="10246" max="10246" width="13.6640625" style="150" customWidth="1"/>
    <col min="10247" max="10247" width="18.88671875" style="150" customWidth="1"/>
    <col min="10248" max="10248" width="15.6640625" style="150" customWidth="1"/>
    <col min="10249" max="10250" width="16.5546875" style="150" customWidth="1"/>
    <col min="10251" max="10251" width="13.109375" style="150" bestFit="1" customWidth="1"/>
    <col min="10252" max="10252" width="13.44140625" style="150" customWidth="1"/>
    <col min="10253" max="10253" width="14.6640625" style="150" customWidth="1"/>
    <col min="10254" max="10254" width="14.6640625" style="150" bestFit="1" customWidth="1"/>
    <col min="10255" max="10259" width="14.44140625" style="150" customWidth="1"/>
    <col min="10260" max="10260" width="14.88671875" style="150" bestFit="1" customWidth="1"/>
    <col min="10261" max="10261" width="10.88671875" style="150" bestFit="1" customWidth="1"/>
    <col min="10262" max="10496" width="9.109375" style="150"/>
    <col min="10497" max="10497" width="8.44140625" style="150" customWidth="1"/>
    <col min="10498" max="10498" width="14.44140625" style="150" customWidth="1"/>
    <col min="10499" max="10499" width="15.44140625" style="150" customWidth="1"/>
    <col min="10500" max="10500" width="16.44140625" style="150" customWidth="1"/>
    <col min="10501" max="10501" width="16.109375" style="150" customWidth="1"/>
    <col min="10502" max="10502" width="13.6640625" style="150" customWidth="1"/>
    <col min="10503" max="10503" width="18.88671875" style="150" customWidth="1"/>
    <col min="10504" max="10504" width="15.6640625" style="150" customWidth="1"/>
    <col min="10505" max="10506" width="16.5546875" style="150" customWidth="1"/>
    <col min="10507" max="10507" width="13.109375" style="150" bestFit="1" customWidth="1"/>
    <col min="10508" max="10508" width="13.44140625" style="150" customWidth="1"/>
    <col min="10509" max="10509" width="14.6640625" style="150" customWidth="1"/>
    <col min="10510" max="10510" width="14.6640625" style="150" bestFit="1" customWidth="1"/>
    <col min="10511" max="10515" width="14.44140625" style="150" customWidth="1"/>
    <col min="10516" max="10516" width="14.88671875" style="150" bestFit="1" customWidth="1"/>
    <col min="10517" max="10517" width="10.88671875" style="150" bestFit="1" customWidth="1"/>
    <col min="10518" max="10752" width="9.109375" style="150"/>
    <col min="10753" max="10753" width="8.44140625" style="150" customWidth="1"/>
    <col min="10754" max="10754" width="14.44140625" style="150" customWidth="1"/>
    <col min="10755" max="10755" width="15.44140625" style="150" customWidth="1"/>
    <col min="10756" max="10756" width="16.44140625" style="150" customWidth="1"/>
    <col min="10757" max="10757" width="16.109375" style="150" customWidth="1"/>
    <col min="10758" max="10758" width="13.6640625" style="150" customWidth="1"/>
    <col min="10759" max="10759" width="18.88671875" style="150" customWidth="1"/>
    <col min="10760" max="10760" width="15.6640625" style="150" customWidth="1"/>
    <col min="10761" max="10762" width="16.5546875" style="150" customWidth="1"/>
    <col min="10763" max="10763" width="13.109375" style="150" bestFit="1" customWidth="1"/>
    <col min="10764" max="10764" width="13.44140625" style="150" customWidth="1"/>
    <col min="10765" max="10765" width="14.6640625" style="150" customWidth="1"/>
    <col min="10766" max="10766" width="14.6640625" style="150" bestFit="1" customWidth="1"/>
    <col min="10767" max="10771" width="14.44140625" style="150" customWidth="1"/>
    <col min="10772" max="10772" width="14.88671875" style="150" bestFit="1" customWidth="1"/>
    <col min="10773" max="10773" width="10.88671875" style="150" bestFit="1" customWidth="1"/>
    <col min="10774" max="11008" width="9.109375" style="150"/>
    <col min="11009" max="11009" width="8.44140625" style="150" customWidth="1"/>
    <col min="11010" max="11010" width="14.44140625" style="150" customWidth="1"/>
    <col min="11011" max="11011" width="15.44140625" style="150" customWidth="1"/>
    <col min="11012" max="11012" width="16.44140625" style="150" customWidth="1"/>
    <col min="11013" max="11013" width="16.109375" style="150" customWidth="1"/>
    <col min="11014" max="11014" width="13.6640625" style="150" customWidth="1"/>
    <col min="11015" max="11015" width="18.88671875" style="150" customWidth="1"/>
    <col min="11016" max="11016" width="15.6640625" style="150" customWidth="1"/>
    <col min="11017" max="11018" width="16.5546875" style="150" customWidth="1"/>
    <col min="11019" max="11019" width="13.109375" style="150" bestFit="1" customWidth="1"/>
    <col min="11020" max="11020" width="13.44140625" style="150" customWidth="1"/>
    <col min="11021" max="11021" width="14.6640625" style="150" customWidth="1"/>
    <col min="11022" max="11022" width="14.6640625" style="150" bestFit="1" customWidth="1"/>
    <col min="11023" max="11027" width="14.44140625" style="150" customWidth="1"/>
    <col min="11028" max="11028" width="14.88671875" style="150" bestFit="1" customWidth="1"/>
    <col min="11029" max="11029" width="10.88671875" style="150" bestFit="1" customWidth="1"/>
    <col min="11030" max="11264" width="9.109375" style="150"/>
    <col min="11265" max="11265" width="8.44140625" style="150" customWidth="1"/>
    <col min="11266" max="11266" width="14.44140625" style="150" customWidth="1"/>
    <col min="11267" max="11267" width="15.44140625" style="150" customWidth="1"/>
    <col min="11268" max="11268" width="16.44140625" style="150" customWidth="1"/>
    <col min="11269" max="11269" width="16.109375" style="150" customWidth="1"/>
    <col min="11270" max="11270" width="13.6640625" style="150" customWidth="1"/>
    <col min="11271" max="11271" width="18.88671875" style="150" customWidth="1"/>
    <col min="11272" max="11272" width="15.6640625" style="150" customWidth="1"/>
    <col min="11273" max="11274" width="16.5546875" style="150" customWidth="1"/>
    <col min="11275" max="11275" width="13.109375" style="150" bestFit="1" customWidth="1"/>
    <col min="11276" max="11276" width="13.44140625" style="150" customWidth="1"/>
    <col min="11277" max="11277" width="14.6640625" style="150" customWidth="1"/>
    <col min="11278" max="11278" width="14.6640625" style="150" bestFit="1" customWidth="1"/>
    <col min="11279" max="11283" width="14.44140625" style="150" customWidth="1"/>
    <col min="11284" max="11284" width="14.88671875" style="150" bestFit="1" customWidth="1"/>
    <col min="11285" max="11285" width="10.88671875" style="150" bestFit="1" customWidth="1"/>
    <col min="11286" max="11520" width="9.109375" style="150"/>
    <col min="11521" max="11521" width="8.44140625" style="150" customWidth="1"/>
    <col min="11522" max="11522" width="14.44140625" style="150" customWidth="1"/>
    <col min="11523" max="11523" width="15.44140625" style="150" customWidth="1"/>
    <col min="11524" max="11524" width="16.44140625" style="150" customWidth="1"/>
    <col min="11525" max="11525" width="16.109375" style="150" customWidth="1"/>
    <col min="11526" max="11526" width="13.6640625" style="150" customWidth="1"/>
    <col min="11527" max="11527" width="18.88671875" style="150" customWidth="1"/>
    <col min="11528" max="11528" width="15.6640625" style="150" customWidth="1"/>
    <col min="11529" max="11530" width="16.5546875" style="150" customWidth="1"/>
    <col min="11531" max="11531" width="13.109375" style="150" bestFit="1" customWidth="1"/>
    <col min="11532" max="11532" width="13.44140625" style="150" customWidth="1"/>
    <col min="11533" max="11533" width="14.6640625" style="150" customWidth="1"/>
    <col min="11534" max="11534" width="14.6640625" style="150" bestFit="1" customWidth="1"/>
    <col min="11535" max="11539" width="14.44140625" style="150" customWidth="1"/>
    <col min="11540" max="11540" width="14.88671875" style="150" bestFit="1" customWidth="1"/>
    <col min="11541" max="11541" width="10.88671875" style="150" bestFit="1" customWidth="1"/>
    <col min="11542" max="11776" width="9.109375" style="150"/>
    <col min="11777" max="11777" width="8.44140625" style="150" customWidth="1"/>
    <col min="11778" max="11778" width="14.44140625" style="150" customWidth="1"/>
    <col min="11779" max="11779" width="15.44140625" style="150" customWidth="1"/>
    <col min="11780" max="11780" width="16.44140625" style="150" customWidth="1"/>
    <col min="11781" max="11781" width="16.109375" style="150" customWidth="1"/>
    <col min="11782" max="11782" width="13.6640625" style="150" customWidth="1"/>
    <col min="11783" max="11783" width="18.88671875" style="150" customWidth="1"/>
    <col min="11784" max="11784" width="15.6640625" style="150" customWidth="1"/>
    <col min="11785" max="11786" width="16.5546875" style="150" customWidth="1"/>
    <col min="11787" max="11787" width="13.109375" style="150" bestFit="1" customWidth="1"/>
    <col min="11788" max="11788" width="13.44140625" style="150" customWidth="1"/>
    <col min="11789" max="11789" width="14.6640625" style="150" customWidth="1"/>
    <col min="11790" max="11790" width="14.6640625" style="150" bestFit="1" customWidth="1"/>
    <col min="11791" max="11795" width="14.44140625" style="150" customWidth="1"/>
    <col min="11796" max="11796" width="14.88671875" style="150" bestFit="1" customWidth="1"/>
    <col min="11797" max="11797" width="10.88671875" style="150" bestFit="1" customWidth="1"/>
    <col min="11798" max="12032" width="9.109375" style="150"/>
    <col min="12033" max="12033" width="8.44140625" style="150" customWidth="1"/>
    <col min="12034" max="12034" width="14.44140625" style="150" customWidth="1"/>
    <col min="12035" max="12035" width="15.44140625" style="150" customWidth="1"/>
    <col min="12036" max="12036" width="16.44140625" style="150" customWidth="1"/>
    <col min="12037" max="12037" width="16.109375" style="150" customWidth="1"/>
    <col min="12038" max="12038" width="13.6640625" style="150" customWidth="1"/>
    <col min="12039" max="12039" width="18.88671875" style="150" customWidth="1"/>
    <col min="12040" max="12040" width="15.6640625" style="150" customWidth="1"/>
    <col min="12041" max="12042" width="16.5546875" style="150" customWidth="1"/>
    <col min="12043" max="12043" width="13.109375" style="150" bestFit="1" customWidth="1"/>
    <col min="12044" max="12044" width="13.44140625" style="150" customWidth="1"/>
    <col min="12045" max="12045" width="14.6640625" style="150" customWidth="1"/>
    <col min="12046" max="12046" width="14.6640625" style="150" bestFit="1" customWidth="1"/>
    <col min="12047" max="12051" width="14.44140625" style="150" customWidth="1"/>
    <col min="12052" max="12052" width="14.88671875" style="150" bestFit="1" customWidth="1"/>
    <col min="12053" max="12053" width="10.88671875" style="150" bestFit="1" customWidth="1"/>
    <col min="12054" max="12288" width="9.109375" style="150"/>
    <col min="12289" max="12289" width="8.44140625" style="150" customWidth="1"/>
    <col min="12290" max="12290" width="14.44140625" style="150" customWidth="1"/>
    <col min="12291" max="12291" width="15.44140625" style="150" customWidth="1"/>
    <col min="12292" max="12292" width="16.44140625" style="150" customWidth="1"/>
    <col min="12293" max="12293" width="16.109375" style="150" customWidth="1"/>
    <col min="12294" max="12294" width="13.6640625" style="150" customWidth="1"/>
    <col min="12295" max="12295" width="18.88671875" style="150" customWidth="1"/>
    <col min="12296" max="12296" width="15.6640625" style="150" customWidth="1"/>
    <col min="12297" max="12298" width="16.5546875" style="150" customWidth="1"/>
    <col min="12299" max="12299" width="13.109375" style="150" bestFit="1" customWidth="1"/>
    <col min="12300" max="12300" width="13.44140625" style="150" customWidth="1"/>
    <col min="12301" max="12301" width="14.6640625" style="150" customWidth="1"/>
    <col min="12302" max="12302" width="14.6640625" style="150" bestFit="1" customWidth="1"/>
    <col min="12303" max="12307" width="14.44140625" style="150" customWidth="1"/>
    <col min="12308" max="12308" width="14.88671875" style="150" bestFit="1" customWidth="1"/>
    <col min="12309" max="12309" width="10.88671875" style="150" bestFit="1" customWidth="1"/>
    <col min="12310" max="12544" width="9.109375" style="150"/>
    <col min="12545" max="12545" width="8.44140625" style="150" customWidth="1"/>
    <col min="12546" max="12546" width="14.44140625" style="150" customWidth="1"/>
    <col min="12547" max="12547" width="15.44140625" style="150" customWidth="1"/>
    <col min="12548" max="12548" width="16.44140625" style="150" customWidth="1"/>
    <col min="12549" max="12549" width="16.109375" style="150" customWidth="1"/>
    <col min="12550" max="12550" width="13.6640625" style="150" customWidth="1"/>
    <col min="12551" max="12551" width="18.88671875" style="150" customWidth="1"/>
    <col min="12552" max="12552" width="15.6640625" style="150" customWidth="1"/>
    <col min="12553" max="12554" width="16.5546875" style="150" customWidth="1"/>
    <col min="12555" max="12555" width="13.109375" style="150" bestFit="1" customWidth="1"/>
    <col min="12556" max="12556" width="13.44140625" style="150" customWidth="1"/>
    <col min="12557" max="12557" width="14.6640625" style="150" customWidth="1"/>
    <col min="12558" max="12558" width="14.6640625" style="150" bestFit="1" customWidth="1"/>
    <col min="12559" max="12563" width="14.44140625" style="150" customWidth="1"/>
    <col min="12564" max="12564" width="14.88671875" style="150" bestFit="1" customWidth="1"/>
    <col min="12565" max="12565" width="10.88671875" style="150" bestFit="1" customWidth="1"/>
    <col min="12566" max="12800" width="9.109375" style="150"/>
    <col min="12801" max="12801" width="8.44140625" style="150" customWidth="1"/>
    <col min="12802" max="12802" width="14.44140625" style="150" customWidth="1"/>
    <col min="12803" max="12803" width="15.44140625" style="150" customWidth="1"/>
    <col min="12804" max="12804" width="16.44140625" style="150" customWidth="1"/>
    <col min="12805" max="12805" width="16.109375" style="150" customWidth="1"/>
    <col min="12806" max="12806" width="13.6640625" style="150" customWidth="1"/>
    <col min="12807" max="12807" width="18.88671875" style="150" customWidth="1"/>
    <col min="12808" max="12808" width="15.6640625" style="150" customWidth="1"/>
    <col min="12809" max="12810" width="16.5546875" style="150" customWidth="1"/>
    <col min="12811" max="12811" width="13.109375" style="150" bestFit="1" customWidth="1"/>
    <col min="12812" max="12812" width="13.44140625" style="150" customWidth="1"/>
    <col min="12813" max="12813" width="14.6640625" style="150" customWidth="1"/>
    <col min="12814" max="12814" width="14.6640625" style="150" bestFit="1" customWidth="1"/>
    <col min="12815" max="12819" width="14.44140625" style="150" customWidth="1"/>
    <col min="12820" max="12820" width="14.88671875" style="150" bestFit="1" customWidth="1"/>
    <col min="12821" max="12821" width="10.88671875" style="150" bestFit="1" customWidth="1"/>
    <col min="12822" max="13056" width="9.109375" style="150"/>
    <col min="13057" max="13057" width="8.44140625" style="150" customWidth="1"/>
    <col min="13058" max="13058" width="14.44140625" style="150" customWidth="1"/>
    <col min="13059" max="13059" width="15.44140625" style="150" customWidth="1"/>
    <col min="13060" max="13060" width="16.44140625" style="150" customWidth="1"/>
    <col min="13061" max="13061" width="16.109375" style="150" customWidth="1"/>
    <col min="13062" max="13062" width="13.6640625" style="150" customWidth="1"/>
    <col min="13063" max="13063" width="18.88671875" style="150" customWidth="1"/>
    <col min="13064" max="13064" width="15.6640625" style="150" customWidth="1"/>
    <col min="13065" max="13066" width="16.5546875" style="150" customWidth="1"/>
    <col min="13067" max="13067" width="13.109375" style="150" bestFit="1" customWidth="1"/>
    <col min="13068" max="13068" width="13.44140625" style="150" customWidth="1"/>
    <col min="13069" max="13069" width="14.6640625" style="150" customWidth="1"/>
    <col min="13070" max="13070" width="14.6640625" style="150" bestFit="1" customWidth="1"/>
    <col min="13071" max="13075" width="14.44140625" style="150" customWidth="1"/>
    <col min="13076" max="13076" width="14.88671875" style="150" bestFit="1" customWidth="1"/>
    <col min="13077" max="13077" width="10.88671875" style="150" bestFit="1" customWidth="1"/>
    <col min="13078" max="13312" width="9.109375" style="150"/>
    <col min="13313" max="13313" width="8.44140625" style="150" customWidth="1"/>
    <col min="13314" max="13314" width="14.44140625" style="150" customWidth="1"/>
    <col min="13315" max="13315" width="15.44140625" style="150" customWidth="1"/>
    <col min="13316" max="13316" width="16.44140625" style="150" customWidth="1"/>
    <col min="13317" max="13317" width="16.109375" style="150" customWidth="1"/>
    <col min="13318" max="13318" width="13.6640625" style="150" customWidth="1"/>
    <col min="13319" max="13319" width="18.88671875" style="150" customWidth="1"/>
    <col min="13320" max="13320" width="15.6640625" style="150" customWidth="1"/>
    <col min="13321" max="13322" width="16.5546875" style="150" customWidth="1"/>
    <col min="13323" max="13323" width="13.109375" style="150" bestFit="1" customWidth="1"/>
    <col min="13324" max="13324" width="13.44140625" style="150" customWidth="1"/>
    <col min="13325" max="13325" width="14.6640625" style="150" customWidth="1"/>
    <col min="13326" max="13326" width="14.6640625" style="150" bestFit="1" customWidth="1"/>
    <col min="13327" max="13331" width="14.44140625" style="150" customWidth="1"/>
    <col min="13332" max="13332" width="14.88671875" style="150" bestFit="1" customWidth="1"/>
    <col min="13333" max="13333" width="10.88671875" style="150" bestFit="1" customWidth="1"/>
    <col min="13334" max="13568" width="9.109375" style="150"/>
    <col min="13569" max="13569" width="8.44140625" style="150" customWidth="1"/>
    <col min="13570" max="13570" width="14.44140625" style="150" customWidth="1"/>
    <col min="13571" max="13571" width="15.44140625" style="150" customWidth="1"/>
    <col min="13572" max="13572" width="16.44140625" style="150" customWidth="1"/>
    <col min="13573" max="13573" width="16.109375" style="150" customWidth="1"/>
    <col min="13574" max="13574" width="13.6640625" style="150" customWidth="1"/>
    <col min="13575" max="13575" width="18.88671875" style="150" customWidth="1"/>
    <col min="13576" max="13576" width="15.6640625" style="150" customWidth="1"/>
    <col min="13577" max="13578" width="16.5546875" style="150" customWidth="1"/>
    <col min="13579" max="13579" width="13.109375" style="150" bestFit="1" customWidth="1"/>
    <col min="13580" max="13580" width="13.44140625" style="150" customWidth="1"/>
    <col min="13581" max="13581" width="14.6640625" style="150" customWidth="1"/>
    <col min="13582" max="13582" width="14.6640625" style="150" bestFit="1" customWidth="1"/>
    <col min="13583" max="13587" width="14.44140625" style="150" customWidth="1"/>
    <col min="13588" max="13588" width="14.88671875" style="150" bestFit="1" customWidth="1"/>
    <col min="13589" max="13589" width="10.88671875" style="150" bestFit="1" customWidth="1"/>
    <col min="13590" max="13824" width="9.109375" style="150"/>
    <col min="13825" max="13825" width="8.44140625" style="150" customWidth="1"/>
    <col min="13826" max="13826" width="14.44140625" style="150" customWidth="1"/>
    <col min="13827" max="13827" width="15.44140625" style="150" customWidth="1"/>
    <col min="13828" max="13828" width="16.44140625" style="150" customWidth="1"/>
    <col min="13829" max="13829" width="16.109375" style="150" customWidth="1"/>
    <col min="13830" max="13830" width="13.6640625" style="150" customWidth="1"/>
    <col min="13831" max="13831" width="18.88671875" style="150" customWidth="1"/>
    <col min="13832" max="13832" width="15.6640625" style="150" customWidth="1"/>
    <col min="13833" max="13834" width="16.5546875" style="150" customWidth="1"/>
    <col min="13835" max="13835" width="13.109375" style="150" bestFit="1" customWidth="1"/>
    <col min="13836" max="13836" width="13.44140625" style="150" customWidth="1"/>
    <col min="13837" max="13837" width="14.6640625" style="150" customWidth="1"/>
    <col min="13838" max="13838" width="14.6640625" style="150" bestFit="1" customWidth="1"/>
    <col min="13839" max="13843" width="14.44140625" style="150" customWidth="1"/>
    <col min="13844" max="13844" width="14.88671875" style="150" bestFit="1" customWidth="1"/>
    <col min="13845" max="13845" width="10.88671875" style="150" bestFit="1" customWidth="1"/>
    <col min="13846" max="14080" width="9.109375" style="150"/>
    <col min="14081" max="14081" width="8.44140625" style="150" customWidth="1"/>
    <col min="14082" max="14082" width="14.44140625" style="150" customWidth="1"/>
    <col min="14083" max="14083" width="15.44140625" style="150" customWidth="1"/>
    <col min="14084" max="14084" width="16.44140625" style="150" customWidth="1"/>
    <col min="14085" max="14085" width="16.109375" style="150" customWidth="1"/>
    <col min="14086" max="14086" width="13.6640625" style="150" customWidth="1"/>
    <col min="14087" max="14087" width="18.88671875" style="150" customWidth="1"/>
    <col min="14088" max="14088" width="15.6640625" style="150" customWidth="1"/>
    <col min="14089" max="14090" width="16.5546875" style="150" customWidth="1"/>
    <col min="14091" max="14091" width="13.109375" style="150" bestFit="1" customWidth="1"/>
    <col min="14092" max="14092" width="13.44140625" style="150" customWidth="1"/>
    <col min="14093" max="14093" width="14.6640625" style="150" customWidth="1"/>
    <col min="14094" max="14094" width="14.6640625" style="150" bestFit="1" customWidth="1"/>
    <col min="14095" max="14099" width="14.44140625" style="150" customWidth="1"/>
    <col min="14100" max="14100" width="14.88671875" style="150" bestFit="1" customWidth="1"/>
    <col min="14101" max="14101" width="10.88671875" style="150" bestFit="1" customWidth="1"/>
    <col min="14102" max="14336" width="9.109375" style="150"/>
    <col min="14337" max="14337" width="8.44140625" style="150" customWidth="1"/>
    <col min="14338" max="14338" width="14.44140625" style="150" customWidth="1"/>
    <col min="14339" max="14339" width="15.44140625" style="150" customWidth="1"/>
    <col min="14340" max="14340" width="16.44140625" style="150" customWidth="1"/>
    <col min="14341" max="14341" width="16.109375" style="150" customWidth="1"/>
    <col min="14342" max="14342" width="13.6640625" style="150" customWidth="1"/>
    <col min="14343" max="14343" width="18.88671875" style="150" customWidth="1"/>
    <col min="14344" max="14344" width="15.6640625" style="150" customWidth="1"/>
    <col min="14345" max="14346" width="16.5546875" style="150" customWidth="1"/>
    <col min="14347" max="14347" width="13.109375" style="150" bestFit="1" customWidth="1"/>
    <col min="14348" max="14348" width="13.44140625" style="150" customWidth="1"/>
    <col min="14349" max="14349" width="14.6640625" style="150" customWidth="1"/>
    <col min="14350" max="14350" width="14.6640625" style="150" bestFit="1" customWidth="1"/>
    <col min="14351" max="14355" width="14.44140625" style="150" customWidth="1"/>
    <col min="14356" max="14356" width="14.88671875" style="150" bestFit="1" customWidth="1"/>
    <col min="14357" max="14357" width="10.88671875" style="150" bestFit="1" customWidth="1"/>
    <col min="14358" max="14592" width="9.109375" style="150"/>
    <col min="14593" max="14593" width="8.44140625" style="150" customWidth="1"/>
    <col min="14594" max="14594" width="14.44140625" style="150" customWidth="1"/>
    <col min="14595" max="14595" width="15.44140625" style="150" customWidth="1"/>
    <col min="14596" max="14596" width="16.44140625" style="150" customWidth="1"/>
    <col min="14597" max="14597" width="16.109375" style="150" customWidth="1"/>
    <col min="14598" max="14598" width="13.6640625" style="150" customWidth="1"/>
    <col min="14599" max="14599" width="18.88671875" style="150" customWidth="1"/>
    <col min="14600" max="14600" width="15.6640625" style="150" customWidth="1"/>
    <col min="14601" max="14602" width="16.5546875" style="150" customWidth="1"/>
    <col min="14603" max="14603" width="13.109375" style="150" bestFit="1" customWidth="1"/>
    <col min="14604" max="14604" width="13.44140625" style="150" customWidth="1"/>
    <col min="14605" max="14605" width="14.6640625" style="150" customWidth="1"/>
    <col min="14606" max="14606" width="14.6640625" style="150" bestFit="1" customWidth="1"/>
    <col min="14607" max="14611" width="14.44140625" style="150" customWidth="1"/>
    <col min="14612" max="14612" width="14.88671875" style="150" bestFit="1" customWidth="1"/>
    <col min="14613" max="14613" width="10.88671875" style="150" bestFit="1" customWidth="1"/>
    <col min="14614" max="14848" width="9.109375" style="150"/>
    <col min="14849" max="14849" width="8.44140625" style="150" customWidth="1"/>
    <col min="14850" max="14850" width="14.44140625" style="150" customWidth="1"/>
    <col min="14851" max="14851" width="15.44140625" style="150" customWidth="1"/>
    <col min="14852" max="14852" width="16.44140625" style="150" customWidth="1"/>
    <col min="14853" max="14853" width="16.109375" style="150" customWidth="1"/>
    <col min="14854" max="14854" width="13.6640625" style="150" customWidth="1"/>
    <col min="14855" max="14855" width="18.88671875" style="150" customWidth="1"/>
    <col min="14856" max="14856" width="15.6640625" style="150" customWidth="1"/>
    <col min="14857" max="14858" width="16.5546875" style="150" customWidth="1"/>
    <col min="14859" max="14859" width="13.109375" style="150" bestFit="1" customWidth="1"/>
    <col min="14860" max="14860" width="13.44140625" style="150" customWidth="1"/>
    <col min="14861" max="14861" width="14.6640625" style="150" customWidth="1"/>
    <col min="14862" max="14862" width="14.6640625" style="150" bestFit="1" customWidth="1"/>
    <col min="14863" max="14867" width="14.44140625" style="150" customWidth="1"/>
    <col min="14868" max="14868" width="14.88671875" style="150" bestFit="1" customWidth="1"/>
    <col min="14869" max="14869" width="10.88671875" style="150" bestFit="1" customWidth="1"/>
    <col min="14870" max="15104" width="9.109375" style="150"/>
    <col min="15105" max="15105" width="8.44140625" style="150" customWidth="1"/>
    <col min="15106" max="15106" width="14.44140625" style="150" customWidth="1"/>
    <col min="15107" max="15107" width="15.44140625" style="150" customWidth="1"/>
    <col min="15108" max="15108" width="16.44140625" style="150" customWidth="1"/>
    <col min="15109" max="15109" width="16.109375" style="150" customWidth="1"/>
    <col min="15110" max="15110" width="13.6640625" style="150" customWidth="1"/>
    <col min="15111" max="15111" width="18.88671875" style="150" customWidth="1"/>
    <col min="15112" max="15112" width="15.6640625" style="150" customWidth="1"/>
    <col min="15113" max="15114" width="16.5546875" style="150" customWidth="1"/>
    <col min="15115" max="15115" width="13.109375" style="150" bestFit="1" customWidth="1"/>
    <col min="15116" max="15116" width="13.44140625" style="150" customWidth="1"/>
    <col min="15117" max="15117" width="14.6640625" style="150" customWidth="1"/>
    <col min="15118" max="15118" width="14.6640625" style="150" bestFit="1" customWidth="1"/>
    <col min="15119" max="15123" width="14.44140625" style="150" customWidth="1"/>
    <col min="15124" max="15124" width="14.88671875" style="150" bestFit="1" customWidth="1"/>
    <col min="15125" max="15125" width="10.88671875" style="150" bestFit="1" customWidth="1"/>
    <col min="15126" max="15360" width="9.109375" style="150"/>
    <col min="15361" max="15361" width="8.44140625" style="150" customWidth="1"/>
    <col min="15362" max="15362" width="14.44140625" style="150" customWidth="1"/>
    <col min="15363" max="15363" width="15.44140625" style="150" customWidth="1"/>
    <col min="15364" max="15364" width="16.44140625" style="150" customWidth="1"/>
    <col min="15365" max="15365" width="16.109375" style="150" customWidth="1"/>
    <col min="15366" max="15366" width="13.6640625" style="150" customWidth="1"/>
    <col min="15367" max="15367" width="18.88671875" style="150" customWidth="1"/>
    <col min="15368" max="15368" width="15.6640625" style="150" customWidth="1"/>
    <col min="15369" max="15370" width="16.5546875" style="150" customWidth="1"/>
    <col min="15371" max="15371" width="13.109375" style="150" bestFit="1" customWidth="1"/>
    <col min="15372" max="15372" width="13.44140625" style="150" customWidth="1"/>
    <col min="15373" max="15373" width="14.6640625" style="150" customWidth="1"/>
    <col min="15374" max="15374" width="14.6640625" style="150" bestFit="1" customWidth="1"/>
    <col min="15375" max="15379" width="14.44140625" style="150" customWidth="1"/>
    <col min="15380" max="15380" width="14.88671875" style="150" bestFit="1" customWidth="1"/>
    <col min="15381" max="15381" width="10.88671875" style="150" bestFit="1" customWidth="1"/>
    <col min="15382" max="15616" width="9.109375" style="150"/>
    <col min="15617" max="15617" width="8.44140625" style="150" customWidth="1"/>
    <col min="15618" max="15618" width="14.44140625" style="150" customWidth="1"/>
    <col min="15619" max="15619" width="15.44140625" style="150" customWidth="1"/>
    <col min="15620" max="15620" width="16.44140625" style="150" customWidth="1"/>
    <col min="15621" max="15621" width="16.109375" style="150" customWidth="1"/>
    <col min="15622" max="15622" width="13.6640625" style="150" customWidth="1"/>
    <col min="15623" max="15623" width="18.88671875" style="150" customWidth="1"/>
    <col min="15624" max="15624" width="15.6640625" style="150" customWidth="1"/>
    <col min="15625" max="15626" width="16.5546875" style="150" customWidth="1"/>
    <col min="15627" max="15627" width="13.109375" style="150" bestFit="1" customWidth="1"/>
    <col min="15628" max="15628" width="13.44140625" style="150" customWidth="1"/>
    <col min="15629" max="15629" width="14.6640625" style="150" customWidth="1"/>
    <col min="15630" max="15630" width="14.6640625" style="150" bestFit="1" customWidth="1"/>
    <col min="15631" max="15635" width="14.44140625" style="150" customWidth="1"/>
    <col min="15636" max="15636" width="14.88671875" style="150" bestFit="1" customWidth="1"/>
    <col min="15637" max="15637" width="10.88671875" style="150" bestFit="1" customWidth="1"/>
    <col min="15638" max="15872" width="9.109375" style="150"/>
    <col min="15873" max="15873" width="8.44140625" style="150" customWidth="1"/>
    <col min="15874" max="15874" width="14.44140625" style="150" customWidth="1"/>
    <col min="15875" max="15875" width="15.44140625" style="150" customWidth="1"/>
    <col min="15876" max="15876" width="16.44140625" style="150" customWidth="1"/>
    <col min="15877" max="15877" width="16.109375" style="150" customWidth="1"/>
    <col min="15878" max="15878" width="13.6640625" style="150" customWidth="1"/>
    <col min="15879" max="15879" width="18.88671875" style="150" customWidth="1"/>
    <col min="15880" max="15880" width="15.6640625" style="150" customWidth="1"/>
    <col min="15881" max="15882" width="16.5546875" style="150" customWidth="1"/>
    <col min="15883" max="15883" width="13.109375" style="150" bestFit="1" customWidth="1"/>
    <col min="15884" max="15884" width="13.44140625" style="150" customWidth="1"/>
    <col min="15885" max="15885" width="14.6640625" style="150" customWidth="1"/>
    <col min="15886" max="15886" width="14.6640625" style="150" bestFit="1" customWidth="1"/>
    <col min="15887" max="15891" width="14.44140625" style="150" customWidth="1"/>
    <col min="15892" max="15892" width="14.88671875" style="150" bestFit="1" customWidth="1"/>
    <col min="15893" max="15893" width="10.88671875" style="150" bestFit="1" customWidth="1"/>
    <col min="15894" max="16128" width="9.109375" style="150"/>
    <col min="16129" max="16129" width="8.44140625" style="150" customWidth="1"/>
    <col min="16130" max="16130" width="14.44140625" style="150" customWidth="1"/>
    <col min="16131" max="16131" width="15.44140625" style="150" customWidth="1"/>
    <col min="16132" max="16132" width="16.44140625" style="150" customWidth="1"/>
    <col min="16133" max="16133" width="16.109375" style="150" customWidth="1"/>
    <col min="16134" max="16134" width="13.6640625" style="150" customWidth="1"/>
    <col min="16135" max="16135" width="18.88671875" style="150" customWidth="1"/>
    <col min="16136" max="16136" width="15.6640625" style="150" customWidth="1"/>
    <col min="16137" max="16138" width="16.5546875" style="150" customWidth="1"/>
    <col min="16139" max="16139" width="13.109375" style="150" bestFit="1" customWidth="1"/>
    <col min="16140" max="16140" width="13.44140625" style="150" customWidth="1"/>
    <col min="16141" max="16141" width="14.6640625" style="150" customWidth="1"/>
    <col min="16142" max="16142" width="14.6640625" style="150" bestFit="1" customWidth="1"/>
    <col min="16143" max="16147" width="14.44140625" style="150" customWidth="1"/>
    <col min="16148" max="16148" width="14.88671875" style="150" bestFit="1" customWidth="1"/>
    <col min="16149" max="16149" width="10.88671875" style="150" bestFit="1" customWidth="1"/>
    <col min="16150" max="16384" width="9.109375" style="150"/>
  </cols>
  <sheetData>
    <row r="1" spans="1:10" ht="18" customHeight="1" x14ac:dyDescent="0.25">
      <c r="A1" s="642" t="s">
        <v>406</v>
      </c>
      <c r="B1" s="642"/>
      <c r="C1" s="642"/>
      <c r="D1" s="642"/>
      <c r="E1" s="642"/>
      <c r="F1" s="642"/>
      <c r="G1" s="642"/>
      <c r="H1" s="642"/>
      <c r="I1" s="642"/>
      <c r="J1" s="642"/>
    </row>
    <row r="2" spans="1:10" x14ac:dyDescent="0.25">
      <c r="A2" s="151"/>
      <c r="B2" s="152"/>
      <c r="C2" s="153"/>
      <c r="D2" s="153"/>
      <c r="E2" s="154"/>
      <c r="F2" s="154"/>
    </row>
    <row r="3" spans="1:10" x14ac:dyDescent="0.25">
      <c r="A3" s="151" t="s">
        <v>407</v>
      </c>
      <c r="B3" s="643" t="str">
        <f>+CC!B10</f>
        <v>Tramo 1: km 50 - km 173</v>
      </c>
      <c r="C3" s="643"/>
      <c r="D3" s="643"/>
      <c r="E3" s="643"/>
      <c r="F3" s="643"/>
      <c r="G3" s="643"/>
      <c r="H3" s="643"/>
      <c r="I3" s="643"/>
      <c r="J3" s="156"/>
    </row>
    <row r="4" spans="1:10" x14ac:dyDescent="0.25">
      <c r="A4" s="157"/>
      <c r="B4" s="643"/>
      <c r="C4" s="643"/>
      <c r="D4" s="643"/>
      <c r="E4" s="643"/>
      <c r="F4" s="643"/>
      <c r="G4" s="643"/>
      <c r="H4" s="643"/>
      <c r="I4" s="643"/>
      <c r="J4" s="156"/>
    </row>
    <row r="5" spans="1:10" ht="15" customHeight="1" x14ac:dyDescent="0.25">
      <c r="A5" s="644" t="str">
        <f>CONCATENATE("PLAZO: ",A42," MESES (",A43,")")</f>
        <v>PLAZO: 24 MESES (720 dias)</v>
      </c>
      <c r="B5" s="644"/>
      <c r="C5" s="644"/>
      <c r="E5" s="159" t="s">
        <v>408</v>
      </c>
    </row>
    <row r="7" spans="1:10" x14ac:dyDescent="0.25">
      <c r="C7" s="161" t="s">
        <v>409</v>
      </c>
      <c r="D7" s="645"/>
      <c r="E7" s="645"/>
      <c r="F7" s="645"/>
      <c r="H7" s="161" t="s">
        <v>410</v>
      </c>
      <c r="I7" s="162">
        <f ca="1">NOW()</f>
        <v>43000.66745173611</v>
      </c>
    </row>
    <row r="8" spans="1:10" x14ac:dyDescent="0.25">
      <c r="C8" s="161" t="str">
        <f>IF(D7=0,"MONTO ESTIMADO CON IVA:","MONTO DE CONTRATO CON IVA:")</f>
        <v>MONTO ESTIMADO CON IVA:</v>
      </c>
      <c r="D8" s="163">
        <f>+CC!G29</f>
        <v>102000000</v>
      </c>
      <c r="E8" s="164" t="s">
        <v>411</v>
      </c>
      <c r="F8" s="150" t="s">
        <v>412</v>
      </c>
      <c r="H8" s="155" t="s">
        <v>413</v>
      </c>
      <c r="I8" s="165">
        <v>1</v>
      </c>
    </row>
    <row r="9" spans="1:10" hidden="1" x14ac:dyDescent="0.25">
      <c r="C9" s="161"/>
      <c r="D9" s="163"/>
      <c r="E9" s="158" t="s">
        <v>414</v>
      </c>
      <c r="I9" s="166"/>
    </row>
    <row r="10" spans="1:10" hidden="1" x14ac:dyDescent="0.25">
      <c r="C10" s="161"/>
      <c r="D10" s="163"/>
      <c r="E10" s="158" t="s">
        <v>411</v>
      </c>
      <c r="I10" s="166"/>
    </row>
    <row r="11" spans="1:10" x14ac:dyDescent="0.25">
      <c r="B11" s="150"/>
      <c r="C11" s="161" t="str">
        <f>IF(D7=0,"MONTO ESTIMADO SIN IVA:","MONTO DE CONTRATO SIN IVA:")</f>
        <v>MONTO ESTIMADO SIN IVA:</v>
      </c>
      <c r="D11" s="167">
        <f>D8</f>
        <v>102000000</v>
      </c>
      <c r="E11" s="168" t="s">
        <v>414</v>
      </c>
      <c r="F11" s="158"/>
    </row>
    <row r="12" spans="1:10" x14ac:dyDescent="0.25">
      <c r="B12" s="150"/>
      <c r="C12" s="161" t="s">
        <v>415</v>
      </c>
      <c r="D12" s="165">
        <v>100</v>
      </c>
      <c r="F12" s="158" t="s">
        <v>416</v>
      </c>
    </row>
    <row r="13" spans="1:10" x14ac:dyDescent="0.25">
      <c r="B13" s="150"/>
      <c r="C13" s="161" t="s">
        <v>417</v>
      </c>
      <c r="D13" s="169">
        <f>100-D12</f>
        <v>0</v>
      </c>
      <c r="F13" s="158"/>
    </row>
    <row r="14" spans="1:10" x14ac:dyDescent="0.25">
      <c r="B14" s="150"/>
      <c r="C14" s="161" t="s">
        <v>418</v>
      </c>
      <c r="D14" s="166">
        <v>20</v>
      </c>
      <c r="F14" s="158"/>
    </row>
    <row r="15" spans="1:10" x14ac:dyDescent="0.25">
      <c r="B15" s="161" t="s">
        <v>419</v>
      </c>
      <c r="C15" s="646"/>
      <c r="D15" s="646"/>
      <c r="E15" s="501" t="s">
        <v>420</v>
      </c>
      <c r="F15" s="502"/>
      <c r="H15" s="170" t="s">
        <v>421</v>
      </c>
      <c r="I15" s="165">
        <v>10</v>
      </c>
    </row>
    <row r="16" spans="1:10" ht="12.6" thickBot="1" x14ac:dyDescent="0.3">
      <c r="F16" s="171"/>
    </row>
    <row r="17" spans="1:11" ht="42" customHeight="1" thickBot="1" x14ac:dyDescent="0.3">
      <c r="A17" s="172" t="s">
        <v>422</v>
      </c>
      <c r="B17" s="173" t="s">
        <v>423</v>
      </c>
      <c r="C17" s="173" t="s">
        <v>424</v>
      </c>
      <c r="D17" s="174" t="str">
        <f>CONCATENATE("MONTO MENSUAL DESCONTADO ",ROUND(D14,0),"% ANTICIPO")</f>
        <v>MONTO MENSUAL DESCONTADO 20% ANTICIPO</v>
      </c>
      <c r="E17" s="175" t="s">
        <v>425</v>
      </c>
      <c r="F17" s="176" t="s">
        <v>426</v>
      </c>
      <c r="G17" s="177" t="s">
        <v>427</v>
      </c>
      <c r="H17" s="178" t="s">
        <v>428</v>
      </c>
      <c r="I17" s="179" t="str">
        <f>CONCATENATE("DESEMBOLSOS FONDO LOCAL (",ROUND(D13,0),"%) + IVA")</f>
        <v>DESEMBOLSOS FONDO LOCAL (0%) + IVA</v>
      </c>
      <c r="J17" s="179" t="str">
        <f>CONCATENATE("DESEMBOLSOS FONDO EXTERNO (",ROUND(D12,0),"%)")</f>
        <v>DESEMBOLSOS FONDO EXTERNO (100%)</v>
      </c>
      <c r="K17" s="370"/>
    </row>
    <row r="18" spans="1:11" ht="12.75" customHeight="1" x14ac:dyDescent="0.25">
      <c r="A18" s="180">
        <v>0</v>
      </c>
      <c r="B18" s="181">
        <f>D14/100</f>
        <v>0.2</v>
      </c>
      <c r="C18" s="181">
        <v>0</v>
      </c>
      <c r="D18" s="182">
        <f>ROUND(B18*D11,0)</f>
        <v>20400000</v>
      </c>
      <c r="E18" s="183">
        <f>D18</f>
        <v>20400000</v>
      </c>
      <c r="F18" s="184">
        <f>E18/$E$42</f>
        <v>0.2</v>
      </c>
      <c r="G18" s="185" t="s">
        <v>429</v>
      </c>
      <c r="H18" s="186">
        <f t="shared" ref="H18:H33" si="0">ROUND(D18*0.1,0)</f>
        <v>2040000</v>
      </c>
      <c r="I18" s="187">
        <f t="shared" ref="I18:I42" si="1">ROUNDUP((D18+H18-J18),-(LEN(D18)-$I$15))</f>
        <v>2040000</v>
      </c>
      <c r="J18" s="187">
        <f t="shared" ref="J18:J33" si="2">ROUNDUP(D18*$D$12/100,-(LEN(D18)-$I$15))</f>
        <v>20400000</v>
      </c>
      <c r="K18" s="370"/>
    </row>
    <row r="19" spans="1:11" ht="12.6" thickBot="1" x14ac:dyDescent="0.3">
      <c r="A19" s="188">
        <v>1</v>
      </c>
      <c r="B19" s="189">
        <v>2.5000000000000001E-2</v>
      </c>
      <c r="C19" s="189">
        <f t="shared" ref="C19:C42" si="3">B19+C18</f>
        <v>2.5000000000000001E-2</v>
      </c>
      <c r="D19" s="190">
        <f>ROUND(B19*$D$11*(100-$D$14)/100,0)</f>
        <v>2040000</v>
      </c>
      <c r="E19" s="191">
        <f t="shared" ref="E19:E33" si="4">E18+D19</f>
        <v>22440000</v>
      </c>
      <c r="F19" s="192">
        <f>E19/$E$42</f>
        <v>0.22</v>
      </c>
      <c r="G19" s="193" t="s">
        <v>195</v>
      </c>
      <c r="H19" s="194">
        <f t="shared" si="0"/>
        <v>204000</v>
      </c>
      <c r="I19" s="195">
        <f t="shared" si="1"/>
        <v>204000</v>
      </c>
      <c r="J19" s="195">
        <f t="shared" si="2"/>
        <v>2040000</v>
      </c>
      <c r="K19" s="370"/>
    </row>
    <row r="20" spans="1:11" x14ac:dyDescent="0.25">
      <c r="A20" s="188">
        <v>2</v>
      </c>
      <c r="B20" s="189">
        <v>0.03</v>
      </c>
      <c r="C20" s="189">
        <f t="shared" si="3"/>
        <v>5.5E-2</v>
      </c>
      <c r="D20" s="190">
        <f t="shared" ref="D20:D42" si="5">ROUND(B20*$D$11*(100-$D$14)/100,0)</f>
        <v>2448000</v>
      </c>
      <c r="E20" s="191">
        <f t="shared" si="4"/>
        <v>24888000</v>
      </c>
      <c r="F20" s="184">
        <f t="shared" ref="F20:F42" si="6">E20/$E$42</f>
        <v>0.24399999999999999</v>
      </c>
      <c r="G20" s="193" t="s">
        <v>196</v>
      </c>
      <c r="H20" s="194">
        <f t="shared" si="0"/>
        <v>244800</v>
      </c>
      <c r="I20" s="195">
        <f t="shared" si="1"/>
        <v>244800</v>
      </c>
      <c r="J20" s="195">
        <f t="shared" si="2"/>
        <v>2448000</v>
      </c>
      <c r="K20" s="371"/>
    </row>
    <row r="21" spans="1:11" ht="12.6" thickBot="1" x14ac:dyDescent="0.3">
      <c r="A21" s="188">
        <v>3</v>
      </c>
      <c r="B21" s="189">
        <v>3.5000000000000003E-2</v>
      </c>
      <c r="C21" s="189">
        <f>B21+C20</f>
        <v>0.09</v>
      </c>
      <c r="D21" s="190">
        <f t="shared" si="5"/>
        <v>2856000</v>
      </c>
      <c r="E21" s="191">
        <f t="shared" si="4"/>
        <v>27744000</v>
      </c>
      <c r="F21" s="192">
        <f t="shared" si="6"/>
        <v>0.27200000000000002</v>
      </c>
      <c r="G21" s="193" t="s">
        <v>197</v>
      </c>
      <c r="H21" s="194">
        <f t="shared" si="0"/>
        <v>285600</v>
      </c>
      <c r="I21" s="195">
        <f t="shared" si="1"/>
        <v>285600</v>
      </c>
      <c r="J21" s="195">
        <f t="shared" si="2"/>
        <v>2856000</v>
      </c>
      <c r="K21" s="370"/>
    </row>
    <row r="22" spans="1:11" x14ac:dyDescent="0.25">
      <c r="A22" s="188">
        <v>4</v>
      </c>
      <c r="B22" s="189">
        <v>3.5000000000000003E-2</v>
      </c>
      <c r="C22" s="189">
        <f t="shared" si="3"/>
        <v>0.125</v>
      </c>
      <c r="D22" s="190">
        <f t="shared" si="5"/>
        <v>2856000</v>
      </c>
      <c r="E22" s="191">
        <f t="shared" si="4"/>
        <v>30600000</v>
      </c>
      <c r="F22" s="184">
        <f t="shared" si="6"/>
        <v>0.3</v>
      </c>
      <c r="G22" s="193" t="s">
        <v>198</v>
      </c>
      <c r="H22" s="194">
        <f t="shared" si="0"/>
        <v>285600</v>
      </c>
      <c r="I22" s="195">
        <f t="shared" si="1"/>
        <v>285600</v>
      </c>
      <c r="J22" s="195">
        <f t="shared" si="2"/>
        <v>2856000</v>
      </c>
      <c r="K22" s="372"/>
    </row>
    <row r="23" spans="1:11" ht="12.6" thickBot="1" x14ac:dyDescent="0.3">
      <c r="A23" s="188">
        <v>5</v>
      </c>
      <c r="B23" s="189">
        <v>0.04</v>
      </c>
      <c r="C23" s="189">
        <f t="shared" si="3"/>
        <v>0.16500000000000001</v>
      </c>
      <c r="D23" s="190">
        <f t="shared" si="5"/>
        <v>3264000</v>
      </c>
      <c r="E23" s="191">
        <f t="shared" si="4"/>
        <v>33864000</v>
      </c>
      <c r="F23" s="192">
        <f t="shared" si="6"/>
        <v>0.33200000000000002</v>
      </c>
      <c r="G23" s="193" t="s">
        <v>199</v>
      </c>
      <c r="H23" s="194">
        <f t="shared" si="0"/>
        <v>326400</v>
      </c>
      <c r="I23" s="195">
        <f t="shared" si="1"/>
        <v>326400</v>
      </c>
      <c r="J23" s="195">
        <f t="shared" si="2"/>
        <v>3264000</v>
      </c>
      <c r="K23" s="372"/>
    </row>
    <row r="24" spans="1:11" x14ac:dyDescent="0.25">
      <c r="A24" s="188">
        <v>6</v>
      </c>
      <c r="B24" s="189">
        <v>4.4999999999999998E-2</v>
      </c>
      <c r="C24" s="189">
        <f t="shared" si="3"/>
        <v>0.21000000000000002</v>
      </c>
      <c r="D24" s="190">
        <f t="shared" si="5"/>
        <v>3672000</v>
      </c>
      <c r="E24" s="191">
        <f t="shared" si="4"/>
        <v>37536000</v>
      </c>
      <c r="F24" s="184">
        <f t="shared" si="6"/>
        <v>0.36799999999999999</v>
      </c>
      <c r="G24" s="193" t="s">
        <v>200</v>
      </c>
      <c r="H24" s="194">
        <f t="shared" si="0"/>
        <v>367200</v>
      </c>
      <c r="I24" s="195">
        <f t="shared" si="1"/>
        <v>367200</v>
      </c>
      <c r="J24" s="195">
        <f t="shared" si="2"/>
        <v>3672000</v>
      </c>
      <c r="K24" s="372"/>
    </row>
    <row r="25" spans="1:11" ht="12.6" thickBot="1" x14ac:dyDescent="0.3">
      <c r="A25" s="188">
        <v>7</v>
      </c>
      <c r="B25" s="189">
        <v>4.4999999999999998E-2</v>
      </c>
      <c r="C25" s="189">
        <f t="shared" si="3"/>
        <v>0.255</v>
      </c>
      <c r="D25" s="190">
        <f t="shared" si="5"/>
        <v>3672000</v>
      </c>
      <c r="E25" s="191">
        <f t="shared" si="4"/>
        <v>41208000</v>
      </c>
      <c r="F25" s="192">
        <f t="shared" si="6"/>
        <v>0.40400000000000003</v>
      </c>
      <c r="G25" s="193" t="s">
        <v>201</v>
      </c>
      <c r="H25" s="194">
        <f t="shared" si="0"/>
        <v>367200</v>
      </c>
      <c r="I25" s="195">
        <f t="shared" si="1"/>
        <v>367200</v>
      </c>
      <c r="J25" s="195">
        <f t="shared" si="2"/>
        <v>3672000</v>
      </c>
      <c r="K25" s="373"/>
    </row>
    <row r="26" spans="1:11" x14ac:dyDescent="0.25">
      <c r="A26" s="188">
        <v>8</v>
      </c>
      <c r="B26" s="189">
        <v>0.05</v>
      </c>
      <c r="C26" s="189">
        <f t="shared" si="3"/>
        <v>0.30499999999999999</v>
      </c>
      <c r="D26" s="190">
        <f t="shared" si="5"/>
        <v>4080000</v>
      </c>
      <c r="E26" s="191">
        <f t="shared" si="4"/>
        <v>45288000</v>
      </c>
      <c r="F26" s="184">
        <f t="shared" si="6"/>
        <v>0.44400000000000001</v>
      </c>
      <c r="G26" s="193" t="s">
        <v>202</v>
      </c>
      <c r="H26" s="194">
        <f t="shared" si="0"/>
        <v>408000</v>
      </c>
      <c r="I26" s="195">
        <f t="shared" si="1"/>
        <v>408000</v>
      </c>
      <c r="J26" s="195">
        <f t="shared" si="2"/>
        <v>4080000</v>
      </c>
      <c r="K26" s="372"/>
    </row>
    <row r="27" spans="1:11" ht="12.6" thickBot="1" x14ac:dyDescent="0.3">
      <c r="A27" s="188">
        <v>9</v>
      </c>
      <c r="B27" s="189">
        <v>5.5E-2</v>
      </c>
      <c r="C27" s="189">
        <f t="shared" si="3"/>
        <v>0.36</v>
      </c>
      <c r="D27" s="190">
        <f t="shared" si="5"/>
        <v>4488000</v>
      </c>
      <c r="E27" s="191">
        <f t="shared" si="4"/>
        <v>49776000</v>
      </c>
      <c r="F27" s="192">
        <f t="shared" si="6"/>
        <v>0.48799999999999999</v>
      </c>
      <c r="G27" s="193" t="s">
        <v>203</v>
      </c>
      <c r="H27" s="194">
        <f t="shared" si="0"/>
        <v>448800</v>
      </c>
      <c r="I27" s="195">
        <f t="shared" si="1"/>
        <v>448800</v>
      </c>
      <c r="J27" s="195">
        <f t="shared" si="2"/>
        <v>4488000</v>
      </c>
      <c r="K27" s="372"/>
    </row>
    <row r="28" spans="1:11" x14ac:dyDescent="0.25">
      <c r="A28" s="188">
        <v>10</v>
      </c>
      <c r="B28" s="189">
        <v>5.5E-2</v>
      </c>
      <c r="C28" s="189">
        <f t="shared" si="3"/>
        <v>0.41499999999999998</v>
      </c>
      <c r="D28" s="190">
        <f t="shared" si="5"/>
        <v>4488000</v>
      </c>
      <c r="E28" s="191">
        <f t="shared" si="4"/>
        <v>54264000</v>
      </c>
      <c r="F28" s="184">
        <f t="shared" si="6"/>
        <v>0.53200000000000003</v>
      </c>
      <c r="G28" s="193" t="s">
        <v>204</v>
      </c>
      <c r="H28" s="194">
        <f t="shared" si="0"/>
        <v>448800</v>
      </c>
      <c r="I28" s="195">
        <f t="shared" si="1"/>
        <v>448800</v>
      </c>
      <c r="J28" s="195">
        <f t="shared" si="2"/>
        <v>4488000</v>
      </c>
      <c r="K28" s="372"/>
    </row>
    <row r="29" spans="1:11" ht="12.6" thickBot="1" x14ac:dyDescent="0.3">
      <c r="A29" s="188">
        <v>11</v>
      </c>
      <c r="B29" s="189">
        <v>5.5E-2</v>
      </c>
      <c r="C29" s="189">
        <f t="shared" si="3"/>
        <v>0.47</v>
      </c>
      <c r="D29" s="190">
        <f t="shared" si="5"/>
        <v>4488000</v>
      </c>
      <c r="E29" s="191">
        <f t="shared" si="4"/>
        <v>58752000</v>
      </c>
      <c r="F29" s="192">
        <f t="shared" si="6"/>
        <v>0.57599999999999996</v>
      </c>
      <c r="G29" s="193" t="s">
        <v>205</v>
      </c>
      <c r="H29" s="194">
        <f t="shared" si="0"/>
        <v>448800</v>
      </c>
      <c r="I29" s="195">
        <f t="shared" si="1"/>
        <v>448800</v>
      </c>
      <c r="J29" s="195">
        <f t="shared" si="2"/>
        <v>4488000</v>
      </c>
      <c r="K29" s="372"/>
    </row>
    <row r="30" spans="1:11" x14ac:dyDescent="0.25">
      <c r="A30" s="188">
        <v>12</v>
      </c>
      <c r="B30" s="189">
        <v>0.06</v>
      </c>
      <c r="C30" s="189">
        <f t="shared" si="3"/>
        <v>0.53</v>
      </c>
      <c r="D30" s="190">
        <f t="shared" si="5"/>
        <v>4896000</v>
      </c>
      <c r="E30" s="191">
        <f t="shared" si="4"/>
        <v>63648000</v>
      </c>
      <c r="F30" s="184">
        <f t="shared" si="6"/>
        <v>0.624</v>
      </c>
      <c r="G30" s="193" t="s">
        <v>206</v>
      </c>
      <c r="H30" s="194">
        <f t="shared" si="0"/>
        <v>489600</v>
      </c>
      <c r="I30" s="195">
        <f t="shared" si="1"/>
        <v>489600</v>
      </c>
      <c r="J30" s="195">
        <f t="shared" si="2"/>
        <v>4896000</v>
      </c>
      <c r="K30" s="372"/>
    </row>
    <row r="31" spans="1:11" ht="12.6" thickBot="1" x14ac:dyDescent="0.3">
      <c r="A31" s="188">
        <v>13</v>
      </c>
      <c r="B31" s="189">
        <v>7.0000000000000007E-2</v>
      </c>
      <c r="C31" s="189">
        <f t="shared" si="3"/>
        <v>0.60000000000000009</v>
      </c>
      <c r="D31" s="190">
        <f t="shared" si="5"/>
        <v>5712000</v>
      </c>
      <c r="E31" s="191">
        <f t="shared" si="4"/>
        <v>69360000</v>
      </c>
      <c r="F31" s="192">
        <f t="shared" si="6"/>
        <v>0.68</v>
      </c>
      <c r="G31" s="193" t="s">
        <v>207</v>
      </c>
      <c r="H31" s="194">
        <f t="shared" si="0"/>
        <v>571200</v>
      </c>
      <c r="I31" s="195">
        <f t="shared" si="1"/>
        <v>571200</v>
      </c>
      <c r="J31" s="195">
        <f t="shared" si="2"/>
        <v>5712000</v>
      </c>
      <c r="K31" s="372"/>
    </row>
    <row r="32" spans="1:11" x14ac:dyDescent="0.25">
      <c r="A32" s="188">
        <v>14</v>
      </c>
      <c r="B32" s="189">
        <v>7.0000000000000007E-2</v>
      </c>
      <c r="C32" s="189">
        <f t="shared" si="3"/>
        <v>0.67000000000000015</v>
      </c>
      <c r="D32" s="190">
        <f t="shared" si="5"/>
        <v>5712000</v>
      </c>
      <c r="E32" s="191">
        <f t="shared" si="4"/>
        <v>75072000</v>
      </c>
      <c r="F32" s="184">
        <f t="shared" si="6"/>
        <v>0.73599999999999999</v>
      </c>
      <c r="G32" s="193" t="s">
        <v>208</v>
      </c>
      <c r="H32" s="194">
        <f t="shared" si="0"/>
        <v>571200</v>
      </c>
      <c r="I32" s="195">
        <f t="shared" si="1"/>
        <v>571200</v>
      </c>
      <c r="J32" s="195">
        <f t="shared" si="2"/>
        <v>5712000</v>
      </c>
      <c r="K32" s="374"/>
    </row>
    <row r="33" spans="1:11" ht="12.6" thickBot="1" x14ac:dyDescent="0.3">
      <c r="A33" s="188">
        <v>15</v>
      </c>
      <c r="B33" s="189">
        <v>6.5000000000000002E-2</v>
      </c>
      <c r="C33" s="189">
        <f t="shared" si="3"/>
        <v>0.7350000000000001</v>
      </c>
      <c r="D33" s="190">
        <f t="shared" si="5"/>
        <v>5304000</v>
      </c>
      <c r="E33" s="191">
        <f t="shared" si="4"/>
        <v>80376000</v>
      </c>
      <c r="F33" s="192">
        <f t="shared" si="6"/>
        <v>0.78800000000000003</v>
      </c>
      <c r="G33" s="193" t="s">
        <v>209</v>
      </c>
      <c r="H33" s="194">
        <f t="shared" si="0"/>
        <v>530400</v>
      </c>
      <c r="I33" s="195">
        <f t="shared" si="1"/>
        <v>530400</v>
      </c>
      <c r="J33" s="195">
        <f t="shared" si="2"/>
        <v>5304000</v>
      </c>
      <c r="K33" s="372"/>
    </row>
    <row r="34" spans="1:11" x14ac:dyDescent="0.25">
      <c r="A34" s="188">
        <v>16</v>
      </c>
      <c r="B34" s="189">
        <v>6.5000000000000002E-2</v>
      </c>
      <c r="C34" s="189">
        <f t="shared" si="3"/>
        <v>0.8</v>
      </c>
      <c r="D34" s="190">
        <f t="shared" si="5"/>
        <v>5304000</v>
      </c>
      <c r="E34" s="191">
        <f>E33+D34</f>
        <v>85680000</v>
      </c>
      <c r="F34" s="184">
        <f t="shared" si="6"/>
        <v>0.84</v>
      </c>
      <c r="G34" s="193" t="s">
        <v>210</v>
      </c>
      <c r="H34" s="194">
        <f>ROUND(D34*0.1,0)</f>
        <v>530400</v>
      </c>
      <c r="I34" s="195">
        <f t="shared" si="1"/>
        <v>530400</v>
      </c>
      <c r="J34" s="195">
        <f>ROUNDUP(D34*$D$12/100,-(LEN(D34)-$I$15))</f>
        <v>5304000</v>
      </c>
      <c r="K34" s="372"/>
    </row>
    <row r="35" spans="1:11" ht="12.6" thickBot="1" x14ac:dyDescent="0.3">
      <c r="A35" s="188">
        <v>17</v>
      </c>
      <c r="B35" s="189">
        <v>0.05</v>
      </c>
      <c r="C35" s="189">
        <f t="shared" si="3"/>
        <v>0.85000000000000009</v>
      </c>
      <c r="D35" s="190">
        <f t="shared" si="5"/>
        <v>4080000</v>
      </c>
      <c r="E35" s="191">
        <f>E34+D35</f>
        <v>89760000</v>
      </c>
      <c r="F35" s="192">
        <f t="shared" si="6"/>
        <v>0.88</v>
      </c>
      <c r="G35" s="193" t="s">
        <v>211</v>
      </c>
      <c r="H35" s="194">
        <f>ROUND(D35*0.1,0)</f>
        <v>408000</v>
      </c>
      <c r="I35" s="195">
        <f t="shared" si="1"/>
        <v>408000</v>
      </c>
      <c r="J35" s="195">
        <f>ROUNDUP(D35*$D$12/100,-(LEN(D35)-$I$15))</f>
        <v>4080000</v>
      </c>
      <c r="K35" s="372"/>
    </row>
    <row r="36" spans="1:11" ht="12.6" thickBot="1" x14ac:dyDescent="0.3">
      <c r="A36" s="200">
        <v>18</v>
      </c>
      <c r="B36" s="189">
        <v>0.05</v>
      </c>
      <c r="C36" s="189">
        <f t="shared" si="3"/>
        <v>0.90000000000000013</v>
      </c>
      <c r="D36" s="190">
        <f t="shared" si="5"/>
        <v>4080000</v>
      </c>
      <c r="E36" s="203">
        <f>E35+D36</f>
        <v>93840000</v>
      </c>
      <c r="F36" s="184">
        <f t="shared" si="6"/>
        <v>0.92</v>
      </c>
      <c r="G36" s="205" t="s">
        <v>212</v>
      </c>
      <c r="H36" s="206">
        <f>ROUND(D36*0.1,0)</f>
        <v>408000</v>
      </c>
      <c r="I36" s="195">
        <f t="shared" si="1"/>
        <v>408000</v>
      </c>
      <c r="J36" s="207">
        <f>ROUNDUP(D36*$D$12/100,-(LEN(D36)-$I$15))</f>
        <v>4080000</v>
      </c>
      <c r="K36" s="374"/>
    </row>
    <row r="37" spans="1:11" ht="12.6" thickBot="1" x14ac:dyDescent="0.3">
      <c r="A37" s="188">
        <v>19</v>
      </c>
      <c r="B37" s="189">
        <v>0.04</v>
      </c>
      <c r="C37" s="189">
        <f t="shared" si="3"/>
        <v>0.94000000000000017</v>
      </c>
      <c r="D37" s="190">
        <f t="shared" si="5"/>
        <v>3264000</v>
      </c>
      <c r="E37" s="191">
        <f t="shared" ref="E37:E42" si="7">E36+D37</f>
        <v>97104000</v>
      </c>
      <c r="F37" s="192">
        <f t="shared" si="6"/>
        <v>0.95199999999999996</v>
      </c>
      <c r="G37" s="193" t="s">
        <v>213</v>
      </c>
      <c r="H37" s="194">
        <f t="shared" ref="H37:H42" si="8">ROUND(D37*0.1,0)</f>
        <v>326400</v>
      </c>
      <c r="I37" s="195">
        <f t="shared" si="1"/>
        <v>326400</v>
      </c>
      <c r="J37" s="207">
        <f t="shared" ref="J37:J42" si="9">ROUNDUP(D37*$D$12/100,-(LEN(D37)-$I$15))</f>
        <v>3264000</v>
      </c>
      <c r="K37" s="374"/>
    </row>
    <row r="38" spans="1:11" ht="12.6" thickBot="1" x14ac:dyDescent="0.3">
      <c r="A38" s="200">
        <v>20</v>
      </c>
      <c r="B38" s="189">
        <v>0.02</v>
      </c>
      <c r="C38" s="189">
        <f t="shared" si="3"/>
        <v>0.96000000000000019</v>
      </c>
      <c r="D38" s="190">
        <f t="shared" si="5"/>
        <v>1632000</v>
      </c>
      <c r="E38" s="203">
        <f t="shared" si="7"/>
        <v>98736000</v>
      </c>
      <c r="F38" s="184">
        <f t="shared" si="6"/>
        <v>0.96799999999999997</v>
      </c>
      <c r="G38" s="205" t="s">
        <v>214</v>
      </c>
      <c r="H38" s="206">
        <f t="shared" si="8"/>
        <v>163200</v>
      </c>
      <c r="I38" s="195">
        <f t="shared" si="1"/>
        <v>163200</v>
      </c>
      <c r="J38" s="207">
        <f t="shared" si="9"/>
        <v>1632000</v>
      </c>
      <c r="K38" s="374"/>
    </row>
    <row r="39" spans="1:11" ht="12.6" thickBot="1" x14ac:dyDescent="0.3">
      <c r="A39" s="188">
        <v>21</v>
      </c>
      <c r="B39" s="219">
        <v>0.01</v>
      </c>
      <c r="C39" s="189">
        <f t="shared" si="3"/>
        <v>0.9700000000000002</v>
      </c>
      <c r="D39" s="190">
        <f t="shared" si="5"/>
        <v>816000</v>
      </c>
      <c r="E39" s="191">
        <f t="shared" si="7"/>
        <v>99552000</v>
      </c>
      <c r="F39" s="192">
        <f t="shared" si="6"/>
        <v>0.97599999999999998</v>
      </c>
      <c r="G39" s="193" t="s">
        <v>215</v>
      </c>
      <c r="H39" s="194">
        <f t="shared" si="8"/>
        <v>81600</v>
      </c>
      <c r="I39" s="207">
        <f>ROUNDUP((D39+H39-J39),-(LEN(D39)-$I$15))</f>
        <v>81600</v>
      </c>
      <c r="J39" s="207">
        <f t="shared" si="9"/>
        <v>816000</v>
      </c>
      <c r="K39" s="374"/>
    </row>
    <row r="40" spans="1:11" ht="12.6" thickBot="1" x14ac:dyDescent="0.3">
      <c r="A40" s="200">
        <v>22</v>
      </c>
      <c r="B40" s="189">
        <v>0.01</v>
      </c>
      <c r="C40" s="189">
        <f t="shared" si="3"/>
        <v>0.9800000000000002</v>
      </c>
      <c r="D40" s="190">
        <f t="shared" si="5"/>
        <v>816000</v>
      </c>
      <c r="E40" s="203">
        <f t="shared" si="7"/>
        <v>100368000</v>
      </c>
      <c r="F40" s="184">
        <f t="shared" si="6"/>
        <v>0.98399999999999999</v>
      </c>
      <c r="G40" s="205" t="s">
        <v>216</v>
      </c>
      <c r="H40" s="206">
        <f t="shared" si="8"/>
        <v>81600</v>
      </c>
      <c r="I40" s="195">
        <f t="shared" si="1"/>
        <v>81600</v>
      </c>
      <c r="J40" s="207">
        <f t="shared" si="9"/>
        <v>816000</v>
      </c>
      <c r="K40" s="374"/>
    </row>
    <row r="41" spans="1:11" ht="12.6" thickBot="1" x14ac:dyDescent="0.3">
      <c r="A41" s="188">
        <v>23</v>
      </c>
      <c r="B41" s="189">
        <v>0.01</v>
      </c>
      <c r="C41" s="189">
        <f t="shared" si="3"/>
        <v>0.99000000000000021</v>
      </c>
      <c r="D41" s="190">
        <f t="shared" ref="D41" si="10">ROUND(B41*$D$11*(100-$D$14)/100,0)</f>
        <v>816000</v>
      </c>
      <c r="E41" s="191">
        <f t="shared" si="7"/>
        <v>101184000</v>
      </c>
      <c r="F41" s="192">
        <f t="shared" si="6"/>
        <v>0.99199999999999999</v>
      </c>
      <c r="G41" s="193" t="s">
        <v>217</v>
      </c>
      <c r="H41" s="194">
        <f t="shared" si="8"/>
        <v>81600</v>
      </c>
      <c r="I41" s="195">
        <f t="shared" si="1"/>
        <v>81600</v>
      </c>
      <c r="J41" s="207">
        <f t="shared" si="9"/>
        <v>816000</v>
      </c>
      <c r="K41" s="374"/>
    </row>
    <row r="42" spans="1:11" ht="12.6" thickBot="1" x14ac:dyDescent="0.3">
      <c r="A42" s="200">
        <v>24</v>
      </c>
      <c r="B42" s="201">
        <v>0.01</v>
      </c>
      <c r="C42" s="189">
        <f t="shared" si="3"/>
        <v>1.0000000000000002</v>
      </c>
      <c r="D42" s="190">
        <f t="shared" si="5"/>
        <v>816000</v>
      </c>
      <c r="E42" s="203">
        <f t="shared" si="7"/>
        <v>102000000</v>
      </c>
      <c r="F42" s="184">
        <f t="shared" si="6"/>
        <v>1</v>
      </c>
      <c r="G42" s="205" t="s">
        <v>218</v>
      </c>
      <c r="H42" s="206">
        <f t="shared" si="8"/>
        <v>81600</v>
      </c>
      <c r="I42" s="207">
        <f t="shared" si="1"/>
        <v>81600</v>
      </c>
      <c r="J42" s="207">
        <f t="shared" si="9"/>
        <v>816000</v>
      </c>
      <c r="K42" s="374"/>
    </row>
    <row r="43" spans="1:11" ht="20.25" customHeight="1" thickBot="1" x14ac:dyDescent="0.3">
      <c r="A43" s="208" t="str">
        <f>A42*30 &amp; " dias"</f>
        <v>720 dias</v>
      </c>
      <c r="B43" s="209">
        <f>SUM(B19:B42)</f>
        <v>1.0000000000000002</v>
      </c>
      <c r="C43" s="210"/>
      <c r="D43" s="211">
        <f>SUM(D18:D42)</f>
        <v>102000000</v>
      </c>
      <c r="E43" s="150"/>
      <c r="H43" s="150"/>
      <c r="I43" s="212">
        <f>SUM(I18:I42)</f>
        <v>10200000</v>
      </c>
      <c r="J43" s="212">
        <f>SUM(J18:J42)</f>
        <v>102000000</v>
      </c>
      <c r="K43" s="372"/>
    </row>
    <row r="44" spans="1:11" ht="15" customHeight="1" x14ac:dyDescent="0.25">
      <c r="A44" s="155"/>
      <c r="F44" s="158"/>
      <c r="G44" s="158"/>
      <c r="H44" s="161" t="s">
        <v>430</v>
      </c>
      <c r="I44" s="640">
        <f>I43+J43</f>
        <v>112200000</v>
      </c>
      <c r="J44" s="641"/>
    </row>
    <row r="45" spans="1:11" x14ac:dyDescent="0.25">
      <c r="A45" s="154" t="s">
        <v>431</v>
      </c>
      <c r="B45" s="154"/>
      <c r="C45" s="154"/>
      <c r="H45" s="161" t="s">
        <v>432</v>
      </c>
      <c r="I45" s="170">
        <f>I44/1.1-D11</f>
        <v>0</v>
      </c>
    </row>
    <row r="46" spans="1:11" x14ac:dyDescent="0.25">
      <c r="B46" s="213"/>
    </row>
    <row r="47" spans="1:11" x14ac:dyDescent="0.25">
      <c r="B47" s="213"/>
    </row>
    <row r="49" spans="1:27" s="216" customFormat="1" ht="12.75" customHeight="1" x14ac:dyDescent="0.25">
      <c r="A49" s="214"/>
      <c r="B49" s="215" t="s">
        <v>433</v>
      </c>
      <c r="C49" s="215" t="s">
        <v>195</v>
      </c>
      <c r="D49" s="215" t="s">
        <v>196</v>
      </c>
      <c r="E49" s="215" t="s">
        <v>197</v>
      </c>
      <c r="F49" s="215" t="s">
        <v>198</v>
      </c>
      <c r="G49" s="215" t="s">
        <v>199</v>
      </c>
      <c r="H49" s="215" t="s">
        <v>200</v>
      </c>
      <c r="I49" s="215" t="s">
        <v>201</v>
      </c>
      <c r="J49" s="215" t="s">
        <v>202</v>
      </c>
      <c r="K49" s="215" t="s">
        <v>203</v>
      </c>
      <c r="L49" s="215" t="s">
        <v>204</v>
      </c>
      <c r="M49" s="215" t="s">
        <v>205</v>
      </c>
      <c r="N49" s="215" t="s">
        <v>206</v>
      </c>
      <c r="O49" s="215" t="s">
        <v>207</v>
      </c>
      <c r="P49" s="215" t="s">
        <v>208</v>
      </c>
      <c r="Q49" s="215" t="s">
        <v>209</v>
      </c>
      <c r="R49" s="215" t="s">
        <v>210</v>
      </c>
      <c r="S49" s="215" t="s">
        <v>211</v>
      </c>
      <c r="T49" s="215" t="s">
        <v>212</v>
      </c>
      <c r="U49" s="215" t="s">
        <v>213</v>
      </c>
      <c r="V49" s="215" t="s">
        <v>214</v>
      </c>
      <c r="W49" s="215" t="s">
        <v>215</v>
      </c>
      <c r="X49" s="215" t="s">
        <v>216</v>
      </c>
      <c r="Y49" s="215" t="s">
        <v>217</v>
      </c>
      <c r="Z49" s="215" t="s">
        <v>218</v>
      </c>
    </row>
    <row r="50" spans="1:27" x14ac:dyDescent="0.25">
      <c r="A50" s="217" t="s">
        <v>434</v>
      </c>
      <c r="B50" s="190">
        <v>0</v>
      </c>
      <c r="C50" s="190">
        <v>0</v>
      </c>
      <c r="D50" s="190">
        <v>0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0</v>
      </c>
      <c r="K50" s="190">
        <v>0</v>
      </c>
      <c r="L50" s="190">
        <v>0</v>
      </c>
      <c r="M50" s="190">
        <v>0</v>
      </c>
      <c r="N50" s="190">
        <v>0</v>
      </c>
      <c r="O50" s="190">
        <v>0</v>
      </c>
      <c r="P50" s="190">
        <v>0</v>
      </c>
      <c r="Q50" s="190">
        <v>0</v>
      </c>
      <c r="R50" s="190">
        <v>0</v>
      </c>
      <c r="S50" s="190">
        <v>0</v>
      </c>
      <c r="T50" s="190">
        <v>0</v>
      </c>
      <c r="U50" s="158">
        <f>SUM(B50:T50)</f>
        <v>0</v>
      </c>
      <c r="V50" s="158">
        <f t="shared" ref="V50:AA50" si="11">SUM(C50:U50)</f>
        <v>0</v>
      </c>
      <c r="W50" s="158">
        <f t="shared" si="11"/>
        <v>0</v>
      </c>
      <c r="X50" s="158">
        <f t="shared" si="11"/>
        <v>0</v>
      </c>
      <c r="Y50" s="158">
        <f t="shared" si="11"/>
        <v>0</v>
      </c>
      <c r="Z50" s="158">
        <f t="shared" si="11"/>
        <v>0</v>
      </c>
      <c r="AA50" s="158">
        <f t="shared" si="11"/>
        <v>0</v>
      </c>
    </row>
    <row r="51" spans="1:27" x14ac:dyDescent="0.25">
      <c r="A51" s="217" t="s">
        <v>435</v>
      </c>
      <c r="B51" s="190">
        <f>$J18</f>
        <v>20400000</v>
      </c>
      <c r="C51" s="190">
        <f>$J19</f>
        <v>2040000</v>
      </c>
      <c r="D51" s="190">
        <f>$J20</f>
        <v>2448000</v>
      </c>
      <c r="E51" s="190">
        <f>$J21</f>
        <v>2856000</v>
      </c>
      <c r="F51" s="190">
        <f>$J22</f>
        <v>2856000</v>
      </c>
      <c r="G51" s="190">
        <f>$J23</f>
        <v>3264000</v>
      </c>
      <c r="H51" s="190">
        <f>$J24</f>
        <v>3672000</v>
      </c>
      <c r="I51" s="190">
        <f>$J25</f>
        <v>3672000</v>
      </c>
      <c r="J51" s="190">
        <f>$J26</f>
        <v>4080000</v>
      </c>
      <c r="K51" s="190">
        <f>$J27</f>
        <v>4488000</v>
      </c>
      <c r="L51" s="190">
        <f>$J28</f>
        <v>4488000</v>
      </c>
      <c r="M51" s="190">
        <f>$J29</f>
        <v>4488000</v>
      </c>
      <c r="N51" s="190">
        <f>$J30</f>
        <v>4896000</v>
      </c>
      <c r="O51" s="190">
        <f>$J31</f>
        <v>5712000</v>
      </c>
      <c r="P51" s="190">
        <f>$J32</f>
        <v>5712000</v>
      </c>
      <c r="Q51" s="190">
        <f>$J33</f>
        <v>5304000</v>
      </c>
      <c r="R51" s="190">
        <f>$J34</f>
        <v>5304000</v>
      </c>
      <c r="S51" s="190">
        <f>$J35</f>
        <v>4080000</v>
      </c>
      <c r="T51" s="190">
        <f>$J36</f>
        <v>4080000</v>
      </c>
      <c r="U51" s="190">
        <f>$J37</f>
        <v>3264000</v>
      </c>
      <c r="V51" s="190">
        <f>$J38</f>
        <v>1632000</v>
      </c>
      <c r="W51" s="190">
        <f>$J39</f>
        <v>816000</v>
      </c>
      <c r="X51" s="190">
        <f>$J40</f>
        <v>816000</v>
      </c>
      <c r="Y51" s="190">
        <f>$J41</f>
        <v>816000</v>
      </c>
      <c r="Z51" s="190">
        <f>$J42</f>
        <v>816000</v>
      </c>
      <c r="AA51" s="158">
        <f>SUM(B51:Z51)</f>
        <v>102000000</v>
      </c>
    </row>
    <row r="52" spans="1:27" x14ac:dyDescent="0.25">
      <c r="B52" s="190">
        <f>B50+B51</f>
        <v>20400000</v>
      </c>
      <c r="C52" s="190">
        <f t="shared" ref="C52:Z52" si="12">C50+C51</f>
        <v>2040000</v>
      </c>
      <c r="D52" s="190">
        <f t="shared" si="12"/>
        <v>2448000</v>
      </c>
      <c r="E52" s="190">
        <f t="shared" si="12"/>
        <v>2856000</v>
      </c>
      <c r="F52" s="190">
        <f t="shared" si="12"/>
        <v>2856000</v>
      </c>
      <c r="G52" s="190">
        <f t="shared" si="12"/>
        <v>3264000</v>
      </c>
      <c r="H52" s="190">
        <f t="shared" si="12"/>
        <v>3672000</v>
      </c>
      <c r="I52" s="190">
        <f t="shared" si="12"/>
        <v>3672000</v>
      </c>
      <c r="J52" s="190">
        <f t="shared" si="12"/>
        <v>4080000</v>
      </c>
      <c r="K52" s="190">
        <f t="shared" si="12"/>
        <v>4488000</v>
      </c>
      <c r="L52" s="190">
        <f t="shared" si="12"/>
        <v>4488000</v>
      </c>
      <c r="M52" s="190">
        <f t="shared" si="12"/>
        <v>4488000</v>
      </c>
      <c r="N52" s="190">
        <f t="shared" si="12"/>
        <v>4896000</v>
      </c>
      <c r="O52" s="190">
        <f t="shared" si="12"/>
        <v>5712000</v>
      </c>
      <c r="P52" s="190">
        <f t="shared" si="12"/>
        <v>5712000</v>
      </c>
      <c r="Q52" s="190">
        <f t="shared" si="12"/>
        <v>5304000</v>
      </c>
      <c r="R52" s="190">
        <f t="shared" si="12"/>
        <v>5304000</v>
      </c>
      <c r="S52" s="190">
        <f t="shared" si="12"/>
        <v>4080000</v>
      </c>
      <c r="T52" s="190">
        <f t="shared" si="12"/>
        <v>4080000</v>
      </c>
      <c r="U52" s="190">
        <f t="shared" si="12"/>
        <v>3264000</v>
      </c>
      <c r="V52" s="190">
        <f t="shared" si="12"/>
        <v>1632000</v>
      </c>
      <c r="W52" s="190">
        <f t="shared" si="12"/>
        <v>816000</v>
      </c>
      <c r="X52" s="190">
        <f t="shared" si="12"/>
        <v>816000</v>
      </c>
      <c r="Y52" s="190">
        <f t="shared" si="12"/>
        <v>816000</v>
      </c>
      <c r="Z52" s="190">
        <f t="shared" si="12"/>
        <v>816000</v>
      </c>
      <c r="AA52" s="190">
        <f>U50+AA51</f>
        <v>102000000</v>
      </c>
    </row>
    <row r="53" spans="1:27" x14ac:dyDescent="0.25">
      <c r="B53" s="218">
        <f>SUM(B52:Z52)</f>
        <v>102000000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zoomScale="70" zoomScaleNormal="70" workbookViewId="0">
      <selection activeCell="C46" sqref="C46"/>
    </sheetView>
  </sheetViews>
  <sheetFormatPr defaultColWidth="9.109375" defaultRowHeight="12" x14ac:dyDescent="0.25"/>
  <cols>
    <col min="1" max="1" width="8.44140625" style="150" customWidth="1"/>
    <col min="2" max="2" width="14.44140625" style="160" customWidth="1"/>
    <col min="3" max="3" width="15.44140625" style="158" customWidth="1"/>
    <col min="4" max="4" width="16.44140625" style="158" customWidth="1"/>
    <col min="5" max="5" width="16.109375" style="158" customWidth="1"/>
    <col min="6" max="6" width="13.6640625" style="150" customWidth="1"/>
    <col min="7" max="7" width="18.88671875" style="150" customWidth="1"/>
    <col min="8" max="8" width="15.6640625" style="155" customWidth="1"/>
    <col min="9" max="10" width="16.5546875" style="150" customWidth="1"/>
    <col min="11" max="11" width="13.109375" style="150" customWidth="1"/>
    <col min="12" max="12" width="13.44140625" style="150" customWidth="1"/>
    <col min="13" max="14" width="14.6640625" style="150" customWidth="1"/>
    <col min="15" max="19" width="14.44140625" style="150" customWidth="1"/>
    <col min="20" max="20" width="14.88671875" style="150" customWidth="1"/>
    <col min="21" max="21" width="10.88671875" style="150" customWidth="1"/>
    <col min="22" max="22" width="9.109375" style="150"/>
    <col min="23" max="23" width="10.33203125" style="150" customWidth="1"/>
    <col min="24" max="26" width="9.109375" style="150"/>
    <col min="27" max="27" width="10" style="150" customWidth="1"/>
    <col min="28" max="256" width="9.109375" style="150"/>
    <col min="257" max="257" width="8.44140625" style="150" customWidth="1"/>
    <col min="258" max="258" width="14.44140625" style="150" customWidth="1"/>
    <col min="259" max="259" width="15.44140625" style="150" customWidth="1"/>
    <col min="260" max="260" width="16.44140625" style="150" customWidth="1"/>
    <col min="261" max="261" width="16.109375" style="150" customWidth="1"/>
    <col min="262" max="262" width="13.6640625" style="150" customWidth="1"/>
    <col min="263" max="263" width="18.88671875" style="150" customWidth="1"/>
    <col min="264" max="264" width="15.6640625" style="150" customWidth="1"/>
    <col min="265" max="266" width="16.5546875" style="150" customWidth="1"/>
    <col min="267" max="267" width="13.109375" style="150" customWidth="1"/>
    <col min="268" max="268" width="13.44140625" style="150" customWidth="1"/>
    <col min="269" max="270" width="14.6640625" style="150" customWidth="1"/>
    <col min="271" max="275" width="14.44140625" style="150" customWidth="1"/>
    <col min="276" max="276" width="14.88671875" style="150" customWidth="1"/>
    <col min="277" max="277" width="10.88671875" style="150" customWidth="1"/>
    <col min="278" max="512" width="9.109375" style="150"/>
    <col min="513" max="513" width="8.44140625" style="150" customWidth="1"/>
    <col min="514" max="514" width="14.44140625" style="150" customWidth="1"/>
    <col min="515" max="515" width="15.44140625" style="150" customWidth="1"/>
    <col min="516" max="516" width="16.44140625" style="150" customWidth="1"/>
    <col min="517" max="517" width="16.109375" style="150" customWidth="1"/>
    <col min="518" max="518" width="13.6640625" style="150" customWidth="1"/>
    <col min="519" max="519" width="18.88671875" style="150" customWidth="1"/>
    <col min="520" max="520" width="15.6640625" style="150" customWidth="1"/>
    <col min="521" max="522" width="16.5546875" style="150" customWidth="1"/>
    <col min="523" max="523" width="13.109375" style="150" customWidth="1"/>
    <col min="524" max="524" width="13.44140625" style="150" customWidth="1"/>
    <col min="525" max="526" width="14.6640625" style="150" customWidth="1"/>
    <col min="527" max="531" width="14.44140625" style="150" customWidth="1"/>
    <col min="532" max="532" width="14.88671875" style="150" customWidth="1"/>
    <col min="533" max="533" width="10.88671875" style="150" customWidth="1"/>
    <col min="534" max="768" width="9.109375" style="150"/>
    <col min="769" max="769" width="8.44140625" style="150" customWidth="1"/>
    <col min="770" max="770" width="14.44140625" style="150" customWidth="1"/>
    <col min="771" max="771" width="15.44140625" style="150" customWidth="1"/>
    <col min="772" max="772" width="16.44140625" style="150" customWidth="1"/>
    <col min="773" max="773" width="16.109375" style="150" customWidth="1"/>
    <col min="774" max="774" width="13.6640625" style="150" customWidth="1"/>
    <col min="775" max="775" width="18.88671875" style="150" customWidth="1"/>
    <col min="776" max="776" width="15.6640625" style="150" customWidth="1"/>
    <col min="777" max="778" width="16.5546875" style="150" customWidth="1"/>
    <col min="779" max="779" width="13.109375" style="150" customWidth="1"/>
    <col min="780" max="780" width="13.44140625" style="150" customWidth="1"/>
    <col min="781" max="782" width="14.6640625" style="150" customWidth="1"/>
    <col min="783" max="787" width="14.44140625" style="150" customWidth="1"/>
    <col min="788" max="788" width="14.88671875" style="150" customWidth="1"/>
    <col min="789" max="789" width="10.88671875" style="150" customWidth="1"/>
    <col min="790" max="1024" width="9.109375" style="150"/>
    <col min="1025" max="1025" width="8.44140625" style="150" customWidth="1"/>
    <col min="1026" max="1026" width="14.44140625" style="150" customWidth="1"/>
    <col min="1027" max="1027" width="15.44140625" style="150" customWidth="1"/>
    <col min="1028" max="1028" width="16.44140625" style="150" customWidth="1"/>
    <col min="1029" max="1029" width="16.109375" style="150" customWidth="1"/>
    <col min="1030" max="1030" width="13.6640625" style="150" customWidth="1"/>
    <col min="1031" max="1031" width="18.88671875" style="150" customWidth="1"/>
    <col min="1032" max="1032" width="15.6640625" style="150" customWidth="1"/>
    <col min="1033" max="1034" width="16.5546875" style="150" customWidth="1"/>
    <col min="1035" max="1035" width="13.109375" style="150" customWidth="1"/>
    <col min="1036" max="1036" width="13.44140625" style="150" customWidth="1"/>
    <col min="1037" max="1038" width="14.6640625" style="150" customWidth="1"/>
    <col min="1039" max="1043" width="14.44140625" style="150" customWidth="1"/>
    <col min="1044" max="1044" width="14.88671875" style="150" customWidth="1"/>
    <col min="1045" max="1045" width="10.88671875" style="150" customWidth="1"/>
    <col min="1046" max="1280" width="9.109375" style="150"/>
    <col min="1281" max="1281" width="8.44140625" style="150" customWidth="1"/>
    <col min="1282" max="1282" width="14.44140625" style="150" customWidth="1"/>
    <col min="1283" max="1283" width="15.44140625" style="150" customWidth="1"/>
    <col min="1284" max="1284" width="16.44140625" style="150" customWidth="1"/>
    <col min="1285" max="1285" width="16.109375" style="150" customWidth="1"/>
    <col min="1286" max="1286" width="13.6640625" style="150" customWidth="1"/>
    <col min="1287" max="1287" width="18.88671875" style="150" customWidth="1"/>
    <col min="1288" max="1288" width="15.6640625" style="150" customWidth="1"/>
    <col min="1289" max="1290" width="16.5546875" style="150" customWidth="1"/>
    <col min="1291" max="1291" width="13.109375" style="150" customWidth="1"/>
    <col min="1292" max="1292" width="13.44140625" style="150" customWidth="1"/>
    <col min="1293" max="1294" width="14.6640625" style="150" customWidth="1"/>
    <col min="1295" max="1299" width="14.44140625" style="150" customWidth="1"/>
    <col min="1300" max="1300" width="14.88671875" style="150" customWidth="1"/>
    <col min="1301" max="1301" width="10.88671875" style="150" customWidth="1"/>
    <col min="1302" max="1536" width="9.109375" style="150"/>
    <col min="1537" max="1537" width="8.44140625" style="150" customWidth="1"/>
    <col min="1538" max="1538" width="14.44140625" style="150" customWidth="1"/>
    <col min="1539" max="1539" width="15.44140625" style="150" customWidth="1"/>
    <col min="1540" max="1540" width="16.44140625" style="150" customWidth="1"/>
    <col min="1541" max="1541" width="16.109375" style="150" customWidth="1"/>
    <col min="1542" max="1542" width="13.6640625" style="150" customWidth="1"/>
    <col min="1543" max="1543" width="18.88671875" style="150" customWidth="1"/>
    <col min="1544" max="1544" width="15.6640625" style="150" customWidth="1"/>
    <col min="1545" max="1546" width="16.5546875" style="150" customWidth="1"/>
    <col min="1547" max="1547" width="13.109375" style="150" customWidth="1"/>
    <col min="1548" max="1548" width="13.44140625" style="150" customWidth="1"/>
    <col min="1549" max="1550" width="14.6640625" style="150" customWidth="1"/>
    <col min="1551" max="1555" width="14.44140625" style="150" customWidth="1"/>
    <col min="1556" max="1556" width="14.88671875" style="150" customWidth="1"/>
    <col min="1557" max="1557" width="10.88671875" style="150" customWidth="1"/>
    <col min="1558" max="1792" width="9.109375" style="150"/>
    <col min="1793" max="1793" width="8.44140625" style="150" customWidth="1"/>
    <col min="1794" max="1794" width="14.44140625" style="150" customWidth="1"/>
    <col min="1795" max="1795" width="15.44140625" style="150" customWidth="1"/>
    <col min="1796" max="1796" width="16.44140625" style="150" customWidth="1"/>
    <col min="1797" max="1797" width="16.109375" style="150" customWidth="1"/>
    <col min="1798" max="1798" width="13.6640625" style="150" customWidth="1"/>
    <col min="1799" max="1799" width="18.88671875" style="150" customWidth="1"/>
    <col min="1800" max="1800" width="15.6640625" style="150" customWidth="1"/>
    <col min="1801" max="1802" width="16.5546875" style="150" customWidth="1"/>
    <col min="1803" max="1803" width="13.109375" style="150" customWidth="1"/>
    <col min="1804" max="1804" width="13.44140625" style="150" customWidth="1"/>
    <col min="1805" max="1806" width="14.6640625" style="150" customWidth="1"/>
    <col min="1807" max="1811" width="14.44140625" style="150" customWidth="1"/>
    <col min="1812" max="1812" width="14.88671875" style="150" customWidth="1"/>
    <col min="1813" max="1813" width="10.88671875" style="150" customWidth="1"/>
    <col min="1814" max="2048" width="9.109375" style="150"/>
    <col min="2049" max="2049" width="8.44140625" style="150" customWidth="1"/>
    <col min="2050" max="2050" width="14.44140625" style="150" customWidth="1"/>
    <col min="2051" max="2051" width="15.44140625" style="150" customWidth="1"/>
    <col min="2052" max="2052" width="16.44140625" style="150" customWidth="1"/>
    <col min="2053" max="2053" width="16.109375" style="150" customWidth="1"/>
    <col min="2054" max="2054" width="13.6640625" style="150" customWidth="1"/>
    <col min="2055" max="2055" width="18.88671875" style="150" customWidth="1"/>
    <col min="2056" max="2056" width="15.6640625" style="150" customWidth="1"/>
    <col min="2057" max="2058" width="16.5546875" style="150" customWidth="1"/>
    <col min="2059" max="2059" width="13.109375" style="150" customWidth="1"/>
    <col min="2060" max="2060" width="13.44140625" style="150" customWidth="1"/>
    <col min="2061" max="2062" width="14.6640625" style="150" customWidth="1"/>
    <col min="2063" max="2067" width="14.44140625" style="150" customWidth="1"/>
    <col min="2068" max="2068" width="14.88671875" style="150" customWidth="1"/>
    <col min="2069" max="2069" width="10.88671875" style="150" customWidth="1"/>
    <col min="2070" max="2304" width="9.109375" style="150"/>
    <col min="2305" max="2305" width="8.44140625" style="150" customWidth="1"/>
    <col min="2306" max="2306" width="14.44140625" style="150" customWidth="1"/>
    <col min="2307" max="2307" width="15.44140625" style="150" customWidth="1"/>
    <col min="2308" max="2308" width="16.44140625" style="150" customWidth="1"/>
    <col min="2309" max="2309" width="16.109375" style="150" customWidth="1"/>
    <col min="2310" max="2310" width="13.6640625" style="150" customWidth="1"/>
    <col min="2311" max="2311" width="18.88671875" style="150" customWidth="1"/>
    <col min="2312" max="2312" width="15.6640625" style="150" customWidth="1"/>
    <col min="2313" max="2314" width="16.5546875" style="150" customWidth="1"/>
    <col min="2315" max="2315" width="13.109375" style="150" customWidth="1"/>
    <col min="2316" max="2316" width="13.44140625" style="150" customWidth="1"/>
    <col min="2317" max="2318" width="14.6640625" style="150" customWidth="1"/>
    <col min="2319" max="2323" width="14.44140625" style="150" customWidth="1"/>
    <col min="2324" max="2324" width="14.88671875" style="150" customWidth="1"/>
    <col min="2325" max="2325" width="10.88671875" style="150" customWidth="1"/>
    <col min="2326" max="2560" width="9.109375" style="150"/>
    <col min="2561" max="2561" width="8.44140625" style="150" customWidth="1"/>
    <col min="2562" max="2562" width="14.44140625" style="150" customWidth="1"/>
    <col min="2563" max="2563" width="15.44140625" style="150" customWidth="1"/>
    <col min="2564" max="2564" width="16.44140625" style="150" customWidth="1"/>
    <col min="2565" max="2565" width="16.109375" style="150" customWidth="1"/>
    <col min="2566" max="2566" width="13.6640625" style="150" customWidth="1"/>
    <col min="2567" max="2567" width="18.88671875" style="150" customWidth="1"/>
    <col min="2568" max="2568" width="15.6640625" style="150" customWidth="1"/>
    <col min="2569" max="2570" width="16.5546875" style="150" customWidth="1"/>
    <col min="2571" max="2571" width="13.109375" style="150" customWidth="1"/>
    <col min="2572" max="2572" width="13.44140625" style="150" customWidth="1"/>
    <col min="2573" max="2574" width="14.6640625" style="150" customWidth="1"/>
    <col min="2575" max="2579" width="14.44140625" style="150" customWidth="1"/>
    <col min="2580" max="2580" width="14.88671875" style="150" customWidth="1"/>
    <col min="2581" max="2581" width="10.88671875" style="150" customWidth="1"/>
    <col min="2582" max="2816" width="9.109375" style="150"/>
    <col min="2817" max="2817" width="8.44140625" style="150" customWidth="1"/>
    <col min="2818" max="2818" width="14.44140625" style="150" customWidth="1"/>
    <col min="2819" max="2819" width="15.44140625" style="150" customWidth="1"/>
    <col min="2820" max="2820" width="16.44140625" style="150" customWidth="1"/>
    <col min="2821" max="2821" width="16.109375" style="150" customWidth="1"/>
    <col min="2822" max="2822" width="13.6640625" style="150" customWidth="1"/>
    <col min="2823" max="2823" width="18.88671875" style="150" customWidth="1"/>
    <col min="2824" max="2824" width="15.6640625" style="150" customWidth="1"/>
    <col min="2825" max="2826" width="16.5546875" style="150" customWidth="1"/>
    <col min="2827" max="2827" width="13.109375" style="150" customWidth="1"/>
    <col min="2828" max="2828" width="13.44140625" style="150" customWidth="1"/>
    <col min="2829" max="2830" width="14.6640625" style="150" customWidth="1"/>
    <col min="2831" max="2835" width="14.44140625" style="150" customWidth="1"/>
    <col min="2836" max="2836" width="14.88671875" style="150" customWidth="1"/>
    <col min="2837" max="2837" width="10.88671875" style="150" customWidth="1"/>
    <col min="2838" max="3072" width="9.109375" style="150"/>
    <col min="3073" max="3073" width="8.44140625" style="150" customWidth="1"/>
    <col min="3074" max="3074" width="14.44140625" style="150" customWidth="1"/>
    <col min="3075" max="3075" width="15.44140625" style="150" customWidth="1"/>
    <col min="3076" max="3076" width="16.44140625" style="150" customWidth="1"/>
    <col min="3077" max="3077" width="16.109375" style="150" customWidth="1"/>
    <col min="3078" max="3078" width="13.6640625" style="150" customWidth="1"/>
    <col min="3079" max="3079" width="18.88671875" style="150" customWidth="1"/>
    <col min="3080" max="3080" width="15.6640625" style="150" customWidth="1"/>
    <col min="3081" max="3082" width="16.5546875" style="150" customWidth="1"/>
    <col min="3083" max="3083" width="13.109375" style="150" customWidth="1"/>
    <col min="3084" max="3084" width="13.44140625" style="150" customWidth="1"/>
    <col min="3085" max="3086" width="14.6640625" style="150" customWidth="1"/>
    <col min="3087" max="3091" width="14.44140625" style="150" customWidth="1"/>
    <col min="3092" max="3092" width="14.88671875" style="150" customWidth="1"/>
    <col min="3093" max="3093" width="10.88671875" style="150" customWidth="1"/>
    <col min="3094" max="3328" width="9.109375" style="150"/>
    <col min="3329" max="3329" width="8.44140625" style="150" customWidth="1"/>
    <col min="3330" max="3330" width="14.44140625" style="150" customWidth="1"/>
    <col min="3331" max="3331" width="15.44140625" style="150" customWidth="1"/>
    <col min="3332" max="3332" width="16.44140625" style="150" customWidth="1"/>
    <col min="3333" max="3333" width="16.109375" style="150" customWidth="1"/>
    <col min="3334" max="3334" width="13.6640625" style="150" customWidth="1"/>
    <col min="3335" max="3335" width="18.88671875" style="150" customWidth="1"/>
    <col min="3336" max="3336" width="15.6640625" style="150" customWidth="1"/>
    <col min="3337" max="3338" width="16.5546875" style="150" customWidth="1"/>
    <col min="3339" max="3339" width="13.109375" style="150" customWidth="1"/>
    <col min="3340" max="3340" width="13.44140625" style="150" customWidth="1"/>
    <col min="3341" max="3342" width="14.6640625" style="150" customWidth="1"/>
    <col min="3343" max="3347" width="14.44140625" style="150" customWidth="1"/>
    <col min="3348" max="3348" width="14.88671875" style="150" customWidth="1"/>
    <col min="3349" max="3349" width="10.88671875" style="150" customWidth="1"/>
    <col min="3350" max="3584" width="9.109375" style="150"/>
    <col min="3585" max="3585" width="8.44140625" style="150" customWidth="1"/>
    <col min="3586" max="3586" width="14.44140625" style="150" customWidth="1"/>
    <col min="3587" max="3587" width="15.44140625" style="150" customWidth="1"/>
    <col min="3588" max="3588" width="16.44140625" style="150" customWidth="1"/>
    <col min="3589" max="3589" width="16.109375" style="150" customWidth="1"/>
    <col min="3590" max="3590" width="13.6640625" style="150" customWidth="1"/>
    <col min="3591" max="3591" width="18.88671875" style="150" customWidth="1"/>
    <col min="3592" max="3592" width="15.6640625" style="150" customWidth="1"/>
    <col min="3593" max="3594" width="16.5546875" style="150" customWidth="1"/>
    <col min="3595" max="3595" width="13.109375" style="150" customWidth="1"/>
    <col min="3596" max="3596" width="13.44140625" style="150" customWidth="1"/>
    <col min="3597" max="3598" width="14.6640625" style="150" customWidth="1"/>
    <col min="3599" max="3603" width="14.44140625" style="150" customWidth="1"/>
    <col min="3604" max="3604" width="14.88671875" style="150" customWidth="1"/>
    <col min="3605" max="3605" width="10.88671875" style="150" customWidth="1"/>
    <col min="3606" max="3840" width="9.109375" style="150"/>
    <col min="3841" max="3841" width="8.44140625" style="150" customWidth="1"/>
    <col min="3842" max="3842" width="14.44140625" style="150" customWidth="1"/>
    <col min="3843" max="3843" width="15.44140625" style="150" customWidth="1"/>
    <col min="3844" max="3844" width="16.44140625" style="150" customWidth="1"/>
    <col min="3845" max="3845" width="16.109375" style="150" customWidth="1"/>
    <col min="3846" max="3846" width="13.6640625" style="150" customWidth="1"/>
    <col min="3847" max="3847" width="18.88671875" style="150" customWidth="1"/>
    <col min="3848" max="3848" width="15.6640625" style="150" customWidth="1"/>
    <col min="3849" max="3850" width="16.5546875" style="150" customWidth="1"/>
    <col min="3851" max="3851" width="13.109375" style="150" customWidth="1"/>
    <col min="3852" max="3852" width="13.44140625" style="150" customWidth="1"/>
    <col min="3853" max="3854" width="14.6640625" style="150" customWidth="1"/>
    <col min="3855" max="3859" width="14.44140625" style="150" customWidth="1"/>
    <col min="3860" max="3860" width="14.88671875" style="150" customWidth="1"/>
    <col min="3861" max="3861" width="10.88671875" style="150" customWidth="1"/>
    <col min="3862" max="4096" width="9.109375" style="150"/>
    <col min="4097" max="4097" width="8.44140625" style="150" customWidth="1"/>
    <col min="4098" max="4098" width="14.44140625" style="150" customWidth="1"/>
    <col min="4099" max="4099" width="15.44140625" style="150" customWidth="1"/>
    <col min="4100" max="4100" width="16.44140625" style="150" customWidth="1"/>
    <col min="4101" max="4101" width="16.109375" style="150" customWidth="1"/>
    <col min="4102" max="4102" width="13.6640625" style="150" customWidth="1"/>
    <col min="4103" max="4103" width="18.88671875" style="150" customWidth="1"/>
    <col min="4104" max="4104" width="15.6640625" style="150" customWidth="1"/>
    <col min="4105" max="4106" width="16.5546875" style="150" customWidth="1"/>
    <col min="4107" max="4107" width="13.109375" style="150" customWidth="1"/>
    <col min="4108" max="4108" width="13.44140625" style="150" customWidth="1"/>
    <col min="4109" max="4110" width="14.6640625" style="150" customWidth="1"/>
    <col min="4111" max="4115" width="14.44140625" style="150" customWidth="1"/>
    <col min="4116" max="4116" width="14.88671875" style="150" customWidth="1"/>
    <col min="4117" max="4117" width="10.88671875" style="150" customWidth="1"/>
    <col min="4118" max="4352" width="9.109375" style="150"/>
    <col min="4353" max="4353" width="8.44140625" style="150" customWidth="1"/>
    <col min="4354" max="4354" width="14.44140625" style="150" customWidth="1"/>
    <col min="4355" max="4355" width="15.44140625" style="150" customWidth="1"/>
    <col min="4356" max="4356" width="16.44140625" style="150" customWidth="1"/>
    <col min="4357" max="4357" width="16.109375" style="150" customWidth="1"/>
    <col min="4358" max="4358" width="13.6640625" style="150" customWidth="1"/>
    <col min="4359" max="4359" width="18.88671875" style="150" customWidth="1"/>
    <col min="4360" max="4360" width="15.6640625" style="150" customWidth="1"/>
    <col min="4361" max="4362" width="16.5546875" style="150" customWidth="1"/>
    <col min="4363" max="4363" width="13.109375" style="150" customWidth="1"/>
    <col min="4364" max="4364" width="13.44140625" style="150" customWidth="1"/>
    <col min="4365" max="4366" width="14.6640625" style="150" customWidth="1"/>
    <col min="4367" max="4371" width="14.44140625" style="150" customWidth="1"/>
    <col min="4372" max="4372" width="14.88671875" style="150" customWidth="1"/>
    <col min="4373" max="4373" width="10.88671875" style="150" customWidth="1"/>
    <col min="4374" max="4608" width="9.109375" style="150"/>
    <col min="4609" max="4609" width="8.44140625" style="150" customWidth="1"/>
    <col min="4610" max="4610" width="14.44140625" style="150" customWidth="1"/>
    <col min="4611" max="4611" width="15.44140625" style="150" customWidth="1"/>
    <col min="4612" max="4612" width="16.44140625" style="150" customWidth="1"/>
    <col min="4613" max="4613" width="16.109375" style="150" customWidth="1"/>
    <col min="4614" max="4614" width="13.6640625" style="150" customWidth="1"/>
    <col min="4615" max="4615" width="18.88671875" style="150" customWidth="1"/>
    <col min="4616" max="4616" width="15.6640625" style="150" customWidth="1"/>
    <col min="4617" max="4618" width="16.5546875" style="150" customWidth="1"/>
    <col min="4619" max="4619" width="13.109375" style="150" customWidth="1"/>
    <col min="4620" max="4620" width="13.44140625" style="150" customWidth="1"/>
    <col min="4621" max="4622" width="14.6640625" style="150" customWidth="1"/>
    <col min="4623" max="4627" width="14.44140625" style="150" customWidth="1"/>
    <col min="4628" max="4628" width="14.88671875" style="150" customWidth="1"/>
    <col min="4629" max="4629" width="10.88671875" style="150" customWidth="1"/>
    <col min="4630" max="4864" width="9.109375" style="150"/>
    <col min="4865" max="4865" width="8.44140625" style="150" customWidth="1"/>
    <col min="4866" max="4866" width="14.44140625" style="150" customWidth="1"/>
    <col min="4867" max="4867" width="15.44140625" style="150" customWidth="1"/>
    <col min="4868" max="4868" width="16.44140625" style="150" customWidth="1"/>
    <col min="4869" max="4869" width="16.109375" style="150" customWidth="1"/>
    <col min="4870" max="4870" width="13.6640625" style="150" customWidth="1"/>
    <col min="4871" max="4871" width="18.88671875" style="150" customWidth="1"/>
    <col min="4872" max="4872" width="15.6640625" style="150" customWidth="1"/>
    <col min="4873" max="4874" width="16.5546875" style="150" customWidth="1"/>
    <col min="4875" max="4875" width="13.109375" style="150" customWidth="1"/>
    <col min="4876" max="4876" width="13.44140625" style="150" customWidth="1"/>
    <col min="4877" max="4878" width="14.6640625" style="150" customWidth="1"/>
    <col min="4879" max="4883" width="14.44140625" style="150" customWidth="1"/>
    <col min="4884" max="4884" width="14.88671875" style="150" customWidth="1"/>
    <col min="4885" max="4885" width="10.88671875" style="150" customWidth="1"/>
    <col min="4886" max="5120" width="9.109375" style="150"/>
    <col min="5121" max="5121" width="8.44140625" style="150" customWidth="1"/>
    <col min="5122" max="5122" width="14.44140625" style="150" customWidth="1"/>
    <col min="5123" max="5123" width="15.44140625" style="150" customWidth="1"/>
    <col min="5124" max="5124" width="16.44140625" style="150" customWidth="1"/>
    <col min="5125" max="5125" width="16.109375" style="150" customWidth="1"/>
    <col min="5126" max="5126" width="13.6640625" style="150" customWidth="1"/>
    <col min="5127" max="5127" width="18.88671875" style="150" customWidth="1"/>
    <col min="5128" max="5128" width="15.6640625" style="150" customWidth="1"/>
    <col min="5129" max="5130" width="16.5546875" style="150" customWidth="1"/>
    <col min="5131" max="5131" width="13.109375" style="150" customWidth="1"/>
    <col min="5132" max="5132" width="13.44140625" style="150" customWidth="1"/>
    <col min="5133" max="5134" width="14.6640625" style="150" customWidth="1"/>
    <col min="5135" max="5139" width="14.44140625" style="150" customWidth="1"/>
    <col min="5140" max="5140" width="14.88671875" style="150" customWidth="1"/>
    <col min="5141" max="5141" width="10.88671875" style="150" customWidth="1"/>
    <col min="5142" max="5376" width="9.109375" style="150"/>
    <col min="5377" max="5377" width="8.44140625" style="150" customWidth="1"/>
    <col min="5378" max="5378" width="14.44140625" style="150" customWidth="1"/>
    <col min="5379" max="5379" width="15.44140625" style="150" customWidth="1"/>
    <col min="5380" max="5380" width="16.44140625" style="150" customWidth="1"/>
    <col min="5381" max="5381" width="16.109375" style="150" customWidth="1"/>
    <col min="5382" max="5382" width="13.6640625" style="150" customWidth="1"/>
    <col min="5383" max="5383" width="18.88671875" style="150" customWidth="1"/>
    <col min="5384" max="5384" width="15.6640625" style="150" customWidth="1"/>
    <col min="5385" max="5386" width="16.5546875" style="150" customWidth="1"/>
    <col min="5387" max="5387" width="13.109375" style="150" customWidth="1"/>
    <col min="5388" max="5388" width="13.44140625" style="150" customWidth="1"/>
    <col min="5389" max="5390" width="14.6640625" style="150" customWidth="1"/>
    <col min="5391" max="5395" width="14.44140625" style="150" customWidth="1"/>
    <col min="5396" max="5396" width="14.88671875" style="150" customWidth="1"/>
    <col min="5397" max="5397" width="10.88671875" style="150" customWidth="1"/>
    <col min="5398" max="5632" width="9.109375" style="150"/>
    <col min="5633" max="5633" width="8.44140625" style="150" customWidth="1"/>
    <col min="5634" max="5634" width="14.44140625" style="150" customWidth="1"/>
    <col min="5635" max="5635" width="15.44140625" style="150" customWidth="1"/>
    <col min="5636" max="5636" width="16.44140625" style="150" customWidth="1"/>
    <col min="5637" max="5637" width="16.109375" style="150" customWidth="1"/>
    <col min="5638" max="5638" width="13.6640625" style="150" customWidth="1"/>
    <col min="5639" max="5639" width="18.88671875" style="150" customWidth="1"/>
    <col min="5640" max="5640" width="15.6640625" style="150" customWidth="1"/>
    <col min="5641" max="5642" width="16.5546875" style="150" customWidth="1"/>
    <col min="5643" max="5643" width="13.109375" style="150" customWidth="1"/>
    <col min="5644" max="5644" width="13.44140625" style="150" customWidth="1"/>
    <col min="5645" max="5646" width="14.6640625" style="150" customWidth="1"/>
    <col min="5647" max="5651" width="14.44140625" style="150" customWidth="1"/>
    <col min="5652" max="5652" width="14.88671875" style="150" customWidth="1"/>
    <col min="5653" max="5653" width="10.88671875" style="150" customWidth="1"/>
    <col min="5654" max="5888" width="9.109375" style="150"/>
    <col min="5889" max="5889" width="8.44140625" style="150" customWidth="1"/>
    <col min="5890" max="5890" width="14.44140625" style="150" customWidth="1"/>
    <col min="5891" max="5891" width="15.44140625" style="150" customWidth="1"/>
    <col min="5892" max="5892" width="16.44140625" style="150" customWidth="1"/>
    <col min="5893" max="5893" width="16.109375" style="150" customWidth="1"/>
    <col min="5894" max="5894" width="13.6640625" style="150" customWidth="1"/>
    <col min="5895" max="5895" width="18.88671875" style="150" customWidth="1"/>
    <col min="5896" max="5896" width="15.6640625" style="150" customWidth="1"/>
    <col min="5897" max="5898" width="16.5546875" style="150" customWidth="1"/>
    <col min="5899" max="5899" width="13.109375" style="150" customWidth="1"/>
    <col min="5900" max="5900" width="13.44140625" style="150" customWidth="1"/>
    <col min="5901" max="5902" width="14.6640625" style="150" customWidth="1"/>
    <col min="5903" max="5907" width="14.44140625" style="150" customWidth="1"/>
    <col min="5908" max="5908" width="14.88671875" style="150" customWidth="1"/>
    <col min="5909" max="5909" width="10.88671875" style="150" customWidth="1"/>
    <col min="5910" max="6144" width="9.109375" style="150"/>
    <col min="6145" max="6145" width="8.44140625" style="150" customWidth="1"/>
    <col min="6146" max="6146" width="14.44140625" style="150" customWidth="1"/>
    <col min="6147" max="6147" width="15.44140625" style="150" customWidth="1"/>
    <col min="6148" max="6148" width="16.44140625" style="150" customWidth="1"/>
    <col min="6149" max="6149" width="16.109375" style="150" customWidth="1"/>
    <col min="6150" max="6150" width="13.6640625" style="150" customWidth="1"/>
    <col min="6151" max="6151" width="18.88671875" style="150" customWidth="1"/>
    <col min="6152" max="6152" width="15.6640625" style="150" customWidth="1"/>
    <col min="6153" max="6154" width="16.5546875" style="150" customWidth="1"/>
    <col min="6155" max="6155" width="13.109375" style="150" customWidth="1"/>
    <col min="6156" max="6156" width="13.44140625" style="150" customWidth="1"/>
    <col min="6157" max="6158" width="14.6640625" style="150" customWidth="1"/>
    <col min="6159" max="6163" width="14.44140625" style="150" customWidth="1"/>
    <col min="6164" max="6164" width="14.88671875" style="150" customWidth="1"/>
    <col min="6165" max="6165" width="10.88671875" style="150" customWidth="1"/>
    <col min="6166" max="6400" width="9.109375" style="150"/>
    <col min="6401" max="6401" width="8.44140625" style="150" customWidth="1"/>
    <col min="6402" max="6402" width="14.44140625" style="150" customWidth="1"/>
    <col min="6403" max="6403" width="15.44140625" style="150" customWidth="1"/>
    <col min="6404" max="6404" width="16.44140625" style="150" customWidth="1"/>
    <col min="6405" max="6405" width="16.109375" style="150" customWidth="1"/>
    <col min="6406" max="6406" width="13.6640625" style="150" customWidth="1"/>
    <col min="6407" max="6407" width="18.88671875" style="150" customWidth="1"/>
    <col min="6408" max="6408" width="15.6640625" style="150" customWidth="1"/>
    <col min="6409" max="6410" width="16.5546875" style="150" customWidth="1"/>
    <col min="6411" max="6411" width="13.109375" style="150" customWidth="1"/>
    <col min="6412" max="6412" width="13.44140625" style="150" customWidth="1"/>
    <col min="6413" max="6414" width="14.6640625" style="150" customWidth="1"/>
    <col min="6415" max="6419" width="14.44140625" style="150" customWidth="1"/>
    <col min="6420" max="6420" width="14.88671875" style="150" customWidth="1"/>
    <col min="6421" max="6421" width="10.88671875" style="150" customWidth="1"/>
    <col min="6422" max="6656" width="9.109375" style="150"/>
    <col min="6657" max="6657" width="8.44140625" style="150" customWidth="1"/>
    <col min="6658" max="6658" width="14.44140625" style="150" customWidth="1"/>
    <col min="6659" max="6659" width="15.44140625" style="150" customWidth="1"/>
    <col min="6660" max="6660" width="16.44140625" style="150" customWidth="1"/>
    <col min="6661" max="6661" width="16.109375" style="150" customWidth="1"/>
    <col min="6662" max="6662" width="13.6640625" style="150" customWidth="1"/>
    <col min="6663" max="6663" width="18.88671875" style="150" customWidth="1"/>
    <col min="6664" max="6664" width="15.6640625" style="150" customWidth="1"/>
    <col min="6665" max="6666" width="16.5546875" style="150" customWidth="1"/>
    <col min="6667" max="6667" width="13.109375" style="150" customWidth="1"/>
    <col min="6668" max="6668" width="13.44140625" style="150" customWidth="1"/>
    <col min="6669" max="6670" width="14.6640625" style="150" customWidth="1"/>
    <col min="6671" max="6675" width="14.44140625" style="150" customWidth="1"/>
    <col min="6676" max="6676" width="14.88671875" style="150" customWidth="1"/>
    <col min="6677" max="6677" width="10.88671875" style="150" customWidth="1"/>
    <col min="6678" max="6912" width="9.109375" style="150"/>
    <col min="6913" max="6913" width="8.44140625" style="150" customWidth="1"/>
    <col min="6914" max="6914" width="14.44140625" style="150" customWidth="1"/>
    <col min="6915" max="6915" width="15.44140625" style="150" customWidth="1"/>
    <col min="6916" max="6916" width="16.44140625" style="150" customWidth="1"/>
    <col min="6917" max="6917" width="16.109375" style="150" customWidth="1"/>
    <col min="6918" max="6918" width="13.6640625" style="150" customWidth="1"/>
    <col min="6919" max="6919" width="18.88671875" style="150" customWidth="1"/>
    <col min="6920" max="6920" width="15.6640625" style="150" customWidth="1"/>
    <col min="6921" max="6922" width="16.5546875" style="150" customWidth="1"/>
    <col min="6923" max="6923" width="13.109375" style="150" customWidth="1"/>
    <col min="6924" max="6924" width="13.44140625" style="150" customWidth="1"/>
    <col min="6925" max="6926" width="14.6640625" style="150" customWidth="1"/>
    <col min="6927" max="6931" width="14.44140625" style="150" customWidth="1"/>
    <col min="6932" max="6932" width="14.88671875" style="150" customWidth="1"/>
    <col min="6933" max="6933" width="10.88671875" style="150" customWidth="1"/>
    <col min="6934" max="7168" width="9.109375" style="150"/>
    <col min="7169" max="7169" width="8.44140625" style="150" customWidth="1"/>
    <col min="7170" max="7170" width="14.44140625" style="150" customWidth="1"/>
    <col min="7171" max="7171" width="15.44140625" style="150" customWidth="1"/>
    <col min="7172" max="7172" width="16.44140625" style="150" customWidth="1"/>
    <col min="7173" max="7173" width="16.109375" style="150" customWidth="1"/>
    <col min="7174" max="7174" width="13.6640625" style="150" customWidth="1"/>
    <col min="7175" max="7175" width="18.88671875" style="150" customWidth="1"/>
    <col min="7176" max="7176" width="15.6640625" style="150" customWidth="1"/>
    <col min="7177" max="7178" width="16.5546875" style="150" customWidth="1"/>
    <col min="7179" max="7179" width="13.109375" style="150" customWidth="1"/>
    <col min="7180" max="7180" width="13.44140625" style="150" customWidth="1"/>
    <col min="7181" max="7182" width="14.6640625" style="150" customWidth="1"/>
    <col min="7183" max="7187" width="14.44140625" style="150" customWidth="1"/>
    <col min="7188" max="7188" width="14.88671875" style="150" customWidth="1"/>
    <col min="7189" max="7189" width="10.88671875" style="150" customWidth="1"/>
    <col min="7190" max="7424" width="9.109375" style="150"/>
    <col min="7425" max="7425" width="8.44140625" style="150" customWidth="1"/>
    <col min="7426" max="7426" width="14.44140625" style="150" customWidth="1"/>
    <col min="7427" max="7427" width="15.44140625" style="150" customWidth="1"/>
    <col min="7428" max="7428" width="16.44140625" style="150" customWidth="1"/>
    <col min="7429" max="7429" width="16.109375" style="150" customWidth="1"/>
    <col min="7430" max="7430" width="13.6640625" style="150" customWidth="1"/>
    <col min="7431" max="7431" width="18.88671875" style="150" customWidth="1"/>
    <col min="7432" max="7432" width="15.6640625" style="150" customWidth="1"/>
    <col min="7433" max="7434" width="16.5546875" style="150" customWidth="1"/>
    <col min="7435" max="7435" width="13.109375" style="150" customWidth="1"/>
    <col min="7436" max="7436" width="13.44140625" style="150" customWidth="1"/>
    <col min="7437" max="7438" width="14.6640625" style="150" customWidth="1"/>
    <col min="7439" max="7443" width="14.44140625" style="150" customWidth="1"/>
    <col min="7444" max="7444" width="14.88671875" style="150" customWidth="1"/>
    <col min="7445" max="7445" width="10.88671875" style="150" customWidth="1"/>
    <col min="7446" max="7680" width="9.109375" style="150"/>
    <col min="7681" max="7681" width="8.44140625" style="150" customWidth="1"/>
    <col min="7682" max="7682" width="14.44140625" style="150" customWidth="1"/>
    <col min="7683" max="7683" width="15.44140625" style="150" customWidth="1"/>
    <col min="7684" max="7684" width="16.44140625" style="150" customWidth="1"/>
    <col min="7685" max="7685" width="16.109375" style="150" customWidth="1"/>
    <col min="7686" max="7686" width="13.6640625" style="150" customWidth="1"/>
    <col min="7687" max="7687" width="18.88671875" style="150" customWidth="1"/>
    <col min="7688" max="7688" width="15.6640625" style="150" customWidth="1"/>
    <col min="7689" max="7690" width="16.5546875" style="150" customWidth="1"/>
    <col min="7691" max="7691" width="13.109375" style="150" customWidth="1"/>
    <col min="7692" max="7692" width="13.44140625" style="150" customWidth="1"/>
    <col min="7693" max="7694" width="14.6640625" style="150" customWidth="1"/>
    <col min="7695" max="7699" width="14.44140625" style="150" customWidth="1"/>
    <col min="7700" max="7700" width="14.88671875" style="150" customWidth="1"/>
    <col min="7701" max="7701" width="10.88671875" style="150" customWidth="1"/>
    <col min="7702" max="7936" width="9.109375" style="150"/>
    <col min="7937" max="7937" width="8.44140625" style="150" customWidth="1"/>
    <col min="7938" max="7938" width="14.44140625" style="150" customWidth="1"/>
    <col min="7939" max="7939" width="15.44140625" style="150" customWidth="1"/>
    <col min="7940" max="7940" width="16.44140625" style="150" customWidth="1"/>
    <col min="7941" max="7941" width="16.109375" style="150" customWidth="1"/>
    <col min="7942" max="7942" width="13.6640625" style="150" customWidth="1"/>
    <col min="7943" max="7943" width="18.88671875" style="150" customWidth="1"/>
    <col min="7944" max="7944" width="15.6640625" style="150" customWidth="1"/>
    <col min="7945" max="7946" width="16.5546875" style="150" customWidth="1"/>
    <col min="7947" max="7947" width="13.109375" style="150" customWidth="1"/>
    <col min="7948" max="7948" width="13.44140625" style="150" customWidth="1"/>
    <col min="7949" max="7950" width="14.6640625" style="150" customWidth="1"/>
    <col min="7951" max="7955" width="14.44140625" style="150" customWidth="1"/>
    <col min="7956" max="7956" width="14.88671875" style="150" customWidth="1"/>
    <col min="7957" max="7957" width="10.88671875" style="150" customWidth="1"/>
    <col min="7958" max="8192" width="9.109375" style="150"/>
    <col min="8193" max="8193" width="8.44140625" style="150" customWidth="1"/>
    <col min="8194" max="8194" width="14.44140625" style="150" customWidth="1"/>
    <col min="8195" max="8195" width="15.44140625" style="150" customWidth="1"/>
    <col min="8196" max="8196" width="16.44140625" style="150" customWidth="1"/>
    <col min="8197" max="8197" width="16.109375" style="150" customWidth="1"/>
    <col min="8198" max="8198" width="13.6640625" style="150" customWidth="1"/>
    <col min="8199" max="8199" width="18.88671875" style="150" customWidth="1"/>
    <col min="8200" max="8200" width="15.6640625" style="150" customWidth="1"/>
    <col min="8201" max="8202" width="16.5546875" style="150" customWidth="1"/>
    <col min="8203" max="8203" width="13.109375" style="150" customWidth="1"/>
    <col min="8204" max="8204" width="13.44140625" style="150" customWidth="1"/>
    <col min="8205" max="8206" width="14.6640625" style="150" customWidth="1"/>
    <col min="8207" max="8211" width="14.44140625" style="150" customWidth="1"/>
    <col min="8212" max="8212" width="14.88671875" style="150" customWidth="1"/>
    <col min="8213" max="8213" width="10.88671875" style="150" customWidth="1"/>
    <col min="8214" max="8448" width="9.109375" style="150"/>
    <col min="8449" max="8449" width="8.44140625" style="150" customWidth="1"/>
    <col min="8450" max="8450" width="14.44140625" style="150" customWidth="1"/>
    <col min="8451" max="8451" width="15.44140625" style="150" customWidth="1"/>
    <col min="8452" max="8452" width="16.44140625" style="150" customWidth="1"/>
    <col min="8453" max="8453" width="16.109375" style="150" customWidth="1"/>
    <col min="8454" max="8454" width="13.6640625" style="150" customWidth="1"/>
    <col min="8455" max="8455" width="18.88671875" style="150" customWidth="1"/>
    <col min="8456" max="8456" width="15.6640625" style="150" customWidth="1"/>
    <col min="8457" max="8458" width="16.5546875" style="150" customWidth="1"/>
    <col min="8459" max="8459" width="13.109375" style="150" customWidth="1"/>
    <col min="8460" max="8460" width="13.44140625" style="150" customWidth="1"/>
    <col min="8461" max="8462" width="14.6640625" style="150" customWidth="1"/>
    <col min="8463" max="8467" width="14.44140625" style="150" customWidth="1"/>
    <col min="8468" max="8468" width="14.88671875" style="150" customWidth="1"/>
    <col min="8469" max="8469" width="10.88671875" style="150" customWidth="1"/>
    <col min="8470" max="8704" width="9.109375" style="150"/>
    <col min="8705" max="8705" width="8.44140625" style="150" customWidth="1"/>
    <col min="8706" max="8706" width="14.44140625" style="150" customWidth="1"/>
    <col min="8707" max="8707" width="15.44140625" style="150" customWidth="1"/>
    <col min="8708" max="8708" width="16.44140625" style="150" customWidth="1"/>
    <col min="8709" max="8709" width="16.109375" style="150" customWidth="1"/>
    <col min="8710" max="8710" width="13.6640625" style="150" customWidth="1"/>
    <col min="8711" max="8711" width="18.88671875" style="150" customWidth="1"/>
    <col min="8712" max="8712" width="15.6640625" style="150" customWidth="1"/>
    <col min="8713" max="8714" width="16.5546875" style="150" customWidth="1"/>
    <col min="8715" max="8715" width="13.109375" style="150" customWidth="1"/>
    <col min="8716" max="8716" width="13.44140625" style="150" customWidth="1"/>
    <col min="8717" max="8718" width="14.6640625" style="150" customWidth="1"/>
    <col min="8719" max="8723" width="14.44140625" style="150" customWidth="1"/>
    <col min="8724" max="8724" width="14.88671875" style="150" customWidth="1"/>
    <col min="8725" max="8725" width="10.88671875" style="150" customWidth="1"/>
    <col min="8726" max="8960" width="9.109375" style="150"/>
    <col min="8961" max="8961" width="8.44140625" style="150" customWidth="1"/>
    <col min="8962" max="8962" width="14.44140625" style="150" customWidth="1"/>
    <col min="8963" max="8963" width="15.44140625" style="150" customWidth="1"/>
    <col min="8964" max="8964" width="16.44140625" style="150" customWidth="1"/>
    <col min="8965" max="8965" width="16.109375" style="150" customWidth="1"/>
    <col min="8966" max="8966" width="13.6640625" style="150" customWidth="1"/>
    <col min="8967" max="8967" width="18.88671875" style="150" customWidth="1"/>
    <col min="8968" max="8968" width="15.6640625" style="150" customWidth="1"/>
    <col min="8969" max="8970" width="16.5546875" style="150" customWidth="1"/>
    <col min="8971" max="8971" width="13.109375" style="150" customWidth="1"/>
    <col min="8972" max="8972" width="13.44140625" style="150" customWidth="1"/>
    <col min="8973" max="8974" width="14.6640625" style="150" customWidth="1"/>
    <col min="8975" max="8979" width="14.44140625" style="150" customWidth="1"/>
    <col min="8980" max="8980" width="14.88671875" style="150" customWidth="1"/>
    <col min="8981" max="8981" width="10.88671875" style="150" customWidth="1"/>
    <col min="8982" max="9216" width="9.109375" style="150"/>
    <col min="9217" max="9217" width="8.44140625" style="150" customWidth="1"/>
    <col min="9218" max="9218" width="14.44140625" style="150" customWidth="1"/>
    <col min="9219" max="9219" width="15.44140625" style="150" customWidth="1"/>
    <col min="9220" max="9220" width="16.44140625" style="150" customWidth="1"/>
    <col min="9221" max="9221" width="16.109375" style="150" customWidth="1"/>
    <col min="9222" max="9222" width="13.6640625" style="150" customWidth="1"/>
    <col min="9223" max="9223" width="18.88671875" style="150" customWidth="1"/>
    <col min="9224" max="9224" width="15.6640625" style="150" customWidth="1"/>
    <col min="9225" max="9226" width="16.5546875" style="150" customWidth="1"/>
    <col min="9227" max="9227" width="13.109375" style="150" customWidth="1"/>
    <col min="9228" max="9228" width="13.44140625" style="150" customWidth="1"/>
    <col min="9229" max="9230" width="14.6640625" style="150" customWidth="1"/>
    <col min="9231" max="9235" width="14.44140625" style="150" customWidth="1"/>
    <col min="9236" max="9236" width="14.88671875" style="150" customWidth="1"/>
    <col min="9237" max="9237" width="10.88671875" style="150" customWidth="1"/>
    <col min="9238" max="9472" width="9.109375" style="150"/>
    <col min="9473" max="9473" width="8.44140625" style="150" customWidth="1"/>
    <col min="9474" max="9474" width="14.44140625" style="150" customWidth="1"/>
    <col min="9475" max="9475" width="15.44140625" style="150" customWidth="1"/>
    <col min="9476" max="9476" width="16.44140625" style="150" customWidth="1"/>
    <col min="9477" max="9477" width="16.109375" style="150" customWidth="1"/>
    <col min="9478" max="9478" width="13.6640625" style="150" customWidth="1"/>
    <col min="9479" max="9479" width="18.88671875" style="150" customWidth="1"/>
    <col min="9480" max="9480" width="15.6640625" style="150" customWidth="1"/>
    <col min="9481" max="9482" width="16.5546875" style="150" customWidth="1"/>
    <col min="9483" max="9483" width="13.109375" style="150" customWidth="1"/>
    <col min="9484" max="9484" width="13.44140625" style="150" customWidth="1"/>
    <col min="9485" max="9486" width="14.6640625" style="150" customWidth="1"/>
    <col min="9487" max="9491" width="14.44140625" style="150" customWidth="1"/>
    <col min="9492" max="9492" width="14.88671875" style="150" customWidth="1"/>
    <col min="9493" max="9493" width="10.88671875" style="150" customWidth="1"/>
    <col min="9494" max="9728" width="9.109375" style="150"/>
    <col min="9729" max="9729" width="8.44140625" style="150" customWidth="1"/>
    <col min="9730" max="9730" width="14.44140625" style="150" customWidth="1"/>
    <col min="9731" max="9731" width="15.44140625" style="150" customWidth="1"/>
    <col min="9732" max="9732" width="16.44140625" style="150" customWidth="1"/>
    <col min="9733" max="9733" width="16.109375" style="150" customWidth="1"/>
    <col min="9734" max="9734" width="13.6640625" style="150" customWidth="1"/>
    <col min="9735" max="9735" width="18.88671875" style="150" customWidth="1"/>
    <col min="9736" max="9736" width="15.6640625" style="150" customWidth="1"/>
    <col min="9737" max="9738" width="16.5546875" style="150" customWidth="1"/>
    <col min="9739" max="9739" width="13.109375" style="150" customWidth="1"/>
    <col min="9740" max="9740" width="13.44140625" style="150" customWidth="1"/>
    <col min="9741" max="9742" width="14.6640625" style="150" customWidth="1"/>
    <col min="9743" max="9747" width="14.44140625" style="150" customWidth="1"/>
    <col min="9748" max="9748" width="14.88671875" style="150" customWidth="1"/>
    <col min="9749" max="9749" width="10.88671875" style="150" customWidth="1"/>
    <col min="9750" max="9984" width="9.109375" style="150"/>
    <col min="9985" max="9985" width="8.44140625" style="150" customWidth="1"/>
    <col min="9986" max="9986" width="14.44140625" style="150" customWidth="1"/>
    <col min="9987" max="9987" width="15.44140625" style="150" customWidth="1"/>
    <col min="9988" max="9988" width="16.44140625" style="150" customWidth="1"/>
    <col min="9989" max="9989" width="16.109375" style="150" customWidth="1"/>
    <col min="9990" max="9990" width="13.6640625" style="150" customWidth="1"/>
    <col min="9991" max="9991" width="18.88671875" style="150" customWidth="1"/>
    <col min="9992" max="9992" width="15.6640625" style="150" customWidth="1"/>
    <col min="9993" max="9994" width="16.5546875" style="150" customWidth="1"/>
    <col min="9995" max="9995" width="13.109375" style="150" customWidth="1"/>
    <col min="9996" max="9996" width="13.44140625" style="150" customWidth="1"/>
    <col min="9997" max="9998" width="14.6640625" style="150" customWidth="1"/>
    <col min="9999" max="10003" width="14.44140625" style="150" customWidth="1"/>
    <col min="10004" max="10004" width="14.88671875" style="150" customWidth="1"/>
    <col min="10005" max="10005" width="10.88671875" style="150" customWidth="1"/>
    <col min="10006" max="10240" width="9.109375" style="150"/>
    <col min="10241" max="10241" width="8.44140625" style="150" customWidth="1"/>
    <col min="10242" max="10242" width="14.44140625" style="150" customWidth="1"/>
    <col min="10243" max="10243" width="15.44140625" style="150" customWidth="1"/>
    <col min="10244" max="10244" width="16.44140625" style="150" customWidth="1"/>
    <col min="10245" max="10245" width="16.109375" style="150" customWidth="1"/>
    <col min="10246" max="10246" width="13.6640625" style="150" customWidth="1"/>
    <col min="10247" max="10247" width="18.88671875" style="150" customWidth="1"/>
    <col min="10248" max="10248" width="15.6640625" style="150" customWidth="1"/>
    <col min="10249" max="10250" width="16.5546875" style="150" customWidth="1"/>
    <col min="10251" max="10251" width="13.109375" style="150" customWidth="1"/>
    <col min="10252" max="10252" width="13.44140625" style="150" customWidth="1"/>
    <col min="10253" max="10254" width="14.6640625" style="150" customWidth="1"/>
    <col min="10255" max="10259" width="14.44140625" style="150" customWidth="1"/>
    <col min="10260" max="10260" width="14.88671875" style="150" customWidth="1"/>
    <col min="10261" max="10261" width="10.88671875" style="150" customWidth="1"/>
    <col min="10262" max="10496" width="9.109375" style="150"/>
    <col min="10497" max="10497" width="8.44140625" style="150" customWidth="1"/>
    <col min="10498" max="10498" width="14.44140625" style="150" customWidth="1"/>
    <col min="10499" max="10499" width="15.44140625" style="150" customWidth="1"/>
    <col min="10500" max="10500" width="16.44140625" style="150" customWidth="1"/>
    <col min="10501" max="10501" width="16.109375" style="150" customWidth="1"/>
    <col min="10502" max="10502" width="13.6640625" style="150" customWidth="1"/>
    <col min="10503" max="10503" width="18.88671875" style="150" customWidth="1"/>
    <col min="10504" max="10504" width="15.6640625" style="150" customWidth="1"/>
    <col min="10505" max="10506" width="16.5546875" style="150" customWidth="1"/>
    <col min="10507" max="10507" width="13.109375" style="150" customWidth="1"/>
    <col min="10508" max="10508" width="13.44140625" style="150" customWidth="1"/>
    <col min="10509" max="10510" width="14.6640625" style="150" customWidth="1"/>
    <col min="10511" max="10515" width="14.44140625" style="150" customWidth="1"/>
    <col min="10516" max="10516" width="14.88671875" style="150" customWidth="1"/>
    <col min="10517" max="10517" width="10.88671875" style="150" customWidth="1"/>
    <col min="10518" max="10752" width="9.109375" style="150"/>
    <col min="10753" max="10753" width="8.44140625" style="150" customWidth="1"/>
    <col min="10754" max="10754" width="14.44140625" style="150" customWidth="1"/>
    <col min="10755" max="10755" width="15.44140625" style="150" customWidth="1"/>
    <col min="10756" max="10756" width="16.44140625" style="150" customWidth="1"/>
    <col min="10757" max="10757" width="16.109375" style="150" customWidth="1"/>
    <col min="10758" max="10758" width="13.6640625" style="150" customWidth="1"/>
    <col min="10759" max="10759" width="18.88671875" style="150" customWidth="1"/>
    <col min="10760" max="10760" width="15.6640625" style="150" customWidth="1"/>
    <col min="10761" max="10762" width="16.5546875" style="150" customWidth="1"/>
    <col min="10763" max="10763" width="13.109375" style="150" customWidth="1"/>
    <col min="10764" max="10764" width="13.44140625" style="150" customWidth="1"/>
    <col min="10765" max="10766" width="14.6640625" style="150" customWidth="1"/>
    <col min="10767" max="10771" width="14.44140625" style="150" customWidth="1"/>
    <col min="10772" max="10772" width="14.88671875" style="150" customWidth="1"/>
    <col min="10773" max="10773" width="10.88671875" style="150" customWidth="1"/>
    <col min="10774" max="11008" width="9.109375" style="150"/>
    <col min="11009" max="11009" width="8.44140625" style="150" customWidth="1"/>
    <col min="11010" max="11010" width="14.44140625" style="150" customWidth="1"/>
    <col min="11011" max="11011" width="15.44140625" style="150" customWidth="1"/>
    <col min="11012" max="11012" width="16.44140625" style="150" customWidth="1"/>
    <col min="11013" max="11013" width="16.109375" style="150" customWidth="1"/>
    <col min="11014" max="11014" width="13.6640625" style="150" customWidth="1"/>
    <col min="11015" max="11015" width="18.88671875" style="150" customWidth="1"/>
    <col min="11016" max="11016" width="15.6640625" style="150" customWidth="1"/>
    <col min="11017" max="11018" width="16.5546875" style="150" customWidth="1"/>
    <col min="11019" max="11019" width="13.109375" style="150" customWidth="1"/>
    <col min="11020" max="11020" width="13.44140625" style="150" customWidth="1"/>
    <col min="11021" max="11022" width="14.6640625" style="150" customWidth="1"/>
    <col min="11023" max="11027" width="14.44140625" style="150" customWidth="1"/>
    <col min="11028" max="11028" width="14.88671875" style="150" customWidth="1"/>
    <col min="11029" max="11029" width="10.88671875" style="150" customWidth="1"/>
    <col min="11030" max="11264" width="9.109375" style="150"/>
    <col min="11265" max="11265" width="8.44140625" style="150" customWidth="1"/>
    <col min="11266" max="11266" width="14.44140625" style="150" customWidth="1"/>
    <col min="11267" max="11267" width="15.44140625" style="150" customWidth="1"/>
    <col min="11268" max="11268" width="16.44140625" style="150" customWidth="1"/>
    <col min="11269" max="11269" width="16.109375" style="150" customWidth="1"/>
    <col min="11270" max="11270" width="13.6640625" style="150" customWidth="1"/>
    <col min="11271" max="11271" width="18.88671875" style="150" customWidth="1"/>
    <col min="11272" max="11272" width="15.6640625" style="150" customWidth="1"/>
    <col min="11273" max="11274" width="16.5546875" style="150" customWidth="1"/>
    <col min="11275" max="11275" width="13.109375" style="150" customWidth="1"/>
    <col min="11276" max="11276" width="13.44140625" style="150" customWidth="1"/>
    <col min="11277" max="11278" width="14.6640625" style="150" customWidth="1"/>
    <col min="11279" max="11283" width="14.44140625" style="150" customWidth="1"/>
    <col min="11284" max="11284" width="14.88671875" style="150" customWidth="1"/>
    <col min="11285" max="11285" width="10.88671875" style="150" customWidth="1"/>
    <col min="11286" max="11520" width="9.109375" style="150"/>
    <col min="11521" max="11521" width="8.44140625" style="150" customWidth="1"/>
    <col min="11522" max="11522" width="14.44140625" style="150" customWidth="1"/>
    <col min="11523" max="11523" width="15.44140625" style="150" customWidth="1"/>
    <col min="11524" max="11524" width="16.44140625" style="150" customWidth="1"/>
    <col min="11525" max="11525" width="16.109375" style="150" customWidth="1"/>
    <col min="11526" max="11526" width="13.6640625" style="150" customWidth="1"/>
    <col min="11527" max="11527" width="18.88671875" style="150" customWidth="1"/>
    <col min="11528" max="11528" width="15.6640625" style="150" customWidth="1"/>
    <col min="11529" max="11530" width="16.5546875" style="150" customWidth="1"/>
    <col min="11531" max="11531" width="13.109375" style="150" customWidth="1"/>
    <col min="11532" max="11532" width="13.44140625" style="150" customWidth="1"/>
    <col min="11533" max="11534" width="14.6640625" style="150" customWidth="1"/>
    <col min="11535" max="11539" width="14.44140625" style="150" customWidth="1"/>
    <col min="11540" max="11540" width="14.88671875" style="150" customWidth="1"/>
    <col min="11541" max="11541" width="10.88671875" style="150" customWidth="1"/>
    <col min="11542" max="11776" width="9.109375" style="150"/>
    <col min="11777" max="11777" width="8.44140625" style="150" customWidth="1"/>
    <col min="11778" max="11778" width="14.44140625" style="150" customWidth="1"/>
    <col min="11779" max="11779" width="15.44140625" style="150" customWidth="1"/>
    <col min="11780" max="11780" width="16.44140625" style="150" customWidth="1"/>
    <col min="11781" max="11781" width="16.109375" style="150" customWidth="1"/>
    <col min="11782" max="11782" width="13.6640625" style="150" customWidth="1"/>
    <col min="11783" max="11783" width="18.88671875" style="150" customWidth="1"/>
    <col min="11784" max="11784" width="15.6640625" style="150" customWidth="1"/>
    <col min="11785" max="11786" width="16.5546875" style="150" customWidth="1"/>
    <col min="11787" max="11787" width="13.109375" style="150" customWidth="1"/>
    <col min="11788" max="11788" width="13.44140625" style="150" customWidth="1"/>
    <col min="11789" max="11790" width="14.6640625" style="150" customWidth="1"/>
    <col min="11791" max="11795" width="14.44140625" style="150" customWidth="1"/>
    <col min="11796" max="11796" width="14.88671875" style="150" customWidth="1"/>
    <col min="11797" max="11797" width="10.88671875" style="150" customWidth="1"/>
    <col min="11798" max="12032" width="9.109375" style="150"/>
    <col min="12033" max="12033" width="8.44140625" style="150" customWidth="1"/>
    <col min="12034" max="12034" width="14.44140625" style="150" customWidth="1"/>
    <col min="12035" max="12035" width="15.44140625" style="150" customWidth="1"/>
    <col min="12036" max="12036" width="16.44140625" style="150" customWidth="1"/>
    <col min="12037" max="12037" width="16.109375" style="150" customWidth="1"/>
    <col min="12038" max="12038" width="13.6640625" style="150" customWidth="1"/>
    <col min="12039" max="12039" width="18.88671875" style="150" customWidth="1"/>
    <col min="12040" max="12040" width="15.6640625" style="150" customWidth="1"/>
    <col min="12041" max="12042" width="16.5546875" style="150" customWidth="1"/>
    <col min="12043" max="12043" width="13.109375" style="150" customWidth="1"/>
    <col min="12044" max="12044" width="13.44140625" style="150" customWidth="1"/>
    <col min="12045" max="12046" width="14.6640625" style="150" customWidth="1"/>
    <col min="12047" max="12051" width="14.44140625" style="150" customWidth="1"/>
    <col min="12052" max="12052" width="14.88671875" style="150" customWidth="1"/>
    <col min="12053" max="12053" width="10.88671875" style="150" customWidth="1"/>
    <col min="12054" max="12288" width="9.109375" style="150"/>
    <col min="12289" max="12289" width="8.44140625" style="150" customWidth="1"/>
    <col min="12290" max="12290" width="14.44140625" style="150" customWidth="1"/>
    <col min="12291" max="12291" width="15.44140625" style="150" customWidth="1"/>
    <col min="12292" max="12292" width="16.44140625" style="150" customWidth="1"/>
    <col min="12293" max="12293" width="16.109375" style="150" customWidth="1"/>
    <col min="12294" max="12294" width="13.6640625" style="150" customWidth="1"/>
    <col min="12295" max="12295" width="18.88671875" style="150" customWidth="1"/>
    <col min="12296" max="12296" width="15.6640625" style="150" customWidth="1"/>
    <col min="12297" max="12298" width="16.5546875" style="150" customWidth="1"/>
    <col min="12299" max="12299" width="13.109375" style="150" customWidth="1"/>
    <col min="12300" max="12300" width="13.44140625" style="150" customWidth="1"/>
    <col min="12301" max="12302" width="14.6640625" style="150" customWidth="1"/>
    <col min="12303" max="12307" width="14.44140625" style="150" customWidth="1"/>
    <col min="12308" max="12308" width="14.88671875" style="150" customWidth="1"/>
    <col min="12309" max="12309" width="10.88671875" style="150" customWidth="1"/>
    <col min="12310" max="12544" width="9.109375" style="150"/>
    <col min="12545" max="12545" width="8.44140625" style="150" customWidth="1"/>
    <col min="12546" max="12546" width="14.44140625" style="150" customWidth="1"/>
    <col min="12547" max="12547" width="15.44140625" style="150" customWidth="1"/>
    <col min="12548" max="12548" width="16.44140625" style="150" customWidth="1"/>
    <col min="12549" max="12549" width="16.109375" style="150" customWidth="1"/>
    <col min="12550" max="12550" width="13.6640625" style="150" customWidth="1"/>
    <col min="12551" max="12551" width="18.88671875" style="150" customWidth="1"/>
    <col min="12552" max="12552" width="15.6640625" style="150" customWidth="1"/>
    <col min="12553" max="12554" width="16.5546875" style="150" customWidth="1"/>
    <col min="12555" max="12555" width="13.109375" style="150" customWidth="1"/>
    <col min="12556" max="12556" width="13.44140625" style="150" customWidth="1"/>
    <col min="12557" max="12558" width="14.6640625" style="150" customWidth="1"/>
    <col min="12559" max="12563" width="14.44140625" style="150" customWidth="1"/>
    <col min="12564" max="12564" width="14.88671875" style="150" customWidth="1"/>
    <col min="12565" max="12565" width="10.88671875" style="150" customWidth="1"/>
    <col min="12566" max="12800" width="9.109375" style="150"/>
    <col min="12801" max="12801" width="8.44140625" style="150" customWidth="1"/>
    <col min="12802" max="12802" width="14.44140625" style="150" customWidth="1"/>
    <col min="12803" max="12803" width="15.44140625" style="150" customWidth="1"/>
    <col min="12804" max="12804" width="16.44140625" style="150" customWidth="1"/>
    <col min="12805" max="12805" width="16.109375" style="150" customWidth="1"/>
    <col min="12806" max="12806" width="13.6640625" style="150" customWidth="1"/>
    <col min="12807" max="12807" width="18.88671875" style="150" customWidth="1"/>
    <col min="12808" max="12808" width="15.6640625" style="150" customWidth="1"/>
    <col min="12809" max="12810" width="16.5546875" style="150" customWidth="1"/>
    <col min="12811" max="12811" width="13.109375" style="150" customWidth="1"/>
    <col min="12812" max="12812" width="13.44140625" style="150" customWidth="1"/>
    <col min="12813" max="12814" width="14.6640625" style="150" customWidth="1"/>
    <col min="12815" max="12819" width="14.44140625" style="150" customWidth="1"/>
    <col min="12820" max="12820" width="14.88671875" style="150" customWidth="1"/>
    <col min="12821" max="12821" width="10.88671875" style="150" customWidth="1"/>
    <col min="12822" max="13056" width="9.109375" style="150"/>
    <col min="13057" max="13057" width="8.44140625" style="150" customWidth="1"/>
    <col min="13058" max="13058" width="14.44140625" style="150" customWidth="1"/>
    <col min="13059" max="13059" width="15.44140625" style="150" customWidth="1"/>
    <col min="13060" max="13060" width="16.44140625" style="150" customWidth="1"/>
    <col min="13061" max="13061" width="16.109375" style="150" customWidth="1"/>
    <col min="13062" max="13062" width="13.6640625" style="150" customWidth="1"/>
    <col min="13063" max="13063" width="18.88671875" style="150" customWidth="1"/>
    <col min="13064" max="13064" width="15.6640625" style="150" customWidth="1"/>
    <col min="13065" max="13066" width="16.5546875" style="150" customWidth="1"/>
    <col min="13067" max="13067" width="13.109375" style="150" customWidth="1"/>
    <col min="13068" max="13068" width="13.44140625" style="150" customWidth="1"/>
    <col min="13069" max="13070" width="14.6640625" style="150" customWidth="1"/>
    <col min="13071" max="13075" width="14.44140625" style="150" customWidth="1"/>
    <col min="13076" max="13076" width="14.88671875" style="150" customWidth="1"/>
    <col min="13077" max="13077" width="10.88671875" style="150" customWidth="1"/>
    <col min="13078" max="13312" width="9.109375" style="150"/>
    <col min="13313" max="13313" width="8.44140625" style="150" customWidth="1"/>
    <col min="13314" max="13314" width="14.44140625" style="150" customWidth="1"/>
    <col min="13315" max="13315" width="15.44140625" style="150" customWidth="1"/>
    <col min="13316" max="13316" width="16.44140625" style="150" customWidth="1"/>
    <col min="13317" max="13317" width="16.109375" style="150" customWidth="1"/>
    <col min="13318" max="13318" width="13.6640625" style="150" customWidth="1"/>
    <col min="13319" max="13319" width="18.88671875" style="150" customWidth="1"/>
    <col min="13320" max="13320" width="15.6640625" style="150" customWidth="1"/>
    <col min="13321" max="13322" width="16.5546875" style="150" customWidth="1"/>
    <col min="13323" max="13323" width="13.109375" style="150" customWidth="1"/>
    <col min="13324" max="13324" width="13.44140625" style="150" customWidth="1"/>
    <col min="13325" max="13326" width="14.6640625" style="150" customWidth="1"/>
    <col min="13327" max="13331" width="14.44140625" style="150" customWidth="1"/>
    <col min="13332" max="13332" width="14.88671875" style="150" customWidth="1"/>
    <col min="13333" max="13333" width="10.88671875" style="150" customWidth="1"/>
    <col min="13334" max="13568" width="9.109375" style="150"/>
    <col min="13569" max="13569" width="8.44140625" style="150" customWidth="1"/>
    <col min="13570" max="13570" width="14.44140625" style="150" customWidth="1"/>
    <col min="13571" max="13571" width="15.44140625" style="150" customWidth="1"/>
    <col min="13572" max="13572" width="16.44140625" style="150" customWidth="1"/>
    <col min="13573" max="13573" width="16.109375" style="150" customWidth="1"/>
    <col min="13574" max="13574" width="13.6640625" style="150" customWidth="1"/>
    <col min="13575" max="13575" width="18.88671875" style="150" customWidth="1"/>
    <col min="13576" max="13576" width="15.6640625" style="150" customWidth="1"/>
    <col min="13577" max="13578" width="16.5546875" style="150" customWidth="1"/>
    <col min="13579" max="13579" width="13.109375" style="150" customWidth="1"/>
    <col min="13580" max="13580" width="13.44140625" style="150" customWidth="1"/>
    <col min="13581" max="13582" width="14.6640625" style="150" customWidth="1"/>
    <col min="13583" max="13587" width="14.44140625" style="150" customWidth="1"/>
    <col min="13588" max="13588" width="14.88671875" style="150" customWidth="1"/>
    <col min="13589" max="13589" width="10.88671875" style="150" customWidth="1"/>
    <col min="13590" max="13824" width="9.109375" style="150"/>
    <col min="13825" max="13825" width="8.44140625" style="150" customWidth="1"/>
    <col min="13826" max="13826" width="14.44140625" style="150" customWidth="1"/>
    <col min="13827" max="13827" width="15.44140625" style="150" customWidth="1"/>
    <col min="13828" max="13828" width="16.44140625" style="150" customWidth="1"/>
    <col min="13829" max="13829" width="16.109375" style="150" customWidth="1"/>
    <col min="13830" max="13830" width="13.6640625" style="150" customWidth="1"/>
    <col min="13831" max="13831" width="18.88671875" style="150" customWidth="1"/>
    <col min="13832" max="13832" width="15.6640625" style="150" customWidth="1"/>
    <col min="13833" max="13834" width="16.5546875" style="150" customWidth="1"/>
    <col min="13835" max="13835" width="13.109375" style="150" customWidth="1"/>
    <col min="13836" max="13836" width="13.44140625" style="150" customWidth="1"/>
    <col min="13837" max="13838" width="14.6640625" style="150" customWidth="1"/>
    <col min="13839" max="13843" width="14.44140625" style="150" customWidth="1"/>
    <col min="13844" max="13844" width="14.88671875" style="150" customWidth="1"/>
    <col min="13845" max="13845" width="10.88671875" style="150" customWidth="1"/>
    <col min="13846" max="14080" width="9.109375" style="150"/>
    <col min="14081" max="14081" width="8.44140625" style="150" customWidth="1"/>
    <col min="14082" max="14082" width="14.44140625" style="150" customWidth="1"/>
    <col min="14083" max="14083" width="15.44140625" style="150" customWidth="1"/>
    <col min="14084" max="14084" width="16.44140625" style="150" customWidth="1"/>
    <col min="14085" max="14085" width="16.109375" style="150" customWidth="1"/>
    <col min="14086" max="14086" width="13.6640625" style="150" customWidth="1"/>
    <col min="14087" max="14087" width="18.88671875" style="150" customWidth="1"/>
    <col min="14088" max="14088" width="15.6640625" style="150" customWidth="1"/>
    <col min="14089" max="14090" width="16.5546875" style="150" customWidth="1"/>
    <col min="14091" max="14091" width="13.109375" style="150" customWidth="1"/>
    <col min="14092" max="14092" width="13.44140625" style="150" customWidth="1"/>
    <col min="14093" max="14094" width="14.6640625" style="150" customWidth="1"/>
    <col min="14095" max="14099" width="14.44140625" style="150" customWidth="1"/>
    <col min="14100" max="14100" width="14.88671875" style="150" customWidth="1"/>
    <col min="14101" max="14101" width="10.88671875" style="150" customWidth="1"/>
    <col min="14102" max="14336" width="9.109375" style="150"/>
    <col min="14337" max="14337" width="8.44140625" style="150" customWidth="1"/>
    <col min="14338" max="14338" width="14.44140625" style="150" customWidth="1"/>
    <col min="14339" max="14339" width="15.44140625" style="150" customWidth="1"/>
    <col min="14340" max="14340" width="16.44140625" style="150" customWidth="1"/>
    <col min="14341" max="14341" width="16.109375" style="150" customWidth="1"/>
    <col min="14342" max="14342" width="13.6640625" style="150" customWidth="1"/>
    <col min="14343" max="14343" width="18.88671875" style="150" customWidth="1"/>
    <col min="14344" max="14344" width="15.6640625" style="150" customWidth="1"/>
    <col min="14345" max="14346" width="16.5546875" style="150" customWidth="1"/>
    <col min="14347" max="14347" width="13.109375" style="150" customWidth="1"/>
    <col min="14348" max="14348" width="13.44140625" style="150" customWidth="1"/>
    <col min="14349" max="14350" width="14.6640625" style="150" customWidth="1"/>
    <col min="14351" max="14355" width="14.44140625" style="150" customWidth="1"/>
    <col min="14356" max="14356" width="14.88671875" style="150" customWidth="1"/>
    <col min="14357" max="14357" width="10.88671875" style="150" customWidth="1"/>
    <col min="14358" max="14592" width="9.109375" style="150"/>
    <col min="14593" max="14593" width="8.44140625" style="150" customWidth="1"/>
    <col min="14594" max="14594" width="14.44140625" style="150" customWidth="1"/>
    <col min="14595" max="14595" width="15.44140625" style="150" customWidth="1"/>
    <col min="14596" max="14596" width="16.44140625" style="150" customWidth="1"/>
    <col min="14597" max="14597" width="16.109375" style="150" customWidth="1"/>
    <col min="14598" max="14598" width="13.6640625" style="150" customWidth="1"/>
    <col min="14599" max="14599" width="18.88671875" style="150" customWidth="1"/>
    <col min="14600" max="14600" width="15.6640625" style="150" customWidth="1"/>
    <col min="14601" max="14602" width="16.5546875" style="150" customWidth="1"/>
    <col min="14603" max="14603" width="13.109375" style="150" customWidth="1"/>
    <col min="14604" max="14604" width="13.44140625" style="150" customWidth="1"/>
    <col min="14605" max="14606" width="14.6640625" style="150" customWidth="1"/>
    <col min="14607" max="14611" width="14.44140625" style="150" customWidth="1"/>
    <col min="14612" max="14612" width="14.88671875" style="150" customWidth="1"/>
    <col min="14613" max="14613" width="10.88671875" style="150" customWidth="1"/>
    <col min="14614" max="14848" width="9.109375" style="150"/>
    <col min="14849" max="14849" width="8.44140625" style="150" customWidth="1"/>
    <col min="14850" max="14850" width="14.44140625" style="150" customWidth="1"/>
    <col min="14851" max="14851" width="15.44140625" style="150" customWidth="1"/>
    <col min="14852" max="14852" width="16.44140625" style="150" customWidth="1"/>
    <col min="14853" max="14853" width="16.109375" style="150" customWidth="1"/>
    <col min="14854" max="14854" width="13.6640625" style="150" customWidth="1"/>
    <col min="14855" max="14855" width="18.88671875" style="150" customWidth="1"/>
    <col min="14856" max="14856" width="15.6640625" style="150" customWidth="1"/>
    <col min="14857" max="14858" width="16.5546875" style="150" customWidth="1"/>
    <col min="14859" max="14859" width="13.109375" style="150" customWidth="1"/>
    <col min="14860" max="14860" width="13.44140625" style="150" customWidth="1"/>
    <col min="14861" max="14862" width="14.6640625" style="150" customWidth="1"/>
    <col min="14863" max="14867" width="14.44140625" style="150" customWidth="1"/>
    <col min="14868" max="14868" width="14.88671875" style="150" customWidth="1"/>
    <col min="14869" max="14869" width="10.88671875" style="150" customWidth="1"/>
    <col min="14870" max="15104" width="9.109375" style="150"/>
    <col min="15105" max="15105" width="8.44140625" style="150" customWidth="1"/>
    <col min="15106" max="15106" width="14.44140625" style="150" customWidth="1"/>
    <col min="15107" max="15107" width="15.44140625" style="150" customWidth="1"/>
    <col min="15108" max="15108" width="16.44140625" style="150" customWidth="1"/>
    <col min="15109" max="15109" width="16.109375" style="150" customWidth="1"/>
    <col min="15110" max="15110" width="13.6640625" style="150" customWidth="1"/>
    <col min="15111" max="15111" width="18.88671875" style="150" customWidth="1"/>
    <col min="15112" max="15112" width="15.6640625" style="150" customWidth="1"/>
    <col min="15113" max="15114" width="16.5546875" style="150" customWidth="1"/>
    <col min="15115" max="15115" width="13.109375" style="150" customWidth="1"/>
    <col min="15116" max="15116" width="13.44140625" style="150" customWidth="1"/>
    <col min="15117" max="15118" width="14.6640625" style="150" customWidth="1"/>
    <col min="15119" max="15123" width="14.44140625" style="150" customWidth="1"/>
    <col min="15124" max="15124" width="14.88671875" style="150" customWidth="1"/>
    <col min="15125" max="15125" width="10.88671875" style="150" customWidth="1"/>
    <col min="15126" max="15360" width="9.109375" style="150"/>
    <col min="15361" max="15361" width="8.44140625" style="150" customWidth="1"/>
    <col min="15362" max="15362" width="14.44140625" style="150" customWidth="1"/>
    <col min="15363" max="15363" width="15.44140625" style="150" customWidth="1"/>
    <col min="15364" max="15364" width="16.44140625" style="150" customWidth="1"/>
    <col min="15365" max="15365" width="16.109375" style="150" customWidth="1"/>
    <col min="15366" max="15366" width="13.6640625" style="150" customWidth="1"/>
    <col min="15367" max="15367" width="18.88671875" style="150" customWidth="1"/>
    <col min="15368" max="15368" width="15.6640625" style="150" customWidth="1"/>
    <col min="15369" max="15370" width="16.5546875" style="150" customWidth="1"/>
    <col min="15371" max="15371" width="13.109375" style="150" customWidth="1"/>
    <col min="15372" max="15372" width="13.44140625" style="150" customWidth="1"/>
    <col min="15373" max="15374" width="14.6640625" style="150" customWidth="1"/>
    <col min="15375" max="15379" width="14.44140625" style="150" customWidth="1"/>
    <col min="15380" max="15380" width="14.88671875" style="150" customWidth="1"/>
    <col min="15381" max="15381" width="10.88671875" style="150" customWidth="1"/>
    <col min="15382" max="15616" width="9.109375" style="150"/>
    <col min="15617" max="15617" width="8.44140625" style="150" customWidth="1"/>
    <col min="15618" max="15618" width="14.44140625" style="150" customWidth="1"/>
    <col min="15619" max="15619" width="15.44140625" style="150" customWidth="1"/>
    <col min="15620" max="15620" width="16.44140625" style="150" customWidth="1"/>
    <col min="15621" max="15621" width="16.109375" style="150" customWidth="1"/>
    <col min="15622" max="15622" width="13.6640625" style="150" customWidth="1"/>
    <col min="15623" max="15623" width="18.88671875" style="150" customWidth="1"/>
    <col min="15624" max="15624" width="15.6640625" style="150" customWidth="1"/>
    <col min="15625" max="15626" width="16.5546875" style="150" customWidth="1"/>
    <col min="15627" max="15627" width="13.109375" style="150" customWidth="1"/>
    <col min="15628" max="15628" width="13.44140625" style="150" customWidth="1"/>
    <col min="15629" max="15630" width="14.6640625" style="150" customWidth="1"/>
    <col min="15631" max="15635" width="14.44140625" style="150" customWidth="1"/>
    <col min="15636" max="15636" width="14.88671875" style="150" customWidth="1"/>
    <col min="15637" max="15637" width="10.88671875" style="150" customWidth="1"/>
    <col min="15638" max="15872" width="9.109375" style="150"/>
    <col min="15873" max="15873" width="8.44140625" style="150" customWidth="1"/>
    <col min="15874" max="15874" width="14.44140625" style="150" customWidth="1"/>
    <col min="15875" max="15875" width="15.44140625" style="150" customWidth="1"/>
    <col min="15876" max="15876" width="16.44140625" style="150" customWidth="1"/>
    <col min="15877" max="15877" width="16.109375" style="150" customWidth="1"/>
    <col min="15878" max="15878" width="13.6640625" style="150" customWidth="1"/>
    <col min="15879" max="15879" width="18.88671875" style="150" customWidth="1"/>
    <col min="15880" max="15880" width="15.6640625" style="150" customWidth="1"/>
    <col min="15881" max="15882" width="16.5546875" style="150" customWidth="1"/>
    <col min="15883" max="15883" width="13.109375" style="150" customWidth="1"/>
    <col min="15884" max="15884" width="13.44140625" style="150" customWidth="1"/>
    <col min="15885" max="15886" width="14.6640625" style="150" customWidth="1"/>
    <col min="15887" max="15891" width="14.44140625" style="150" customWidth="1"/>
    <col min="15892" max="15892" width="14.88671875" style="150" customWidth="1"/>
    <col min="15893" max="15893" width="10.88671875" style="150" customWidth="1"/>
    <col min="15894" max="16128" width="9.109375" style="150"/>
    <col min="16129" max="16129" width="8.44140625" style="150" customWidth="1"/>
    <col min="16130" max="16130" width="14.44140625" style="150" customWidth="1"/>
    <col min="16131" max="16131" width="15.44140625" style="150" customWidth="1"/>
    <col min="16132" max="16132" width="16.44140625" style="150" customWidth="1"/>
    <col min="16133" max="16133" width="16.109375" style="150" customWidth="1"/>
    <col min="16134" max="16134" width="13.6640625" style="150" customWidth="1"/>
    <col min="16135" max="16135" width="18.88671875" style="150" customWidth="1"/>
    <col min="16136" max="16136" width="15.6640625" style="150" customWidth="1"/>
    <col min="16137" max="16138" width="16.5546875" style="150" customWidth="1"/>
    <col min="16139" max="16139" width="13.109375" style="150" customWidth="1"/>
    <col min="16140" max="16140" width="13.44140625" style="150" customWidth="1"/>
    <col min="16141" max="16142" width="14.6640625" style="150" customWidth="1"/>
    <col min="16143" max="16147" width="14.44140625" style="150" customWidth="1"/>
    <col min="16148" max="16148" width="14.88671875" style="150" customWidth="1"/>
    <col min="16149" max="16149" width="10.88671875" style="150" customWidth="1"/>
    <col min="16150" max="16384" width="9.109375" style="150"/>
  </cols>
  <sheetData>
    <row r="1" spans="1:10" ht="18" customHeight="1" x14ac:dyDescent="0.25">
      <c r="A1" s="642" t="s">
        <v>406</v>
      </c>
      <c r="B1" s="642"/>
      <c r="C1" s="642"/>
      <c r="D1" s="642"/>
      <c r="E1" s="642"/>
      <c r="F1" s="642"/>
      <c r="G1" s="642"/>
      <c r="H1" s="642"/>
      <c r="I1" s="642"/>
      <c r="J1" s="642"/>
    </row>
    <row r="2" spans="1:10" x14ac:dyDescent="0.25">
      <c r="A2" s="151"/>
      <c r="B2" s="152"/>
      <c r="C2" s="153"/>
      <c r="D2" s="153"/>
      <c r="E2" s="154"/>
      <c r="F2" s="154"/>
    </row>
    <row r="3" spans="1:10" x14ac:dyDescent="0.25">
      <c r="A3" s="151" t="s">
        <v>407</v>
      </c>
      <c r="B3" s="643" t="str">
        <f>+CC!B12</f>
        <v>Tramo 3: km 326 - km 450</v>
      </c>
      <c r="C3" s="643"/>
      <c r="D3" s="643"/>
      <c r="E3" s="643"/>
      <c r="F3" s="643"/>
      <c r="G3" s="643"/>
      <c r="H3" s="643"/>
      <c r="I3" s="643"/>
      <c r="J3" s="156"/>
    </row>
    <row r="4" spans="1:10" x14ac:dyDescent="0.25">
      <c r="A4" s="157"/>
      <c r="B4" s="643"/>
      <c r="C4" s="643"/>
      <c r="D4" s="643"/>
      <c r="E4" s="643"/>
      <c r="F4" s="643"/>
      <c r="G4" s="643"/>
      <c r="H4" s="643"/>
      <c r="I4" s="643"/>
      <c r="J4" s="156"/>
    </row>
    <row r="5" spans="1:10" ht="15" customHeight="1" x14ac:dyDescent="0.25">
      <c r="A5" s="644" t="str">
        <f>CONCATENATE("PLAZO: ",A42," MESES (",A43,")")</f>
        <v>PLAZO: 24 MESES (720 dias)</v>
      </c>
      <c r="B5" s="644"/>
      <c r="C5" s="644"/>
      <c r="E5" s="159" t="s">
        <v>408</v>
      </c>
    </row>
    <row r="7" spans="1:10" x14ac:dyDescent="0.25">
      <c r="C7" s="161" t="s">
        <v>409</v>
      </c>
      <c r="D7" s="645"/>
      <c r="E7" s="645"/>
      <c r="F7" s="645"/>
      <c r="H7" s="161" t="s">
        <v>410</v>
      </c>
      <c r="I7" s="162">
        <f ca="1">NOW()</f>
        <v>43000.66745173611</v>
      </c>
    </row>
    <row r="8" spans="1:10" x14ac:dyDescent="0.25">
      <c r="C8" s="161" t="str">
        <f>IF(D7=0,"MONTO ESTIMADO CON IVA:","MONTO DE CONTRATO CON IVA:")</f>
        <v>MONTO ESTIMADO CON IVA:</v>
      </c>
      <c r="D8" s="163">
        <f>+'CC D'!K13</f>
        <v>160000000</v>
      </c>
      <c r="E8" s="164" t="s">
        <v>411</v>
      </c>
      <c r="F8" s="150" t="s">
        <v>412</v>
      </c>
      <c r="H8" s="155" t="s">
        <v>413</v>
      </c>
      <c r="I8" s="165">
        <v>1</v>
      </c>
    </row>
    <row r="9" spans="1:10" hidden="1" x14ac:dyDescent="0.25">
      <c r="C9" s="161"/>
      <c r="D9" s="163"/>
      <c r="E9" s="158" t="s">
        <v>414</v>
      </c>
      <c r="I9" s="166"/>
    </row>
    <row r="10" spans="1:10" hidden="1" x14ac:dyDescent="0.25">
      <c r="C10" s="161"/>
      <c r="D10" s="163"/>
      <c r="E10" s="158" t="s">
        <v>411</v>
      </c>
      <c r="I10" s="166"/>
    </row>
    <row r="11" spans="1:10" x14ac:dyDescent="0.25">
      <c r="B11" s="150"/>
      <c r="C11" s="161" t="str">
        <f>IF(D7=0,"MONTO ESTIMADO SIN IVA:","MONTO DE CONTRATO SIN IVA:")</f>
        <v>MONTO ESTIMADO SIN IVA:</v>
      </c>
      <c r="D11" s="167">
        <f>D8</f>
        <v>160000000</v>
      </c>
      <c r="E11" s="168" t="s">
        <v>414</v>
      </c>
      <c r="F11" s="158"/>
    </row>
    <row r="12" spans="1:10" x14ac:dyDescent="0.25">
      <c r="B12" s="150"/>
      <c r="C12" s="161" t="s">
        <v>415</v>
      </c>
      <c r="D12" s="165">
        <v>100</v>
      </c>
      <c r="F12" s="158" t="s">
        <v>416</v>
      </c>
    </row>
    <row r="13" spans="1:10" x14ac:dyDescent="0.25">
      <c r="B13" s="150"/>
      <c r="C13" s="161" t="s">
        <v>417</v>
      </c>
      <c r="D13" s="169">
        <f>100-D12</f>
        <v>0</v>
      </c>
      <c r="F13" s="158"/>
    </row>
    <row r="14" spans="1:10" x14ac:dyDescent="0.25">
      <c r="B14" s="150"/>
      <c r="C14" s="161" t="s">
        <v>418</v>
      </c>
      <c r="D14" s="166">
        <v>20</v>
      </c>
      <c r="F14" s="158"/>
    </row>
    <row r="15" spans="1:10" x14ac:dyDescent="0.25">
      <c r="B15" s="161" t="s">
        <v>419</v>
      </c>
      <c r="C15" s="646"/>
      <c r="D15" s="646"/>
      <c r="E15" s="501" t="s">
        <v>420</v>
      </c>
      <c r="F15" s="502"/>
      <c r="H15" s="170" t="s">
        <v>421</v>
      </c>
      <c r="I15" s="165">
        <v>10</v>
      </c>
    </row>
    <row r="16" spans="1:10" ht="12.6" thickBot="1" x14ac:dyDescent="0.3">
      <c r="F16" s="171"/>
    </row>
    <row r="17" spans="1:11" ht="42" customHeight="1" thickBot="1" x14ac:dyDescent="0.3">
      <c r="A17" s="172" t="s">
        <v>422</v>
      </c>
      <c r="B17" s="173" t="s">
        <v>423</v>
      </c>
      <c r="C17" s="173" t="s">
        <v>424</v>
      </c>
      <c r="D17" s="174" t="str">
        <f>CONCATENATE("MONTO MENSUAL DESCONTADO ",ROUND(D14,0),"% ANTICIPO")</f>
        <v>MONTO MENSUAL DESCONTADO 20% ANTICIPO</v>
      </c>
      <c r="E17" s="175" t="s">
        <v>425</v>
      </c>
      <c r="F17" s="176" t="s">
        <v>426</v>
      </c>
      <c r="G17" s="177" t="s">
        <v>427</v>
      </c>
      <c r="H17" s="178" t="s">
        <v>428</v>
      </c>
      <c r="I17" s="179" t="str">
        <f>CONCATENATE("DESEMBOLSOS FONDO LOCAL (",ROUND(D13,0),"%) + IVA")</f>
        <v>DESEMBOLSOS FONDO LOCAL (0%) + IVA</v>
      </c>
      <c r="J17" s="179" t="str">
        <f>CONCATENATE("DESEMBOLSOS FONDO EXTERNO (",ROUND(D12,0),"%)")</f>
        <v>DESEMBOLSOS FONDO EXTERNO (100%)</v>
      </c>
      <c r="K17" s="370"/>
    </row>
    <row r="18" spans="1:11" ht="12.75" customHeight="1" x14ac:dyDescent="0.25">
      <c r="A18" s="180">
        <v>0</v>
      </c>
      <c r="B18" s="181">
        <f>D14/100</f>
        <v>0.2</v>
      </c>
      <c r="C18" s="181">
        <v>0</v>
      </c>
      <c r="D18" s="182">
        <f>ROUND(B18*D11,0)</f>
        <v>32000000</v>
      </c>
      <c r="E18" s="183">
        <f>D18</f>
        <v>32000000</v>
      </c>
      <c r="F18" s="184">
        <f>E18/$E$42</f>
        <v>0.2</v>
      </c>
      <c r="G18" s="185" t="s">
        <v>429</v>
      </c>
      <c r="H18" s="186">
        <f t="shared" ref="H18:H33" si="0">ROUND(D18*0.1,0)</f>
        <v>3200000</v>
      </c>
      <c r="I18" s="187">
        <f t="shared" ref="I18:I42" si="1">ROUNDUP((D18+H18-J18),-(LEN(D18)-$I$15))</f>
        <v>3200000</v>
      </c>
      <c r="J18" s="187">
        <f t="shared" ref="J18:J33" si="2">ROUNDUP(D18*$D$12/100,-(LEN(D18)-$I$15))</f>
        <v>32000000</v>
      </c>
      <c r="K18" s="370"/>
    </row>
    <row r="19" spans="1:11" ht="12.6" thickBot="1" x14ac:dyDescent="0.3">
      <c r="A19" s="188">
        <v>1</v>
      </c>
      <c r="B19" s="189">
        <v>2.5000000000000001E-2</v>
      </c>
      <c r="C19" s="189">
        <f t="shared" ref="C19:C42" si="3">B19+C18</f>
        <v>2.5000000000000001E-2</v>
      </c>
      <c r="D19" s="190">
        <f>ROUND(B19*$D$11*(100-$D$14)/100,0)</f>
        <v>3200000</v>
      </c>
      <c r="E19" s="191">
        <f t="shared" ref="E19:E33" si="4">E18+D19</f>
        <v>35200000</v>
      </c>
      <c r="F19" s="192">
        <f>E19/$E$42</f>
        <v>0.22</v>
      </c>
      <c r="G19" s="193" t="s">
        <v>195</v>
      </c>
      <c r="H19" s="194">
        <f t="shared" si="0"/>
        <v>320000</v>
      </c>
      <c r="I19" s="195">
        <f t="shared" si="1"/>
        <v>320000</v>
      </c>
      <c r="J19" s="195">
        <f t="shared" si="2"/>
        <v>3200000</v>
      </c>
      <c r="K19" s="370"/>
    </row>
    <row r="20" spans="1:11" x14ac:dyDescent="0.25">
      <c r="A20" s="188">
        <v>2</v>
      </c>
      <c r="B20" s="189">
        <v>0.03</v>
      </c>
      <c r="C20" s="189">
        <f t="shared" si="3"/>
        <v>5.5E-2</v>
      </c>
      <c r="D20" s="190">
        <f t="shared" ref="D20:D42" si="5">ROUND(B20*$D$11*(100-$D$14)/100,0)</f>
        <v>3840000</v>
      </c>
      <c r="E20" s="191">
        <f t="shared" si="4"/>
        <v>39040000</v>
      </c>
      <c r="F20" s="184">
        <f t="shared" ref="F20:F42" si="6">E20/$E$42</f>
        <v>0.24399999999999999</v>
      </c>
      <c r="G20" s="193" t="s">
        <v>196</v>
      </c>
      <c r="H20" s="194">
        <f t="shared" si="0"/>
        <v>384000</v>
      </c>
      <c r="I20" s="195">
        <f t="shared" si="1"/>
        <v>384000</v>
      </c>
      <c r="J20" s="195">
        <f t="shared" si="2"/>
        <v>3840000</v>
      </c>
      <c r="K20" s="371"/>
    </row>
    <row r="21" spans="1:11" ht="12.6" thickBot="1" x14ac:dyDescent="0.3">
      <c r="A21" s="188">
        <v>3</v>
      </c>
      <c r="B21" s="189">
        <v>3.5000000000000003E-2</v>
      </c>
      <c r="C21" s="189">
        <f>B21+C20</f>
        <v>0.09</v>
      </c>
      <c r="D21" s="190">
        <f t="shared" si="5"/>
        <v>4480000</v>
      </c>
      <c r="E21" s="191">
        <f t="shared" si="4"/>
        <v>43520000</v>
      </c>
      <c r="F21" s="192">
        <f t="shared" si="6"/>
        <v>0.27200000000000002</v>
      </c>
      <c r="G21" s="193" t="s">
        <v>197</v>
      </c>
      <c r="H21" s="194">
        <f t="shared" si="0"/>
        <v>448000</v>
      </c>
      <c r="I21" s="195">
        <f t="shared" si="1"/>
        <v>448000</v>
      </c>
      <c r="J21" s="195">
        <f t="shared" si="2"/>
        <v>4480000</v>
      </c>
      <c r="K21" s="370"/>
    </row>
    <row r="22" spans="1:11" x14ac:dyDescent="0.25">
      <c r="A22" s="188">
        <v>4</v>
      </c>
      <c r="B22" s="189">
        <v>3.5000000000000003E-2</v>
      </c>
      <c r="C22" s="189">
        <f t="shared" si="3"/>
        <v>0.125</v>
      </c>
      <c r="D22" s="190">
        <f t="shared" si="5"/>
        <v>4480000</v>
      </c>
      <c r="E22" s="191">
        <f t="shared" si="4"/>
        <v>48000000</v>
      </c>
      <c r="F22" s="184">
        <f t="shared" si="6"/>
        <v>0.3</v>
      </c>
      <c r="G22" s="193" t="s">
        <v>198</v>
      </c>
      <c r="H22" s="194">
        <f t="shared" si="0"/>
        <v>448000</v>
      </c>
      <c r="I22" s="195">
        <f t="shared" si="1"/>
        <v>448000</v>
      </c>
      <c r="J22" s="195">
        <f t="shared" si="2"/>
        <v>4480000</v>
      </c>
      <c r="K22" s="372"/>
    </row>
    <row r="23" spans="1:11" ht="12.6" thickBot="1" x14ac:dyDescent="0.3">
      <c r="A23" s="188">
        <v>5</v>
      </c>
      <c r="B23" s="189">
        <v>0.04</v>
      </c>
      <c r="C23" s="189">
        <f t="shared" si="3"/>
        <v>0.16500000000000001</v>
      </c>
      <c r="D23" s="190">
        <f t="shared" si="5"/>
        <v>5120000</v>
      </c>
      <c r="E23" s="191">
        <f t="shared" si="4"/>
        <v>53120000</v>
      </c>
      <c r="F23" s="192">
        <f t="shared" si="6"/>
        <v>0.33200000000000002</v>
      </c>
      <c r="G23" s="193" t="s">
        <v>199</v>
      </c>
      <c r="H23" s="194">
        <f t="shared" si="0"/>
        <v>512000</v>
      </c>
      <c r="I23" s="195">
        <f t="shared" si="1"/>
        <v>512000</v>
      </c>
      <c r="J23" s="195">
        <f t="shared" si="2"/>
        <v>5120000</v>
      </c>
      <c r="K23" s="372"/>
    </row>
    <row r="24" spans="1:11" x14ac:dyDescent="0.25">
      <c r="A24" s="188">
        <v>6</v>
      </c>
      <c r="B24" s="189">
        <v>4.4999999999999998E-2</v>
      </c>
      <c r="C24" s="189">
        <f t="shared" si="3"/>
        <v>0.21000000000000002</v>
      </c>
      <c r="D24" s="190">
        <f t="shared" si="5"/>
        <v>5760000</v>
      </c>
      <c r="E24" s="191">
        <f t="shared" si="4"/>
        <v>58880000</v>
      </c>
      <c r="F24" s="184">
        <f t="shared" si="6"/>
        <v>0.36799999999999999</v>
      </c>
      <c r="G24" s="193" t="s">
        <v>200</v>
      </c>
      <c r="H24" s="194">
        <f t="shared" si="0"/>
        <v>576000</v>
      </c>
      <c r="I24" s="195">
        <f t="shared" si="1"/>
        <v>576000</v>
      </c>
      <c r="J24" s="195">
        <f t="shared" si="2"/>
        <v>5760000</v>
      </c>
      <c r="K24" s="372"/>
    </row>
    <row r="25" spans="1:11" ht="12.6" thickBot="1" x14ac:dyDescent="0.3">
      <c r="A25" s="188">
        <v>7</v>
      </c>
      <c r="B25" s="189">
        <v>4.4999999999999998E-2</v>
      </c>
      <c r="C25" s="189">
        <f t="shared" si="3"/>
        <v>0.255</v>
      </c>
      <c r="D25" s="190">
        <f t="shared" si="5"/>
        <v>5760000</v>
      </c>
      <c r="E25" s="191">
        <f t="shared" si="4"/>
        <v>64640000</v>
      </c>
      <c r="F25" s="192">
        <f t="shared" si="6"/>
        <v>0.40400000000000003</v>
      </c>
      <c r="G25" s="193" t="s">
        <v>201</v>
      </c>
      <c r="H25" s="194">
        <f t="shared" si="0"/>
        <v>576000</v>
      </c>
      <c r="I25" s="195">
        <f t="shared" si="1"/>
        <v>576000</v>
      </c>
      <c r="J25" s="195">
        <f t="shared" si="2"/>
        <v>5760000</v>
      </c>
      <c r="K25" s="373"/>
    </row>
    <row r="26" spans="1:11" x14ac:dyDescent="0.25">
      <c r="A26" s="188">
        <v>8</v>
      </c>
      <c r="B26" s="189">
        <v>0.05</v>
      </c>
      <c r="C26" s="189">
        <f t="shared" si="3"/>
        <v>0.30499999999999999</v>
      </c>
      <c r="D26" s="190">
        <f t="shared" si="5"/>
        <v>6400000</v>
      </c>
      <c r="E26" s="191">
        <f t="shared" si="4"/>
        <v>71040000</v>
      </c>
      <c r="F26" s="184">
        <f t="shared" si="6"/>
        <v>0.44400000000000001</v>
      </c>
      <c r="G26" s="193" t="s">
        <v>202</v>
      </c>
      <c r="H26" s="194">
        <f t="shared" si="0"/>
        <v>640000</v>
      </c>
      <c r="I26" s="195">
        <f t="shared" si="1"/>
        <v>640000</v>
      </c>
      <c r="J26" s="195">
        <f t="shared" si="2"/>
        <v>6400000</v>
      </c>
      <c r="K26" s="372"/>
    </row>
    <row r="27" spans="1:11" ht="12.6" thickBot="1" x14ac:dyDescent="0.3">
      <c r="A27" s="188">
        <v>9</v>
      </c>
      <c r="B27" s="189">
        <v>5.5E-2</v>
      </c>
      <c r="C27" s="189">
        <f t="shared" si="3"/>
        <v>0.36</v>
      </c>
      <c r="D27" s="190">
        <f t="shared" si="5"/>
        <v>7040000</v>
      </c>
      <c r="E27" s="191">
        <f t="shared" si="4"/>
        <v>78080000</v>
      </c>
      <c r="F27" s="192">
        <f t="shared" si="6"/>
        <v>0.48799999999999999</v>
      </c>
      <c r="G27" s="193" t="s">
        <v>203</v>
      </c>
      <c r="H27" s="194">
        <f t="shared" si="0"/>
        <v>704000</v>
      </c>
      <c r="I27" s="195">
        <f t="shared" si="1"/>
        <v>704000</v>
      </c>
      <c r="J27" s="195">
        <f t="shared" si="2"/>
        <v>7040000</v>
      </c>
      <c r="K27" s="372"/>
    </row>
    <row r="28" spans="1:11" x14ac:dyDescent="0.25">
      <c r="A28" s="188">
        <v>10</v>
      </c>
      <c r="B28" s="189">
        <v>5.5E-2</v>
      </c>
      <c r="C28" s="189">
        <f t="shared" si="3"/>
        <v>0.41499999999999998</v>
      </c>
      <c r="D28" s="190">
        <f t="shared" si="5"/>
        <v>7040000</v>
      </c>
      <c r="E28" s="191">
        <f t="shared" si="4"/>
        <v>85120000</v>
      </c>
      <c r="F28" s="184">
        <f t="shared" si="6"/>
        <v>0.53200000000000003</v>
      </c>
      <c r="G28" s="193" t="s">
        <v>204</v>
      </c>
      <c r="H28" s="194">
        <f t="shared" si="0"/>
        <v>704000</v>
      </c>
      <c r="I28" s="195">
        <f t="shared" si="1"/>
        <v>704000</v>
      </c>
      <c r="J28" s="195">
        <f t="shared" si="2"/>
        <v>7040000</v>
      </c>
      <c r="K28" s="372"/>
    </row>
    <row r="29" spans="1:11" ht="12.6" thickBot="1" x14ac:dyDescent="0.3">
      <c r="A29" s="188">
        <v>11</v>
      </c>
      <c r="B29" s="189">
        <v>5.5E-2</v>
      </c>
      <c r="C29" s="189">
        <f t="shared" si="3"/>
        <v>0.47</v>
      </c>
      <c r="D29" s="190">
        <f t="shared" si="5"/>
        <v>7040000</v>
      </c>
      <c r="E29" s="191">
        <f t="shared" si="4"/>
        <v>92160000</v>
      </c>
      <c r="F29" s="192">
        <f t="shared" si="6"/>
        <v>0.57599999999999996</v>
      </c>
      <c r="G29" s="193" t="s">
        <v>205</v>
      </c>
      <c r="H29" s="194">
        <f t="shared" si="0"/>
        <v>704000</v>
      </c>
      <c r="I29" s="195">
        <f t="shared" si="1"/>
        <v>704000</v>
      </c>
      <c r="J29" s="195">
        <f t="shared" si="2"/>
        <v>7040000</v>
      </c>
      <c r="K29" s="372"/>
    </row>
    <row r="30" spans="1:11" x14ac:dyDescent="0.25">
      <c r="A30" s="188">
        <v>12</v>
      </c>
      <c r="B30" s="189">
        <v>0.06</v>
      </c>
      <c r="C30" s="189">
        <f t="shared" si="3"/>
        <v>0.53</v>
      </c>
      <c r="D30" s="190">
        <f t="shared" si="5"/>
        <v>7680000</v>
      </c>
      <c r="E30" s="191">
        <f t="shared" si="4"/>
        <v>99840000</v>
      </c>
      <c r="F30" s="184">
        <f t="shared" si="6"/>
        <v>0.624</v>
      </c>
      <c r="G30" s="193" t="s">
        <v>206</v>
      </c>
      <c r="H30" s="194">
        <f t="shared" si="0"/>
        <v>768000</v>
      </c>
      <c r="I30" s="195">
        <f t="shared" si="1"/>
        <v>768000</v>
      </c>
      <c r="J30" s="195">
        <f t="shared" si="2"/>
        <v>7680000</v>
      </c>
      <c r="K30" s="372"/>
    </row>
    <row r="31" spans="1:11" ht="12.6" thickBot="1" x14ac:dyDescent="0.3">
      <c r="A31" s="188">
        <v>13</v>
      </c>
      <c r="B31" s="189">
        <v>7.0000000000000007E-2</v>
      </c>
      <c r="C31" s="189">
        <f t="shared" si="3"/>
        <v>0.60000000000000009</v>
      </c>
      <c r="D31" s="190">
        <f t="shared" si="5"/>
        <v>8960000</v>
      </c>
      <c r="E31" s="191">
        <f t="shared" si="4"/>
        <v>108800000</v>
      </c>
      <c r="F31" s="192">
        <f t="shared" si="6"/>
        <v>0.68</v>
      </c>
      <c r="G31" s="193" t="s">
        <v>207</v>
      </c>
      <c r="H31" s="194">
        <f t="shared" si="0"/>
        <v>896000</v>
      </c>
      <c r="I31" s="195">
        <f t="shared" si="1"/>
        <v>896000</v>
      </c>
      <c r="J31" s="195">
        <f t="shared" si="2"/>
        <v>8960000</v>
      </c>
      <c r="K31" s="372"/>
    </row>
    <row r="32" spans="1:11" x14ac:dyDescent="0.25">
      <c r="A32" s="188">
        <v>14</v>
      </c>
      <c r="B32" s="189">
        <v>7.0000000000000007E-2</v>
      </c>
      <c r="C32" s="189">
        <f t="shared" si="3"/>
        <v>0.67000000000000015</v>
      </c>
      <c r="D32" s="190">
        <f t="shared" si="5"/>
        <v>8960000</v>
      </c>
      <c r="E32" s="191">
        <f t="shared" si="4"/>
        <v>117760000</v>
      </c>
      <c r="F32" s="184">
        <f t="shared" si="6"/>
        <v>0.73599999999999999</v>
      </c>
      <c r="G32" s="193" t="s">
        <v>208</v>
      </c>
      <c r="H32" s="194">
        <f t="shared" si="0"/>
        <v>896000</v>
      </c>
      <c r="I32" s="195">
        <f t="shared" si="1"/>
        <v>896000</v>
      </c>
      <c r="J32" s="195">
        <f t="shared" si="2"/>
        <v>8960000</v>
      </c>
      <c r="K32" s="374"/>
    </row>
    <row r="33" spans="1:11" ht="12.6" thickBot="1" x14ac:dyDescent="0.3">
      <c r="A33" s="188">
        <v>15</v>
      </c>
      <c r="B33" s="189">
        <v>6.5000000000000002E-2</v>
      </c>
      <c r="C33" s="189">
        <f t="shared" si="3"/>
        <v>0.7350000000000001</v>
      </c>
      <c r="D33" s="190">
        <f t="shared" si="5"/>
        <v>8320000</v>
      </c>
      <c r="E33" s="191">
        <f t="shared" si="4"/>
        <v>126080000</v>
      </c>
      <c r="F33" s="192">
        <f t="shared" si="6"/>
        <v>0.78800000000000003</v>
      </c>
      <c r="G33" s="193" t="s">
        <v>209</v>
      </c>
      <c r="H33" s="194">
        <f t="shared" si="0"/>
        <v>832000</v>
      </c>
      <c r="I33" s="195">
        <f t="shared" si="1"/>
        <v>832000</v>
      </c>
      <c r="J33" s="195">
        <f t="shared" si="2"/>
        <v>8320000</v>
      </c>
      <c r="K33" s="372"/>
    </row>
    <row r="34" spans="1:11" x14ac:dyDescent="0.25">
      <c r="A34" s="188">
        <v>16</v>
      </c>
      <c r="B34" s="189">
        <v>6.5000000000000002E-2</v>
      </c>
      <c r="C34" s="189">
        <f t="shared" si="3"/>
        <v>0.8</v>
      </c>
      <c r="D34" s="190">
        <f t="shared" si="5"/>
        <v>8320000</v>
      </c>
      <c r="E34" s="191">
        <f>E33+D34</f>
        <v>134400000</v>
      </c>
      <c r="F34" s="184">
        <f t="shared" si="6"/>
        <v>0.84</v>
      </c>
      <c r="G34" s="193" t="s">
        <v>210</v>
      </c>
      <c r="H34" s="194">
        <f>ROUND(D34*0.1,0)</f>
        <v>832000</v>
      </c>
      <c r="I34" s="195">
        <f t="shared" si="1"/>
        <v>832000</v>
      </c>
      <c r="J34" s="195">
        <f>ROUNDUP(D34*$D$12/100,-(LEN(D34)-$I$15))</f>
        <v>8320000</v>
      </c>
      <c r="K34" s="372"/>
    </row>
    <row r="35" spans="1:11" ht="12.6" thickBot="1" x14ac:dyDescent="0.3">
      <c r="A35" s="188">
        <v>17</v>
      </c>
      <c r="B35" s="189">
        <v>0.05</v>
      </c>
      <c r="C35" s="189">
        <f t="shared" si="3"/>
        <v>0.85000000000000009</v>
      </c>
      <c r="D35" s="190">
        <f t="shared" si="5"/>
        <v>6400000</v>
      </c>
      <c r="E35" s="191">
        <f>E34+D35</f>
        <v>140800000</v>
      </c>
      <c r="F35" s="192">
        <f t="shared" si="6"/>
        <v>0.88</v>
      </c>
      <c r="G35" s="193" t="s">
        <v>211</v>
      </c>
      <c r="H35" s="194">
        <f>ROUND(D35*0.1,0)</f>
        <v>640000</v>
      </c>
      <c r="I35" s="195">
        <f t="shared" si="1"/>
        <v>640000</v>
      </c>
      <c r="J35" s="195">
        <f>ROUNDUP(D35*$D$12/100,-(LEN(D35)-$I$15))</f>
        <v>6400000</v>
      </c>
      <c r="K35" s="372"/>
    </row>
    <row r="36" spans="1:11" ht="12.6" thickBot="1" x14ac:dyDescent="0.3">
      <c r="A36" s="200">
        <v>18</v>
      </c>
      <c r="B36" s="189">
        <v>0.05</v>
      </c>
      <c r="C36" s="189">
        <f t="shared" si="3"/>
        <v>0.90000000000000013</v>
      </c>
      <c r="D36" s="190">
        <f t="shared" si="5"/>
        <v>6400000</v>
      </c>
      <c r="E36" s="203">
        <f>E35+D36</f>
        <v>147200000</v>
      </c>
      <c r="F36" s="184">
        <f t="shared" si="6"/>
        <v>0.92</v>
      </c>
      <c r="G36" s="205" t="s">
        <v>212</v>
      </c>
      <c r="H36" s="206">
        <f>ROUND(D36*0.1,0)</f>
        <v>640000</v>
      </c>
      <c r="I36" s="195">
        <f t="shared" si="1"/>
        <v>640000</v>
      </c>
      <c r="J36" s="207">
        <f>ROUNDUP(D36*$D$12/100,-(LEN(D36)-$I$15))</f>
        <v>6400000</v>
      </c>
      <c r="K36" s="374"/>
    </row>
    <row r="37" spans="1:11" ht="12.6" thickBot="1" x14ac:dyDescent="0.3">
      <c r="A37" s="188">
        <v>19</v>
      </c>
      <c r="B37" s="189">
        <v>0.04</v>
      </c>
      <c r="C37" s="189">
        <f t="shared" si="3"/>
        <v>0.94000000000000017</v>
      </c>
      <c r="D37" s="190">
        <f t="shared" si="5"/>
        <v>5120000</v>
      </c>
      <c r="E37" s="191">
        <f t="shared" ref="E37:E42" si="7">E36+D37</f>
        <v>152320000</v>
      </c>
      <c r="F37" s="192">
        <f t="shared" si="6"/>
        <v>0.95199999999999996</v>
      </c>
      <c r="G37" s="193" t="s">
        <v>213</v>
      </c>
      <c r="H37" s="194">
        <f t="shared" ref="H37:H42" si="8">ROUND(D37*0.1,0)</f>
        <v>512000</v>
      </c>
      <c r="I37" s="195">
        <f t="shared" si="1"/>
        <v>512000</v>
      </c>
      <c r="J37" s="207">
        <f t="shared" ref="J37:J42" si="9">ROUNDUP(D37*$D$12/100,-(LEN(D37)-$I$15))</f>
        <v>5120000</v>
      </c>
      <c r="K37" s="374"/>
    </row>
    <row r="38" spans="1:11" ht="12.6" thickBot="1" x14ac:dyDescent="0.3">
      <c r="A38" s="200">
        <v>20</v>
      </c>
      <c r="B38" s="189">
        <v>0.02</v>
      </c>
      <c r="C38" s="189">
        <f t="shared" si="3"/>
        <v>0.96000000000000019</v>
      </c>
      <c r="D38" s="190">
        <f t="shared" si="5"/>
        <v>2560000</v>
      </c>
      <c r="E38" s="203">
        <f t="shared" si="7"/>
        <v>154880000</v>
      </c>
      <c r="F38" s="184">
        <f t="shared" si="6"/>
        <v>0.96799999999999997</v>
      </c>
      <c r="G38" s="205" t="s">
        <v>214</v>
      </c>
      <c r="H38" s="206">
        <f t="shared" si="8"/>
        <v>256000</v>
      </c>
      <c r="I38" s="195">
        <f t="shared" si="1"/>
        <v>256000</v>
      </c>
      <c r="J38" s="207">
        <f t="shared" si="9"/>
        <v>2560000</v>
      </c>
      <c r="K38" s="374"/>
    </row>
    <row r="39" spans="1:11" ht="12.6" thickBot="1" x14ac:dyDescent="0.3">
      <c r="A39" s="188">
        <v>21</v>
      </c>
      <c r="B39" s="219">
        <v>0.01</v>
      </c>
      <c r="C39" s="189">
        <f t="shared" si="3"/>
        <v>0.9700000000000002</v>
      </c>
      <c r="D39" s="190">
        <f t="shared" si="5"/>
        <v>1280000</v>
      </c>
      <c r="E39" s="191">
        <f t="shared" si="7"/>
        <v>156160000</v>
      </c>
      <c r="F39" s="192">
        <f t="shared" si="6"/>
        <v>0.97599999999999998</v>
      </c>
      <c r="G39" s="193" t="s">
        <v>215</v>
      </c>
      <c r="H39" s="194">
        <f t="shared" si="8"/>
        <v>128000</v>
      </c>
      <c r="I39" s="207">
        <f>ROUNDUP((D39+H39-J39),-(LEN(D39)-$I$15))</f>
        <v>128000</v>
      </c>
      <c r="J39" s="207">
        <f t="shared" si="9"/>
        <v>1280000</v>
      </c>
      <c r="K39" s="374"/>
    </row>
    <row r="40" spans="1:11" ht="12.6" thickBot="1" x14ac:dyDescent="0.3">
      <c r="A40" s="200">
        <v>22</v>
      </c>
      <c r="B40" s="189">
        <v>0.01</v>
      </c>
      <c r="C40" s="189">
        <f t="shared" si="3"/>
        <v>0.9800000000000002</v>
      </c>
      <c r="D40" s="190">
        <f t="shared" si="5"/>
        <v>1280000</v>
      </c>
      <c r="E40" s="203">
        <f t="shared" si="7"/>
        <v>157440000</v>
      </c>
      <c r="F40" s="184">
        <f t="shared" si="6"/>
        <v>0.98399999999999999</v>
      </c>
      <c r="G40" s="205" t="s">
        <v>216</v>
      </c>
      <c r="H40" s="206">
        <f t="shared" si="8"/>
        <v>128000</v>
      </c>
      <c r="I40" s="195">
        <f t="shared" si="1"/>
        <v>128000</v>
      </c>
      <c r="J40" s="207">
        <f t="shared" si="9"/>
        <v>1280000</v>
      </c>
      <c r="K40" s="374"/>
    </row>
    <row r="41" spans="1:11" ht="12.6" thickBot="1" x14ac:dyDescent="0.3">
      <c r="A41" s="188">
        <v>23</v>
      </c>
      <c r="B41" s="189">
        <v>0.01</v>
      </c>
      <c r="C41" s="189">
        <f t="shared" si="3"/>
        <v>0.99000000000000021</v>
      </c>
      <c r="D41" s="190">
        <f t="shared" si="5"/>
        <v>1280000</v>
      </c>
      <c r="E41" s="191">
        <f t="shared" si="7"/>
        <v>158720000</v>
      </c>
      <c r="F41" s="192">
        <f t="shared" si="6"/>
        <v>0.99199999999999999</v>
      </c>
      <c r="G41" s="193" t="s">
        <v>217</v>
      </c>
      <c r="H41" s="194">
        <f t="shared" si="8"/>
        <v>128000</v>
      </c>
      <c r="I41" s="195">
        <f t="shared" si="1"/>
        <v>128000</v>
      </c>
      <c r="J41" s="207">
        <f t="shared" si="9"/>
        <v>1280000</v>
      </c>
      <c r="K41" s="374"/>
    </row>
    <row r="42" spans="1:11" ht="12.6" thickBot="1" x14ac:dyDescent="0.3">
      <c r="A42" s="200">
        <v>24</v>
      </c>
      <c r="B42" s="201">
        <v>0.01</v>
      </c>
      <c r="C42" s="189">
        <f t="shared" si="3"/>
        <v>1.0000000000000002</v>
      </c>
      <c r="D42" s="190">
        <f t="shared" si="5"/>
        <v>1280000</v>
      </c>
      <c r="E42" s="203">
        <f t="shared" si="7"/>
        <v>160000000</v>
      </c>
      <c r="F42" s="184">
        <f t="shared" si="6"/>
        <v>1</v>
      </c>
      <c r="G42" s="205" t="s">
        <v>218</v>
      </c>
      <c r="H42" s="206">
        <f t="shared" si="8"/>
        <v>128000</v>
      </c>
      <c r="I42" s="207">
        <f t="shared" si="1"/>
        <v>128000</v>
      </c>
      <c r="J42" s="207">
        <f t="shared" si="9"/>
        <v>1280000</v>
      </c>
      <c r="K42" s="374"/>
    </row>
    <row r="43" spans="1:11" ht="20.25" customHeight="1" thickBot="1" x14ac:dyDescent="0.3">
      <c r="A43" s="208" t="str">
        <f>A42*30 &amp; " dias"</f>
        <v>720 dias</v>
      </c>
      <c r="B43" s="209">
        <f>SUM(B19:B42)</f>
        <v>1.0000000000000002</v>
      </c>
      <c r="C43" s="210"/>
      <c r="D43" s="211">
        <f>SUM(D18:D42)</f>
        <v>160000000</v>
      </c>
      <c r="E43" s="150"/>
      <c r="H43" s="150"/>
      <c r="I43" s="212">
        <f>SUM(I18:I42)</f>
        <v>16000000</v>
      </c>
      <c r="J43" s="212">
        <f>SUM(J18:J42)</f>
        <v>160000000</v>
      </c>
      <c r="K43" s="372"/>
    </row>
    <row r="44" spans="1:11" ht="15" customHeight="1" x14ac:dyDescent="0.25">
      <c r="A44" s="155"/>
      <c r="F44" s="158"/>
      <c r="G44" s="158"/>
      <c r="H44" s="161" t="s">
        <v>430</v>
      </c>
      <c r="I44" s="640">
        <f>I43+J43</f>
        <v>176000000</v>
      </c>
      <c r="J44" s="641"/>
    </row>
    <row r="45" spans="1:11" x14ac:dyDescent="0.25">
      <c r="A45" s="154" t="s">
        <v>431</v>
      </c>
      <c r="B45" s="154"/>
      <c r="C45" s="154"/>
      <c r="H45" s="161" t="s">
        <v>432</v>
      </c>
      <c r="I45" s="170">
        <f>I44/1.1-D11</f>
        <v>0</v>
      </c>
    </row>
    <row r="46" spans="1:11" x14ac:dyDescent="0.25">
      <c r="B46" s="213"/>
    </row>
    <row r="47" spans="1:11" x14ac:dyDescent="0.25">
      <c r="B47" s="213"/>
    </row>
    <row r="49" spans="1:27" s="216" customFormat="1" ht="12.75" customHeight="1" x14ac:dyDescent="0.25">
      <c r="A49" s="214"/>
      <c r="B49" s="215" t="s">
        <v>433</v>
      </c>
      <c r="C49" s="215" t="s">
        <v>195</v>
      </c>
      <c r="D49" s="215" t="s">
        <v>196</v>
      </c>
      <c r="E49" s="215" t="s">
        <v>197</v>
      </c>
      <c r="F49" s="215" t="s">
        <v>198</v>
      </c>
      <c r="G49" s="215" t="s">
        <v>199</v>
      </c>
      <c r="H49" s="215" t="s">
        <v>200</v>
      </c>
      <c r="I49" s="215" t="s">
        <v>201</v>
      </c>
      <c r="J49" s="215" t="s">
        <v>202</v>
      </c>
      <c r="K49" s="215" t="s">
        <v>203</v>
      </c>
      <c r="L49" s="215" t="s">
        <v>204</v>
      </c>
      <c r="M49" s="215" t="s">
        <v>205</v>
      </c>
      <c r="N49" s="215" t="s">
        <v>206</v>
      </c>
      <c r="O49" s="215" t="s">
        <v>207</v>
      </c>
      <c r="P49" s="215" t="s">
        <v>208</v>
      </c>
      <c r="Q49" s="215" t="s">
        <v>209</v>
      </c>
      <c r="R49" s="215" t="s">
        <v>210</v>
      </c>
      <c r="S49" s="215" t="s">
        <v>211</v>
      </c>
      <c r="T49" s="215" t="s">
        <v>212</v>
      </c>
      <c r="U49" s="215" t="s">
        <v>213</v>
      </c>
      <c r="V49" s="215" t="s">
        <v>214</v>
      </c>
      <c r="W49" s="215" t="s">
        <v>215</v>
      </c>
      <c r="X49" s="215" t="s">
        <v>216</v>
      </c>
      <c r="Y49" s="215" t="s">
        <v>217</v>
      </c>
      <c r="Z49" s="215" t="s">
        <v>218</v>
      </c>
    </row>
    <row r="50" spans="1:27" x14ac:dyDescent="0.25">
      <c r="A50" s="217" t="s">
        <v>434</v>
      </c>
      <c r="B50" s="190">
        <v>0</v>
      </c>
      <c r="C50" s="190">
        <v>0</v>
      </c>
      <c r="D50" s="190">
        <v>0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0</v>
      </c>
      <c r="K50" s="190">
        <v>0</v>
      </c>
      <c r="L50" s="190">
        <v>0</v>
      </c>
      <c r="M50" s="190">
        <v>0</v>
      </c>
      <c r="N50" s="190">
        <v>0</v>
      </c>
      <c r="O50" s="190">
        <v>0</v>
      </c>
      <c r="P50" s="190">
        <v>0</v>
      </c>
      <c r="Q50" s="190">
        <v>0</v>
      </c>
      <c r="R50" s="190">
        <v>0</v>
      </c>
      <c r="S50" s="190">
        <v>0</v>
      </c>
      <c r="T50" s="190">
        <v>0</v>
      </c>
      <c r="U50" s="158">
        <f>SUM(B50:T50)</f>
        <v>0</v>
      </c>
      <c r="V50" s="158">
        <f t="shared" ref="V50:AA50" si="10">SUM(C50:U50)</f>
        <v>0</v>
      </c>
      <c r="W50" s="158">
        <f t="shared" si="10"/>
        <v>0</v>
      </c>
      <c r="X50" s="158">
        <f t="shared" si="10"/>
        <v>0</v>
      </c>
      <c r="Y50" s="158">
        <f t="shared" si="10"/>
        <v>0</v>
      </c>
      <c r="Z50" s="158">
        <f t="shared" si="10"/>
        <v>0</v>
      </c>
      <c r="AA50" s="158">
        <f t="shared" si="10"/>
        <v>0</v>
      </c>
    </row>
    <row r="51" spans="1:27" x14ac:dyDescent="0.25">
      <c r="A51" s="217" t="s">
        <v>435</v>
      </c>
      <c r="B51" s="190">
        <f>$J18</f>
        <v>32000000</v>
      </c>
      <c r="C51" s="190">
        <f>$J19</f>
        <v>3200000</v>
      </c>
      <c r="D51" s="190">
        <f>$J20</f>
        <v>3840000</v>
      </c>
      <c r="E51" s="190">
        <f>$J21</f>
        <v>4480000</v>
      </c>
      <c r="F51" s="190">
        <f>$J22</f>
        <v>4480000</v>
      </c>
      <c r="G51" s="190">
        <f>$J23</f>
        <v>5120000</v>
      </c>
      <c r="H51" s="190">
        <f>$J24</f>
        <v>5760000</v>
      </c>
      <c r="I51" s="190">
        <f>$J25</f>
        <v>5760000</v>
      </c>
      <c r="J51" s="190">
        <f>$J26</f>
        <v>6400000</v>
      </c>
      <c r="K51" s="190">
        <f>$J27</f>
        <v>7040000</v>
      </c>
      <c r="L51" s="190">
        <f>$J28</f>
        <v>7040000</v>
      </c>
      <c r="M51" s="190">
        <f>$J29</f>
        <v>7040000</v>
      </c>
      <c r="N51" s="190">
        <f>$J30</f>
        <v>7680000</v>
      </c>
      <c r="O51" s="190">
        <f>$J31</f>
        <v>8960000</v>
      </c>
      <c r="P51" s="190">
        <f>$J32</f>
        <v>8960000</v>
      </c>
      <c r="Q51" s="190">
        <f>$J33</f>
        <v>8320000</v>
      </c>
      <c r="R51" s="190">
        <f>$J34</f>
        <v>8320000</v>
      </c>
      <c r="S51" s="190">
        <f>$J35</f>
        <v>6400000</v>
      </c>
      <c r="T51" s="190">
        <f>$J36</f>
        <v>6400000</v>
      </c>
      <c r="U51" s="190">
        <f>$J37</f>
        <v>5120000</v>
      </c>
      <c r="V51" s="190">
        <f>$J38</f>
        <v>2560000</v>
      </c>
      <c r="W51" s="190">
        <f>$J39</f>
        <v>1280000</v>
      </c>
      <c r="X51" s="190">
        <f>$J40</f>
        <v>1280000</v>
      </c>
      <c r="Y51" s="190">
        <f>$J41</f>
        <v>1280000</v>
      </c>
      <c r="Z51" s="190">
        <f>$J42</f>
        <v>1280000</v>
      </c>
      <c r="AA51" s="158">
        <f>SUM(B51:Z51)</f>
        <v>160000000</v>
      </c>
    </row>
    <row r="52" spans="1:27" x14ac:dyDescent="0.25">
      <c r="B52" s="190">
        <f>B50+B51</f>
        <v>32000000</v>
      </c>
      <c r="C52" s="190">
        <f t="shared" ref="C52:Z52" si="11">C50+C51</f>
        <v>3200000</v>
      </c>
      <c r="D52" s="190">
        <f t="shared" si="11"/>
        <v>3840000</v>
      </c>
      <c r="E52" s="190">
        <f t="shared" si="11"/>
        <v>4480000</v>
      </c>
      <c r="F52" s="190">
        <f t="shared" si="11"/>
        <v>4480000</v>
      </c>
      <c r="G52" s="190">
        <f t="shared" si="11"/>
        <v>5120000</v>
      </c>
      <c r="H52" s="190">
        <f t="shared" si="11"/>
        <v>5760000</v>
      </c>
      <c r="I52" s="190">
        <f t="shared" si="11"/>
        <v>5760000</v>
      </c>
      <c r="J52" s="190">
        <f t="shared" si="11"/>
        <v>6400000</v>
      </c>
      <c r="K52" s="190">
        <f t="shared" si="11"/>
        <v>7040000</v>
      </c>
      <c r="L52" s="190">
        <f t="shared" si="11"/>
        <v>7040000</v>
      </c>
      <c r="M52" s="190">
        <f t="shared" si="11"/>
        <v>7040000</v>
      </c>
      <c r="N52" s="190">
        <f t="shared" si="11"/>
        <v>7680000</v>
      </c>
      <c r="O52" s="190">
        <f t="shared" si="11"/>
        <v>8960000</v>
      </c>
      <c r="P52" s="190">
        <f t="shared" si="11"/>
        <v>8960000</v>
      </c>
      <c r="Q52" s="190">
        <f t="shared" si="11"/>
        <v>8320000</v>
      </c>
      <c r="R52" s="190">
        <f t="shared" si="11"/>
        <v>8320000</v>
      </c>
      <c r="S52" s="190">
        <f t="shared" si="11"/>
        <v>6400000</v>
      </c>
      <c r="T52" s="190">
        <f t="shared" si="11"/>
        <v>6400000</v>
      </c>
      <c r="U52" s="190">
        <f t="shared" si="11"/>
        <v>5120000</v>
      </c>
      <c r="V52" s="190">
        <f t="shared" si="11"/>
        <v>2560000</v>
      </c>
      <c r="W52" s="190">
        <f t="shared" si="11"/>
        <v>1280000</v>
      </c>
      <c r="X52" s="190">
        <f t="shared" si="11"/>
        <v>1280000</v>
      </c>
      <c r="Y52" s="190">
        <f t="shared" si="11"/>
        <v>1280000</v>
      </c>
      <c r="Z52" s="190">
        <f t="shared" si="11"/>
        <v>1280000</v>
      </c>
      <c r="AA52" s="190">
        <f>U50+AA51</f>
        <v>160000000</v>
      </c>
    </row>
    <row r="53" spans="1:27" x14ac:dyDescent="0.25">
      <c r="B53" s="218">
        <f>SUM(B52:Z52)</f>
        <v>160000000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showGridLines="0" topLeftCell="A14" zoomScale="70" zoomScaleNormal="70" workbookViewId="0">
      <selection activeCell="D11" sqref="D11"/>
    </sheetView>
  </sheetViews>
  <sheetFormatPr defaultColWidth="9.109375" defaultRowHeight="12" x14ac:dyDescent="0.25"/>
  <cols>
    <col min="1" max="1" width="8.44140625" style="150" customWidth="1"/>
    <col min="2" max="2" width="14.44140625" style="160" customWidth="1"/>
    <col min="3" max="3" width="15.44140625" style="158" customWidth="1"/>
    <col min="4" max="4" width="16.44140625" style="158" customWidth="1"/>
    <col min="5" max="5" width="16.109375" style="158" customWidth="1"/>
    <col min="6" max="6" width="13.6640625" style="150" customWidth="1"/>
    <col min="7" max="7" width="18.88671875" style="150" customWidth="1"/>
    <col min="8" max="8" width="15.6640625" style="155" customWidth="1"/>
    <col min="9" max="10" width="16.5546875" style="150" customWidth="1"/>
    <col min="11" max="11" width="13.109375" style="150" customWidth="1"/>
    <col min="12" max="12" width="13.44140625" style="150" customWidth="1"/>
    <col min="13" max="14" width="14.6640625" style="150" customWidth="1"/>
    <col min="15" max="19" width="14.44140625" style="150" customWidth="1"/>
    <col min="20" max="20" width="14.88671875" style="150" customWidth="1"/>
    <col min="21" max="21" width="10.88671875" style="150" customWidth="1"/>
    <col min="22" max="22" width="9.109375" style="150"/>
    <col min="23" max="23" width="10.33203125" style="150" customWidth="1"/>
    <col min="24" max="26" width="9.109375" style="150"/>
    <col min="27" max="27" width="10" style="150" customWidth="1"/>
    <col min="28" max="256" width="9.109375" style="150"/>
    <col min="257" max="257" width="8.44140625" style="150" customWidth="1"/>
    <col min="258" max="258" width="14.44140625" style="150" customWidth="1"/>
    <col min="259" max="259" width="15.44140625" style="150" customWidth="1"/>
    <col min="260" max="260" width="16.44140625" style="150" customWidth="1"/>
    <col min="261" max="261" width="16.109375" style="150" customWidth="1"/>
    <col min="262" max="262" width="13.6640625" style="150" customWidth="1"/>
    <col min="263" max="263" width="18.88671875" style="150" customWidth="1"/>
    <col min="264" max="264" width="15.6640625" style="150" customWidth="1"/>
    <col min="265" max="266" width="16.5546875" style="150" customWidth="1"/>
    <col min="267" max="267" width="13.109375" style="150" customWidth="1"/>
    <col min="268" max="268" width="13.44140625" style="150" customWidth="1"/>
    <col min="269" max="270" width="14.6640625" style="150" customWidth="1"/>
    <col min="271" max="275" width="14.44140625" style="150" customWidth="1"/>
    <col min="276" max="276" width="14.88671875" style="150" customWidth="1"/>
    <col min="277" max="277" width="10.88671875" style="150" customWidth="1"/>
    <col min="278" max="512" width="9.109375" style="150"/>
    <col min="513" max="513" width="8.44140625" style="150" customWidth="1"/>
    <col min="514" max="514" width="14.44140625" style="150" customWidth="1"/>
    <col min="515" max="515" width="15.44140625" style="150" customWidth="1"/>
    <col min="516" max="516" width="16.44140625" style="150" customWidth="1"/>
    <col min="517" max="517" width="16.109375" style="150" customWidth="1"/>
    <col min="518" max="518" width="13.6640625" style="150" customWidth="1"/>
    <col min="519" max="519" width="18.88671875" style="150" customWidth="1"/>
    <col min="520" max="520" width="15.6640625" style="150" customWidth="1"/>
    <col min="521" max="522" width="16.5546875" style="150" customWidth="1"/>
    <col min="523" max="523" width="13.109375" style="150" customWidth="1"/>
    <col min="524" max="524" width="13.44140625" style="150" customWidth="1"/>
    <col min="525" max="526" width="14.6640625" style="150" customWidth="1"/>
    <col min="527" max="531" width="14.44140625" style="150" customWidth="1"/>
    <col min="532" max="532" width="14.88671875" style="150" customWidth="1"/>
    <col min="533" max="533" width="10.88671875" style="150" customWidth="1"/>
    <col min="534" max="768" width="9.109375" style="150"/>
    <col min="769" max="769" width="8.44140625" style="150" customWidth="1"/>
    <col min="770" max="770" width="14.44140625" style="150" customWidth="1"/>
    <col min="771" max="771" width="15.44140625" style="150" customWidth="1"/>
    <col min="772" max="772" width="16.44140625" style="150" customWidth="1"/>
    <col min="773" max="773" width="16.109375" style="150" customWidth="1"/>
    <col min="774" max="774" width="13.6640625" style="150" customWidth="1"/>
    <col min="775" max="775" width="18.88671875" style="150" customWidth="1"/>
    <col min="776" max="776" width="15.6640625" style="150" customWidth="1"/>
    <col min="777" max="778" width="16.5546875" style="150" customWidth="1"/>
    <col min="779" max="779" width="13.109375" style="150" customWidth="1"/>
    <col min="780" max="780" width="13.44140625" style="150" customWidth="1"/>
    <col min="781" max="782" width="14.6640625" style="150" customWidth="1"/>
    <col min="783" max="787" width="14.44140625" style="150" customWidth="1"/>
    <col min="788" max="788" width="14.88671875" style="150" customWidth="1"/>
    <col min="789" max="789" width="10.88671875" style="150" customWidth="1"/>
    <col min="790" max="1024" width="9.109375" style="150"/>
    <col min="1025" max="1025" width="8.44140625" style="150" customWidth="1"/>
    <col min="1026" max="1026" width="14.44140625" style="150" customWidth="1"/>
    <col min="1027" max="1027" width="15.44140625" style="150" customWidth="1"/>
    <col min="1028" max="1028" width="16.44140625" style="150" customWidth="1"/>
    <col min="1029" max="1029" width="16.109375" style="150" customWidth="1"/>
    <col min="1030" max="1030" width="13.6640625" style="150" customWidth="1"/>
    <col min="1031" max="1031" width="18.88671875" style="150" customWidth="1"/>
    <col min="1032" max="1032" width="15.6640625" style="150" customWidth="1"/>
    <col min="1033" max="1034" width="16.5546875" style="150" customWidth="1"/>
    <col min="1035" max="1035" width="13.109375" style="150" customWidth="1"/>
    <col min="1036" max="1036" width="13.44140625" style="150" customWidth="1"/>
    <col min="1037" max="1038" width="14.6640625" style="150" customWidth="1"/>
    <col min="1039" max="1043" width="14.44140625" style="150" customWidth="1"/>
    <col min="1044" max="1044" width="14.88671875" style="150" customWidth="1"/>
    <col min="1045" max="1045" width="10.88671875" style="150" customWidth="1"/>
    <col min="1046" max="1280" width="9.109375" style="150"/>
    <col min="1281" max="1281" width="8.44140625" style="150" customWidth="1"/>
    <col min="1282" max="1282" width="14.44140625" style="150" customWidth="1"/>
    <col min="1283" max="1283" width="15.44140625" style="150" customWidth="1"/>
    <col min="1284" max="1284" width="16.44140625" style="150" customWidth="1"/>
    <col min="1285" max="1285" width="16.109375" style="150" customWidth="1"/>
    <col min="1286" max="1286" width="13.6640625" style="150" customWidth="1"/>
    <col min="1287" max="1287" width="18.88671875" style="150" customWidth="1"/>
    <col min="1288" max="1288" width="15.6640625" style="150" customWidth="1"/>
    <col min="1289" max="1290" width="16.5546875" style="150" customWidth="1"/>
    <col min="1291" max="1291" width="13.109375" style="150" customWidth="1"/>
    <col min="1292" max="1292" width="13.44140625" style="150" customWidth="1"/>
    <col min="1293" max="1294" width="14.6640625" style="150" customWidth="1"/>
    <col min="1295" max="1299" width="14.44140625" style="150" customWidth="1"/>
    <col min="1300" max="1300" width="14.88671875" style="150" customWidth="1"/>
    <col min="1301" max="1301" width="10.88671875" style="150" customWidth="1"/>
    <col min="1302" max="1536" width="9.109375" style="150"/>
    <col min="1537" max="1537" width="8.44140625" style="150" customWidth="1"/>
    <col min="1538" max="1538" width="14.44140625" style="150" customWidth="1"/>
    <col min="1539" max="1539" width="15.44140625" style="150" customWidth="1"/>
    <col min="1540" max="1540" width="16.44140625" style="150" customWidth="1"/>
    <col min="1541" max="1541" width="16.109375" style="150" customWidth="1"/>
    <col min="1542" max="1542" width="13.6640625" style="150" customWidth="1"/>
    <col min="1543" max="1543" width="18.88671875" style="150" customWidth="1"/>
    <col min="1544" max="1544" width="15.6640625" style="150" customWidth="1"/>
    <col min="1545" max="1546" width="16.5546875" style="150" customWidth="1"/>
    <col min="1547" max="1547" width="13.109375" style="150" customWidth="1"/>
    <col min="1548" max="1548" width="13.44140625" style="150" customWidth="1"/>
    <col min="1549" max="1550" width="14.6640625" style="150" customWidth="1"/>
    <col min="1551" max="1555" width="14.44140625" style="150" customWidth="1"/>
    <col min="1556" max="1556" width="14.88671875" style="150" customWidth="1"/>
    <col min="1557" max="1557" width="10.88671875" style="150" customWidth="1"/>
    <col min="1558" max="1792" width="9.109375" style="150"/>
    <col min="1793" max="1793" width="8.44140625" style="150" customWidth="1"/>
    <col min="1794" max="1794" width="14.44140625" style="150" customWidth="1"/>
    <col min="1795" max="1795" width="15.44140625" style="150" customWidth="1"/>
    <col min="1796" max="1796" width="16.44140625" style="150" customWidth="1"/>
    <col min="1797" max="1797" width="16.109375" style="150" customWidth="1"/>
    <col min="1798" max="1798" width="13.6640625" style="150" customWidth="1"/>
    <col min="1799" max="1799" width="18.88671875" style="150" customWidth="1"/>
    <col min="1800" max="1800" width="15.6640625" style="150" customWidth="1"/>
    <col min="1801" max="1802" width="16.5546875" style="150" customWidth="1"/>
    <col min="1803" max="1803" width="13.109375" style="150" customWidth="1"/>
    <col min="1804" max="1804" width="13.44140625" style="150" customWidth="1"/>
    <col min="1805" max="1806" width="14.6640625" style="150" customWidth="1"/>
    <col min="1807" max="1811" width="14.44140625" style="150" customWidth="1"/>
    <col min="1812" max="1812" width="14.88671875" style="150" customWidth="1"/>
    <col min="1813" max="1813" width="10.88671875" style="150" customWidth="1"/>
    <col min="1814" max="2048" width="9.109375" style="150"/>
    <col min="2049" max="2049" width="8.44140625" style="150" customWidth="1"/>
    <col min="2050" max="2050" width="14.44140625" style="150" customWidth="1"/>
    <col min="2051" max="2051" width="15.44140625" style="150" customWidth="1"/>
    <col min="2052" max="2052" width="16.44140625" style="150" customWidth="1"/>
    <col min="2053" max="2053" width="16.109375" style="150" customWidth="1"/>
    <col min="2054" max="2054" width="13.6640625" style="150" customWidth="1"/>
    <col min="2055" max="2055" width="18.88671875" style="150" customWidth="1"/>
    <col min="2056" max="2056" width="15.6640625" style="150" customWidth="1"/>
    <col min="2057" max="2058" width="16.5546875" style="150" customWidth="1"/>
    <col min="2059" max="2059" width="13.109375" style="150" customWidth="1"/>
    <col min="2060" max="2060" width="13.44140625" style="150" customWidth="1"/>
    <col min="2061" max="2062" width="14.6640625" style="150" customWidth="1"/>
    <col min="2063" max="2067" width="14.44140625" style="150" customWidth="1"/>
    <col min="2068" max="2068" width="14.88671875" style="150" customWidth="1"/>
    <col min="2069" max="2069" width="10.88671875" style="150" customWidth="1"/>
    <col min="2070" max="2304" width="9.109375" style="150"/>
    <col min="2305" max="2305" width="8.44140625" style="150" customWidth="1"/>
    <col min="2306" max="2306" width="14.44140625" style="150" customWidth="1"/>
    <col min="2307" max="2307" width="15.44140625" style="150" customWidth="1"/>
    <col min="2308" max="2308" width="16.44140625" style="150" customWidth="1"/>
    <col min="2309" max="2309" width="16.109375" style="150" customWidth="1"/>
    <col min="2310" max="2310" width="13.6640625" style="150" customWidth="1"/>
    <col min="2311" max="2311" width="18.88671875" style="150" customWidth="1"/>
    <col min="2312" max="2312" width="15.6640625" style="150" customWidth="1"/>
    <col min="2313" max="2314" width="16.5546875" style="150" customWidth="1"/>
    <col min="2315" max="2315" width="13.109375" style="150" customWidth="1"/>
    <col min="2316" max="2316" width="13.44140625" style="150" customWidth="1"/>
    <col min="2317" max="2318" width="14.6640625" style="150" customWidth="1"/>
    <col min="2319" max="2323" width="14.44140625" style="150" customWidth="1"/>
    <col min="2324" max="2324" width="14.88671875" style="150" customWidth="1"/>
    <col min="2325" max="2325" width="10.88671875" style="150" customWidth="1"/>
    <col min="2326" max="2560" width="9.109375" style="150"/>
    <col min="2561" max="2561" width="8.44140625" style="150" customWidth="1"/>
    <col min="2562" max="2562" width="14.44140625" style="150" customWidth="1"/>
    <col min="2563" max="2563" width="15.44140625" style="150" customWidth="1"/>
    <col min="2564" max="2564" width="16.44140625" style="150" customWidth="1"/>
    <col min="2565" max="2565" width="16.109375" style="150" customWidth="1"/>
    <col min="2566" max="2566" width="13.6640625" style="150" customWidth="1"/>
    <col min="2567" max="2567" width="18.88671875" style="150" customWidth="1"/>
    <col min="2568" max="2568" width="15.6640625" style="150" customWidth="1"/>
    <col min="2569" max="2570" width="16.5546875" style="150" customWidth="1"/>
    <col min="2571" max="2571" width="13.109375" style="150" customWidth="1"/>
    <col min="2572" max="2572" width="13.44140625" style="150" customWidth="1"/>
    <col min="2573" max="2574" width="14.6640625" style="150" customWidth="1"/>
    <col min="2575" max="2579" width="14.44140625" style="150" customWidth="1"/>
    <col min="2580" max="2580" width="14.88671875" style="150" customWidth="1"/>
    <col min="2581" max="2581" width="10.88671875" style="150" customWidth="1"/>
    <col min="2582" max="2816" width="9.109375" style="150"/>
    <col min="2817" max="2817" width="8.44140625" style="150" customWidth="1"/>
    <col min="2818" max="2818" width="14.44140625" style="150" customWidth="1"/>
    <col min="2819" max="2819" width="15.44140625" style="150" customWidth="1"/>
    <col min="2820" max="2820" width="16.44140625" style="150" customWidth="1"/>
    <col min="2821" max="2821" width="16.109375" style="150" customWidth="1"/>
    <col min="2822" max="2822" width="13.6640625" style="150" customWidth="1"/>
    <col min="2823" max="2823" width="18.88671875" style="150" customWidth="1"/>
    <col min="2824" max="2824" width="15.6640625" style="150" customWidth="1"/>
    <col min="2825" max="2826" width="16.5546875" style="150" customWidth="1"/>
    <col min="2827" max="2827" width="13.109375" style="150" customWidth="1"/>
    <col min="2828" max="2828" width="13.44140625" style="150" customWidth="1"/>
    <col min="2829" max="2830" width="14.6640625" style="150" customWidth="1"/>
    <col min="2831" max="2835" width="14.44140625" style="150" customWidth="1"/>
    <col min="2836" max="2836" width="14.88671875" style="150" customWidth="1"/>
    <col min="2837" max="2837" width="10.88671875" style="150" customWidth="1"/>
    <col min="2838" max="3072" width="9.109375" style="150"/>
    <col min="3073" max="3073" width="8.44140625" style="150" customWidth="1"/>
    <col min="3074" max="3074" width="14.44140625" style="150" customWidth="1"/>
    <col min="3075" max="3075" width="15.44140625" style="150" customWidth="1"/>
    <col min="3076" max="3076" width="16.44140625" style="150" customWidth="1"/>
    <col min="3077" max="3077" width="16.109375" style="150" customWidth="1"/>
    <col min="3078" max="3078" width="13.6640625" style="150" customWidth="1"/>
    <col min="3079" max="3079" width="18.88671875" style="150" customWidth="1"/>
    <col min="3080" max="3080" width="15.6640625" style="150" customWidth="1"/>
    <col min="3081" max="3082" width="16.5546875" style="150" customWidth="1"/>
    <col min="3083" max="3083" width="13.109375" style="150" customWidth="1"/>
    <col min="3084" max="3084" width="13.44140625" style="150" customWidth="1"/>
    <col min="3085" max="3086" width="14.6640625" style="150" customWidth="1"/>
    <col min="3087" max="3091" width="14.44140625" style="150" customWidth="1"/>
    <col min="3092" max="3092" width="14.88671875" style="150" customWidth="1"/>
    <col min="3093" max="3093" width="10.88671875" style="150" customWidth="1"/>
    <col min="3094" max="3328" width="9.109375" style="150"/>
    <col min="3329" max="3329" width="8.44140625" style="150" customWidth="1"/>
    <col min="3330" max="3330" width="14.44140625" style="150" customWidth="1"/>
    <col min="3331" max="3331" width="15.44140625" style="150" customWidth="1"/>
    <col min="3332" max="3332" width="16.44140625" style="150" customWidth="1"/>
    <col min="3333" max="3333" width="16.109375" style="150" customWidth="1"/>
    <col min="3334" max="3334" width="13.6640625" style="150" customWidth="1"/>
    <col min="3335" max="3335" width="18.88671875" style="150" customWidth="1"/>
    <col min="3336" max="3336" width="15.6640625" style="150" customWidth="1"/>
    <col min="3337" max="3338" width="16.5546875" style="150" customWidth="1"/>
    <col min="3339" max="3339" width="13.109375" style="150" customWidth="1"/>
    <col min="3340" max="3340" width="13.44140625" style="150" customWidth="1"/>
    <col min="3341" max="3342" width="14.6640625" style="150" customWidth="1"/>
    <col min="3343" max="3347" width="14.44140625" style="150" customWidth="1"/>
    <col min="3348" max="3348" width="14.88671875" style="150" customWidth="1"/>
    <col min="3349" max="3349" width="10.88671875" style="150" customWidth="1"/>
    <col min="3350" max="3584" width="9.109375" style="150"/>
    <col min="3585" max="3585" width="8.44140625" style="150" customWidth="1"/>
    <col min="3586" max="3586" width="14.44140625" style="150" customWidth="1"/>
    <col min="3587" max="3587" width="15.44140625" style="150" customWidth="1"/>
    <col min="3588" max="3588" width="16.44140625" style="150" customWidth="1"/>
    <col min="3589" max="3589" width="16.109375" style="150" customWidth="1"/>
    <col min="3590" max="3590" width="13.6640625" style="150" customWidth="1"/>
    <col min="3591" max="3591" width="18.88671875" style="150" customWidth="1"/>
    <col min="3592" max="3592" width="15.6640625" style="150" customWidth="1"/>
    <col min="3593" max="3594" width="16.5546875" style="150" customWidth="1"/>
    <col min="3595" max="3595" width="13.109375" style="150" customWidth="1"/>
    <col min="3596" max="3596" width="13.44140625" style="150" customWidth="1"/>
    <col min="3597" max="3598" width="14.6640625" style="150" customWidth="1"/>
    <col min="3599" max="3603" width="14.44140625" style="150" customWidth="1"/>
    <col min="3604" max="3604" width="14.88671875" style="150" customWidth="1"/>
    <col min="3605" max="3605" width="10.88671875" style="150" customWidth="1"/>
    <col min="3606" max="3840" width="9.109375" style="150"/>
    <col min="3841" max="3841" width="8.44140625" style="150" customWidth="1"/>
    <col min="3842" max="3842" width="14.44140625" style="150" customWidth="1"/>
    <col min="3843" max="3843" width="15.44140625" style="150" customWidth="1"/>
    <col min="3844" max="3844" width="16.44140625" style="150" customWidth="1"/>
    <col min="3845" max="3845" width="16.109375" style="150" customWidth="1"/>
    <col min="3846" max="3846" width="13.6640625" style="150" customWidth="1"/>
    <col min="3847" max="3847" width="18.88671875" style="150" customWidth="1"/>
    <col min="3848" max="3848" width="15.6640625" style="150" customWidth="1"/>
    <col min="3849" max="3850" width="16.5546875" style="150" customWidth="1"/>
    <col min="3851" max="3851" width="13.109375" style="150" customWidth="1"/>
    <col min="3852" max="3852" width="13.44140625" style="150" customWidth="1"/>
    <col min="3853" max="3854" width="14.6640625" style="150" customWidth="1"/>
    <col min="3855" max="3859" width="14.44140625" style="150" customWidth="1"/>
    <col min="3860" max="3860" width="14.88671875" style="150" customWidth="1"/>
    <col min="3861" max="3861" width="10.88671875" style="150" customWidth="1"/>
    <col min="3862" max="4096" width="9.109375" style="150"/>
    <col min="4097" max="4097" width="8.44140625" style="150" customWidth="1"/>
    <col min="4098" max="4098" width="14.44140625" style="150" customWidth="1"/>
    <col min="4099" max="4099" width="15.44140625" style="150" customWidth="1"/>
    <col min="4100" max="4100" width="16.44140625" style="150" customWidth="1"/>
    <col min="4101" max="4101" width="16.109375" style="150" customWidth="1"/>
    <col min="4102" max="4102" width="13.6640625" style="150" customWidth="1"/>
    <col min="4103" max="4103" width="18.88671875" style="150" customWidth="1"/>
    <col min="4104" max="4104" width="15.6640625" style="150" customWidth="1"/>
    <col min="4105" max="4106" width="16.5546875" style="150" customWidth="1"/>
    <col min="4107" max="4107" width="13.109375" style="150" customWidth="1"/>
    <col min="4108" max="4108" width="13.44140625" style="150" customWidth="1"/>
    <col min="4109" max="4110" width="14.6640625" style="150" customWidth="1"/>
    <col min="4111" max="4115" width="14.44140625" style="150" customWidth="1"/>
    <col min="4116" max="4116" width="14.88671875" style="150" customWidth="1"/>
    <col min="4117" max="4117" width="10.88671875" style="150" customWidth="1"/>
    <col min="4118" max="4352" width="9.109375" style="150"/>
    <col min="4353" max="4353" width="8.44140625" style="150" customWidth="1"/>
    <col min="4354" max="4354" width="14.44140625" style="150" customWidth="1"/>
    <col min="4355" max="4355" width="15.44140625" style="150" customWidth="1"/>
    <col min="4356" max="4356" width="16.44140625" style="150" customWidth="1"/>
    <col min="4357" max="4357" width="16.109375" style="150" customWidth="1"/>
    <col min="4358" max="4358" width="13.6640625" style="150" customWidth="1"/>
    <col min="4359" max="4359" width="18.88671875" style="150" customWidth="1"/>
    <col min="4360" max="4360" width="15.6640625" style="150" customWidth="1"/>
    <col min="4361" max="4362" width="16.5546875" style="150" customWidth="1"/>
    <col min="4363" max="4363" width="13.109375" style="150" customWidth="1"/>
    <col min="4364" max="4364" width="13.44140625" style="150" customWidth="1"/>
    <col min="4365" max="4366" width="14.6640625" style="150" customWidth="1"/>
    <col min="4367" max="4371" width="14.44140625" style="150" customWidth="1"/>
    <col min="4372" max="4372" width="14.88671875" style="150" customWidth="1"/>
    <col min="4373" max="4373" width="10.88671875" style="150" customWidth="1"/>
    <col min="4374" max="4608" width="9.109375" style="150"/>
    <col min="4609" max="4609" width="8.44140625" style="150" customWidth="1"/>
    <col min="4610" max="4610" width="14.44140625" style="150" customWidth="1"/>
    <col min="4611" max="4611" width="15.44140625" style="150" customWidth="1"/>
    <col min="4612" max="4612" width="16.44140625" style="150" customWidth="1"/>
    <col min="4613" max="4613" width="16.109375" style="150" customWidth="1"/>
    <col min="4614" max="4614" width="13.6640625" style="150" customWidth="1"/>
    <col min="4615" max="4615" width="18.88671875" style="150" customWidth="1"/>
    <col min="4616" max="4616" width="15.6640625" style="150" customWidth="1"/>
    <col min="4617" max="4618" width="16.5546875" style="150" customWidth="1"/>
    <col min="4619" max="4619" width="13.109375" style="150" customWidth="1"/>
    <col min="4620" max="4620" width="13.44140625" style="150" customWidth="1"/>
    <col min="4621" max="4622" width="14.6640625" style="150" customWidth="1"/>
    <col min="4623" max="4627" width="14.44140625" style="150" customWidth="1"/>
    <col min="4628" max="4628" width="14.88671875" style="150" customWidth="1"/>
    <col min="4629" max="4629" width="10.88671875" style="150" customWidth="1"/>
    <col min="4630" max="4864" width="9.109375" style="150"/>
    <col min="4865" max="4865" width="8.44140625" style="150" customWidth="1"/>
    <col min="4866" max="4866" width="14.44140625" style="150" customWidth="1"/>
    <col min="4867" max="4867" width="15.44140625" style="150" customWidth="1"/>
    <col min="4868" max="4868" width="16.44140625" style="150" customWidth="1"/>
    <col min="4869" max="4869" width="16.109375" style="150" customWidth="1"/>
    <col min="4870" max="4870" width="13.6640625" style="150" customWidth="1"/>
    <col min="4871" max="4871" width="18.88671875" style="150" customWidth="1"/>
    <col min="4872" max="4872" width="15.6640625" style="150" customWidth="1"/>
    <col min="4873" max="4874" width="16.5546875" style="150" customWidth="1"/>
    <col min="4875" max="4875" width="13.109375" style="150" customWidth="1"/>
    <col min="4876" max="4876" width="13.44140625" style="150" customWidth="1"/>
    <col min="4877" max="4878" width="14.6640625" style="150" customWidth="1"/>
    <col min="4879" max="4883" width="14.44140625" style="150" customWidth="1"/>
    <col min="4884" max="4884" width="14.88671875" style="150" customWidth="1"/>
    <col min="4885" max="4885" width="10.88671875" style="150" customWidth="1"/>
    <col min="4886" max="5120" width="9.109375" style="150"/>
    <col min="5121" max="5121" width="8.44140625" style="150" customWidth="1"/>
    <col min="5122" max="5122" width="14.44140625" style="150" customWidth="1"/>
    <col min="5123" max="5123" width="15.44140625" style="150" customWidth="1"/>
    <col min="5124" max="5124" width="16.44140625" style="150" customWidth="1"/>
    <col min="5125" max="5125" width="16.109375" style="150" customWidth="1"/>
    <col min="5126" max="5126" width="13.6640625" style="150" customWidth="1"/>
    <col min="5127" max="5127" width="18.88671875" style="150" customWidth="1"/>
    <col min="5128" max="5128" width="15.6640625" style="150" customWidth="1"/>
    <col min="5129" max="5130" width="16.5546875" style="150" customWidth="1"/>
    <col min="5131" max="5131" width="13.109375" style="150" customWidth="1"/>
    <col min="5132" max="5132" width="13.44140625" style="150" customWidth="1"/>
    <col min="5133" max="5134" width="14.6640625" style="150" customWidth="1"/>
    <col min="5135" max="5139" width="14.44140625" style="150" customWidth="1"/>
    <col min="5140" max="5140" width="14.88671875" style="150" customWidth="1"/>
    <col min="5141" max="5141" width="10.88671875" style="150" customWidth="1"/>
    <col min="5142" max="5376" width="9.109375" style="150"/>
    <col min="5377" max="5377" width="8.44140625" style="150" customWidth="1"/>
    <col min="5378" max="5378" width="14.44140625" style="150" customWidth="1"/>
    <col min="5379" max="5379" width="15.44140625" style="150" customWidth="1"/>
    <col min="5380" max="5380" width="16.44140625" style="150" customWidth="1"/>
    <col min="5381" max="5381" width="16.109375" style="150" customWidth="1"/>
    <col min="5382" max="5382" width="13.6640625" style="150" customWidth="1"/>
    <col min="5383" max="5383" width="18.88671875" style="150" customWidth="1"/>
    <col min="5384" max="5384" width="15.6640625" style="150" customWidth="1"/>
    <col min="5385" max="5386" width="16.5546875" style="150" customWidth="1"/>
    <col min="5387" max="5387" width="13.109375" style="150" customWidth="1"/>
    <col min="5388" max="5388" width="13.44140625" style="150" customWidth="1"/>
    <col min="5389" max="5390" width="14.6640625" style="150" customWidth="1"/>
    <col min="5391" max="5395" width="14.44140625" style="150" customWidth="1"/>
    <col min="5396" max="5396" width="14.88671875" style="150" customWidth="1"/>
    <col min="5397" max="5397" width="10.88671875" style="150" customWidth="1"/>
    <col min="5398" max="5632" width="9.109375" style="150"/>
    <col min="5633" max="5633" width="8.44140625" style="150" customWidth="1"/>
    <col min="5634" max="5634" width="14.44140625" style="150" customWidth="1"/>
    <col min="5635" max="5635" width="15.44140625" style="150" customWidth="1"/>
    <col min="5636" max="5636" width="16.44140625" style="150" customWidth="1"/>
    <col min="5637" max="5637" width="16.109375" style="150" customWidth="1"/>
    <col min="5638" max="5638" width="13.6640625" style="150" customWidth="1"/>
    <col min="5639" max="5639" width="18.88671875" style="150" customWidth="1"/>
    <col min="5640" max="5640" width="15.6640625" style="150" customWidth="1"/>
    <col min="5641" max="5642" width="16.5546875" style="150" customWidth="1"/>
    <col min="5643" max="5643" width="13.109375" style="150" customWidth="1"/>
    <col min="5644" max="5644" width="13.44140625" style="150" customWidth="1"/>
    <col min="5645" max="5646" width="14.6640625" style="150" customWidth="1"/>
    <col min="5647" max="5651" width="14.44140625" style="150" customWidth="1"/>
    <col min="5652" max="5652" width="14.88671875" style="150" customWidth="1"/>
    <col min="5653" max="5653" width="10.88671875" style="150" customWidth="1"/>
    <col min="5654" max="5888" width="9.109375" style="150"/>
    <col min="5889" max="5889" width="8.44140625" style="150" customWidth="1"/>
    <col min="5890" max="5890" width="14.44140625" style="150" customWidth="1"/>
    <col min="5891" max="5891" width="15.44140625" style="150" customWidth="1"/>
    <col min="5892" max="5892" width="16.44140625" style="150" customWidth="1"/>
    <col min="5893" max="5893" width="16.109375" style="150" customWidth="1"/>
    <col min="5894" max="5894" width="13.6640625" style="150" customWidth="1"/>
    <col min="5895" max="5895" width="18.88671875" style="150" customWidth="1"/>
    <col min="5896" max="5896" width="15.6640625" style="150" customWidth="1"/>
    <col min="5897" max="5898" width="16.5546875" style="150" customWidth="1"/>
    <col min="5899" max="5899" width="13.109375" style="150" customWidth="1"/>
    <col min="5900" max="5900" width="13.44140625" style="150" customWidth="1"/>
    <col min="5901" max="5902" width="14.6640625" style="150" customWidth="1"/>
    <col min="5903" max="5907" width="14.44140625" style="150" customWidth="1"/>
    <col min="5908" max="5908" width="14.88671875" style="150" customWidth="1"/>
    <col min="5909" max="5909" width="10.88671875" style="150" customWidth="1"/>
    <col min="5910" max="6144" width="9.109375" style="150"/>
    <col min="6145" max="6145" width="8.44140625" style="150" customWidth="1"/>
    <col min="6146" max="6146" width="14.44140625" style="150" customWidth="1"/>
    <col min="6147" max="6147" width="15.44140625" style="150" customWidth="1"/>
    <col min="6148" max="6148" width="16.44140625" style="150" customWidth="1"/>
    <col min="6149" max="6149" width="16.109375" style="150" customWidth="1"/>
    <col min="6150" max="6150" width="13.6640625" style="150" customWidth="1"/>
    <col min="6151" max="6151" width="18.88671875" style="150" customWidth="1"/>
    <col min="6152" max="6152" width="15.6640625" style="150" customWidth="1"/>
    <col min="6153" max="6154" width="16.5546875" style="150" customWidth="1"/>
    <col min="6155" max="6155" width="13.109375" style="150" customWidth="1"/>
    <col min="6156" max="6156" width="13.44140625" style="150" customWidth="1"/>
    <col min="6157" max="6158" width="14.6640625" style="150" customWidth="1"/>
    <col min="6159" max="6163" width="14.44140625" style="150" customWidth="1"/>
    <col min="6164" max="6164" width="14.88671875" style="150" customWidth="1"/>
    <col min="6165" max="6165" width="10.88671875" style="150" customWidth="1"/>
    <col min="6166" max="6400" width="9.109375" style="150"/>
    <col min="6401" max="6401" width="8.44140625" style="150" customWidth="1"/>
    <col min="6402" max="6402" width="14.44140625" style="150" customWidth="1"/>
    <col min="6403" max="6403" width="15.44140625" style="150" customWidth="1"/>
    <col min="6404" max="6404" width="16.44140625" style="150" customWidth="1"/>
    <col min="6405" max="6405" width="16.109375" style="150" customWidth="1"/>
    <col min="6406" max="6406" width="13.6640625" style="150" customWidth="1"/>
    <col min="6407" max="6407" width="18.88671875" style="150" customWidth="1"/>
    <col min="6408" max="6408" width="15.6640625" style="150" customWidth="1"/>
    <col min="6409" max="6410" width="16.5546875" style="150" customWidth="1"/>
    <col min="6411" max="6411" width="13.109375" style="150" customWidth="1"/>
    <col min="6412" max="6412" width="13.44140625" style="150" customWidth="1"/>
    <col min="6413" max="6414" width="14.6640625" style="150" customWidth="1"/>
    <col min="6415" max="6419" width="14.44140625" style="150" customWidth="1"/>
    <col min="6420" max="6420" width="14.88671875" style="150" customWidth="1"/>
    <col min="6421" max="6421" width="10.88671875" style="150" customWidth="1"/>
    <col min="6422" max="6656" width="9.109375" style="150"/>
    <col min="6657" max="6657" width="8.44140625" style="150" customWidth="1"/>
    <col min="6658" max="6658" width="14.44140625" style="150" customWidth="1"/>
    <col min="6659" max="6659" width="15.44140625" style="150" customWidth="1"/>
    <col min="6660" max="6660" width="16.44140625" style="150" customWidth="1"/>
    <col min="6661" max="6661" width="16.109375" style="150" customWidth="1"/>
    <col min="6662" max="6662" width="13.6640625" style="150" customWidth="1"/>
    <col min="6663" max="6663" width="18.88671875" style="150" customWidth="1"/>
    <col min="6664" max="6664" width="15.6640625" style="150" customWidth="1"/>
    <col min="6665" max="6666" width="16.5546875" style="150" customWidth="1"/>
    <col min="6667" max="6667" width="13.109375" style="150" customWidth="1"/>
    <col min="6668" max="6668" width="13.44140625" style="150" customWidth="1"/>
    <col min="6669" max="6670" width="14.6640625" style="150" customWidth="1"/>
    <col min="6671" max="6675" width="14.44140625" style="150" customWidth="1"/>
    <col min="6676" max="6676" width="14.88671875" style="150" customWidth="1"/>
    <col min="6677" max="6677" width="10.88671875" style="150" customWidth="1"/>
    <col min="6678" max="6912" width="9.109375" style="150"/>
    <col min="6913" max="6913" width="8.44140625" style="150" customWidth="1"/>
    <col min="6914" max="6914" width="14.44140625" style="150" customWidth="1"/>
    <col min="6915" max="6915" width="15.44140625" style="150" customWidth="1"/>
    <col min="6916" max="6916" width="16.44140625" style="150" customWidth="1"/>
    <col min="6917" max="6917" width="16.109375" style="150" customWidth="1"/>
    <col min="6918" max="6918" width="13.6640625" style="150" customWidth="1"/>
    <col min="6919" max="6919" width="18.88671875" style="150" customWidth="1"/>
    <col min="6920" max="6920" width="15.6640625" style="150" customWidth="1"/>
    <col min="6921" max="6922" width="16.5546875" style="150" customWidth="1"/>
    <col min="6923" max="6923" width="13.109375" style="150" customWidth="1"/>
    <col min="6924" max="6924" width="13.44140625" style="150" customWidth="1"/>
    <col min="6925" max="6926" width="14.6640625" style="150" customWidth="1"/>
    <col min="6927" max="6931" width="14.44140625" style="150" customWidth="1"/>
    <col min="6932" max="6932" width="14.88671875" style="150" customWidth="1"/>
    <col min="6933" max="6933" width="10.88671875" style="150" customWidth="1"/>
    <col min="6934" max="7168" width="9.109375" style="150"/>
    <col min="7169" max="7169" width="8.44140625" style="150" customWidth="1"/>
    <col min="7170" max="7170" width="14.44140625" style="150" customWidth="1"/>
    <col min="7171" max="7171" width="15.44140625" style="150" customWidth="1"/>
    <col min="7172" max="7172" width="16.44140625" style="150" customWidth="1"/>
    <col min="7173" max="7173" width="16.109375" style="150" customWidth="1"/>
    <col min="7174" max="7174" width="13.6640625" style="150" customWidth="1"/>
    <col min="7175" max="7175" width="18.88671875" style="150" customWidth="1"/>
    <col min="7176" max="7176" width="15.6640625" style="150" customWidth="1"/>
    <col min="7177" max="7178" width="16.5546875" style="150" customWidth="1"/>
    <col min="7179" max="7179" width="13.109375" style="150" customWidth="1"/>
    <col min="7180" max="7180" width="13.44140625" style="150" customWidth="1"/>
    <col min="7181" max="7182" width="14.6640625" style="150" customWidth="1"/>
    <col min="7183" max="7187" width="14.44140625" style="150" customWidth="1"/>
    <col min="7188" max="7188" width="14.88671875" style="150" customWidth="1"/>
    <col min="7189" max="7189" width="10.88671875" style="150" customWidth="1"/>
    <col min="7190" max="7424" width="9.109375" style="150"/>
    <col min="7425" max="7425" width="8.44140625" style="150" customWidth="1"/>
    <col min="7426" max="7426" width="14.44140625" style="150" customWidth="1"/>
    <col min="7427" max="7427" width="15.44140625" style="150" customWidth="1"/>
    <col min="7428" max="7428" width="16.44140625" style="150" customWidth="1"/>
    <col min="7429" max="7429" width="16.109375" style="150" customWidth="1"/>
    <col min="7430" max="7430" width="13.6640625" style="150" customWidth="1"/>
    <col min="7431" max="7431" width="18.88671875" style="150" customWidth="1"/>
    <col min="7432" max="7432" width="15.6640625" style="150" customWidth="1"/>
    <col min="7433" max="7434" width="16.5546875" style="150" customWidth="1"/>
    <col min="7435" max="7435" width="13.109375" style="150" customWidth="1"/>
    <col min="7436" max="7436" width="13.44140625" style="150" customWidth="1"/>
    <col min="7437" max="7438" width="14.6640625" style="150" customWidth="1"/>
    <col min="7439" max="7443" width="14.44140625" style="150" customWidth="1"/>
    <col min="7444" max="7444" width="14.88671875" style="150" customWidth="1"/>
    <col min="7445" max="7445" width="10.88671875" style="150" customWidth="1"/>
    <col min="7446" max="7680" width="9.109375" style="150"/>
    <col min="7681" max="7681" width="8.44140625" style="150" customWidth="1"/>
    <col min="7682" max="7682" width="14.44140625" style="150" customWidth="1"/>
    <col min="7683" max="7683" width="15.44140625" style="150" customWidth="1"/>
    <col min="7684" max="7684" width="16.44140625" style="150" customWidth="1"/>
    <col min="7685" max="7685" width="16.109375" style="150" customWidth="1"/>
    <col min="7686" max="7686" width="13.6640625" style="150" customWidth="1"/>
    <col min="7687" max="7687" width="18.88671875" style="150" customWidth="1"/>
    <col min="7688" max="7688" width="15.6640625" style="150" customWidth="1"/>
    <col min="7689" max="7690" width="16.5546875" style="150" customWidth="1"/>
    <col min="7691" max="7691" width="13.109375" style="150" customWidth="1"/>
    <col min="7692" max="7692" width="13.44140625" style="150" customWidth="1"/>
    <col min="7693" max="7694" width="14.6640625" style="150" customWidth="1"/>
    <col min="7695" max="7699" width="14.44140625" style="150" customWidth="1"/>
    <col min="7700" max="7700" width="14.88671875" style="150" customWidth="1"/>
    <col min="7701" max="7701" width="10.88671875" style="150" customWidth="1"/>
    <col min="7702" max="7936" width="9.109375" style="150"/>
    <col min="7937" max="7937" width="8.44140625" style="150" customWidth="1"/>
    <col min="7938" max="7938" width="14.44140625" style="150" customWidth="1"/>
    <col min="7939" max="7939" width="15.44140625" style="150" customWidth="1"/>
    <col min="7940" max="7940" width="16.44140625" style="150" customWidth="1"/>
    <col min="7941" max="7941" width="16.109375" style="150" customWidth="1"/>
    <col min="7942" max="7942" width="13.6640625" style="150" customWidth="1"/>
    <col min="7943" max="7943" width="18.88671875" style="150" customWidth="1"/>
    <col min="7944" max="7944" width="15.6640625" style="150" customWidth="1"/>
    <col min="7945" max="7946" width="16.5546875" style="150" customWidth="1"/>
    <col min="7947" max="7947" width="13.109375" style="150" customWidth="1"/>
    <col min="7948" max="7948" width="13.44140625" style="150" customWidth="1"/>
    <col min="7949" max="7950" width="14.6640625" style="150" customWidth="1"/>
    <col min="7951" max="7955" width="14.44140625" style="150" customWidth="1"/>
    <col min="7956" max="7956" width="14.88671875" style="150" customWidth="1"/>
    <col min="7957" max="7957" width="10.88671875" style="150" customWidth="1"/>
    <col min="7958" max="8192" width="9.109375" style="150"/>
    <col min="8193" max="8193" width="8.44140625" style="150" customWidth="1"/>
    <col min="8194" max="8194" width="14.44140625" style="150" customWidth="1"/>
    <col min="8195" max="8195" width="15.44140625" style="150" customWidth="1"/>
    <col min="8196" max="8196" width="16.44140625" style="150" customWidth="1"/>
    <col min="8197" max="8197" width="16.109375" style="150" customWidth="1"/>
    <col min="8198" max="8198" width="13.6640625" style="150" customWidth="1"/>
    <col min="8199" max="8199" width="18.88671875" style="150" customWidth="1"/>
    <col min="8200" max="8200" width="15.6640625" style="150" customWidth="1"/>
    <col min="8201" max="8202" width="16.5546875" style="150" customWidth="1"/>
    <col min="8203" max="8203" width="13.109375" style="150" customWidth="1"/>
    <col min="8204" max="8204" width="13.44140625" style="150" customWidth="1"/>
    <col min="8205" max="8206" width="14.6640625" style="150" customWidth="1"/>
    <col min="8207" max="8211" width="14.44140625" style="150" customWidth="1"/>
    <col min="8212" max="8212" width="14.88671875" style="150" customWidth="1"/>
    <col min="8213" max="8213" width="10.88671875" style="150" customWidth="1"/>
    <col min="8214" max="8448" width="9.109375" style="150"/>
    <col min="8449" max="8449" width="8.44140625" style="150" customWidth="1"/>
    <col min="8450" max="8450" width="14.44140625" style="150" customWidth="1"/>
    <col min="8451" max="8451" width="15.44140625" style="150" customWidth="1"/>
    <col min="8452" max="8452" width="16.44140625" style="150" customWidth="1"/>
    <col min="8453" max="8453" width="16.109375" style="150" customWidth="1"/>
    <col min="8454" max="8454" width="13.6640625" style="150" customWidth="1"/>
    <col min="8455" max="8455" width="18.88671875" style="150" customWidth="1"/>
    <col min="8456" max="8456" width="15.6640625" style="150" customWidth="1"/>
    <col min="8457" max="8458" width="16.5546875" style="150" customWidth="1"/>
    <col min="8459" max="8459" width="13.109375" style="150" customWidth="1"/>
    <col min="8460" max="8460" width="13.44140625" style="150" customWidth="1"/>
    <col min="8461" max="8462" width="14.6640625" style="150" customWidth="1"/>
    <col min="8463" max="8467" width="14.44140625" style="150" customWidth="1"/>
    <col min="8468" max="8468" width="14.88671875" style="150" customWidth="1"/>
    <col min="8469" max="8469" width="10.88671875" style="150" customWidth="1"/>
    <col min="8470" max="8704" width="9.109375" style="150"/>
    <col min="8705" max="8705" width="8.44140625" style="150" customWidth="1"/>
    <col min="8706" max="8706" width="14.44140625" style="150" customWidth="1"/>
    <col min="8707" max="8707" width="15.44140625" style="150" customWidth="1"/>
    <col min="8708" max="8708" width="16.44140625" style="150" customWidth="1"/>
    <col min="8709" max="8709" width="16.109375" style="150" customWidth="1"/>
    <col min="8710" max="8710" width="13.6640625" style="150" customWidth="1"/>
    <col min="8711" max="8711" width="18.88671875" style="150" customWidth="1"/>
    <col min="8712" max="8712" width="15.6640625" style="150" customWidth="1"/>
    <col min="8713" max="8714" width="16.5546875" style="150" customWidth="1"/>
    <col min="8715" max="8715" width="13.109375" style="150" customWidth="1"/>
    <col min="8716" max="8716" width="13.44140625" style="150" customWidth="1"/>
    <col min="8717" max="8718" width="14.6640625" style="150" customWidth="1"/>
    <col min="8719" max="8723" width="14.44140625" style="150" customWidth="1"/>
    <col min="8724" max="8724" width="14.88671875" style="150" customWidth="1"/>
    <col min="8725" max="8725" width="10.88671875" style="150" customWidth="1"/>
    <col min="8726" max="8960" width="9.109375" style="150"/>
    <col min="8961" max="8961" width="8.44140625" style="150" customWidth="1"/>
    <col min="8962" max="8962" width="14.44140625" style="150" customWidth="1"/>
    <col min="8963" max="8963" width="15.44140625" style="150" customWidth="1"/>
    <col min="8964" max="8964" width="16.44140625" style="150" customWidth="1"/>
    <col min="8965" max="8965" width="16.109375" style="150" customWidth="1"/>
    <col min="8966" max="8966" width="13.6640625" style="150" customWidth="1"/>
    <col min="8967" max="8967" width="18.88671875" style="150" customWidth="1"/>
    <col min="8968" max="8968" width="15.6640625" style="150" customWidth="1"/>
    <col min="8969" max="8970" width="16.5546875" style="150" customWidth="1"/>
    <col min="8971" max="8971" width="13.109375" style="150" customWidth="1"/>
    <col min="8972" max="8972" width="13.44140625" style="150" customWidth="1"/>
    <col min="8973" max="8974" width="14.6640625" style="150" customWidth="1"/>
    <col min="8975" max="8979" width="14.44140625" style="150" customWidth="1"/>
    <col min="8980" max="8980" width="14.88671875" style="150" customWidth="1"/>
    <col min="8981" max="8981" width="10.88671875" style="150" customWidth="1"/>
    <col min="8982" max="9216" width="9.109375" style="150"/>
    <col min="9217" max="9217" width="8.44140625" style="150" customWidth="1"/>
    <col min="9218" max="9218" width="14.44140625" style="150" customWidth="1"/>
    <col min="9219" max="9219" width="15.44140625" style="150" customWidth="1"/>
    <col min="9220" max="9220" width="16.44140625" style="150" customWidth="1"/>
    <col min="9221" max="9221" width="16.109375" style="150" customWidth="1"/>
    <col min="9222" max="9222" width="13.6640625" style="150" customWidth="1"/>
    <col min="9223" max="9223" width="18.88671875" style="150" customWidth="1"/>
    <col min="9224" max="9224" width="15.6640625" style="150" customWidth="1"/>
    <col min="9225" max="9226" width="16.5546875" style="150" customWidth="1"/>
    <col min="9227" max="9227" width="13.109375" style="150" customWidth="1"/>
    <col min="9228" max="9228" width="13.44140625" style="150" customWidth="1"/>
    <col min="9229" max="9230" width="14.6640625" style="150" customWidth="1"/>
    <col min="9231" max="9235" width="14.44140625" style="150" customWidth="1"/>
    <col min="9236" max="9236" width="14.88671875" style="150" customWidth="1"/>
    <col min="9237" max="9237" width="10.88671875" style="150" customWidth="1"/>
    <col min="9238" max="9472" width="9.109375" style="150"/>
    <col min="9473" max="9473" width="8.44140625" style="150" customWidth="1"/>
    <col min="9474" max="9474" width="14.44140625" style="150" customWidth="1"/>
    <col min="9475" max="9475" width="15.44140625" style="150" customWidth="1"/>
    <col min="9476" max="9476" width="16.44140625" style="150" customWidth="1"/>
    <col min="9477" max="9477" width="16.109375" style="150" customWidth="1"/>
    <col min="9478" max="9478" width="13.6640625" style="150" customWidth="1"/>
    <col min="9479" max="9479" width="18.88671875" style="150" customWidth="1"/>
    <col min="9480" max="9480" width="15.6640625" style="150" customWidth="1"/>
    <col min="9481" max="9482" width="16.5546875" style="150" customWidth="1"/>
    <col min="9483" max="9483" width="13.109375" style="150" customWidth="1"/>
    <col min="9484" max="9484" width="13.44140625" style="150" customWidth="1"/>
    <col min="9485" max="9486" width="14.6640625" style="150" customWidth="1"/>
    <col min="9487" max="9491" width="14.44140625" style="150" customWidth="1"/>
    <col min="9492" max="9492" width="14.88671875" style="150" customWidth="1"/>
    <col min="9493" max="9493" width="10.88671875" style="150" customWidth="1"/>
    <col min="9494" max="9728" width="9.109375" style="150"/>
    <col min="9729" max="9729" width="8.44140625" style="150" customWidth="1"/>
    <col min="9730" max="9730" width="14.44140625" style="150" customWidth="1"/>
    <col min="9731" max="9731" width="15.44140625" style="150" customWidth="1"/>
    <col min="9732" max="9732" width="16.44140625" style="150" customWidth="1"/>
    <col min="9733" max="9733" width="16.109375" style="150" customWidth="1"/>
    <col min="9734" max="9734" width="13.6640625" style="150" customWidth="1"/>
    <col min="9735" max="9735" width="18.88671875" style="150" customWidth="1"/>
    <col min="9736" max="9736" width="15.6640625" style="150" customWidth="1"/>
    <col min="9737" max="9738" width="16.5546875" style="150" customWidth="1"/>
    <col min="9739" max="9739" width="13.109375" style="150" customWidth="1"/>
    <col min="9740" max="9740" width="13.44140625" style="150" customWidth="1"/>
    <col min="9741" max="9742" width="14.6640625" style="150" customWidth="1"/>
    <col min="9743" max="9747" width="14.44140625" style="150" customWidth="1"/>
    <col min="9748" max="9748" width="14.88671875" style="150" customWidth="1"/>
    <col min="9749" max="9749" width="10.88671875" style="150" customWidth="1"/>
    <col min="9750" max="9984" width="9.109375" style="150"/>
    <col min="9985" max="9985" width="8.44140625" style="150" customWidth="1"/>
    <col min="9986" max="9986" width="14.44140625" style="150" customWidth="1"/>
    <col min="9987" max="9987" width="15.44140625" style="150" customWidth="1"/>
    <col min="9988" max="9988" width="16.44140625" style="150" customWidth="1"/>
    <col min="9989" max="9989" width="16.109375" style="150" customWidth="1"/>
    <col min="9990" max="9990" width="13.6640625" style="150" customWidth="1"/>
    <col min="9991" max="9991" width="18.88671875" style="150" customWidth="1"/>
    <col min="9992" max="9992" width="15.6640625" style="150" customWidth="1"/>
    <col min="9993" max="9994" width="16.5546875" style="150" customWidth="1"/>
    <col min="9995" max="9995" width="13.109375" style="150" customWidth="1"/>
    <col min="9996" max="9996" width="13.44140625" style="150" customWidth="1"/>
    <col min="9997" max="9998" width="14.6640625" style="150" customWidth="1"/>
    <col min="9999" max="10003" width="14.44140625" style="150" customWidth="1"/>
    <col min="10004" max="10004" width="14.88671875" style="150" customWidth="1"/>
    <col min="10005" max="10005" width="10.88671875" style="150" customWidth="1"/>
    <col min="10006" max="10240" width="9.109375" style="150"/>
    <col min="10241" max="10241" width="8.44140625" style="150" customWidth="1"/>
    <col min="10242" max="10242" width="14.44140625" style="150" customWidth="1"/>
    <col min="10243" max="10243" width="15.44140625" style="150" customWidth="1"/>
    <col min="10244" max="10244" width="16.44140625" style="150" customWidth="1"/>
    <col min="10245" max="10245" width="16.109375" style="150" customWidth="1"/>
    <col min="10246" max="10246" width="13.6640625" style="150" customWidth="1"/>
    <col min="10247" max="10247" width="18.88671875" style="150" customWidth="1"/>
    <col min="10248" max="10248" width="15.6640625" style="150" customWidth="1"/>
    <col min="10249" max="10250" width="16.5546875" style="150" customWidth="1"/>
    <col min="10251" max="10251" width="13.109375" style="150" customWidth="1"/>
    <col min="10252" max="10252" width="13.44140625" style="150" customWidth="1"/>
    <col min="10253" max="10254" width="14.6640625" style="150" customWidth="1"/>
    <col min="10255" max="10259" width="14.44140625" style="150" customWidth="1"/>
    <col min="10260" max="10260" width="14.88671875" style="150" customWidth="1"/>
    <col min="10261" max="10261" width="10.88671875" style="150" customWidth="1"/>
    <col min="10262" max="10496" width="9.109375" style="150"/>
    <col min="10497" max="10497" width="8.44140625" style="150" customWidth="1"/>
    <col min="10498" max="10498" width="14.44140625" style="150" customWidth="1"/>
    <col min="10499" max="10499" width="15.44140625" style="150" customWidth="1"/>
    <col min="10500" max="10500" width="16.44140625" style="150" customWidth="1"/>
    <col min="10501" max="10501" width="16.109375" style="150" customWidth="1"/>
    <col min="10502" max="10502" width="13.6640625" style="150" customWidth="1"/>
    <col min="10503" max="10503" width="18.88671875" style="150" customWidth="1"/>
    <col min="10504" max="10504" width="15.6640625" style="150" customWidth="1"/>
    <col min="10505" max="10506" width="16.5546875" style="150" customWidth="1"/>
    <col min="10507" max="10507" width="13.109375" style="150" customWidth="1"/>
    <col min="10508" max="10508" width="13.44140625" style="150" customWidth="1"/>
    <col min="10509" max="10510" width="14.6640625" style="150" customWidth="1"/>
    <col min="10511" max="10515" width="14.44140625" style="150" customWidth="1"/>
    <col min="10516" max="10516" width="14.88671875" style="150" customWidth="1"/>
    <col min="10517" max="10517" width="10.88671875" style="150" customWidth="1"/>
    <col min="10518" max="10752" width="9.109375" style="150"/>
    <col min="10753" max="10753" width="8.44140625" style="150" customWidth="1"/>
    <col min="10754" max="10754" width="14.44140625" style="150" customWidth="1"/>
    <col min="10755" max="10755" width="15.44140625" style="150" customWidth="1"/>
    <col min="10756" max="10756" width="16.44140625" style="150" customWidth="1"/>
    <col min="10757" max="10757" width="16.109375" style="150" customWidth="1"/>
    <col min="10758" max="10758" width="13.6640625" style="150" customWidth="1"/>
    <col min="10759" max="10759" width="18.88671875" style="150" customWidth="1"/>
    <col min="10760" max="10760" width="15.6640625" style="150" customWidth="1"/>
    <col min="10761" max="10762" width="16.5546875" style="150" customWidth="1"/>
    <col min="10763" max="10763" width="13.109375" style="150" customWidth="1"/>
    <col min="10764" max="10764" width="13.44140625" style="150" customWidth="1"/>
    <col min="10765" max="10766" width="14.6640625" style="150" customWidth="1"/>
    <col min="10767" max="10771" width="14.44140625" style="150" customWidth="1"/>
    <col min="10772" max="10772" width="14.88671875" style="150" customWidth="1"/>
    <col min="10773" max="10773" width="10.88671875" style="150" customWidth="1"/>
    <col min="10774" max="11008" width="9.109375" style="150"/>
    <col min="11009" max="11009" width="8.44140625" style="150" customWidth="1"/>
    <col min="11010" max="11010" width="14.44140625" style="150" customWidth="1"/>
    <col min="11011" max="11011" width="15.44140625" style="150" customWidth="1"/>
    <col min="11012" max="11012" width="16.44140625" style="150" customWidth="1"/>
    <col min="11013" max="11013" width="16.109375" style="150" customWidth="1"/>
    <col min="11014" max="11014" width="13.6640625" style="150" customWidth="1"/>
    <col min="11015" max="11015" width="18.88671875" style="150" customWidth="1"/>
    <col min="11016" max="11016" width="15.6640625" style="150" customWidth="1"/>
    <col min="11017" max="11018" width="16.5546875" style="150" customWidth="1"/>
    <col min="11019" max="11019" width="13.109375" style="150" customWidth="1"/>
    <col min="11020" max="11020" width="13.44140625" style="150" customWidth="1"/>
    <col min="11021" max="11022" width="14.6640625" style="150" customWidth="1"/>
    <col min="11023" max="11027" width="14.44140625" style="150" customWidth="1"/>
    <col min="11028" max="11028" width="14.88671875" style="150" customWidth="1"/>
    <col min="11029" max="11029" width="10.88671875" style="150" customWidth="1"/>
    <col min="11030" max="11264" width="9.109375" style="150"/>
    <col min="11265" max="11265" width="8.44140625" style="150" customWidth="1"/>
    <col min="11266" max="11266" width="14.44140625" style="150" customWidth="1"/>
    <col min="11267" max="11267" width="15.44140625" style="150" customWidth="1"/>
    <col min="11268" max="11268" width="16.44140625" style="150" customWidth="1"/>
    <col min="11269" max="11269" width="16.109375" style="150" customWidth="1"/>
    <col min="11270" max="11270" width="13.6640625" style="150" customWidth="1"/>
    <col min="11271" max="11271" width="18.88671875" style="150" customWidth="1"/>
    <col min="11272" max="11272" width="15.6640625" style="150" customWidth="1"/>
    <col min="11273" max="11274" width="16.5546875" style="150" customWidth="1"/>
    <col min="11275" max="11275" width="13.109375" style="150" customWidth="1"/>
    <col min="11276" max="11276" width="13.44140625" style="150" customWidth="1"/>
    <col min="11277" max="11278" width="14.6640625" style="150" customWidth="1"/>
    <col min="11279" max="11283" width="14.44140625" style="150" customWidth="1"/>
    <col min="11284" max="11284" width="14.88671875" style="150" customWidth="1"/>
    <col min="11285" max="11285" width="10.88671875" style="150" customWidth="1"/>
    <col min="11286" max="11520" width="9.109375" style="150"/>
    <col min="11521" max="11521" width="8.44140625" style="150" customWidth="1"/>
    <col min="11522" max="11522" width="14.44140625" style="150" customWidth="1"/>
    <col min="11523" max="11523" width="15.44140625" style="150" customWidth="1"/>
    <col min="11524" max="11524" width="16.44140625" style="150" customWidth="1"/>
    <col min="11525" max="11525" width="16.109375" style="150" customWidth="1"/>
    <col min="11526" max="11526" width="13.6640625" style="150" customWidth="1"/>
    <col min="11527" max="11527" width="18.88671875" style="150" customWidth="1"/>
    <col min="11528" max="11528" width="15.6640625" style="150" customWidth="1"/>
    <col min="11529" max="11530" width="16.5546875" style="150" customWidth="1"/>
    <col min="11531" max="11531" width="13.109375" style="150" customWidth="1"/>
    <col min="11532" max="11532" width="13.44140625" style="150" customWidth="1"/>
    <col min="11533" max="11534" width="14.6640625" style="150" customWidth="1"/>
    <col min="11535" max="11539" width="14.44140625" style="150" customWidth="1"/>
    <col min="11540" max="11540" width="14.88671875" style="150" customWidth="1"/>
    <col min="11541" max="11541" width="10.88671875" style="150" customWidth="1"/>
    <col min="11542" max="11776" width="9.109375" style="150"/>
    <col min="11777" max="11777" width="8.44140625" style="150" customWidth="1"/>
    <col min="11778" max="11778" width="14.44140625" style="150" customWidth="1"/>
    <col min="11779" max="11779" width="15.44140625" style="150" customWidth="1"/>
    <col min="11780" max="11780" width="16.44140625" style="150" customWidth="1"/>
    <col min="11781" max="11781" width="16.109375" style="150" customWidth="1"/>
    <col min="11782" max="11782" width="13.6640625" style="150" customWidth="1"/>
    <col min="11783" max="11783" width="18.88671875" style="150" customWidth="1"/>
    <col min="11784" max="11784" width="15.6640625" style="150" customWidth="1"/>
    <col min="11785" max="11786" width="16.5546875" style="150" customWidth="1"/>
    <col min="11787" max="11787" width="13.109375" style="150" customWidth="1"/>
    <col min="11788" max="11788" width="13.44140625" style="150" customWidth="1"/>
    <col min="11789" max="11790" width="14.6640625" style="150" customWidth="1"/>
    <col min="11791" max="11795" width="14.44140625" style="150" customWidth="1"/>
    <col min="11796" max="11796" width="14.88671875" style="150" customWidth="1"/>
    <col min="11797" max="11797" width="10.88671875" style="150" customWidth="1"/>
    <col min="11798" max="12032" width="9.109375" style="150"/>
    <col min="12033" max="12033" width="8.44140625" style="150" customWidth="1"/>
    <col min="12034" max="12034" width="14.44140625" style="150" customWidth="1"/>
    <col min="12035" max="12035" width="15.44140625" style="150" customWidth="1"/>
    <col min="12036" max="12036" width="16.44140625" style="150" customWidth="1"/>
    <col min="12037" max="12037" width="16.109375" style="150" customWidth="1"/>
    <col min="12038" max="12038" width="13.6640625" style="150" customWidth="1"/>
    <col min="12039" max="12039" width="18.88671875" style="150" customWidth="1"/>
    <col min="12040" max="12040" width="15.6640625" style="150" customWidth="1"/>
    <col min="12041" max="12042" width="16.5546875" style="150" customWidth="1"/>
    <col min="12043" max="12043" width="13.109375" style="150" customWidth="1"/>
    <col min="12044" max="12044" width="13.44140625" style="150" customWidth="1"/>
    <col min="12045" max="12046" width="14.6640625" style="150" customWidth="1"/>
    <col min="12047" max="12051" width="14.44140625" style="150" customWidth="1"/>
    <col min="12052" max="12052" width="14.88671875" style="150" customWidth="1"/>
    <col min="12053" max="12053" width="10.88671875" style="150" customWidth="1"/>
    <col min="12054" max="12288" width="9.109375" style="150"/>
    <col min="12289" max="12289" width="8.44140625" style="150" customWidth="1"/>
    <col min="12290" max="12290" width="14.44140625" style="150" customWidth="1"/>
    <col min="12291" max="12291" width="15.44140625" style="150" customWidth="1"/>
    <col min="12292" max="12292" width="16.44140625" style="150" customWidth="1"/>
    <col min="12293" max="12293" width="16.109375" style="150" customWidth="1"/>
    <col min="12294" max="12294" width="13.6640625" style="150" customWidth="1"/>
    <col min="12295" max="12295" width="18.88671875" style="150" customWidth="1"/>
    <col min="12296" max="12296" width="15.6640625" style="150" customWidth="1"/>
    <col min="12297" max="12298" width="16.5546875" style="150" customWidth="1"/>
    <col min="12299" max="12299" width="13.109375" style="150" customWidth="1"/>
    <col min="12300" max="12300" width="13.44140625" style="150" customWidth="1"/>
    <col min="12301" max="12302" width="14.6640625" style="150" customWidth="1"/>
    <col min="12303" max="12307" width="14.44140625" style="150" customWidth="1"/>
    <col min="12308" max="12308" width="14.88671875" style="150" customWidth="1"/>
    <col min="12309" max="12309" width="10.88671875" style="150" customWidth="1"/>
    <col min="12310" max="12544" width="9.109375" style="150"/>
    <col min="12545" max="12545" width="8.44140625" style="150" customWidth="1"/>
    <col min="12546" max="12546" width="14.44140625" style="150" customWidth="1"/>
    <col min="12547" max="12547" width="15.44140625" style="150" customWidth="1"/>
    <col min="12548" max="12548" width="16.44140625" style="150" customWidth="1"/>
    <col min="12549" max="12549" width="16.109375" style="150" customWidth="1"/>
    <col min="12550" max="12550" width="13.6640625" style="150" customWidth="1"/>
    <col min="12551" max="12551" width="18.88671875" style="150" customWidth="1"/>
    <col min="12552" max="12552" width="15.6640625" style="150" customWidth="1"/>
    <col min="12553" max="12554" width="16.5546875" style="150" customWidth="1"/>
    <col min="12555" max="12555" width="13.109375" style="150" customWidth="1"/>
    <col min="12556" max="12556" width="13.44140625" style="150" customWidth="1"/>
    <col min="12557" max="12558" width="14.6640625" style="150" customWidth="1"/>
    <col min="12559" max="12563" width="14.44140625" style="150" customWidth="1"/>
    <col min="12564" max="12564" width="14.88671875" style="150" customWidth="1"/>
    <col min="12565" max="12565" width="10.88671875" style="150" customWidth="1"/>
    <col min="12566" max="12800" width="9.109375" style="150"/>
    <col min="12801" max="12801" width="8.44140625" style="150" customWidth="1"/>
    <col min="12802" max="12802" width="14.44140625" style="150" customWidth="1"/>
    <col min="12803" max="12803" width="15.44140625" style="150" customWidth="1"/>
    <col min="12804" max="12804" width="16.44140625" style="150" customWidth="1"/>
    <col min="12805" max="12805" width="16.109375" style="150" customWidth="1"/>
    <col min="12806" max="12806" width="13.6640625" style="150" customWidth="1"/>
    <col min="12807" max="12807" width="18.88671875" style="150" customWidth="1"/>
    <col min="12808" max="12808" width="15.6640625" style="150" customWidth="1"/>
    <col min="12809" max="12810" width="16.5546875" style="150" customWidth="1"/>
    <col min="12811" max="12811" width="13.109375" style="150" customWidth="1"/>
    <col min="12812" max="12812" width="13.44140625" style="150" customWidth="1"/>
    <col min="12813" max="12814" width="14.6640625" style="150" customWidth="1"/>
    <col min="12815" max="12819" width="14.44140625" style="150" customWidth="1"/>
    <col min="12820" max="12820" width="14.88671875" style="150" customWidth="1"/>
    <col min="12821" max="12821" width="10.88671875" style="150" customWidth="1"/>
    <col min="12822" max="13056" width="9.109375" style="150"/>
    <col min="13057" max="13057" width="8.44140625" style="150" customWidth="1"/>
    <col min="13058" max="13058" width="14.44140625" style="150" customWidth="1"/>
    <col min="13059" max="13059" width="15.44140625" style="150" customWidth="1"/>
    <col min="13060" max="13060" width="16.44140625" style="150" customWidth="1"/>
    <col min="13061" max="13061" width="16.109375" style="150" customWidth="1"/>
    <col min="13062" max="13062" width="13.6640625" style="150" customWidth="1"/>
    <col min="13063" max="13063" width="18.88671875" style="150" customWidth="1"/>
    <col min="13064" max="13064" width="15.6640625" style="150" customWidth="1"/>
    <col min="13065" max="13066" width="16.5546875" style="150" customWidth="1"/>
    <col min="13067" max="13067" width="13.109375" style="150" customWidth="1"/>
    <col min="13068" max="13068" width="13.44140625" style="150" customWidth="1"/>
    <col min="13069" max="13070" width="14.6640625" style="150" customWidth="1"/>
    <col min="13071" max="13075" width="14.44140625" style="150" customWidth="1"/>
    <col min="13076" max="13076" width="14.88671875" style="150" customWidth="1"/>
    <col min="13077" max="13077" width="10.88671875" style="150" customWidth="1"/>
    <col min="13078" max="13312" width="9.109375" style="150"/>
    <col min="13313" max="13313" width="8.44140625" style="150" customWidth="1"/>
    <col min="13314" max="13314" width="14.44140625" style="150" customWidth="1"/>
    <col min="13315" max="13315" width="15.44140625" style="150" customWidth="1"/>
    <col min="13316" max="13316" width="16.44140625" style="150" customWidth="1"/>
    <col min="13317" max="13317" width="16.109375" style="150" customWidth="1"/>
    <col min="13318" max="13318" width="13.6640625" style="150" customWidth="1"/>
    <col min="13319" max="13319" width="18.88671875" style="150" customWidth="1"/>
    <col min="13320" max="13320" width="15.6640625" style="150" customWidth="1"/>
    <col min="13321" max="13322" width="16.5546875" style="150" customWidth="1"/>
    <col min="13323" max="13323" width="13.109375" style="150" customWidth="1"/>
    <col min="13324" max="13324" width="13.44140625" style="150" customWidth="1"/>
    <col min="13325" max="13326" width="14.6640625" style="150" customWidth="1"/>
    <col min="13327" max="13331" width="14.44140625" style="150" customWidth="1"/>
    <col min="13332" max="13332" width="14.88671875" style="150" customWidth="1"/>
    <col min="13333" max="13333" width="10.88671875" style="150" customWidth="1"/>
    <col min="13334" max="13568" width="9.109375" style="150"/>
    <col min="13569" max="13569" width="8.44140625" style="150" customWidth="1"/>
    <col min="13570" max="13570" width="14.44140625" style="150" customWidth="1"/>
    <col min="13571" max="13571" width="15.44140625" style="150" customWidth="1"/>
    <col min="13572" max="13572" width="16.44140625" style="150" customWidth="1"/>
    <col min="13573" max="13573" width="16.109375" style="150" customWidth="1"/>
    <col min="13574" max="13574" width="13.6640625" style="150" customWidth="1"/>
    <col min="13575" max="13575" width="18.88671875" style="150" customWidth="1"/>
    <col min="13576" max="13576" width="15.6640625" style="150" customWidth="1"/>
    <col min="13577" max="13578" width="16.5546875" style="150" customWidth="1"/>
    <col min="13579" max="13579" width="13.109375" style="150" customWidth="1"/>
    <col min="13580" max="13580" width="13.44140625" style="150" customWidth="1"/>
    <col min="13581" max="13582" width="14.6640625" style="150" customWidth="1"/>
    <col min="13583" max="13587" width="14.44140625" style="150" customWidth="1"/>
    <col min="13588" max="13588" width="14.88671875" style="150" customWidth="1"/>
    <col min="13589" max="13589" width="10.88671875" style="150" customWidth="1"/>
    <col min="13590" max="13824" width="9.109375" style="150"/>
    <col min="13825" max="13825" width="8.44140625" style="150" customWidth="1"/>
    <col min="13826" max="13826" width="14.44140625" style="150" customWidth="1"/>
    <col min="13827" max="13827" width="15.44140625" style="150" customWidth="1"/>
    <col min="13828" max="13828" width="16.44140625" style="150" customWidth="1"/>
    <col min="13829" max="13829" width="16.109375" style="150" customWidth="1"/>
    <col min="13830" max="13830" width="13.6640625" style="150" customWidth="1"/>
    <col min="13831" max="13831" width="18.88671875" style="150" customWidth="1"/>
    <col min="13832" max="13832" width="15.6640625" style="150" customWidth="1"/>
    <col min="13833" max="13834" width="16.5546875" style="150" customWidth="1"/>
    <col min="13835" max="13835" width="13.109375" style="150" customWidth="1"/>
    <col min="13836" max="13836" width="13.44140625" style="150" customWidth="1"/>
    <col min="13837" max="13838" width="14.6640625" style="150" customWidth="1"/>
    <col min="13839" max="13843" width="14.44140625" style="150" customWidth="1"/>
    <col min="13844" max="13844" width="14.88671875" style="150" customWidth="1"/>
    <col min="13845" max="13845" width="10.88671875" style="150" customWidth="1"/>
    <col min="13846" max="14080" width="9.109375" style="150"/>
    <col min="14081" max="14081" width="8.44140625" style="150" customWidth="1"/>
    <col min="14082" max="14082" width="14.44140625" style="150" customWidth="1"/>
    <col min="14083" max="14083" width="15.44140625" style="150" customWidth="1"/>
    <col min="14084" max="14084" width="16.44140625" style="150" customWidth="1"/>
    <col min="14085" max="14085" width="16.109375" style="150" customWidth="1"/>
    <col min="14086" max="14086" width="13.6640625" style="150" customWidth="1"/>
    <col min="14087" max="14087" width="18.88671875" style="150" customWidth="1"/>
    <col min="14088" max="14088" width="15.6640625" style="150" customWidth="1"/>
    <col min="14089" max="14090" width="16.5546875" style="150" customWidth="1"/>
    <col min="14091" max="14091" width="13.109375" style="150" customWidth="1"/>
    <col min="14092" max="14092" width="13.44140625" style="150" customWidth="1"/>
    <col min="14093" max="14094" width="14.6640625" style="150" customWidth="1"/>
    <col min="14095" max="14099" width="14.44140625" style="150" customWidth="1"/>
    <col min="14100" max="14100" width="14.88671875" style="150" customWidth="1"/>
    <col min="14101" max="14101" width="10.88671875" style="150" customWidth="1"/>
    <col min="14102" max="14336" width="9.109375" style="150"/>
    <col min="14337" max="14337" width="8.44140625" style="150" customWidth="1"/>
    <col min="14338" max="14338" width="14.44140625" style="150" customWidth="1"/>
    <col min="14339" max="14339" width="15.44140625" style="150" customWidth="1"/>
    <col min="14340" max="14340" width="16.44140625" style="150" customWidth="1"/>
    <col min="14341" max="14341" width="16.109375" style="150" customWidth="1"/>
    <col min="14342" max="14342" width="13.6640625" style="150" customWidth="1"/>
    <col min="14343" max="14343" width="18.88671875" style="150" customWidth="1"/>
    <col min="14344" max="14344" width="15.6640625" style="150" customWidth="1"/>
    <col min="14345" max="14346" width="16.5546875" style="150" customWidth="1"/>
    <col min="14347" max="14347" width="13.109375" style="150" customWidth="1"/>
    <col min="14348" max="14348" width="13.44140625" style="150" customWidth="1"/>
    <col min="14349" max="14350" width="14.6640625" style="150" customWidth="1"/>
    <col min="14351" max="14355" width="14.44140625" style="150" customWidth="1"/>
    <col min="14356" max="14356" width="14.88671875" style="150" customWidth="1"/>
    <col min="14357" max="14357" width="10.88671875" style="150" customWidth="1"/>
    <col min="14358" max="14592" width="9.109375" style="150"/>
    <col min="14593" max="14593" width="8.44140625" style="150" customWidth="1"/>
    <col min="14594" max="14594" width="14.44140625" style="150" customWidth="1"/>
    <col min="14595" max="14595" width="15.44140625" style="150" customWidth="1"/>
    <col min="14596" max="14596" width="16.44140625" style="150" customWidth="1"/>
    <col min="14597" max="14597" width="16.109375" style="150" customWidth="1"/>
    <col min="14598" max="14598" width="13.6640625" style="150" customWidth="1"/>
    <col min="14599" max="14599" width="18.88671875" style="150" customWidth="1"/>
    <col min="14600" max="14600" width="15.6640625" style="150" customWidth="1"/>
    <col min="14601" max="14602" width="16.5546875" style="150" customWidth="1"/>
    <col min="14603" max="14603" width="13.109375" style="150" customWidth="1"/>
    <col min="14604" max="14604" width="13.44140625" style="150" customWidth="1"/>
    <col min="14605" max="14606" width="14.6640625" style="150" customWidth="1"/>
    <col min="14607" max="14611" width="14.44140625" style="150" customWidth="1"/>
    <col min="14612" max="14612" width="14.88671875" style="150" customWidth="1"/>
    <col min="14613" max="14613" width="10.88671875" style="150" customWidth="1"/>
    <col min="14614" max="14848" width="9.109375" style="150"/>
    <col min="14849" max="14849" width="8.44140625" style="150" customWidth="1"/>
    <col min="14850" max="14850" width="14.44140625" style="150" customWidth="1"/>
    <col min="14851" max="14851" width="15.44140625" style="150" customWidth="1"/>
    <col min="14852" max="14852" width="16.44140625" style="150" customWidth="1"/>
    <col min="14853" max="14853" width="16.109375" style="150" customWidth="1"/>
    <col min="14854" max="14854" width="13.6640625" style="150" customWidth="1"/>
    <col min="14855" max="14855" width="18.88671875" style="150" customWidth="1"/>
    <col min="14856" max="14856" width="15.6640625" style="150" customWidth="1"/>
    <col min="14857" max="14858" width="16.5546875" style="150" customWidth="1"/>
    <col min="14859" max="14859" width="13.109375" style="150" customWidth="1"/>
    <col min="14860" max="14860" width="13.44140625" style="150" customWidth="1"/>
    <col min="14861" max="14862" width="14.6640625" style="150" customWidth="1"/>
    <col min="14863" max="14867" width="14.44140625" style="150" customWidth="1"/>
    <col min="14868" max="14868" width="14.88671875" style="150" customWidth="1"/>
    <col min="14869" max="14869" width="10.88671875" style="150" customWidth="1"/>
    <col min="14870" max="15104" width="9.109375" style="150"/>
    <col min="15105" max="15105" width="8.44140625" style="150" customWidth="1"/>
    <col min="15106" max="15106" width="14.44140625" style="150" customWidth="1"/>
    <col min="15107" max="15107" width="15.44140625" style="150" customWidth="1"/>
    <col min="15108" max="15108" width="16.44140625" style="150" customWidth="1"/>
    <col min="15109" max="15109" width="16.109375" style="150" customWidth="1"/>
    <col min="15110" max="15110" width="13.6640625" style="150" customWidth="1"/>
    <col min="15111" max="15111" width="18.88671875" style="150" customWidth="1"/>
    <col min="15112" max="15112" width="15.6640625" style="150" customWidth="1"/>
    <col min="15113" max="15114" width="16.5546875" style="150" customWidth="1"/>
    <col min="15115" max="15115" width="13.109375" style="150" customWidth="1"/>
    <col min="15116" max="15116" width="13.44140625" style="150" customWidth="1"/>
    <col min="15117" max="15118" width="14.6640625" style="150" customWidth="1"/>
    <col min="15119" max="15123" width="14.44140625" style="150" customWidth="1"/>
    <col min="15124" max="15124" width="14.88671875" style="150" customWidth="1"/>
    <col min="15125" max="15125" width="10.88671875" style="150" customWidth="1"/>
    <col min="15126" max="15360" width="9.109375" style="150"/>
    <col min="15361" max="15361" width="8.44140625" style="150" customWidth="1"/>
    <col min="15362" max="15362" width="14.44140625" style="150" customWidth="1"/>
    <col min="15363" max="15363" width="15.44140625" style="150" customWidth="1"/>
    <col min="15364" max="15364" width="16.44140625" style="150" customWidth="1"/>
    <col min="15365" max="15365" width="16.109375" style="150" customWidth="1"/>
    <col min="15366" max="15366" width="13.6640625" style="150" customWidth="1"/>
    <col min="15367" max="15367" width="18.88671875" style="150" customWidth="1"/>
    <col min="15368" max="15368" width="15.6640625" style="150" customWidth="1"/>
    <col min="15369" max="15370" width="16.5546875" style="150" customWidth="1"/>
    <col min="15371" max="15371" width="13.109375" style="150" customWidth="1"/>
    <col min="15372" max="15372" width="13.44140625" style="150" customWidth="1"/>
    <col min="15373" max="15374" width="14.6640625" style="150" customWidth="1"/>
    <col min="15375" max="15379" width="14.44140625" style="150" customWidth="1"/>
    <col min="15380" max="15380" width="14.88671875" style="150" customWidth="1"/>
    <col min="15381" max="15381" width="10.88671875" style="150" customWidth="1"/>
    <col min="15382" max="15616" width="9.109375" style="150"/>
    <col min="15617" max="15617" width="8.44140625" style="150" customWidth="1"/>
    <col min="15618" max="15618" width="14.44140625" style="150" customWidth="1"/>
    <col min="15619" max="15619" width="15.44140625" style="150" customWidth="1"/>
    <col min="15620" max="15620" width="16.44140625" style="150" customWidth="1"/>
    <col min="15621" max="15621" width="16.109375" style="150" customWidth="1"/>
    <col min="15622" max="15622" width="13.6640625" style="150" customWidth="1"/>
    <col min="15623" max="15623" width="18.88671875" style="150" customWidth="1"/>
    <col min="15624" max="15624" width="15.6640625" style="150" customWidth="1"/>
    <col min="15625" max="15626" width="16.5546875" style="150" customWidth="1"/>
    <col min="15627" max="15627" width="13.109375" style="150" customWidth="1"/>
    <col min="15628" max="15628" width="13.44140625" style="150" customWidth="1"/>
    <col min="15629" max="15630" width="14.6640625" style="150" customWidth="1"/>
    <col min="15631" max="15635" width="14.44140625" style="150" customWidth="1"/>
    <col min="15636" max="15636" width="14.88671875" style="150" customWidth="1"/>
    <col min="15637" max="15637" width="10.88671875" style="150" customWidth="1"/>
    <col min="15638" max="15872" width="9.109375" style="150"/>
    <col min="15873" max="15873" width="8.44140625" style="150" customWidth="1"/>
    <col min="15874" max="15874" width="14.44140625" style="150" customWidth="1"/>
    <col min="15875" max="15875" width="15.44140625" style="150" customWidth="1"/>
    <col min="15876" max="15876" width="16.44140625" style="150" customWidth="1"/>
    <col min="15877" max="15877" width="16.109375" style="150" customWidth="1"/>
    <col min="15878" max="15878" width="13.6640625" style="150" customWidth="1"/>
    <col min="15879" max="15879" width="18.88671875" style="150" customWidth="1"/>
    <col min="15880" max="15880" width="15.6640625" style="150" customWidth="1"/>
    <col min="15881" max="15882" width="16.5546875" style="150" customWidth="1"/>
    <col min="15883" max="15883" width="13.109375" style="150" customWidth="1"/>
    <col min="15884" max="15884" width="13.44140625" style="150" customWidth="1"/>
    <col min="15885" max="15886" width="14.6640625" style="150" customWidth="1"/>
    <col min="15887" max="15891" width="14.44140625" style="150" customWidth="1"/>
    <col min="15892" max="15892" width="14.88671875" style="150" customWidth="1"/>
    <col min="15893" max="15893" width="10.88671875" style="150" customWidth="1"/>
    <col min="15894" max="16128" width="9.109375" style="150"/>
    <col min="16129" max="16129" width="8.44140625" style="150" customWidth="1"/>
    <col min="16130" max="16130" width="14.44140625" style="150" customWidth="1"/>
    <col min="16131" max="16131" width="15.44140625" style="150" customWidth="1"/>
    <col min="16132" max="16132" width="16.44140625" style="150" customWidth="1"/>
    <col min="16133" max="16133" width="16.109375" style="150" customWidth="1"/>
    <col min="16134" max="16134" width="13.6640625" style="150" customWidth="1"/>
    <col min="16135" max="16135" width="18.88671875" style="150" customWidth="1"/>
    <col min="16136" max="16136" width="15.6640625" style="150" customWidth="1"/>
    <col min="16137" max="16138" width="16.5546875" style="150" customWidth="1"/>
    <col min="16139" max="16139" width="13.109375" style="150" customWidth="1"/>
    <col min="16140" max="16140" width="13.44140625" style="150" customWidth="1"/>
    <col min="16141" max="16142" width="14.6640625" style="150" customWidth="1"/>
    <col min="16143" max="16147" width="14.44140625" style="150" customWidth="1"/>
    <col min="16148" max="16148" width="14.88671875" style="150" customWidth="1"/>
    <col min="16149" max="16149" width="10.88671875" style="150" customWidth="1"/>
    <col min="16150" max="16384" width="9.109375" style="150"/>
  </cols>
  <sheetData>
    <row r="1" spans="1:10" ht="18" customHeight="1" x14ac:dyDescent="0.25">
      <c r="A1" s="642" t="s">
        <v>406</v>
      </c>
      <c r="B1" s="642"/>
      <c r="C1" s="642"/>
      <c r="D1" s="642"/>
      <c r="E1" s="642"/>
      <c r="F1" s="642"/>
      <c r="G1" s="642"/>
      <c r="H1" s="642"/>
      <c r="I1" s="642"/>
      <c r="J1" s="642"/>
    </row>
    <row r="2" spans="1:10" x14ac:dyDescent="0.25">
      <c r="A2" s="151"/>
      <c r="B2" s="152"/>
      <c r="C2" s="153"/>
      <c r="D2" s="153"/>
      <c r="E2" s="154"/>
      <c r="F2" s="154"/>
    </row>
    <row r="3" spans="1:10" x14ac:dyDescent="0.25">
      <c r="A3" s="151" t="s">
        <v>407</v>
      </c>
      <c r="B3" s="643" t="str">
        <f>+CC!B13</f>
        <v>Tramo 4: km 450 - km 525, Accesos y Linea 1</v>
      </c>
      <c r="C3" s="643"/>
      <c r="D3" s="643"/>
      <c r="E3" s="643"/>
      <c r="F3" s="643"/>
      <c r="G3" s="643"/>
      <c r="H3" s="643"/>
      <c r="I3" s="643"/>
      <c r="J3" s="156"/>
    </row>
    <row r="4" spans="1:10" x14ac:dyDescent="0.25">
      <c r="A4" s="157"/>
      <c r="B4" s="643"/>
      <c r="C4" s="643"/>
      <c r="D4" s="643"/>
      <c r="E4" s="643"/>
      <c r="F4" s="643"/>
      <c r="G4" s="643"/>
      <c r="H4" s="643"/>
      <c r="I4" s="643"/>
      <c r="J4" s="156"/>
    </row>
    <row r="5" spans="1:10" ht="15" customHeight="1" x14ac:dyDescent="0.25">
      <c r="A5" s="644" t="str">
        <f>CONCATENATE("PLAZO: ",A42," MESES (",A43,")")</f>
        <v>PLAZO: 24 MESES (720 dias)</v>
      </c>
      <c r="B5" s="644"/>
      <c r="C5" s="644"/>
      <c r="E5" s="159" t="s">
        <v>408</v>
      </c>
    </row>
    <row r="7" spans="1:10" x14ac:dyDescent="0.25">
      <c r="C7" s="161" t="s">
        <v>409</v>
      </c>
      <c r="D7" s="645"/>
      <c r="E7" s="645"/>
      <c r="F7" s="645"/>
      <c r="H7" s="161" t="s">
        <v>410</v>
      </c>
      <c r="I7" s="162">
        <f ca="1">NOW()</f>
        <v>43000.66745173611</v>
      </c>
    </row>
    <row r="8" spans="1:10" x14ac:dyDescent="0.25">
      <c r="C8" s="161" t="str">
        <f>IF(D7=0,"MONTO ESTIMADO CON IVA:","MONTO DE CONTRATO CON IVA:")</f>
        <v>MONTO ESTIMADO CON IVA:</v>
      </c>
      <c r="D8" s="163">
        <f>+CC!E13</f>
        <v>111000000</v>
      </c>
      <c r="E8" s="164" t="s">
        <v>411</v>
      </c>
      <c r="F8" s="150" t="s">
        <v>412</v>
      </c>
      <c r="H8" s="155" t="s">
        <v>413</v>
      </c>
      <c r="I8" s="165">
        <v>1</v>
      </c>
    </row>
    <row r="9" spans="1:10" hidden="1" x14ac:dyDescent="0.25">
      <c r="C9" s="161"/>
      <c r="D9" s="163"/>
      <c r="E9" s="158" t="s">
        <v>414</v>
      </c>
      <c r="I9" s="166"/>
    </row>
    <row r="10" spans="1:10" hidden="1" x14ac:dyDescent="0.25">
      <c r="C10" s="161"/>
      <c r="D10" s="163"/>
      <c r="E10" s="158" t="s">
        <v>411</v>
      </c>
      <c r="I10" s="166"/>
    </row>
    <row r="11" spans="1:10" x14ac:dyDescent="0.25">
      <c r="B11" s="150"/>
      <c r="C11" s="161" t="str">
        <f>IF(D7=0,"MONTO ESTIMADO SIN IVA:","MONTO DE CONTRATO SIN IVA:")</f>
        <v>MONTO ESTIMADO SIN IVA:</v>
      </c>
      <c r="D11" s="167">
        <f>D8</f>
        <v>111000000</v>
      </c>
      <c r="E11" s="168" t="s">
        <v>414</v>
      </c>
      <c r="F11" s="158"/>
    </row>
    <row r="12" spans="1:10" x14ac:dyDescent="0.25">
      <c r="B12" s="150"/>
      <c r="C12" s="161" t="s">
        <v>415</v>
      </c>
      <c r="D12" s="165">
        <v>100</v>
      </c>
      <c r="F12" s="158" t="s">
        <v>416</v>
      </c>
    </row>
    <row r="13" spans="1:10" x14ac:dyDescent="0.25">
      <c r="B13" s="150"/>
      <c r="C13" s="161" t="s">
        <v>417</v>
      </c>
      <c r="D13" s="169">
        <f>100-D12</f>
        <v>0</v>
      </c>
      <c r="F13" s="158"/>
    </row>
    <row r="14" spans="1:10" x14ac:dyDescent="0.25">
      <c r="B14" s="150"/>
      <c r="C14" s="161" t="s">
        <v>418</v>
      </c>
      <c r="D14" s="166">
        <v>20</v>
      </c>
      <c r="F14" s="158"/>
    </row>
    <row r="15" spans="1:10" x14ac:dyDescent="0.25">
      <c r="B15" s="161" t="s">
        <v>419</v>
      </c>
      <c r="C15" s="646"/>
      <c r="D15" s="646"/>
      <c r="E15" s="501" t="s">
        <v>420</v>
      </c>
      <c r="F15" s="502"/>
      <c r="H15" s="170" t="s">
        <v>421</v>
      </c>
      <c r="I15" s="165">
        <v>10</v>
      </c>
    </row>
    <row r="16" spans="1:10" ht="12.6" thickBot="1" x14ac:dyDescent="0.3">
      <c r="F16" s="171"/>
    </row>
    <row r="17" spans="1:11" ht="36.6" thickBot="1" x14ac:dyDescent="0.3">
      <c r="A17" s="172" t="s">
        <v>422</v>
      </c>
      <c r="B17" s="173" t="s">
        <v>423</v>
      </c>
      <c r="C17" s="173" t="s">
        <v>424</v>
      </c>
      <c r="D17" s="174" t="str">
        <f>CONCATENATE("MONTO MENSUAL DESCONTADO ",ROUND(D14,0),"% ANTICIPO")</f>
        <v>MONTO MENSUAL DESCONTADO 20% ANTICIPO</v>
      </c>
      <c r="E17" s="175" t="s">
        <v>425</v>
      </c>
      <c r="F17" s="176" t="s">
        <v>426</v>
      </c>
      <c r="G17" s="177" t="s">
        <v>427</v>
      </c>
      <c r="H17" s="178" t="s">
        <v>428</v>
      </c>
      <c r="I17" s="179" t="str">
        <f>CONCATENATE("DESEMBOLSOS FONDO LOCAL (",ROUND(D13,0),"%) + IVA")</f>
        <v>DESEMBOLSOS FONDO LOCAL (0%) + IVA</v>
      </c>
      <c r="J17" s="179" t="str">
        <f>CONCATENATE("DESEMBOLSOS FONDO EXTERNO (",ROUND(D12,0),"%)")</f>
        <v>DESEMBOLSOS FONDO EXTERNO (100%)</v>
      </c>
      <c r="K17" s="370"/>
    </row>
    <row r="18" spans="1:11" ht="12.75" customHeight="1" x14ac:dyDescent="0.25">
      <c r="A18" s="180">
        <v>0</v>
      </c>
      <c r="B18" s="181">
        <f>D14/100</f>
        <v>0.2</v>
      </c>
      <c r="C18" s="181">
        <v>0</v>
      </c>
      <c r="D18" s="182">
        <f>ROUND(B18*D11,0)</f>
        <v>22200000</v>
      </c>
      <c r="E18" s="183">
        <f>D18</f>
        <v>22200000</v>
      </c>
      <c r="F18" s="184">
        <f>E18/$E$42</f>
        <v>0.2</v>
      </c>
      <c r="G18" s="185" t="s">
        <v>429</v>
      </c>
      <c r="H18" s="186">
        <f t="shared" ref="H18:H33" si="0">ROUND(D18*0.1,0)</f>
        <v>2220000</v>
      </c>
      <c r="I18" s="187">
        <f t="shared" ref="I18:I42" si="1">ROUNDUP((D18+H18-J18),-(LEN(D18)-$I$15))</f>
        <v>2220000</v>
      </c>
      <c r="J18" s="187">
        <f t="shared" ref="J18:J33" si="2">ROUNDUP(D18*$D$12/100,-(LEN(D18)-$I$15))</f>
        <v>22200000</v>
      </c>
      <c r="K18" s="370"/>
    </row>
    <row r="19" spans="1:11" ht="12.6" thickBot="1" x14ac:dyDescent="0.3">
      <c r="A19" s="188">
        <v>1</v>
      </c>
      <c r="B19" s="189">
        <v>2.5000000000000001E-2</v>
      </c>
      <c r="C19" s="189">
        <f t="shared" ref="C19:C42" si="3">B19+C18</f>
        <v>2.5000000000000001E-2</v>
      </c>
      <c r="D19" s="190">
        <f>ROUND(B19*$D$11*(100-$D$14)/100,0)</f>
        <v>2220000</v>
      </c>
      <c r="E19" s="191">
        <f t="shared" ref="E19:E33" si="4">E18+D19</f>
        <v>24420000</v>
      </c>
      <c r="F19" s="192">
        <f>E19/$E$42</f>
        <v>0.22</v>
      </c>
      <c r="G19" s="193" t="s">
        <v>195</v>
      </c>
      <c r="H19" s="194">
        <f t="shared" si="0"/>
        <v>222000</v>
      </c>
      <c r="I19" s="195">
        <f t="shared" si="1"/>
        <v>222000</v>
      </c>
      <c r="J19" s="195">
        <f t="shared" si="2"/>
        <v>2220000</v>
      </c>
      <c r="K19" s="370"/>
    </row>
    <row r="20" spans="1:11" x14ac:dyDescent="0.25">
      <c r="A20" s="188">
        <v>2</v>
      </c>
      <c r="B20" s="189">
        <v>0.03</v>
      </c>
      <c r="C20" s="189">
        <f t="shared" si="3"/>
        <v>5.5E-2</v>
      </c>
      <c r="D20" s="190">
        <f t="shared" ref="D20:D42" si="5">ROUND(B20*$D$11*(100-$D$14)/100,0)</f>
        <v>2664000</v>
      </c>
      <c r="E20" s="191">
        <f t="shared" si="4"/>
        <v>27084000</v>
      </c>
      <c r="F20" s="184">
        <f t="shared" ref="F20:F42" si="6">E20/$E$42</f>
        <v>0.24399999999999999</v>
      </c>
      <c r="G20" s="193" t="s">
        <v>196</v>
      </c>
      <c r="H20" s="194">
        <f t="shared" si="0"/>
        <v>266400</v>
      </c>
      <c r="I20" s="195">
        <f t="shared" si="1"/>
        <v>266400</v>
      </c>
      <c r="J20" s="195">
        <f t="shared" si="2"/>
        <v>2664000</v>
      </c>
      <c r="K20" s="371"/>
    </row>
    <row r="21" spans="1:11" ht="12.6" thickBot="1" x14ac:dyDescent="0.3">
      <c r="A21" s="188">
        <v>3</v>
      </c>
      <c r="B21" s="189">
        <v>3.5000000000000003E-2</v>
      </c>
      <c r="C21" s="189">
        <f>B21+C20</f>
        <v>0.09</v>
      </c>
      <c r="D21" s="190">
        <f t="shared" si="5"/>
        <v>3108000</v>
      </c>
      <c r="E21" s="191">
        <f t="shared" si="4"/>
        <v>30192000</v>
      </c>
      <c r="F21" s="192">
        <f t="shared" si="6"/>
        <v>0.27200000000000002</v>
      </c>
      <c r="G21" s="193" t="s">
        <v>197</v>
      </c>
      <c r="H21" s="194">
        <f t="shared" si="0"/>
        <v>310800</v>
      </c>
      <c r="I21" s="195">
        <f t="shared" si="1"/>
        <v>310800</v>
      </c>
      <c r="J21" s="195">
        <f t="shared" si="2"/>
        <v>3108000</v>
      </c>
      <c r="K21" s="370"/>
    </row>
    <row r="22" spans="1:11" x14ac:dyDescent="0.25">
      <c r="A22" s="188">
        <v>4</v>
      </c>
      <c r="B22" s="189">
        <v>3.5000000000000003E-2</v>
      </c>
      <c r="C22" s="189">
        <f t="shared" si="3"/>
        <v>0.125</v>
      </c>
      <c r="D22" s="190">
        <f t="shared" si="5"/>
        <v>3108000</v>
      </c>
      <c r="E22" s="191">
        <f t="shared" si="4"/>
        <v>33300000</v>
      </c>
      <c r="F22" s="184">
        <f t="shared" si="6"/>
        <v>0.3</v>
      </c>
      <c r="G22" s="193" t="s">
        <v>198</v>
      </c>
      <c r="H22" s="194">
        <f t="shared" si="0"/>
        <v>310800</v>
      </c>
      <c r="I22" s="195">
        <f t="shared" si="1"/>
        <v>310800</v>
      </c>
      <c r="J22" s="195">
        <f t="shared" si="2"/>
        <v>3108000</v>
      </c>
      <c r="K22" s="372"/>
    </row>
    <row r="23" spans="1:11" ht="12.6" thickBot="1" x14ac:dyDescent="0.3">
      <c r="A23" s="188">
        <v>5</v>
      </c>
      <c r="B23" s="189">
        <v>0.04</v>
      </c>
      <c r="C23" s="189">
        <f t="shared" si="3"/>
        <v>0.16500000000000001</v>
      </c>
      <c r="D23" s="190">
        <f t="shared" si="5"/>
        <v>3552000</v>
      </c>
      <c r="E23" s="191">
        <f t="shared" si="4"/>
        <v>36852000</v>
      </c>
      <c r="F23" s="192">
        <f t="shared" si="6"/>
        <v>0.33200000000000002</v>
      </c>
      <c r="G23" s="193" t="s">
        <v>199</v>
      </c>
      <c r="H23" s="194">
        <f t="shared" si="0"/>
        <v>355200</v>
      </c>
      <c r="I23" s="195">
        <f t="shared" si="1"/>
        <v>355200</v>
      </c>
      <c r="J23" s="195">
        <f t="shared" si="2"/>
        <v>3552000</v>
      </c>
      <c r="K23" s="372"/>
    </row>
    <row r="24" spans="1:11" x14ac:dyDescent="0.25">
      <c r="A24" s="188">
        <v>6</v>
      </c>
      <c r="B24" s="189">
        <v>4.4999999999999998E-2</v>
      </c>
      <c r="C24" s="189">
        <f t="shared" si="3"/>
        <v>0.21000000000000002</v>
      </c>
      <c r="D24" s="190">
        <f t="shared" si="5"/>
        <v>3996000</v>
      </c>
      <c r="E24" s="191">
        <f t="shared" si="4"/>
        <v>40848000</v>
      </c>
      <c r="F24" s="184">
        <f t="shared" si="6"/>
        <v>0.36799999999999999</v>
      </c>
      <c r="G24" s="193" t="s">
        <v>200</v>
      </c>
      <c r="H24" s="194">
        <f t="shared" si="0"/>
        <v>399600</v>
      </c>
      <c r="I24" s="195">
        <f t="shared" si="1"/>
        <v>399600</v>
      </c>
      <c r="J24" s="195">
        <f t="shared" si="2"/>
        <v>3996000</v>
      </c>
      <c r="K24" s="372"/>
    </row>
    <row r="25" spans="1:11" ht="12.6" thickBot="1" x14ac:dyDescent="0.3">
      <c r="A25" s="188">
        <v>7</v>
      </c>
      <c r="B25" s="189">
        <v>4.4999999999999998E-2</v>
      </c>
      <c r="C25" s="189">
        <f t="shared" si="3"/>
        <v>0.255</v>
      </c>
      <c r="D25" s="190">
        <f t="shared" si="5"/>
        <v>3996000</v>
      </c>
      <c r="E25" s="191">
        <f t="shared" si="4"/>
        <v>44844000</v>
      </c>
      <c r="F25" s="192">
        <f t="shared" si="6"/>
        <v>0.40400000000000003</v>
      </c>
      <c r="G25" s="193" t="s">
        <v>201</v>
      </c>
      <c r="H25" s="194">
        <f t="shared" si="0"/>
        <v>399600</v>
      </c>
      <c r="I25" s="195">
        <f t="shared" si="1"/>
        <v>399600</v>
      </c>
      <c r="J25" s="195">
        <f t="shared" si="2"/>
        <v>3996000</v>
      </c>
      <c r="K25" s="373"/>
    </row>
    <row r="26" spans="1:11" x14ac:dyDescent="0.25">
      <c r="A26" s="188">
        <v>8</v>
      </c>
      <c r="B26" s="189">
        <v>0.05</v>
      </c>
      <c r="C26" s="189">
        <f t="shared" si="3"/>
        <v>0.30499999999999999</v>
      </c>
      <c r="D26" s="190">
        <f t="shared" si="5"/>
        <v>4440000</v>
      </c>
      <c r="E26" s="191">
        <f t="shared" si="4"/>
        <v>49284000</v>
      </c>
      <c r="F26" s="184">
        <f t="shared" si="6"/>
        <v>0.44400000000000001</v>
      </c>
      <c r="G26" s="193" t="s">
        <v>202</v>
      </c>
      <c r="H26" s="194">
        <f t="shared" si="0"/>
        <v>444000</v>
      </c>
      <c r="I26" s="195">
        <f t="shared" si="1"/>
        <v>444000</v>
      </c>
      <c r="J26" s="195">
        <f t="shared" si="2"/>
        <v>4440000</v>
      </c>
      <c r="K26" s="372"/>
    </row>
    <row r="27" spans="1:11" ht="12.6" thickBot="1" x14ac:dyDescent="0.3">
      <c r="A27" s="188">
        <v>9</v>
      </c>
      <c r="B27" s="189">
        <v>5.5E-2</v>
      </c>
      <c r="C27" s="189">
        <f t="shared" si="3"/>
        <v>0.36</v>
      </c>
      <c r="D27" s="190">
        <f t="shared" si="5"/>
        <v>4884000</v>
      </c>
      <c r="E27" s="191">
        <f t="shared" si="4"/>
        <v>54168000</v>
      </c>
      <c r="F27" s="192">
        <f t="shared" si="6"/>
        <v>0.48799999999999999</v>
      </c>
      <c r="G27" s="193" t="s">
        <v>203</v>
      </c>
      <c r="H27" s="194">
        <f t="shared" si="0"/>
        <v>488400</v>
      </c>
      <c r="I27" s="195">
        <f t="shared" si="1"/>
        <v>488400</v>
      </c>
      <c r="J27" s="195">
        <f t="shared" si="2"/>
        <v>4884000</v>
      </c>
      <c r="K27" s="372"/>
    </row>
    <row r="28" spans="1:11" x14ac:dyDescent="0.25">
      <c r="A28" s="188">
        <v>10</v>
      </c>
      <c r="B28" s="189">
        <v>5.5E-2</v>
      </c>
      <c r="C28" s="189">
        <f t="shared" si="3"/>
        <v>0.41499999999999998</v>
      </c>
      <c r="D28" s="190">
        <f t="shared" si="5"/>
        <v>4884000</v>
      </c>
      <c r="E28" s="191">
        <f t="shared" si="4"/>
        <v>59052000</v>
      </c>
      <c r="F28" s="184">
        <f t="shared" si="6"/>
        <v>0.53200000000000003</v>
      </c>
      <c r="G28" s="193" t="s">
        <v>204</v>
      </c>
      <c r="H28" s="194">
        <f t="shared" si="0"/>
        <v>488400</v>
      </c>
      <c r="I28" s="195">
        <f t="shared" si="1"/>
        <v>488400</v>
      </c>
      <c r="J28" s="195">
        <f t="shared" si="2"/>
        <v>4884000</v>
      </c>
      <c r="K28" s="372"/>
    </row>
    <row r="29" spans="1:11" ht="12.6" thickBot="1" x14ac:dyDescent="0.3">
      <c r="A29" s="188">
        <v>11</v>
      </c>
      <c r="B29" s="189">
        <v>5.5E-2</v>
      </c>
      <c r="C29" s="189">
        <f t="shared" si="3"/>
        <v>0.47</v>
      </c>
      <c r="D29" s="190">
        <f t="shared" si="5"/>
        <v>4884000</v>
      </c>
      <c r="E29" s="191">
        <f t="shared" si="4"/>
        <v>63936000</v>
      </c>
      <c r="F29" s="192">
        <f t="shared" si="6"/>
        <v>0.57599999999999996</v>
      </c>
      <c r="G29" s="193" t="s">
        <v>205</v>
      </c>
      <c r="H29" s="194">
        <f t="shared" si="0"/>
        <v>488400</v>
      </c>
      <c r="I29" s="195">
        <f t="shared" si="1"/>
        <v>488400</v>
      </c>
      <c r="J29" s="195">
        <f t="shared" si="2"/>
        <v>4884000</v>
      </c>
      <c r="K29" s="372"/>
    </row>
    <row r="30" spans="1:11" x14ac:dyDescent="0.25">
      <c r="A30" s="188">
        <v>12</v>
      </c>
      <c r="B30" s="189">
        <v>0.06</v>
      </c>
      <c r="C30" s="189">
        <f t="shared" si="3"/>
        <v>0.53</v>
      </c>
      <c r="D30" s="190">
        <f t="shared" si="5"/>
        <v>5328000</v>
      </c>
      <c r="E30" s="191">
        <f t="shared" si="4"/>
        <v>69264000</v>
      </c>
      <c r="F30" s="184">
        <f t="shared" si="6"/>
        <v>0.624</v>
      </c>
      <c r="G30" s="193" t="s">
        <v>206</v>
      </c>
      <c r="H30" s="194">
        <f t="shared" si="0"/>
        <v>532800</v>
      </c>
      <c r="I30" s="195">
        <f t="shared" si="1"/>
        <v>532800</v>
      </c>
      <c r="J30" s="195">
        <f t="shared" si="2"/>
        <v>5328000</v>
      </c>
      <c r="K30" s="372"/>
    </row>
    <row r="31" spans="1:11" ht="12.6" thickBot="1" x14ac:dyDescent="0.3">
      <c r="A31" s="188">
        <v>13</v>
      </c>
      <c r="B31" s="189">
        <v>7.0000000000000007E-2</v>
      </c>
      <c r="C31" s="189">
        <f t="shared" si="3"/>
        <v>0.60000000000000009</v>
      </c>
      <c r="D31" s="190">
        <f t="shared" si="5"/>
        <v>6216000</v>
      </c>
      <c r="E31" s="191">
        <f t="shared" si="4"/>
        <v>75480000</v>
      </c>
      <c r="F31" s="192">
        <f t="shared" si="6"/>
        <v>0.68</v>
      </c>
      <c r="G31" s="193" t="s">
        <v>207</v>
      </c>
      <c r="H31" s="194">
        <f t="shared" si="0"/>
        <v>621600</v>
      </c>
      <c r="I31" s="195">
        <f t="shared" si="1"/>
        <v>621600</v>
      </c>
      <c r="J31" s="195">
        <f t="shared" si="2"/>
        <v>6216000</v>
      </c>
      <c r="K31" s="372"/>
    </row>
    <row r="32" spans="1:11" x14ac:dyDescent="0.25">
      <c r="A32" s="188">
        <v>14</v>
      </c>
      <c r="B32" s="189">
        <v>7.0000000000000007E-2</v>
      </c>
      <c r="C32" s="189">
        <f t="shared" si="3"/>
        <v>0.67000000000000015</v>
      </c>
      <c r="D32" s="190">
        <f t="shared" si="5"/>
        <v>6216000</v>
      </c>
      <c r="E32" s="191">
        <f t="shared" si="4"/>
        <v>81696000</v>
      </c>
      <c r="F32" s="184">
        <f t="shared" si="6"/>
        <v>0.73599999999999999</v>
      </c>
      <c r="G32" s="193" t="s">
        <v>208</v>
      </c>
      <c r="H32" s="194">
        <f t="shared" si="0"/>
        <v>621600</v>
      </c>
      <c r="I32" s="195">
        <f t="shared" si="1"/>
        <v>621600</v>
      </c>
      <c r="J32" s="195">
        <f t="shared" si="2"/>
        <v>6216000</v>
      </c>
      <c r="K32" s="374"/>
    </row>
    <row r="33" spans="1:11" ht="12.6" thickBot="1" x14ac:dyDescent="0.3">
      <c r="A33" s="188">
        <v>15</v>
      </c>
      <c r="B33" s="189">
        <v>6.5000000000000002E-2</v>
      </c>
      <c r="C33" s="189">
        <f t="shared" si="3"/>
        <v>0.7350000000000001</v>
      </c>
      <c r="D33" s="190">
        <f t="shared" si="5"/>
        <v>5772000</v>
      </c>
      <c r="E33" s="191">
        <f t="shared" si="4"/>
        <v>87468000</v>
      </c>
      <c r="F33" s="192">
        <f t="shared" si="6"/>
        <v>0.78800000000000003</v>
      </c>
      <c r="G33" s="193" t="s">
        <v>209</v>
      </c>
      <c r="H33" s="194">
        <f t="shared" si="0"/>
        <v>577200</v>
      </c>
      <c r="I33" s="195">
        <f t="shared" si="1"/>
        <v>577200</v>
      </c>
      <c r="J33" s="195">
        <f t="shared" si="2"/>
        <v>5772000</v>
      </c>
      <c r="K33" s="372"/>
    </row>
    <row r="34" spans="1:11" x14ac:dyDescent="0.25">
      <c r="A34" s="188">
        <v>16</v>
      </c>
      <c r="B34" s="189">
        <v>6.5000000000000002E-2</v>
      </c>
      <c r="C34" s="189">
        <f t="shared" si="3"/>
        <v>0.8</v>
      </c>
      <c r="D34" s="190">
        <f t="shared" si="5"/>
        <v>5772000</v>
      </c>
      <c r="E34" s="191">
        <f>E33+D34</f>
        <v>93240000</v>
      </c>
      <c r="F34" s="184">
        <f t="shared" si="6"/>
        <v>0.84</v>
      </c>
      <c r="G34" s="193" t="s">
        <v>210</v>
      </c>
      <c r="H34" s="194">
        <f>ROUND(D34*0.1,0)</f>
        <v>577200</v>
      </c>
      <c r="I34" s="195">
        <f t="shared" si="1"/>
        <v>577200</v>
      </c>
      <c r="J34" s="195">
        <f>ROUNDUP(D34*$D$12/100,-(LEN(D34)-$I$15))</f>
        <v>5772000</v>
      </c>
      <c r="K34" s="372"/>
    </row>
    <row r="35" spans="1:11" ht="12.6" thickBot="1" x14ac:dyDescent="0.3">
      <c r="A35" s="188">
        <v>17</v>
      </c>
      <c r="B35" s="189">
        <v>0.05</v>
      </c>
      <c r="C35" s="189">
        <f t="shared" si="3"/>
        <v>0.85000000000000009</v>
      </c>
      <c r="D35" s="190">
        <f t="shared" si="5"/>
        <v>4440000</v>
      </c>
      <c r="E35" s="191">
        <f>E34+D35</f>
        <v>97680000</v>
      </c>
      <c r="F35" s="192">
        <f t="shared" si="6"/>
        <v>0.88</v>
      </c>
      <c r="G35" s="193" t="s">
        <v>211</v>
      </c>
      <c r="H35" s="194">
        <f>ROUND(D35*0.1,0)</f>
        <v>444000</v>
      </c>
      <c r="I35" s="195">
        <f t="shared" si="1"/>
        <v>444000</v>
      </c>
      <c r="J35" s="195">
        <f>ROUNDUP(D35*$D$12/100,-(LEN(D35)-$I$15))</f>
        <v>4440000</v>
      </c>
      <c r="K35" s="372"/>
    </row>
    <row r="36" spans="1:11" ht="12.6" thickBot="1" x14ac:dyDescent="0.3">
      <c r="A36" s="200">
        <v>18</v>
      </c>
      <c r="B36" s="189">
        <v>0.05</v>
      </c>
      <c r="C36" s="189">
        <f t="shared" si="3"/>
        <v>0.90000000000000013</v>
      </c>
      <c r="D36" s="190">
        <f t="shared" si="5"/>
        <v>4440000</v>
      </c>
      <c r="E36" s="203">
        <f>E35+D36</f>
        <v>102120000</v>
      </c>
      <c r="F36" s="184">
        <f t="shared" si="6"/>
        <v>0.92</v>
      </c>
      <c r="G36" s="205" t="s">
        <v>212</v>
      </c>
      <c r="H36" s="206">
        <f>ROUND(D36*0.1,0)</f>
        <v>444000</v>
      </c>
      <c r="I36" s="195">
        <f t="shared" si="1"/>
        <v>444000</v>
      </c>
      <c r="J36" s="207">
        <f>ROUNDUP(D36*$D$12/100,-(LEN(D36)-$I$15))</f>
        <v>4440000</v>
      </c>
      <c r="K36" s="374"/>
    </row>
    <row r="37" spans="1:11" ht="12.6" thickBot="1" x14ac:dyDescent="0.3">
      <c r="A37" s="188">
        <v>19</v>
      </c>
      <c r="B37" s="189">
        <v>0.04</v>
      </c>
      <c r="C37" s="189">
        <f t="shared" si="3"/>
        <v>0.94000000000000017</v>
      </c>
      <c r="D37" s="190">
        <f t="shared" si="5"/>
        <v>3552000</v>
      </c>
      <c r="E37" s="191">
        <f t="shared" ref="E37:E42" si="7">E36+D37</f>
        <v>105672000</v>
      </c>
      <c r="F37" s="192">
        <f t="shared" si="6"/>
        <v>0.95199999999999996</v>
      </c>
      <c r="G37" s="193" t="s">
        <v>213</v>
      </c>
      <c r="H37" s="194">
        <f t="shared" ref="H37:H42" si="8">ROUND(D37*0.1,0)</f>
        <v>355200</v>
      </c>
      <c r="I37" s="195">
        <f t="shared" si="1"/>
        <v>355200</v>
      </c>
      <c r="J37" s="207">
        <f t="shared" ref="J37:J42" si="9">ROUNDUP(D37*$D$12/100,-(LEN(D37)-$I$15))</f>
        <v>3552000</v>
      </c>
      <c r="K37" s="374"/>
    </row>
    <row r="38" spans="1:11" ht="12.6" thickBot="1" x14ac:dyDescent="0.3">
      <c r="A38" s="200">
        <v>20</v>
      </c>
      <c r="B38" s="189">
        <v>0.02</v>
      </c>
      <c r="C38" s="189">
        <f t="shared" si="3"/>
        <v>0.96000000000000019</v>
      </c>
      <c r="D38" s="190">
        <f t="shared" si="5"/>
        <v>1776000</v>
      </c>
      <c r="E38" s="203">
        <f t="shared" si="7"/>
        <v>107448000</v>
      </c>
      <c r="F38" s="184">
        <f t="shared" si="6"/>
        <v>0.96799999999999997</v>
      </c>
      <c r="G38" s="205" t="s">
        <v>214</v>
      </c>
      <c r="H38" s="206">
        <f t="shared" si="8"/>
        <v>177600</v>
      </c>
      <c r="I38" s="195">
        <f t="shared" si="1"/>
        <v>177600</v>
      </c>
      <c r="J38" s="207">
        <f t="shared" si="9"/>
        <v>1776000</v>
      </c>
      <c r="K38" s="374"/>
    </row>
    <row r="39" spans="1:11" ht="12.6" thickBot="1" x14ac:dyDescent="0.3">
      <c r="A39" s="188">
        <v>21</v>
      </c>
      <c r="B39" s="219">
        <v>0.01</v>
      </c>
      <c r="C39" s="189">
        <f t="shared" si="3"/>
        <v>0.9700000000000002</v>
      </c>
      <c r="D39" s="190">
        <f t="shared" si="5"/>
        <v>888000</v>
      </c>
      <c r="E39" s="191">
        <f t="shared" si="7"/>
        <v>108336000</v>
      </c>
      <c r="F39" s="192">
        <f t="shared" si="6"/>
        <v>0.97599999999999998</v>
      </c>
      <c r="G39" s="193" t="s">
        <v>215</v>
      </c>
      <c r="H39" s="194">
        <f t="shared" si="8"/>
        <v>88800</v>
      </c>
      <c r="I39" s="207">
        <f>ROUNDUP((D39+H39-J39),-(LEN(D39)-$I$15))</f>
        <v>88800</v>
      </c>
      <c r="J39" s="207">
        <f t="shared" si="9"/>
        <v>888000</v>
      </c>
      <c r="K39" s="374"/>
    </row>
    <row r="40" spans="1:11" ht="12.6" thickBot="1" x14ac:dyDescent="0.3">
      <c r="A40" s="200">
        <v>22</v>
      </c>
      <c r="B40" s="189">
        <v>0.01</v>
      </c>
      <c r="C40" s="189">
        <f t="shared" si="3"/>
        <v>0.9800000000000002</v>
      </c>
      <c r="D40" s="190">
        <f t="shared" si="5"/>
        <v>888000</v>
      </c>
      <c r="E40" s="203">
        <f t="shared" si="7"/>
        <v>109224000</v>
      </c>
      <c r="F40" s="184">
        <f t="shared" si="6"/>
        <v>0.98399999999999999</v>
      </c>
      <c r="G40" s="205" t="s">
        <v>216</v>
      </c>
      <c r="H40" s="206">
        <f t="shared" si="8"/>
        <v>88800</v>
      </c>
      <c r="I40" s="195">
        <f t="shared" si="1"/>
        <v>88800</v>
      </c>
      <c r="J40" s="207">
        <f t="shared" si="9"/>
        <v>888000</v>
      </c>
      <c r="K40" s="374"/>
    </row>
    <row r="41" spans="1:11" ht="12.6" thickBot="1" x14ac:dyDescent="0.3">
      <c r="A41" s="188">
        <v>23</v>
      </c>
      <c r="B41" s="189">
        <v>0.01</v>
      </c>
      <c r="C41" s="189">
        <f t="shared" si="3"/>
        <v>0.99000000000000021</v>
      </c>
      <c r="D41" s="190">
        <f t="shared" si="5"/>
        <v>888000</v>
      </c>
      <c r="E41" s="191">
        <f t="shared" si="7"/>
        <v>110112000</v>
      </c>
      <c r="F41" s="192">
        <f t="shared" si="6"/>
        <v>0.99199999999999999</v>
      </c>
      <c r="G41" s="193" t="s">
        <v>217</v>
      </c>
      <c r="H41" s="194">
        <f t="shared" si="8"/>
        <v>88800</v>
      </c>
      <c r="I41" s="195">
        <f t="shared" si="1"/>
        <v>88800</v>
      </c>
      <c r="J41" s="207">
        <f t="shared" si="9"/>
        <v>888000</v>
      </c>
      <c r="K41" s="374"/>
    </row>
    <row r="42" spans="1:11" ht="12.6" thickBot="1" x14ac:dyDescent="0.3">
      <c r="A42" s="200">
        <v>24</v>
      </c>
      <c r="B42" s="201">
        <v>0.01</v>
      </c>
      <c r="C42" s="189">
        <f t="shared" si="3"/>
        <v>1.0000000000000002</v>
      </c>
      <c r="D42" s="190">
        <f t="shared" si="5"/>
        <v>888000</v>
      </c>
      <c r="E42" s="203">
        <f t="shared" si="7"/>
        <v>111000000</v>
      </c>
      <c r="F42" s="184">
        <f t="shared" si="6"/>
        <v>1</v>
      </c>
      <c r="G42" s="205" t="s">
        <v>218</v>
      </c>
      <c r="H42" s="206">
        <f t="shared" si="8"/>
        <v>88800</v>
      </c>
      <c r="I42" s="207">
        <f t="shared" si="1"/>
        <v>88800</v>
      </c>
      <c r="J42" s="207">
        <f t="shared" si="9"/>
        <v>888000</v>
      </c>
      <c r="K42" s="374"/>
    </row>
    <row r="43" spans="1:11" ht="20.25" customHeight="1" thickBot="1" x14ac:dyDescent="0.3">
      <c r="A43" s="208" t="str">
        <f>A42*30 &amp; " dias"</f>
        <v>720 dias</v>
      </c>
      <c r="B43" s="209">
        <f>SUM(B19:B42)</f>
        <v>1.0000000000000002</v>
      </c>
      <c r="C43" s="210"/>
      <c r="D43" s="211">
        <f>SUM(D18:D42)</f>
        <v>111000000</v>
      </c>
      <c r="E43" s="150"/>
      <c r="H43" s="150"/>
      <c r="I43" s="212">
        <f>SUM(I18:I42)</f>
        <v>11100000</v>
      </c>
      <c r="J43" s="212">
        <f>SUM(J18:J42)</f>
        <v>111000000</v>
      </c>
      <c r="K43" s="372"/>
    </row>
    <row r="44" spans="1:11" ht="15" customHeight="1" x14ac:dyDescent="0.25">
      <c r="A44" s="155"/>
      <c r="F44" s="158"/>
      <c r="G44" s="158"/>
      <c r="H44" s="161" t="s">
        <v>430</v>
      </c>
      <c r="I44" s="640">
        <f>I43+J43</f>
        <v>122100000</v>
      </c>
      <c r="J44" s="641"/>
    </row>
    <row r="45" spans="1:11" x14ac:dyDescent="0.25">
      <c r="A45" s="154" t="s">
        <v>431</v>
      </c>
      <c r="B45" s="154"/>
      <c r="C45" s="154"/>
      <c r="H45" s="161" t="s">
        <v>432</v>
      </c>
      <c r="I45" s="170">
        <f>I44/1.1-D11</f>
        <v>0</v>
      </c>
    </row>
    <row r="46" spans="1:11" x14ac:dyDescent="0.25">
      <c r="B46" s="213"/>
    </row>
    <row r="47" spans="1:11" x14ac:dyDescent="0.25">
      <c r="B47" s="213"/>
    </row>
    <row r="49" spans="1:27" s="216" customFormat="1" ht="12.75" customHeight="1" x14ac:dyDescent="0.25">
      <c r="A49" s="214"/>
      <c r="B49" s="215" t="s">
        <v>433</v>
      </c>
      <c r="C49" s="215" t="s">
        <v>195</v>
      </c>
      <c r="D49" s="215" t="s">
        <v>196</v>
      </c>
      <c r="E49" s="215" t="s">
        <v>197</v>
      </c>
      <c r="F49" s="215" t="s">
        <v>198</v>
      </c>
      <c r="G49" s="215" t="s">
        <v>199</v>
      </c>
      <c r="H49" s="215" t="s">
        <v>200</v>
      </c>
      <c r="I49" s="215" t="s">
        <v>201</v>
      </c>
      <c r="J49" s="215" t="s">
        <v>202</v>
      </c>
      <c r="K49" s="215" t="s">
        <v>203</v>
      </c>
      <c r="L49" s="215" t="s">
        <v>204</v>
      </c>
      <c r="M49" s="215" t="s">
        <v>205</v>
      </c>
      <c r="N49" s="215" t="s">
        <v>206</v>
      </c>
      <c r="O49" s="215" t="s">
        <v>207</v>
      </c>
      <c r="P49" s="215" t="s">
        <v>208</v>
      </c>
      <c r="Q49" s="215" t="s">
        <v>209</v>
      </c>
      <c r="R49" s="215" t="s">
        <v>210</v>
      </c>
      <c r="S49" s="215" t="s">
        <v>211</v>
      </c>
      <c r="T49" s="215" t="s">
        <v>212</v>
      </c>
      <c r="U49" s="215" t="s">
        <v>213</v>
      </c>
      <c r="V49" s="215" t="s">
        <v>214</v>
      </c>
      <c r="W49" s="215" t="s">
        <v>215</v>
      </c>
      <c r="X49" s="215" t="s">
        <v>216</v>
      </c>
      <c r="Y49" s="215" t="s">
        <v>217</v>
      </c>
      <c r="Z49" s="215" t="s">
        <v>218</v>
      </c>
    </row>
    <row r="50" spans="1:27" x14ac:dyDescent="0.25">
      <c r="A50" s="217" t="s">
        <v>434</v>
      </c>
      <c r="B50" s="190">
        <v>0</v>
      </c>
      <c r="C50" s="190">
        <v>0</v>
      </c>
      <c r="D50" s="190">
        <v>0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0</v>
      </c>
      <c r="K50" s="190">
        <v>0</v>
      </c>
      <c r="L50" s="190">
        <v>0</v>
      </c>
      <c r="M50" s="190">
        <v>0</v>
      </c>
      <c r="N50" s="190">
        <v>0</v>
      </c>
      <c r="O50" s="190">
        <v>0</v>
      </c>
      <c r="P50" s="190">
        <v>0</v>
      </c>
      <c r="Q50" s="190">
        <v>0</v>
      </c>
      <c r="R50" s="190">
        <v>0</v>
      </c>
      <c r="S50" s="190">
        <v>0</v>
      </c>
      <c r="T50" s="190">
        <v>0</v>
      </c>
      <c r="U50" s="158">
        <f>SUM(B50:T50)</f>
        <v>0</v>
      </c>
      <c r="V50" s="158">
        <f t="shared" ref="V50:AA50" si="10">SUM(C50:U50)</f>
        <v>0</v>
      </c>
      <c r="W50" s="158">
        <f t="shared" si="10"/>
        <v>0</v>
      </c>
      <c r="X50" s="158">
        <f t="shared" si="10"/>
        <v>0</v>
      </c>
      <c r="Y50" s="158">
        <f t="shared" si="10"/>
        <v>0</v>
      </c>
      <c r="Z50" s="158">
        <f t="shared" si="10"/>
        <v>0</v>
      </c>
      <c r="AA50" s="158">
        <f t="shared" si="10"/>
        <v>0</v>
      </c>
    </row>
    <row r="51" spans="1:27" x14ac:dyDescent="0.25">
      <c r="A51" s="217" t="s">
        <v>435</v>
      </c>
      <c r="B51" s="190">
        <f>$J18</f>
        <v>22200000</v>
      </c>
      <c r="C51" s="190">
        <f>$J19</f>
        <v>2220000</v>
      </c>
      <c r="D51" s="190">
        <f>$J20</f>
        <v>2664000</v>
      </c>
      <c r="E51" s="190">
        <f>$J21</f>
        <v>3108000</v>
      </c>
      <c r="F51" s="190">
        <f>$J22</f>
        <v>3108000</v>
      </c>
      <c r="G51" s="190">
        <f>$J23</f>
        <v>3552000</v>
      </c>
      <c r="H51" s="190">
        <f>$J24</f>
        <v>3996000</v>
      </c>
      <c r="I51" s="190">
        <f>$J25</f>
        <v>3996000</v>
      </c>
      <c r="J51" s="190">
        <f>$J26</f>
        <v>4440000</v>
      </c>
      <c r="K51" s="190">
        <f>$J27</f>
        <v>4884000</v>
      </c>
      <c r="L51" s="190">
        <f>$J28</f>
        <v>4884000</v>
      </c>
      <c r="M51" s="190">
        <f>$J29</f>
        <v>4884000</v>
      </c>
      <c r="N51" s="190">
        <f>$J30</f>
        <v>5328000</v>
      </c>
      <c r="O51" s="190">
        <f>$J31</f>
        <v>6216000</v>
      </c>
      <c r="P51" s="190">
        <f>$J32</f>
        <v>6216000</v>
      </c>
      <c r="Q51" s="190">
        <f>$J33</f>
        <v>5772000</v>
      </c>
      <c r="R51" s="190">
        <f>$J34</f>
        <v>5772000</v>
      </c>
      <c r="S51" s="190">
        <f>$J35</f>
        <v>4440000</v>
      </c>
      <c r="T51" s="190">
        <f>$J36</f>
        <v>4440000</v>
      </c>
      <c r="U51" s="190">
        <f>$J37</f>
        <v>3552000</v>
      </c>
      <c r="V51" s="190">
        <f>$J38</f>
        <v>1776000</v>
      </c>
      <c r="W51" s="190">
        <f>$J39</f>
        <v>888000</v>
      </c>
      <c r="X51" s="190">
        <f>$J40</f>
        <v>888000</v>
      </c>
      <c r="Y51" s="190">
        <f>$J41</f>
        <v>888000</v>
      </c>
      <c r="Z51" s="190">
        <f>$J42</f>
        <v>888000</v>
      </c>
      <c r="AA51" s="158">
        <f>SUM(B51:Z51)</f>
        <v>111000000</v>
      </c>
    </row>
    <row r="52" spans="1:27" x14ac:dyDescent="0.25">
      <c r="B52" s="190">
        <f>B50+B51</f>
        <v>22200000</v>
      </c>
      <c r="C52" s="190">
        <f t="shared" ref="C52:Z52" si="11">C50+C51</f>
        <v>2220000</v>
      </c>
      <c r="D52" s="190">
        <f t="shared" si="11"/>
        <v>2664000</v>
      </c>
      <c r="E52" s="190">
        <f t="shared" si="11"/>
        <v>3108000</v>
      </c>
      <c r="F52" s="190">
        <f t="shared" si="11"/>
        <v>3108000</v>
      </c>
      <c r="G52" s="190">
        <f t="shared" si="11"/>
        <v>3552000</v>
      </c>
      <c r="H52" s="190">
        <f t="shared" si="11"/>
        <v>3996000</v>
      </c>
      <c r="I52" s="190">
        <f t="shared" si="11"/>
        <v>3996000</v>
      </c>
      <c r="J52" s="190">
        <f t="shared" si="11"/>
        <v>4440000</v>
      </c>
      <c r="K52" s="190">
        <f t="shared" si="11"/>
        <v>4884000</v>
      </c>
      <c r="L52" s="190">
        <f t="shared" si="11"/>
        <v>4884000</v>
      </c>
      <c r="M52" s="190">
        <f t="shared" si="11"/>
        <v>4884000</v>
      </c>
      <c r="N52" s="190">
        <f t="shared" si="11"/>
        <v>5328000</v>
      </c>
      <c r="O52" s="190">
        <f t="shared" si="11"/>
        <v>6216000</v>
      </c>
      <c r="P52" s="190">
        <f t="shared" si="11"/>
        <v>6216000</v>
      </c>
      <c r="Q52" s="190">
        <f t="shared" si="11"/>
        <v>5772000</v>
      </c>
      <c r="R52" s="190">
        <f t="shared" si="11"/>
        <v>5772000</v>
      </c>
      <c r="S52" s="190">
        <f t="shared" si="11"/>
        <v>4440000</v>
      </c>
      <c r="T52" s="190">
        <f t="shared" si="11"/>
        <v>4440000</v>
      </c>
      <c r="U52" s="190">
        <f t="shared" si="11"/>
        <v>3552000</v>
      </c>
      <c r="V52" s="190">
        <f t="shared" si="11"/>
        <v>1776000</v>
      </c>
      <c r="W52" s="190">
        <f t="shared" si="11"/>
        <v>888000</v>
      </c>
      <c r="X52" s="190">
        <f t="shared" si="11"/>
        <v>888000</v>
      </c>
      <c r="Y52" s="190">
        <f t="shared" si="11"/>
        <v>888000</v>
      </c>
      <c r="Z52" s="190">
        <f t="shared" si="11"/>
        <v>888000</v>
      </c>
      <c r="AA52" s="190">
        <f>U50+AA51</f>
        <v>111000000</v>
      </c>
    </row>
    <row r="53" spans="1:27" x14ac:dyDescent="0.25">
      <c r="B53" s="218">
        <f>SUM(B52:Z52)</f>
        <v>111000000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6"/>
  <sheetViews>
    <sheetView showGridLines="0" zoomScale="80" zoomScaleNormal="80" workbookViewId="0">
      <selection activeCell="I46" sqref="I46:J46"/>
    </sheetView>
  </sheetViews>
  <sheetFormatPr defaultColWidth="11.44140625" defaultRowHeight="12" x14ac:dyDescent="0.25"/>
  <cols>
    <col min="1" max="1" width="17.44140625" style="220" customWidth="1"/>
    <col min="2" max="2" width="14.33203125" style="220" customWidth="1"/>
    <col min="3" max="3" width="16.88671875" style="220" customWidth="1"/>
    <col min="4" max="4" width="13.6640625" style="220" customWidth="1"/>
    <col min="5" max="5" width="13.5546875" style="220" customWidth="1"/>
    <col min="6" max="6" width="18.33203125" style="220" customWidth="1"/>
    <col min="7" max="7" width="17.5546875" style="220" customWidth="1"/>
    <col min="8" max="8" width="17.44140625" style="220" customWidth="1"/>
    <col min="9" max="9" width="13.88671875" style="220" customWidth="1"/>
    <col min="10" max="10" width="16.44140625" style="220" customWidth="1"/>
    <col min="11" max="11" width="13.6640625" style="220" customWidth="1"/>
    <col min="12" max="12" width="15.6640625" style="220" customWidth="1"/>
    <col min="13" max="13" width="15.33203125" style="220" customWidth="1"/>
    <col min="14" max="20" width="13.6640625" style="220" customWidth="1"/>
    <col min="21" max="21" width="14.6640625" style="220" customWidth="1"/>
    <col min="22" max="16384" width="11.44140625" style="220"/>
  </cols>
  <sheetData>
    <row r="1" spans="1:21" ht="15.75" customHeight="1" x14ac:dyDescent="0.25">
      <c r="A1" s="642" t="s">
        <v>406</v>
      </c>
      <c r="B1" s="642"/>
      <c r="C1" s="642"/>
      <c r="D1" s="642"/>
      <c r="E1" s="642"/>
      <c r="F1" s="642"/>
      <c r="G1" s="642"/>
      <c r="H1" s="642"/>
      <c r="I1" s="642"/>
      <c r="J1" s="642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</row>
    <row r="2" spans="1:21" x14ac:dyDescent="0.25">
      <c r="A2" s="151"/>
      <c r="B2" s="152"/>
      <c r="C2" s="153"/>
      <c r="D2" s="153"/>
      <c r="E2" s="154"/>
      <c r="F2" s="154"/>
      <c r="G2" s="150"/>
      <c r="H2" s="155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</row>
    <row r="3" spans="1:21" x14ac:dyDescent="0.25">
      <c r="A3" s="151" t="s">
        <v>407</v>
      </c>
      <c r="B3" s="643" t="str">
        <f>+'CC D'!B15</f>
        <v>Contratación de Firmas Consultoras para la inspección de las Obras de la muestra del programa</v>
      </c>
      <c r="C3" s="643"/>
      <c r="D3" s="643"/>
      <c r="E3" s="643"/>
      <c r="F3" s="643"/>
      <c r="G3" s="643"/>
      <c r="H3" s="643"/>
      <c r="I3" s="643"/>
      <c r="J3" s="156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1" x14ac:dyDescent="0.25">
      <c r="A4" s="157"/>
      <c r="B4" s="643"/>
      <c r="C4" s="643"/>
      <c r="D4" s="643"/>
      <c r="E4" s="643"/>
      <c r="F4" s="643"/>
      <c r="G4" s="643"/>
      <c r="H4" s="643"/>
      <c r="I4" s="643"/>
      <c r="J4" s="156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</row>
    <row r="5" spans="1:21" x14ac:dyDescent="0.25">
      <c r="A5" s="644" t="str">
        <f>CONCATENATE("PLAZO: ",A44," MESES (",A45,")")</f>
        <v>PLAZO: 26 MESES (780 dias)</v>
      </c>
      <c r="B5" s="644"/>
      <c r="C5" s="644"/>
      <c r="D5" s="158"/>
      <c r="E5" s="159" t="s">
        <v>408</v>
      </c>
      <c r="F5" s="150"/>
      <c r="G5" s="150"/>
      <c r="H5" s="155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</row>
    <row r="6" spans="1:21" x14ac:dyDescent="0.25">
      <c r="A6" s="150"/>
      <c r="B6" s="160"/>
      <c r="C6" s="158"/>
      <c r="D6" s="158"/>
      <c r="E6" s="158"/>
      <c r="F6" s="150"/>
      <c r="G6" s="150"/>
      <c r="H6" s="155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x14ac:dyDescent="0.25">
      <c r="A7" s="150"/>
      <c r="B7" s="160"/>
      <c r="C7" s="161" t="s">
        <v>409</v>
      </c>
      <c r="D7" s="645"/>
      <c r="E7" s="645"/>
      <c r="F7" s="645"/>
      <c r="G7" s="150"/>
      <c r="H7" s="161" t="s">
        <v>410</v>
      </c>
      <c r="I7" s="162">
        <f ca="1">NOW()</f>
        <v>43000.66745173611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</row>
    <row r="8" spans="1:21" x14ac:dyDescent="0.25">
      <c r="A8" s="150"/>
      <c r="B8" s="160"/>
      <c r="C8" s="161" t="str">
        <f>IF(D7=0,"MONTO ESTIMADO CON IVA:","MONTO DE CONTRATO CON IVA:")</f>
        <v>MONTO ESTIMADO CON IVA:</v>
      </c>
      <c r="D8" s="163">
        <f>+'CC D'!K15</f>
        <v>2700000</v>
      </c>
      <c r="E8" s="164" t="s">
        <v>411</v>
      </c>
      <c r="F8" s="150" t="s">
        <v>412</v>
      </c>
      <c r="G8" s="150"/>
      <c r="H8" s="155" t="s">
        <v>413</v>
      </c>
      <c r="I8" s="165">
        <v>1</v>
      </c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x14ac:dyDescent="0.25">
      <c r="A9" s="150"/>
      <c r="B9" s="160"/>
      <c r="C9" s="161" t="s">
        <v>436</v>
      </c>
      <c r="D9" s="163">
        <v>900000</v>
      </c>
      <c r="E9" s="158" t="s">
        <v>414</v>
      </c>
      <c r="F9" s="150"/>
      <c r="G9" s="150"/>
      <c r="H9" s="155"/>
      <c r="I9" s="166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</row>
    <row r="10" spans="1:21" x14ac:dyDescent="0.25">
      <c r="A10" s="150"/>
      <c r="B10" s="160"/>
      <c r="C10" s="161" t="s">
        <v>437</v>
      </c>
      <c r="D10" s="163">
        <f>+D8+D9</f>
        <v>3600000</v>
      </c>
      <c r="E10" s="158" t="s">
        <v>411</v>
      </c>
      <c r="F10" s="150"/>
      <c r="G10" s="150"/>
      <c r="H10" s="155"/>
      <c r="I10" s="166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</row>
    <row r="11" spans="1:21" x14ac:dyDescent="0.25">
      <c r="A11" s="150"/>
      <c r="B11" s="150"/>
      <c r="C11" s="161" t="str">
        <f>IF(D7=0,"MONTO ESTIMADO SIN IVA:","MONTO DE CONTRATO SIN IVA:")</f>
        <v>MONTO ESTIMADO SIN IVA:</v>
      </c>
      <c r="D11" s="167">
        <f>D8</f>
        <v>2700000</v>
      </c>
      <c r="E11" s="168" t="s">
        <v>414</v>
      </c>
      <c r="F11" s="158"/>
      <c r="G11" s="150"/>
      <c r="H11" s="155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</row>
    <row r="12" spans="1:21" x14ac:dyDescent="0.25">
      <c r="A12" s="150"/>
      <c r="B12" s="150"/>
      <c r="C12" s="161" t="s">
        <v>415</v>
      </c>
      <c r="D12" s="165">
        <v>100</v>
      </c>
      <c r="E12" s="158"/>
      <c r="F12" s="158" t="s">
        <v>416</v>
      </c>
      <c r="G12" s="150"/>
      <c r="H12" s="155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</row>
    <row r="13" spans="1:21" x14ac:dyDescent="0.25">
      <c r="A13" s="150"/>
      <c r="B13" s="150"/>
      <c r="C13" s="161" t="s">
        <v>417</v>
      </c>
      <c r="D13" s="169">
        <f>100-D12</f>
        <v>0</v>
      </c>
      <c r="E13" s="158"/>
      <c r="F13" s="158"/>
      <c r="G13" s="150"/>
      <c r="H13" s="155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</row>
    <row r="14" spans="1:21" x14ac:dyDescent="0.25">
      <c r="A14" s="150"/>
      <c r="B14" s="150"/>
      <c r="C14" s="161" t="s">
        <v>418</v>
      </c>
      <c r="D14" s="166">
        <v>0</v>
      </c>
      <c r="E14" s="158"/>
      <c r="F14" s="158"/>
      <c r="G14" s="150"/>
      <c r="H14" s="155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</row>
    <row r="15" spans="1:21" x14ac:dyDescent="0.25">
      <c r="A15" s="150"/>
      <c r="B15" s="161" t="s">
        <v>419</v>
      </c>
      <c r="C15" s="646"/>
      <c r="D15" s="646"/>
      <c r="E15" s="501" t="s">
        <v>420</v>
      </c>
      <c r="F15" s="502"/>
      <c r="G15" s="150"/>
      <c r="H15" s="170" t="s">
        <v>421</v>
      </c>
      <c r="I15" s="165">
        <v>10</v>
      </c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</row>
    <row r="16" spans="1:21" ht="12.6" thickBot="1" x14ac:dyDescent="0.3">
      <c r="A16" s="150"/>
      <c r="B16" s="160"/>
      <c r="C16" s="158"/>
      <c r="D16" s="158"/>
      <c r="E16" s="158"/>
      <c r="F16" s="171"/>
      <c r="G16" s="150"/>
      <c r="H16" s="155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</row>
    <row r="17" spans="1:21" ht="36.6" thickBot="1" x14ac:dyDescent="0.3">
      <c r="A17" s="172" t="s">
        <v>422</v>
      </c>
      <c r="B17" s="173" t="s">
        <v>423</v>
      </c>
      <c r="C17" s="173" t="s">
        <v>424</v>
      </c>
      <c r="D17" s="174" t="str">
        <f>CONCATENATE("MONTO MENSUAL DESCONTADO ",ROUND(D14,0),"% ANTICIPO")</f>
        <v>MONTO MENSUAL DESCONTADO 0% ANTICIPO</v>
      </c>
      <c r="E17" s="175" t="s">
        <v>425</v>
      </c>
      <c r="F17" s="176" t="s">
        <v>426</v>
      </c>
      <c r="G17" s="177" t="s">
        <v>427</v>
      </c>
      <c r="H17" s="178" t="s">
        <v>428</v>
      </c>
      <c r="I17" s="179" t="str">
        <f>CONCATENATE("DESEMBOLSOS FONDO LOCAL (",ROUND(D13,0),"%) + IVA")</f>
        <v>DESEMBOLSOS FONDO LOCAL (0%) + IVA</v>
      </c>
      <c r="J17" s="179" t="str">
        <f>CONCATENATE("DESEMBOLSOS FONDO EXTERNO (",ROUND(D12,0),"%)")</f>
        <v>DESEMBOLSOS FONDO EXTERNO (100%)</v>
      </c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</row>
    <row r="18" spans="1:21" ht="12.6" thickBot="1" x14ac:dyDescent="0.3">
      <c r="A18" s="180">
        <v>0</v>
      </c>
      <c r="B18" s="181">
        <f>D14/100</f>
        <v>0</v>
      </c>
      <c r="C18" s="181">
        <v>0</v>
      </c>
      <c r="D18" s="182">
        <f>ROUND(B18*D11,0)</f>
        <v>0</v>
      </c>
      <c r="E18" s="183">
        <f>D18</f>
        <v>0</v>
      </c>
      <c r="F18" s="184">
        <f t="shared" ref="F18:F44" si="0">E18/$E$36</f>
        <v>0</v>
      </c>
      <c r="G18" s="185" t="s">
        <v>429</v>
      </c>
      <c r="H18" s="186">
        <f t="shared" ref="H18:H44" si="1">ROUND(D18*0.1,0)</f>
        <v>0</v>
      </c>
      <c r="I18" s="187">
        <v>0</v>
      </c>
      <c r="J18" s="187">
        <f t="shared" ref="J18:J33" si="2">ROUNDUP(D18*$D$12/100,-(LEN(D18)-$I$15))</f>
        <v>0</v>
      </c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</row>
    <row r="19" spans="1:21" ht="12.6" thickBot="1" x14ac:dyDescent="0.3">
      <c r="A19" s="188">
        <v>1</v>
      </c>
      <c r="B19" s="189">
        <v>2.5000000000000001E-2</v>
      </c>
      <c r="C19" s="189">
        <f t="shared" ref="C19:C33" si="3">B19+C18</f>
        <v>2.5000000000000001E-2</v>
      </c>
      <c r="D19" s="190">
        <f>ROUND(B19*$D$11*(100-$D$14)/100,0)</f>
        <v>67500</v>
      </c>
      <c r="E19" s="191">
        <f>E18+D19</f>
        <v>67500</v>
      </c>
      <c r="F19" s="192">
        <f t="shared" si="0"/>
        <v>2.7777777777777776E-2</v>
      </c>
      <c r="G19" s="193" t="s">
        <v>195</v>
      </c>
      <c r="H19" s="186">
        <f t="shared" si="1"/>
        <v>6750</v>
      </c>
      <c r="I19" s="195">
        <f>ROUNDUP((D19+H19-J19),-(LEN(D19)-$I$15))</f>
        <v>6750</v>
      </c>
      <c r="J19" s="195">
        <f>ROUNDUP(D19*$D$12/100,-(LEN(D19)-$I$15))</f>
        <v>67500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</row>
    <row r="20" spans="1:21" ht="12.6" thickBot="1" x14ac:dyDescent="0.3">
      <c r="A20" s="188">
        <v>2</v>
      </c>
      <c r="B20" s="189">
        <v>0.03</v>
      </c>
      <c r="C20" s="189">
        <f t="shared" si="3"/>
        <v>5.5E-2</v>
      </c>
      <c r="D20" s="190">
        <f t="shared" ref="D20:D31" si="4">ROUND(B20*$D$11*(100-$D$14)/100,0)</f>
        <v>81000</v>
      </c>
      <c r="E20" s="191">
        <f t="shared" ref="E20:E33" si="5">E19+D20</f>
        <v>148500</v>
      </c>
      <c r="F20" s="192">
        <f t="shared" si="0"/>
        <v>6.1111111111111109E-2</v>
      </c>
      <c r="G20" s="193" t="s">
        <v>196</v>
      </c>
      <c r="H20" s="186">
        <f t="shared" si="1"/>
        <v>8100</v>
      </c>
      <c r="I20" s="195">
        <f t="shared" ref="I20:I44" si="6">ROUNDUP((D20+H20-J20),-(LEN(D20)-$I$15))</f>
        <v>8100</v>
      </c>
      <c r="J20" s="195">
        <f t="shared" si="2"/>
        <v>81000</v>
      </c>
      <c r="K20" s="196">
        <f>+SUM(J18:J20)</f>
        <v>148500</v>
      </c>
      <c r="L20" s="150"/>
      <c r="M20" s="150"/>
      <c r="N20" s="150"/>
      <c r="O20" s="150"/>
      <c r="P20" s="150"/>
      <c r="Q20" s="150"/>
      <c r="R20" s="150"/>
      <c r="S20" s="150"/>
      <c r="T20" s="150"/>
      <c r="U20" s="150"/>
    </row>
    <row r="21" spans="1:21" ht="12.6" thickBot="1" x14ac:dyDescent="0.3">
      <c r="A21" s="188">
        <v>3</v>
      </c>
      <c r="B21" s="189">
        <v>3.5000000000000003E-2</v>
      </c>
      <c r="C21" s="189">
        <f t="shared" si="3"/>
        <v>0.09</v>
      </c>
      <c r="D21" s="190">
        <f t="shared" si="4"/>
        <v>94500</v>
      </c>
      <c r="E21" s="191">
        <f t="shared" si="5"/>
        <v>243000</v>
      </c>
      <c r="F21" s="192">
        <f t="shared" si="0"/>
        <v>0.1</v>
      </c>
      <c r="G21" s="193" t="s">
        <v>197</v>
      </c>
      <c r="H21" s="186">
        <f t="shared" si="1"/>
        <v>9450</v>
      </c>
      <c r="I21" s="195">
        <f t="shared" si="6"/>
        <v>9450</v>
      </c>
      <c r="J21" s="195">
        <f t="shared" si="2"/>
        <v>94500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</row>
    <row r="22" spans="1:21" ht="12.6" thickBot="1" x14ac:dyDescent="0.3">
      <c r="A22" s="188">
        <v>4</v>
      </c>
      <c r="B22" s="189">
        <v>3.5000000000000003E-2</v>
      </c>
      <c r="C22" s="189">
        <f t="shared" si="3"/>
        <v>0.125</v>
      </c>
      <c r="D22" s="190">
        <f t="shared" si="4"/>
        <v>94500</v>
      </c>
      <c r="E22" s="191">
        <f t="shared" si="5"/>
        <v>337500</v>
      </c>
      <c r="F22" s="192">
        <f t="shared" si="0"/>
        <v>0.1388888888888889</v>
      </c>
      <c r="G22" s="193" t="s">
        <v>198</v>
      </c>
      <c r="H22" s="186">
        <f t="shared" si="1"/>
        <v>9450</v>
      </c>
      <c r="I22" s="195">
        <f t="shared" si="6"/>
        <v>9450</v>
      </c>
      <c r="J22" s="195">
        <f t="shared" si="2"/>
        <v>94500</v>
      </c>
      <c r="K22" s="197"/>
      <c r="L22" s="150"/>
      <c r="M22" s="150"/>
      <c r="N22" s="150"/>
      <c r="O22" s="150"/>
      <c r="P22" s="150"/>
      <c r="Q22" s="150"/>
      <c r="R22" s="150"/>
      <c r="S22" s="150"/>
      <c r="T22" s="150"/>
      <c r="U22" s="150"/>
    </row>
    <row r="23" spans="1:21" ht="12.6" thickBot="1" x14ac:dyDescent="0.3">
      <c r="A23" s="188">
        <v>5</v>
      </c>
      <c r="B23" s="189">
        <v>0.04</v>
      </c>
      <c r="C23" s="189">
        <f t="shared" si="3"/>
        <v>0.16500000000000001</v>
      </c>
      <c r="D23" s="190">
        <f t="shared" si="4"/>
        <v>108000</v>
      </c>
      <c r="E23" s="191">
        <f t="shared" si="5"/>
        <v>445500</v>
      </c>
      <c r="F23" s="192">
        <f t="shared" si="0"/>
        <v>0.18333333333333332</v>
      </c>
      <c r="G23" s="193" t="s">
        <v>199</v>
      </c>
      <c r="H23" s="186">
        <f t="shared" si="1"/>
        <v>10800</v>
      </c>
      <c r="I23" s="195">
        <f t="shared" si="6"/>
        <v>10800</v>
      </c>
      <c r="J23" s="195">
        <f t="shared" si="2"/>
        <v>108000</v>
      </c>
      <c r="K23" s="197"/>
      <c r="L23" s="150"/>
      <c r="M23" s="150"/>
      <c r="N23" s="150"/>
      <c r="O23" s="150"/>
      <c r="P23" s="150"/>
      <c r="Q23" s="150"/>
      <c r="R23" s="150"/>
      <c r="S23" s="150"/>
      <c r="T23" s="150"/>
      <c r="U23" s="150"/>
    </row>
    <row r="24" spans="1:21" ht="12.6" thickBot="1" x14ac:dyDescent="0.3">
      <c r="A24" s="188">
        <v>6</v>
      </c>
      <c r="B24" s="189">
        <v>4.4999999999999998E-2</v>
      </c>
      <c r="C24" s="189">
        <f t="shared" si="3"/>
        <v>0.21000000000000002</v>
      </c>
      <c r="D24" s="190">
        <f t="shared" si="4"/>
        <v>121500</v>
      </c>
      <c r="E24" s="191">
        <f>E23+D24</f>
        <v>567000</v>
      </c>
      <c r="F24" s="192">
        <f t="shared" si="0"/>
        <v>0.23333333333333334</v>
      </c>
      <c r="G24" s="193" t="s">
        <v>200</v>
      </c>
      <c r="H24" s="186">
        <f t="shared" si="1"/>
        <v>12150</v>
      </c>
      <c r="I24" s="195">
        <f>ROUNDUP((D24+H24-J24),-(LEN(D24)-$I$15))</f>
        <v>12150</v>
      </c>
      <c r="J24" s="195">
        <f>ROUNDUP(D24*$D$12/100,-(LEN(D24)-$I$15))</f>
        <v>121500</v>
      </c>
      <c r="K24" s="197"/>
      <c r="L24" s="150"/>
      <c r="M24" s="150"/>
      <c r="N24" s="150"/>
      <c r="O24" s="150"/>
      <c r="P24" s="150"/>
      <c r="Q24" s="150"/>
      <c r="R24" s="150"/>
      <c r="S24" s="150"/>
      <c r="T24" s="150"/>
      <c r="U24" s="150"/>
    </row>
    <row r="25" spans="1:21" ht="12.6" thickBot="1" x14ac:dyDescent="0.3">
      <c r="A25" s="188">
        <v>7</v>
      </c>
      <c r="B25" s="189">
        <v>4.4999999999999998E-2</v>
      </c>
      <c r="C25" s="189">
        <f t="shared" si="3"/>
        <v>0.255</v>
      </c>
      <c r="D25" s="190">
        <f t="shared" si="4"/>
        <v>121500</v>
      </c>
      <c r="E25" s="191">
        <f t="shared" si="5"/>
        <v>688500</v>
      </c>
      <c r="F25" s="192">
        <f t="shared" si="0"/>
        <v>0.28333333333333333</v>
      </c>
      <c r="G25" s="193" t="s">
        <v>201</v>
      </c>
      <c r="H25" s="186">
        <f t="shared" si="1"/>
        <v>12150</v>
      </c>
      <c r="I25" s="195">
        <f t="shared" si="6"/>
        <v>12150</v>
      </c>
      <c r="J25" s="195">
        <f t="shared" si="2"/>
        <v>121500</v>
      </c>
      <c r="K25" s="198"/>
      <c r="L25" s="150"/>
      <c r="M25" s="150"/>
      <c r="N25" s="150"/>
      <c r="O25" s="150"/>
      <c r="P25" s="150"/>
      <c r="Q25" s="150"/>
      <c r="R25" s="150"/>
      <c r="S25" s="150"/>
      <c r="T25" s="150"/>
      <c r="U25" s="150"/>
    </row>
    <row r="26" spans="1:21" ht="12.6" thickBot="1" x14ac:dyDescent="0.3">
      <c r="A26" s="188">
        <v>8</v>
      </c>
      <c r="B26" s="189">
        <v>0.05</v>
      </c>
      <c r="C26" s="189">
        <f t="shared" si="3"/>
        <v>0.30499999999999999</v>
      </c>
      <c r="D26" s="190">
        <f t="shared" si="4"/>
        <v>135000</v>
      </c>
      <c r="E26" s="191">
        <f t="shared" si="5"/>
        <v>823500</v>
      </c>
      <c r="F26" s="192">
        <f t="shared" si="0"/>
        <v>0.33888888888888891</v>
      </c>
      <c r="G26" s="193" t="s">
        <v>202</v>
      </c>
      <c r="H26" s="186">
        <f t="shared" si="1"/>
        <v>13500</v>
      </c>
      <c r="I26" s="195">
        <f t="shared" si="6"/>
        <v>13500</v>
      </c>
      <c r="J26" s="195">
        <f t="shared" si="2"/>
        <v>135000</v>
      </c>
      <c r="K26" s="197"/>
      <c r="L26" s="150"/>
      <c r="M26" s="150"/>
      <c r="N26" s="150"/>
      <c r="O26" s="150"/>
      <c r="P26" s="150"/>
      <c r="Q26" s="150"/>
      <c r="R26" s="150"/>
      <c r="S26" s="150"/>
      <c r="T26" s="150"/>
      <c r="U26" s="150"/>
    </row>
    <row r="27" spans="1:21" ht="12.6" thickBot="1" x14ac:dyDescent="0.3">
      <c r="A27" s="188">
        <v>9</v>
      </c>
      <c r="B27" s="189">
        <v>5.5E-2</v>
      </c>
      <c r="C27" s="189">
        <f t="shared" si="3"/>
        <v>0.36</v>
      </c>
      <c r="D27" s="190">
        <f t="shared" si="4"/>
        <v>148500</v>
      </c>
      <c r="E27" s="191">
        <f t="shared" si="5"/>
        <v>972000</v>
      </c>
      <c r="F27" s="192">
        <f t="shared" si="0"/>
        <v>0.4</v>
      </c>
      <c r="G27" s="193" t="s">
        <v>203</v>
      </c>
      <c r="H27" s="186">
        <f t="shared" si="1"/>
        <v>14850</v>
      </c>
      <c r="I27" s="195">
        <f t="shared" si="6"/>
        <v>14850</v>
      </c>
      <c r="J27" s="195">
        <f t="shared" si="2"/>
        <v>148500</v>
      </c>
      <c r="K27" s="197"/>
      <c r="L27" s="150"/>
      <c r="M27" s="150"/>
      <c r="N27" s="150"/>
      <c r="O27" s="150"/>
      <c r="P27" s="150"/>
      <c r="Q27" s="150"/>
      <c r="R27" s="150"/>
      <c r="S27" s="150"/>
      <c r="T27" s="150"/>
      <c r="U27" s="150"/>
    </row>
    <row r="28" spans="1:21" ht="12.6" thickBot="1" x14ac:dyDescent="0.3">
      <c r="A28" s="188">
        <v>10</v>
      </c>
      <c r="B28" s="189">
        <v>5.5E-2</v>
      </c>
      <c r="C28" s="189">
        <f t="shared" si="3"/>
        <v>0.41499999999999998</v>
      </c>
      <c r="D28" s="190">
        <f t="shared" si="4"/>
        <v>148500</v>
      </c>
      <c r="E28" s="191">
        <f t="shared" si="5"/>
        <v>1120500</v>
      </c>
      <c r="F28" s="192">
        <f t="shared" si="0"/>
        <v>0.46111111111111114</v>
      </c>
      <c r="G28" s="193" t="s">
        <v>204</v>
      </c>
      <c r="H28" s="186">
        <f t="shared" si="1"/>
        <v>14850</v>
      </c>
      <c r="I28" s="195">
        <f t="shared" si="6"/>
        <v>14850</v>
      </c>
      <c r="J28" s="195">
        <f t="shared" si="2"/>
        <v>148500</v>
      </c>
      <c r="K28" s="197"/>
      <c r="L28" s="150"/>
      <c r="M28" s="150"/>
      <c r="N28" s="150"/>
      <c r="O28" s="150"/>
      <c r="P28" s="150"/>
      <c r="Q28" s="150"/>
      <c r="R28" s="150"/>
      <c r="S28" s="150"/>
      <c r="T28" s="150"/>
      <c r="U28" s="150"/>
    </row>
    <row r="29" spans="1:21" ht="12.6" thickBot="1" x14ac:dyDescent="0.3">
      <c r="A29" s="188">
        <v>11</v>
      </c>
      <c r="B29" s="189">
        <v>5.5E-2</v>
      </c>
      <c r="C29" s="189">
        <f t="shared" si="3"/>
        <v>0.47</v>
      </c>
      <c r="D29" s="190">
        <f t="shared" si="4"/>
        <v>148500</v>
      </c>
      <c r="E29" s="191">
        <f t="shared" si="5"/>
        <v>1269000</v>
      </c>
      <c r="F29" s="192">
        <f t="shared" si="0"/>
        <v>0.52222222222222225</v>
      </c>
      <c r="G29" s="193" t="s">
        <v>205</v>
      </c>
      <c r="H29" s="186">
        <f t="shared" si="1"/>
        <v>14850</v>
      </c>
      <c r="I29" s="195">
        <f t="shared" si="6"/>
        <v>14850</v>
      </c>
      <c r="J29" s="195">
        <f t="shared" si="2"/>
        <v>148500</v>
      </c>
      <c r="K29" s="197"/>
      <c r="L29" s="150"/>
      <c r="M29" s="150"/>
      <c r="N29" s="150"/>
      <c r="O29" s="150"/>
      <c r="P29" s="150"/>
      <c r="Q29" s="150"/>
      <c r="R29" s="150"/>
      <c r="S29" s="150"/>
      <c r="T29" s="150"/>
      <c r="U29" s="150"/>
    </row>
    <row r="30" spans="1:21" ht="12.6" thickBot="1" x14ac:dyDescent="0.3">
      <c r="A30" s="188">
        <v>12</v>
      </c>
      <c r="B30" s="189">
        <v>0.06</v>
      </c>
      <c r="C30" s="189">
        <f t="shared" si="3"/>
        <v>0.53</v>
      </c>
      <c r="D30" s="190">
        <f t="shared" si="4"/>
        <v>162000</v>
      </c>
      <c r="E30" s="191">
        <f t="shared" si="5"/>
        <v>1431000</v>
      </c>
      <c r="F30" s="192">
        <f t="shared" si="0"/>
        <v>0.58888888888888891</v>
      </c>
      <c r="G30" s="193" t="s">
        <v>206</v>
      </c>
      <c r="H30" s="186">
        <f t="shared" si="1"/>
        <v>16200</v>
      </c>
      <c r="I30" s="195">
        <f t="shared" si="6"/>
        <v>16200</v>
      </c>
      <c r="J30" s="195">
        <f t="shared" si="2"/>
        <v>162000</v>
      </c>
      <c r="K30" s="197"/>
      <c r="L30" s="150"/>
      <c r="M30" s="150"/>
      <c r="N30" s="150"/>
      <c r="O30" s="150"/>
      <c r="P30" s="150"/>
      <c r="Q30" s="150"/>
      <c r="R30" s="150"/>
      <c r="S30" s="150"/>
      <c r="T30" s="150"/>
      <c r="U30" s="150"/>
    </row>
    <row r="31" spans="1:21" ht="12.6" thickBot="1" x14ac:dyDescent="0.3">
      <c r="A31" s="188">
        <v>13</v>
      </c>
      <c r="B31" s="189">
        <v>7.0000000000000007E-2</v>
      </c>
      <c r="C31" s="189">
        <f t="shared" si="3"/>
        <v>0.60000000000000009</v>
      </c>
      <c r="D31" s="190">
        <f t="shared" si="4"/>
        <v>189000</v>
      </c>
      <c r="E31" s="191">
        <f t="shared" si="5"/>
        <v>1620000</v>
      </c>
      <c r="F31" s="192">
        <f t="shared" si="0"/>
        <v>0.66666666666666663</v>
      </c>
      <c r="G31" s="193" t="s">
        <v>207</v>
      </c>
      <c r="H31" s="186">
        <f t="shared" si="1"/>
        <v>18900</v>
      </c>
      <c r="I31" s="195">
        <f t="shared" si="6"/>
        <v>18900</v>
      </c>
      <c r="J31" s="195">
        <f t="shared" si="2"/>
        <v>189000</v>
      </c>
      <c r="K31" s="197"/>
      <c r="L31" s="150"/>
      <c r="M31" s="150"/>
      <c r="N31" s="150"/>
      <c r="O31" s="150"/>
      <c r="P31" s="150"/>
      <c r="Q31" s="150"/>
      <c r="R31" s="150"/>
      <c r="S31" s="150"/>
      <c r="T31" s="150"/>
      <c r="U31" s="150"/>
    </row>
    <row r="32" spans="1:21" ht="12.6" thickBot="1" x14ac:dyDescent="0.3">
      <c r="A32" s="188">
        <v>14</v>
      </c>
      <c r="B32" s="189">
        <v>7.0000000000000007E-2</v>
      </c>
      <c r="C32" s="189">
        <f t="shared" si="3"/>
        <v>0.67000000000000015</v>
      </c>
      <c r="D32" s="190">
        <f>ROUND(B32*$D$11*(100-$D$14)/100,0)</f>
        <v>189000</v>
      </c>
      <c r="E32" s="191">
        <f t="shared" si="5"/>
        <v>1809000</v>
      </c>
      <c r="F32" s="192">
        <f t="shared" si="0"/>
        <v>0.74444444444444446</v>
      </c>
      <c r="G32" s="193" t="s">
        <v>208</v>
      </c>
      <c r="H32" s="186">
        <f t="shared" si="1"/>
        <v>18900</v>
      </c>
      <c r="I32" s="195">
        <f t="shared" si="6"/>
        <v>18900</v>
      </c>
      <c r="J32" s="195">
        <f t="shared" si="2"/>
        <v>189000</v>
      </c>
      <c r="K32" s="199">
        <f>+SUM(J21:J32)</f>
        <v>1660500</v>
      </c>
      <c r="L32" s="150"/>
      <c r="M32" s="150"/>
      <c r="N32" s="150"/>
      <c r="O32" s="150"/>
      <c r="P32" s="150"/>
      <c r="Q32" s="150"/>
      <c r="R32" s="150"/>
      <c r="S32" s="150"/>
      <c r="T32" s="150"/>
      <c r="U32" s="150"/>
    </row>
    <row r="33" spans="1:21" ht="12.6" thickBot="1" x14ac:dyDescent="0.3">
      <c r="A33" s="188">
        <v>15</v>
      </c>
      <c r="B33" s="189">
        <v>6.5000000000000002E-2</v>
      </c>
      <c r="C33" s="189">
        <f t="shared" si="3"/>
        <v>0.7350000000000001</v>
      </c>
      <c r="D33" s="190">
        <f>ROUND(B33*$D$11*(100-$D$14)/100,0)</f>
        <v>175500</v>
      </c>
      <c r="E33" s="191">
        <f t="shared" si="5"/>
        <v>1984500</v>
      </c>
      <c r="F33" s="192">
        <f t="shared" si="0"/>
        <v>0.81666666666666665</v>
      </c>
      <c r="G33" s="193" t="s">
        <v>209</v>
      </c>
      <c r="H33" s="186">
        <f t="shared" si="1"/>
        <v>17550</v>
      </c>
      <c r="I33" s="195">
        <f t="shared" si="6"/>
        <v>17550</v>
      </c>
      <c r="J33" s="195">
        <f t="shared" si="2"/>
        <v>175500</v>
      </c>
      <c r="K33" s="197"/>
      <c r="L33" s="150"/>
      <c r="M33" s="150"/>
      <c r="N33" s="150"/>
      <c r="O33" s="150"/>
      <c r="P33" s="150"/>
      <c r="Q33" s="150"/>
      <c r="R33" s="150"/>
      <c r="S33" s="150"/>
      <c r="T33" s="150"/>
      <c r="U33" s="150"/>
    </row>
    <row r="34" spans="1:21" ht="12.6" thickBot="1" x14ac:dyDescent="0.3">
      <c r="A34" s="188">
        <v>16</v>
      </c>
      <c r="B34" s="189">
        <v>6.5000000000000002E-2</v>
      </c>
      <c r="C34" s="189">
        <f>B34+C33</f>
        <v>0.8</v>
      </c>
      <c r="D34" s="190">
        <f>ROUND(B34*$D$11*(100-$D$14)/100,0)</f>
        <v>175500</v>
      </c>
      <c r="E34" s="191">
        <f>E33+D34</f>
        <v>2160000</v>
      </c>
      <c r="F34" s="192">
        <f t="shared" si="0"/>
        <v>0.88888888888888884</v>
      </c>
      <c r="G34" s="193" t="s">
        <v>210</v>
      </c>
      <c r="H34" s="186">
        <f t="shared" si="1"/>
        <v>17550</v>
      </c>
      <c r="I34" s="195">
        <f t="shared" si="6"/>
        <v>17550</v>
      </c>
      <c r="J34" s="195">
        <f>ROUNDUP(D34*$D$12/100,-(LEN(D34)-$I$15))</f>
        <v>175500</v>
      </c>
      <c r="K34" s="197"/>
      <c r="L34" s="150"/>
      <c r="M34" s="150"/>
      <c r="N34" s="150"/>
      <c r="O34" s="150"/>
      <c r="P34" s="150"/>
      <c r="Q34" s="150"/>
      <c r="R34" s="150"/>
      <c r="S34" s="150"/>
      <c r="T34" s="150"/>
      <c r="U34" s="150"/>
    </row>
    <row r="35" spans="1:21" ht="12.6" thickBot="1" x14ac:dyDescent="0.3">
      <c r="A35" s="188">
        <v>17</v>
      </c>
      <c r="B35" s="189">
        <v>0.05</v>
      </c>
      <c r="C35" s="189">
        <f>B35+C34</f>
        <v>0.85000000000000009</v>
      </c>
      <c r="D35" s="190">
        <f>ROUND(B35*$D$11*(100-$D$14)/100,0)</f>
        <v>135000</v>
      </c>
      <c r="E35" s="191">
        <f>E34+D35</f>
        <v>2295000</v>
      </c>
      <c r="F35" s="192">
        <f t="shared" si="0"/>
        <v>0.94444444444444442</v>
      </c>
      <c r="G35" s="193" t="s">
        <v>211</v>
      </c>
      <c r="H35" s="186">
        <f t="shared" si="1"/>
        <v>13500</v>
      </c>
      <c r="I35" s="195">
        <f t="shared" si="6"/>
        <v>13500</v>
      </c>
      <c r="J35" s="195">
        <f>ROUNDUP(D35*$D$12/100,-(LEN(D35)-$I$15))</f>
        <v>135000</v>
      </c>
      <c r="K35" s="197"/>
      <c r="L35" s="150"/>
      <c r="M35" s="150"/>
      <c r="N35" s="150"/>
      <c r="O35" s="150"/>
      <c r="P35" s="150"/>
      <c r="Q35" s="150"/>
      <c r="R35" s="150"/>
      <c r="S35" s="150"/>
      <c r="T35" s="150"/>
      <c r="U35" s="150"/>
    </row>
    <row r="36" spans="1:21" ht="12.6" thickBot="1" x14ac:dyDescent="0.3">
      <c r="A36" s="200">
        <v>18</v>
      </c>
      <c r="B36" s="189">
        <v>0.05</v>
      </c>
      <c r="C36" s="201">
        <f>B36+C35</f>
        <v>0.90000000000000013</v>
      </c>
      <c r="D36" s="202">
        <f>ROUND(B36*$D$11*(100-$D$14)/100,0)</f>
        <v>135000</v>
      </c>
      <c r="E36" s="203">
        <f>E35+D36</f>
        <v>2430000</v>
      </c>
      <c r="F36" s="204">
        <f t="shared" si="0"/>
        <v>1</v>
      </c>
      <c r="G36" s="205" t="s">
        <v>212</v>
      </c>
      <c r="H36" s="186">
        <f t="shared" si="1"/>
        <v>13500</v>
      </c>
      <c r="I36" s="207">
        <f t="shared" si="6"/>
        <v>13500</v>
      </c>
      <c r="J36" s="207">
        <f>ROUNDUP(D36*$D$12/100,-(LEN(D36)-$I$15))</f>
        <v>135000</v>
      </c>
      <c r="K36" s="199">
        <f>+SUM(J33:J36)</f>
        <v>621000</v>
      </c>
      <c r="L36" s="150"/>
      <c r="M36" s="150"/>
      <c r="N36" s="150"/>
      <c r="O36" s="150"/>
      <c r="P36" s="150"/>
      <c r="Q36" s="150"/>
      <c r="R36" s="150"/>
      <c r="S36" s="150"/>
      <c r="T36" s="150"/>
      <c r="U36" s="150"/>
    </row>
    <row r="37" spans="1:21" ht="12.6" thickBot="1" x14ac:dyDescent="0.3">
      <c r="A37" s="188">
        <v>19</v>
      </c>
      <c r="B37" s="189">
        <v>0.04</v>
      </c>
      <c r="C37" s="201">
        <f t="shared" ref="C37:C44" si="7">B37+C36</f>
        <v>0.94000000000000017</v>
      </c>
      <c r="D37" s="202">
        <f t="shared" ref="D37:D44" si="8">ROUND(B37*$D$11*(100-$D$14)/100,0)</f>
        <v>108000</v>
      </c>
      <c r="E37" s="203">
        <f t="shared" ref="E37:E44" si="9">E36+D37</f>
        <v>2538000</v>
      </c>
      <c r="F37" s="204">
        <f t="shared" si="0"/>
        <v>1.0444444444444445</v>
      </c>
      <c r="G37" s="205" t="s">
        <v>213</v>
      </c>
      <c r="H37" s="186">
        <f t="shared" si="1"/>
        <v>10800</v>
      </c>
      <c r="I37" s="207">
        <f t="shared" si="6"/>
        <v>10800</v>
      </c>
      <c r="J37" s="207">
        <f t="shared" ref="J37:J44" si="10">ROUNDUP(D37*$D$12/100,-(LEN(D37)-$I$15))</f>
        <v>108000</v>
      </c>
      <c r="K37" s="199"/>
      <c r="L37" s="150"/>
      <c r="M37" s="150"/>
      <c r="N37" s="150"/>
      <c r="O37" s="150"/>
      <c r="P37" s="150"/>
      <c r="Q37" s="150"/>
      <c r="R37" s="150"/>
      <c r="S37" s="150"/>
      <c r="T37" s="150"/>
      <c r="U37" s="150"/>
    </row>
    <row r="38" spans="1:21" ht="12.6" thickBot="1" x14ac:dyDescent="0.3">
      <c r="A38" s="200">
        <v>20</v>
      </c>
      <c r="B38" s="189">
        <v>0.02</v>
      </c>
      <c r="C38" s="201">
        <f t="shared" si="7"/>
        <v>0.96000000000000019</v>
      </c>
      <c r="D38" s="202">
        <f t="shared" si="8"/>
        <v>54000</v>
      </c>
      <c r="E38" s="203">
        <f t="shared" si="9"/>
        <v>2592000</v>
      </c>
      <c r="F38" s="204">
        <f t="shared" si="0"/>
        <v>1.0666666666666667</v>
      </c>
      <c r="G38" s="205" t="s">
        <v>214</v>
      </c>
      <c r="H38" s="186">
        <f t="shared" si="1"/>
        <v>5400</v>
      </c>
      <c r="I38" s="207">
        <f t="shared" si="6"/>
        <v>5400</v>
      </c>
      <c r="J38" s="207">
        <f t="shared" si="10"/>
        <v>54000</v>
      </c>
      <c r="K38" s="199"/>
      <c r="L38" s="150"/>
      <c r="M38" s="150"/>
      <c r="N38" s="150"/>
      <c r="O38" s="150"/>
      <c r="P38" s="150"/>
      <c r="Q38" s="150"/>
      <c r="R38" s="150"/>
      <c r="S38" s="150"/>
      <c r="T38" s="150"/>
      <c r="U38" s="150"/>
    </row>
    <row r="39" spans="1:21" ht="12.6" thickBot="1" x14ac:dyDescent="0.3">
      <c r="A39" s="188">
        <v>21</v>
      </c>
      <c r="B39" s="219">
        <v>0.01</v>
      </c>
      <c r="C39" s="201">
        <f t="shared" si="7"/>
        <v>0.9700000000000002</v>
      </c>
      <c r="D39" s="202">
        <f t="shared" si="8"/>
        <v>27000</v>
      </c>
      <c r="E39" s="203">
        <f t="shared" si="9"/>
        <v>2619000</v>
      </c>
      <c r="F39" s="204">
        <f t="shared" si="0"/>
        <v>1.0777777777777777</v>
      </c>
      <c r="G39" s="205" t="s">
        <v>215</v>
      </c>
      <c r="H39" s="186">
        <f t="shared" si="1"/>
        <v>2700</v>
      </c>
      <c r="I39" s="207">
        <f t="shared" si="6"/>
        <v>2700</v>
      </c>
      <c r="J39" s="207">
        <f t="shared" si="10"/>
        <v>27000</v>
      </c>
      <c r="K39" s="199"/>
      <c r="L39" s="150"/>
      <c r="M39" s="150"/>
      <c r="N39" s="150"/>
      <c r="O39" s="150"/>
      <c r="P39" s="150"/>
      <c r="Q39" s="150"/>
      <c r="R39" s="150"/>
      <c r="S39" s="150"/>
      <c r="T39" s="150"/>
      <c r="U39" s="150"/>
    </row>
    <row r="40" spans="1:21" ht="12.6" thickBot="1" x14ac:dyDescent="0.3">
      <c r="A40" s="200">
        <v>22</v>
      </c>
      <c r="B40" s="189">
        <v>0.01</v>
      </c>
      <c r="C40" s="201">
        <f t="shared" si="7"/>
        <v>0.9800000000000002</v>
      </c>
      <c r="D40" s="202">
        <f t="shared" si="8"/>
        <v>27000</v>
      </c>
      <c r="E40" s="203">
        <f t="shared" si="9"/>
        <v>2646000</v>
      </c>
      <c r="F40" s="204">
        <f t="shared" si="0"/>
        <v>1.0888888888888888</v>
      </c>
      <c r="G40" s="205" t="s">
        <v>216</v>
      </c>
      <c r="H40" s="186">
        <f t="shared" si="1"/>
        <v>2700</v>
      </c>
      <c r="I40" s="207">
        <f t="shared" si="6"/>
        <v>2700</v>
      </c>
      <c r="J40" s="207">
        <f t="shared" si="10"/>
        <v>27000</v>
      </c>
      <c r="K40" s="199"/>
      <c r="L40" s="150"/>
      <c r="M40" s="150"/>
      <c r="N40" s="150"/>
      <c r="O40" s="150"/>
      <c r="P40" s="150"/>
      <c r="Q40" s="150"/>
      <c r="R40" s="150"/>
      <c r="S40" s="150"/>
      <c r="T40" s="150"/>
      <c r="U40" s="150"/>
    </row>
    <row r="41" spans="1:21" ht="12.6" thickBot="1" x14ac:dyDescent="0.3">
      <c r="A41" s="188">
        <v>23</v>
      </c>
      <c r="B41" s="189">
        <v>5.0000000000000001E-3</v>
      </c>
      <c r="C41" s="201">
        <f t="shared" si="7"/>
        <v>0.98500000000000021</v>
      </c>
      <c r="D41" s="202">
        <f t="shared" si="8"/>
        <v>13500</v>
      </c>
      <c r="E41" s="203">
        <f t="shared" si="9"/>
        <v>2659500</v>
      </c>
      <c r="F41" s="204">
        <f t="shared" si="0"/>
        <v>1.0944444444444446</v>
      </c>
      <c r="G41" s="205" t="s">
        <v>217</v>
      </c>
      <c r="H41" s="186">
        <f t="shared" si="1"/>
        <v>1350</v>
      </c>
      <c r="I41" s="207">
        <f t="shared" si="6"/>
        <v>1350</v>
      </c>
      <c r="J41" s="207">
        <f t="shared" si="10"/>
        <v>13500</v>
      </c>
      <c r="K41" s="199"/>
      <c r="L41" s="150"/>
      <c r="M41" s="150"/>
      <c r="N41" s="150"/>
      <c r="O41" s="150"/>
      <c r="P41" s="150"/>
      <c r="Q41" s="150"/>
      <c r="R41" s="150"/>
      <c r="S41" s="150"/>
      <c r="T41" s="150"/>
      <c r="U41" s="150"/>
    </row>
    <row r="42" spans="1:21" ht="12.6" thickBot="1" x14ac:dyDescent="0.3">
      <c r="A42" s="200">
        <v>24</v>
      </c>
      <c r="B42" s="201">
        <v>5.0000000000000001E-3</v>
      </c>
      <c r="C42" s="201">
        <f t="shared" si="7"/>
        <v>0.99000000000000021</v>
      </c>
      <c r="D42" s="202">
        <f t="shared" si="8"/>
        <v>13500</v>
      </c>
      <c r="E42" s="203">
        <f t="shared" si="9"/>
        <v>2673000</v>
      </c>
      <c r="F42" s="204">
        <f t="shared" si="0"/>
        <v>1.1000000000000001</v>
      </c>
      <c r="G42" s="205" t="s">
        <v>218</v>
      </c>
      <c r="H42" s="186">
        <f t="shared" si="1"/>
        <v>1350</v>
      </c>
      <c r="I42" s="207">
        <f t="shared" si="6"/>
        <v>1350</v>
      </c>
      <c r="J42" s="207">
        <f t="shared" si="10"/>
        <v>13500</v>
      </c>
      <c r="K42" s="199"/>
      <c r="L42" s="150"/>
      <c r="M42" s="150"/>
      <c r="N42" s="150"/>
      <c r="O42" s="150"/>
      <c r="P42" s="150"/>
      <c r="Q42" s="150"/>
      <c r="R42" s="150"/>
      <c r="S42" s="150"/>
      <c r="T42" s="150"/>
      <c r="U42" s="150"/>
    </row>
    <row r="43" spans="1:21" ht="12.6" thickBot="1" x14ac:dyDescent="0.3">
      <c r="A43" s="188">
        <v>25</v>
      </c>
      <c r="B43" s="219">
        <v>5.0000000000000001E-3</v>
      </c>
      <c r="C43" s="201">
        <f t="shared" si="7"/>
        <v>0.99500000000000022</v>
      </c>
      <c r="D43" s="402">
        <f t="shared" si="8"/>
        <v>13500</v>
      </c>
      <c r="E43" s="203">
        <f t="shared" si="9"/>
        <v>2686500</v>
      </c>
      <c r="F43" s="204">
        <f t="shared" si="0"/>
        <v>1.1055555555555556</v>
      </c>
      <c r="G43" s="205" t="s">
        <v>219</v>
      </c>
      <c r="H43" s="186">
        <f t="shared" si="1"/>
        <v>1350</v>
      </c>
      <c r="I43" s="211">
        <f t="shared" si="6"/>
        <v>1350</v>
      </c>
      <c r="J43" s="211">
        <f t="shared" si="10"/>
        <v>13500</v>
      </c>
      <c r="K43" s="199"/>
      <c r="L43" s="150"/>
      <c r="M43" s="150"/>
      <c r="N43" s="150"/>
      <c r="O43" s="150"/>
      <c r="P43" s="150"/>
      <c r="Q43" s="150"/>
      <c r="R43" s="150"/>
      <c r="S43" s="150"/>
      <c r="T43" s="150"/>
      <c r="U43" s="150"/>
    </row>
    <row r="44" spans="1:21" ht="12.6" thickBot="1" x14ac:dyDescent="0.3">
      <c r="A44" s="200">
        <v>26</v>
      </c>
      <c r="B44" s="219">
        <v>5.0000000000000001E-3</v>
      </c>
      <c r="C44" s="201">
        <f t="shared" si="7"/>
        <v>1.0000000000000002</v>
      </c>
      <c r="D44" s="402">
        <f t="shared" si="8"/>
        <v>13500</v>
      </c>
      <c r="E44" s="203">
        <f t="shared" si="9"/>
        <v>2700000</v>
      </c>
      <c r="F44" s="204">
        <f t="shared" si="0"/>
        <v>1.1111111111111112</v>
      </c>
      <c r="G44" s="205" t="s">
        <v>220</v>
      </c>
      <c r="H44" s="186">
        <f t="shared" si="1"/>
        <v>1350</v>
      </c>
      <c r="I44" s="211">
        <f t="shared" si="6"/>
        <v>1350</v>
      </c>
      <c r="J44" s="211">
        <f t="shared" si="10"/>
        <v>13500</v>
      </c>
      <c r="K44" s="199"/>
      <c r="L44" s="150"/>
      <c r="M44" s="150"/>
      <c r="N44" s="150"/>
      <c r="O44" s="150"/>
      <c r="P44" s="150"/>
      <c r="Q44" s="150"/>
      <c r="R44" s="150"/>
      <c r="S44" s="150"/>
      <c r="T44" s="150"/>
      <c r="U44" s="150"/>
    </row>
    <row r="45" spans="1:21" ht="12.6" thickBot="1" x14ac:dyDescent="0.3">
      <c r="A45" s="208" t="str">
        <f>A44*30 &amp; " dias"</f>
        <v>780 dias</v>
      </c>
      <c r="B45" s="209">
        <f>SUM(B19:B44)</f>
        <v>1.0000000000000002</v>
      </c>
      <c r="C45" s="210"/>
      <c r="D45" s="211">
        <f>SUM(D18:D44)</f>
        <v>2700000</v>
      </c>
      <c r="E45" s="150"/>
      <c r="F45" s="155"/>
      <c r="G45" s="155"/>
      <c r="H45" s="150"/>
      <c r="I45" s="212">
        <f>SUM(I18:I44)</f>
        <v>270000</v>
      </c>
      <c r="J45" s="212">
        <f>SUM(J18:J44)</f>
        <v>2700000</v>
      </c>
      <c r="K45" s="197"/>
      <c r="L45" s="150"/>
      <c r="M45" s="150"/>
      <c r="N45" s="150"/>
      <c r="O45" s="150"/>
      <c r="P45" s="150"/>
      <c r="Q45" s="150"/>
      <c r="R45" s="150"/>
      <c r="S45" s="150"/>
      <c r="T45" s="150"/>
      <c r="U45" s="150"/>
    </row>
    <row r="46" spans="1:21" x14ac:dyDescent="0.25">
      <c r="A46" s="155"/>
      <c r="B46" s="160"/>
      <c r="C46" s="158"/>
      <c r="D46" s="158"/>
      <c r="E46" s="158"/>
      <c r="F46" s="150"/>
      <c r="G46" s="150"/>
      <c r="H46" s="161" t="s">
        <v>430</v>
      </c>
      <c r="I46" s="640">
        <f>I45+J45</f>
        <v>2970000</v>
      </c>
      <c r="J46" s="641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</row>
    <row r="47" spans="1:21" x14ac:dyDescent="0.25">
      <c r="A47" s="154" t="s">
        <v>438</v>
      </c>
      <c r="B47" s="154"/>
      <c r="C47" s="154"/>
      <c r="D47" s="158"/>
      <c r="E47" s="158"/>
      <c r="F47" s="150"/>
      <c r="G47" s="150"/>
      <c r="H47" s="161" t="s">
        <v>432</v>
      </c>
      <c r="I47" s="170">
        <f>I46/1.1-D11</f>
        <v>0</v>
      </c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</row>
    <row r="48" spans="1:21" x14ac:dyDescent="0.25">
      <c r="A48" s="150"/>
      <c r="B48" s="213"/>
      <c r="C48" s="158"/>
      <c r="D48" s="158"/>
      <c r="E48" s="158"/>
      <c r="F48" s="150"/>
      <c r="G48" s="150"/>
      <c r="H48" s="155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</row>
    <row r="49" spans="1:29" x14ac:dyDescent="0.25">
      <c r="A49" s="150"/>
      <c r="B49" s="213"/>
      <c r="C49" s="158"/>
      <c r="D49" s="158"/>
      <c r="E49" s="158"/>
      <c r="F49" s="150"/>
      <c r="G49" s="150"/>
      <c r="H49" s="155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</row>
    <row r="50" spans="1:29" x14ac:dyDescent="0.25">
      <c r="A50" s="150"/>
      <c r="B50" s="160"/>
      <c r="C50" s="158"/>
      <c r="D50" s="158"/>
      <c r="E50" s="158"/>
      <c r="F50" s="150"/>
      <c r="G50" s="150"/>
      <c r="H50" s="155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</row>
    <row r="51" spans="1:29" x14ac:dyDescent="0.25">
      <c r="A51" s="150"/>
      <c r="B51" s="160"/>
      <c r="C51" s="158"/>
      <c r="D51" s="158"/>
      <c r="E51" s="158"/>
      <c r="F51" s="150"/>
      <c r="G51" s="150"/>
      <c r="H51" s="155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</row>
    <row r="52" spans="1:29" x14ac:dyDescent="0.25">
      <c r="A52" s="150"/>
      <c r="B52" s="160"/>
      <c r="C52" s="158"/>
      <c r="D52" s="158"/>
      <c r="E52" s="158"/>
      <c r="F52" s="150"/>
      <c r="G52" s="150"/>
      <c r="H52" s="155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</row>
    <row r="53" spans="1:29" x14ac:dyDescent="0.25">
      <c r="A53" s="150"/>
      <c r="B53" s="160"/>
      <c r="C53" s="158"/>
      <c r="D53" s="158"/>
      <c r="E53" s="158"/>
      <c r="F53" s="150"/>
      <c r="G53" s="150"/>
      <c r="H53" s="155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</row>
    <row r="54" spans="1:29" x14ac:dyDescent="0.25">
      <c r="A54" s="150"/>
      <c r="B54" s="160"/>
      <c r="C54" s="158"/>
      <c r="D54" s="158"/>
      <c r="E54" s="158"/>
      <c r="F54" s="150"/>
      <c r="G54" s="150"/>
      <c r="H54" s="155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</row>
    <row r="55" spans="1:29" s="222" customFormat="1" ht="12.75" customHeight="1" x14ac:dyDescent="0.25">
      <c r="A55" s="221"/>
      <c r="B55" s="221" t="s">
        <v>433</v>
      </c>
      <c r="C55" s="221" t="s">
        <v>195</v>
      </c>
      <c r="D55" s="221" t="s">
        <v>196</v>
      </c>
      <c r="E55" s="221" t="s">
        <v>197</v>
      </c>
      <c r="F55" s="221" t="s">
        <v>198</v>
      </c>
      <c r="G55" s="221" t="s">
        <v>199</v>
      </c>
      <c r="H55" s="221" t="s">
        <v>200</v>
      </c>
      <c r="I55" s="221" t="s">
        <v>201</v>
      </c>
      <c r="J55" s="221" t="s">
        <v>202</v>
      </c>
      <c r="K55" s="221" t="s">
        <v>203</v>
      </c>
      <c r="L55" s="221" t="s">
        <v>204</v>
      </c>
      <c r="M55" s="221" t="s">
        <v>205</v>
      </c>
      <c r="N55" s="221" t="s">
        <v>206</v>
      </c>
      <c r="O55" s="221" t="s">
        <v>207</v>
      </c>
      <c r="P55" s="221" t="s">
        <v>208</v>
      </c>
      <c r="Q55" s="221" t="s">
        <v>209</v>
      </c>
      <c r="R55" s="221" t="s">
        <v>210</v>
      </c>
      <c r="S55" s="221" t="s">
        <v>211</v>
      </c>
      <c r="T55" s="221" t="s">
        <v>212</v>
      </c>
      <c r="U55" s="221" t="s">
        <v>213</v>
      </c>
      <c r="V55" s="221" t="s">
        <v>214</v>
      </c>
      <c r="W55" s="221" t="s">
        <v>215</v>
      </c>
      <c r="X55" s="221" t="s">
        <v>216</v>
      </c>
      <c r="Y55" s="221" t="s">
        <v>217</v>
      </c>
      <c r="Z55" s="221" t="s">
        <v>218</v>
      </c>
      <c r="AA55" s="221" t="s">
        <v>219</v>
      </c>
      <c r="AB55" s="221" t="s">
        <v>220</v>
      </c>
    </row>
    <row r="56" spans="1:29" s="225" customFormat="1" x14ac:dyDescent="0.25">
      <c r="A56" s="223" t="s">
        <v>434</v>
      </c>
      <c r="B56" s="224">
        <v>0</v>
      </c>
      <c r="C56" s="224">
        <v>0</v>
      </c>
      <c r="D56" s="224">
        <v>0</v>
      </c>
      <c r="E56" s="224">
        <v>0</v>
      </c>
      <c r="F56" s="224">
        <v>0</v>
      </c>
      <c r="G56" s="224">
        <v>0</v>
      </c>
      <c r="H56" s="224">
        <v>0</v>
      </c>
      <c r="I56" s="224">
        <v>0</v>
      </c>
      <c r="J56" s="224">
        <v>0</v>
      </c>
      <c r="K56" s="224">
        <v>0</v>
      </c>
      <c r="L56" s="224">
        <v>0</v>
      </c>
      <c r="M56" s="224">
        <v>0</v>
      </c>
      <c r="N56" s="224">
        <v>0</v>
      </c>
      <c r="O56" s="224">
        <v>0</v>
      </c>
      <c r="P56" s="224">
        <v>0</v>
      </c>
      <c r="Q56" s="224">
        <v>0</v>
      </c>
      <c r="R56" s="224">
        <v>0</v>
      </c>
      <c r="S56" s="224">
        <v>0</v>
      </c>
      <c r="T56" s="224">
        <v>0</v>
      </c>
      <c r="U56" s="224">
        <v>0</v>
      </c>
      <c r="V56" s="224">
        <v>0</v>
      </c>
      <c r="W56" s="224">
        <v>0</v>
      </c>
      <c r="X56" s="224">
        <v>0</v>
      </c>
      <c r="Y56" s="224">
        <v>0</v>
      </c>
      <c r="Z56" s="224">
        <v>0</v>
      </c>
      <c r="AA56" s="224">
        <v>0</v>
      </c>
      <c r="AB56" s="224">
        <v>0</v>
      </c>
      <c r="AC56" s="225">
        <f>SUM(B56:T56)</f>
        <v>0</v>
      </c>
    </row>
    <row r="57" spans="1:29" s="225" customFormat="1" x14ac:dyDescent="0.25">
      <c r="A57" s="223" t="s">
        <v>435</v>
      </c>
      <c r="B57" s="224">
        <f>$J18</f>
        <v>0</v>
      </c>
      <c r="C57" s="224">
        <f>$J19</f>
        <v>67500</v>
      </c>
      <c r="D57" s="224">
        <f>$J20</f>
        <v>81000</v>
      </c>
      <c r="E57" s="224">
        <f>$J21</f>
        <v>94500</v>
      </c>
      <c r="F57" s="224">
        <f>$J22</f>
        <v>94500</v>
      </c>
      <c r="G57" s="224">
        <f>$J23</f>
        <v>108000</v>
      </c>
      <c r="H57" s="224">
        <f>$J24</f>
        <v>121500</v>
      </c>
      <c r="I57" s="224">
        <f>$J25</f>
        <v>121500</v>
      </c>
      <c r="J57" s="224">
        <f>$J26</f>
        <v>135000</v>
      </c>
      <c r="K57" s="224">
        <f>$J27</f>
        <v>148500</v>
      </c>
      <c r="L57" s="224">
        <f>$J28</f>
        <v>148500</v>
      </c>
      <c r="M57" s="224">
        <f>$J29</f>
        <v>148500</v>
      </c>
      <c r="N57" s="224">
        <f>$J30</f>
        <v>162000</v>
      </c>
      <c r="O57" s="224">
        <f>$J31</f>
        <v>189000</v>
      </c>
      <c r="P57" s="224">
        <f>$J32</f>
        <v>189000</v>
      </c>
      <c r="Q57" s="224">
        <f>$J33</f>
        <v>175500</v>
      </c>
      <c r="R57" s="224">
        <f>$J34</f>
        <v>175500</v>
      </c>
      <c r="S57" s="224">
        <f>$J35</f>
        <v>135000</v>
      </c>
      <c r="T57" s="224">
        <f>$J36</f>
        <v>135000</v>
      </c>
      <c r="U57" s="224">
        <f>$J37</f>
        <v>108000</v>
      </c>
      <c r="V57" s="224">
        <f>$J38</f>
        <v>54000</v>
      </c>
      <c r="W57" s="224">
        <f>$J39</f>
        <v>27000</v>
      </c>
      <c r="X57" s="224">
        <f>$J40</f>
        <v>27000</v>
      </c>
      <c r="Y57" s="224">
        <f>$J41</f>
        <v>13500</v>
      </c>
      <c r="Z57" s="224">
        <f>$J42</f>
        <v>13500</v>
      </c>
      <c r="AA57" s="224">
        <f t="shared" ref="AA57:AB57" si="11">$J42</f>
        <v>13500</v>
      </c>
      <c r="AB57" s="224">
        <f t="shared" si="11"/>
        <v>13500</v>
      </c>
      <c r="AC57" s="226">
        <f>SUM(B57:Z57)</f>
        <v>2673000</v>
      </c>
    </row>
    <row r="58" spans="1:29" x14ac:dyDescent="0.25">
      <c r="A58" s="227" t="s">
        <v>439</v>
      </c>
      <c r="B58" s="228">
        <f>SUM(B56:B57)</f>
        <v>0</v>
      </c>
      <c r="C58" s="228">
        <f>SUM(C56:C57)*0.45</f>
        <v>30375</v>
      </c>
      <c r="D58" s="228">
        <f t="shared" ref="D58:AB58" si="12">SUM(D56:D57)*0.45</f>
        <v>36450</v>
      </c>
      <c r="E58" s="228">
        <f t="shared" si="12"/>
        <v>42525</v>
      </c>
      <c r="F58" s="228">
        <f t="shared" si="12"/>
        <v>42525</v>
      </c>
      <c r="G58" s="228">
        <f t="shared" si="12"/>
        <v>48600</v>
      </c>
      <c r="H58" s="228">
        <f t="shared" si="12"/>
        <v>54675</v>
      </c>
      <c r="I58" s="228">
        <f t="shared" si="12"/>
        <v>54675</v>
      </c>
      <c r="J58" s="228">
        <f t="shared" si="12"/>
        <v>60750</v>
      </c>
      <c r="K58" s="228">
        <f t="shared" si="12"/>
        <v>66825</v>
      </c>
      <c r="L58" s="228">
        <f t="shared" si="12"/>
        <v>66825</v>
      </c>
      <c r="M58" s="228">
        <f t="shared" si="12"/>
        <v>66825</v>
      </c>
      <c r="N58" s="228">
        <f t="shared" si="12"/>
        <v>72900</v>
      </c>
      <c r="O58" s="228">
        <f t="shared" si="12"/>
        <v>85050</v>
      </c>
      <c r="P58" s="228">
        <f t="shared" si="12"/>
        <v>85050</v>
      </c>
      <c r="Q58" s="228">
        <f t="shared" si="12"/>
        <v>78975</v>
      </c>
      <c r="R58" s="228">
        <f t="shared" si="12"/>
        <v>78975</v>
      </c>
      <c r="S58" s="228">
        <f t="shared" si="12"/>
        <v>60750</v>
      </c>
      <c r="T58" s="228">
        <f t="shared" si="12"/>
        <v>60750</v>
      </c>
      <c r="U58" s="228">
        <f t="shared" si="12"/>
        <v>48600</v>
      </c>
      <c r="V58" s="228">
        <f t="shared" si="12"/>
        <v>24300</v>
      </c>
      <c r="W58" s="228">
        <f t="shared" si="12"/>
        <v>12150</v>
      </c>
      <c r="X58" s="228">
        <f t="shared" si="12"/>
        <v>12150</v>
      </c>
      <c r="Y58" s="228">
        <f t="shared" si="12"/>
        <v>6075</v>
      </c>
      <c r="Z58" s="228">
        <f t="shared" si="12"/>
        <v>6075</v>
      </c>
      <c r="AA58" s="228">
        <f t="shared" si="12"/>
        <v>6075</v>
      </c>
      <c r="AB58" s="228">
        <f t="shared" si="12"/>
        <v>6075</v>
      </c>
      <c r="AC58" s="228">
        <f>SUM(B58:AB58)</f>
        <v>1215000</v>
      </c>
    </row>
    <row r="59" spans="1:29" s="226" customFormat="1" x14ac:dyDescent="0.25">
      <c r="A59" s="229" t="s">
        <v>440</v>
      </c>
      <c r="B59" s="229">
        <v>0</v>
      </c>
      <c r="C59" s="229">
        <f>C65</f>
        <v>46730.769230769234</v>
      </c>
      <c r="D59" s="229">
        <f t="shared" ref="D59:AB59" si="13">C59</f>
        <v>46730.769230769234</v>
      </c>
      <c r="E59" s="229">
        <f t="shared" si="13"/>
        <v>46730.769230769234</v>
      </c>
      <c r="F59" s="229">
        <f t="shared" si="13"/>
        <v>46730.769230769234</v>
      </c>
      <c r="G59" s="229">
        <f t="shared" si="13"/>
        <v>46730.769230769234</v>
      </c>
      <c r="H59" s="229">
        <f t="shared" si="13"/>
        <v>46730.769230769234</v>
      </c>
      <c r="I59" s="229">
        <f t="shared" si="13"/>
        <v>46730.769230769234</v>
      </c>
      <c r="J59" s="229">
        <f t="shared" si="13"/>
        <v>46730.769230769234</v>
      </c>
      <c r="K59" s="229">
        <f t="shared" si="13"/>
        <v>46730.769230769234</v>
      </c>
      <c r="L59" s="229">
        <f t="shared" si="13"/>
        <v>46730.769230769234</v>
      </c>
      <c r="M59" s="229">
        <f t="shared" si="13"/>
        <v>46730.769230769234</v>
      </c>
      <c r="N59" s="229">
        <f t="shared" si="13"/>
        <v>46730.769230769234</v>
      </c>
      <c r="O59" s="229">
        <f t="shared" si="13"/>
        <v>46730.769230769234</v>
      </c>
      <c r="P59" s="229">
        <f t="shared" si="13"/>
        <v>46730.769230769234</v>
      </c>
      <c r="Q59" s="229">
        <f t="shared" si="13"/>
        <v>46730.769230769234</v>
      </c>
      <c r="R59" s="229">
        <f t="shared" si="13"/>
        <v>46730.769230769234</v>
      </c>
      <c r="S59" s="229">
        <f t="shared" si="13"/>
        <v>46730.769230769234</v>
      </c>
      <c r="T59" s="229">
        <f t="shared" si="13"/>
        <v>46730.769230769234</v>
      </c>
      <c r="U59" s="229">
        <f t="shared" si="13"/>
        <v>46730.769230769234</v>
      </c>
      <c r="V59" s="229">
        <f t="shared" si="13"/>
        <v>46730.769230769234</v>
      </c>
      <c r="W59" s="229">
        <f t="shared" si="13"/>
        <v>46730.769230769234</v>
      </c>
      <c r="X59" s="229">
        <f t="shared" si="13"/>
        <v>46730.769230769234</v>
      </c>
      <c r="Y59" s="229">
        <f t="shared" si="13"/>
        <v>46730.769230769234</v>
      </c>
      <c r="Z59" s="229">
        <f t="shared" si="13"/>
        <v>46730.769230769234</v>
      </c>
      <c r="AA59" s="229">
        <f t="shared" si="13"/>
        <v>46730.769230769234</v>
      </c>
      <c r="AB59" s="229">
        <f t="shared" si="13"/>
        <v>46730.769230769234</v>
      </c>
      <c r="AC59" s="228">
        <f>SUM(B59:AB59)</f>
        <v>1215000.0000000002</v>
      </c>
    </row>
    <row r="60" spans="1:29" s="226" customFormat="1" x14ac:dyDescent="0.25">
      <c r="A60" s="229" t="s">
        <v>433</v>
      </c>
      <c r="B60" s="229">
        <f>A63*10%</f>
        <v>270000</v>
      </c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8">
        <f>SUM(B60:AB60)</f>
        <v>270000</v>
      </c>
    </row>
    <row r="61" spans="1:29" s="226" customFormat="1" x14ac:dyDescent="0.25">
      <c r="A61" s="229"/>
      <c r="B61" s="229">
        <f>SUM(B58:B60)</f>
        <v>270000</v>
      </c>
      <c r="C61" s="229">
        <f t="shared" ref="C61:AB61" si="14">SUM(C58:C60)</f>
        <v>77105.769230769234</v>
      </c>
      <c r="D61" s="229">
        <f t="shared" si="14"/>
        <v>83180.769230769234</v>
      </c>
      <c r="E61" s="229">
        <f t="shared" si="14"/>
        <v>89255.769230769234</v>
      </c>
      <c r="F61" s="229">
        <f t="shared" si="14"/>
        <v>89255.769230769234</v>
      </c>
      <c r="G61" s="229">
        <f t="shared" si="14"/>
        <v>95330.769230769234</v>
      </c>
      <c r="H61" s="229">
        <f t="shared" si="14"/>
        <v>101405.76923076923</v>
      </c>
      <c r="I61" s="229">
        <f t="shared" si="14"/>
        <v>101405.76923076923</v>
      </c>
      <c r="J61" s="229">
        <f t="shared" si="14"/>
        <v>107480.76923076923</v>
      </c>
      <c r="K61" s="229">
        <f t="shared" si="14"/>
        <v>113555.76923076923</v>
      </c>
      <c r="L61" s="229">
        <f t="shared" si="14"/>
        <v>113555.76923076923</v>
      </c>
      <c r="M61" s="229">
        <f t="shared" si="14"/>
        <v>113555.76923076923</v>
      </c>
      <c r="N61" s="229">
        <f t="shared" si="14"/>
        <v>119630.76923076923</v>
      </c>
      <c r="O61" s="229">
        <f t="shared" si="14"/>
        <v>131780.76923076925</v>
      </c>
      <c r="P61" s="229">
        <f t="shared" si="14"/>
        <v>131780.76923076925</v>
      </c>
      <c r="Q61" s="229">
        <f t="shared" si="14"/>
        <v>125705.76923076923</v>
      </c>
      <c r="R61" s="229">
        <f t="shared" si="14"/>
        <v>125705.76923076923</v>
      </c>
      <c r="S61" s="229">
        <f t="shared" si="14"/>
        <v>107480.76923076923</v>
      </c>
      <c r="T61" s="229">
        <f t="shared" si="14"/>
        <v>107480.76923076923</v>
      </c>
      <c r="U61" s="229">
        <f t="shared" si="14"/>
        <v>95330.769230769234</v>
      </c>
      <c r="V61" s="229">
        <f t="shared" si="14"/>
        <v>71030.769230769234</v>
      </c>
      <c r="W61" s="229">
        <f t="shared" si="14"/>
        <v>58880.769230769234</v>
      </c>
      <c r="X61" s="229">
        <f t="shared" si="14"/>
        <v>58880.769230769234</v>
      </c>
      <c r="Y61" s="229">
        <f t="shared" si="14"/>
        <v>52805.769230769234</v>
      </c>
      <c r="Z61" s="229">
        <f t="shared" si="14"/>
        <v>52805.769230769234</v>
      </c>
      <c r="AA61" s="229">
        <f t="shared" si="14"/>
        <v>52805.769230769234</v>
      </c>
      <c r="AB61" s="229">
        <f t="shared" si="14"/>
        <v>52805.769230769234</v>
      </c>
      <c r="AC61" s="228">
        <f>SUM(B61:AB61)</f>
        <v>2699999.9999999981</v>
      </c>
    </row>
    <row r="62" spans="1:29" s="225" customFormat="1" x14ac:dyDescent="0.25">
      <c r="C62" s="225">
        <f>B62/A63</f>
        <v>0</v>
      </c>
    </row>
    <row r="63" spans="1:29" s="225" customFormat="1" x14ac:dyDescent="0.25">
      <c r="A63" s="225">
        <f>+D8</f>
        <v>2700000</v>
      </c>
    </row>
    <row r="64" spans="1:29" s="225" customFormat="1" x14ac:dyDescent="0.25">
      <c r="A64" s="225">
        <f>A63*0.1</f>
        <v>270000</v>
      </c>
    </row>
    <row r="65" spans="1:3" s="225" customFormat="1" x14ac:dyDescent="0.25">
      <c r="A65" s="225">
        <f>A63*0.45</f>
        <v>1215000</v>
      </c>
      <c r="C65" s="225">
        <f>A65/26</f>
        <v>46730.769230769234</v>
      </c>
    </row>
    <row r="66" spans="1:3" s="225" customFormat="1" x14ac:dyDescent="0.25"/>
  </sheetData>
  <mergeCells count="6">
    <mergeCell ref="I46:J46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6"/>
  <sheetViews>
    <sheetView showGridLines="0" zoomScale="80" zoomScaleNormal="80" workbookViewId="0">
      <selection activeCell="A5" sqref="A5:C5"/>
    </sheetView>
  </sheetViews>
  <sheetFormatPr defaultColWidth="11.44140625" defaultRowHeight="12" x14ac:dyDescent="0.25"/>
  <cols>
    <col min="1" max="1" width="17.44140625" style="220" customWidth="1"/>
    <col min="2" max="2" width="14.33203125" style="220" customWidth="1"/>
    <col min="3" max="3" width="16.88671875" style="220" customWidth="1"/>
    <col min="4" max="4" width="13.6640625" style="220" bestFit="1" customWidth="1"/>
    <col min="5" max="5" width="13.5546875" style="220" customWidth="1"/>
    <col min="6" max="6" width="18.33203125" style="220" customWidth="1"/>
    <col min="7" max="7" width="17.5546875" style="220" bestFit="1" customWidth="1"/>
    <col min="8" max="8" width="17.44140625" style="220" bestFit="1" customWidth="1"/>
    <col min="9" max="9" width="13.88671875" style="220" bestFit="1" customWidth="1"/>
    <col min="10" max="10" width="16.44140625" style="220" bestFit="1" customWidth="1"/>
    <col min="11" max="11" width="13.6640625" style="220" bestFit="1" customWidth="1"/>
    <col min="12" max="12" width="15.6640625" style="220" bestFit="1" customWidth="1"/>
    <col min="13" max="13" width="15.33203125" style="220" bestFit="1" customWidth="1"/>
    <col min="14" max="20" width="13.6640625" style="220" bestFit="1" customWidth="1"/>
    <col min="21" max="21" width="14.6640625" style="220" bestFit="1" customWidth="1"/>
    <col min="22" max="16384" width="11.44140625" style="220"/>
  </cols>
  <sheetData>
    <row r="1" spans="1:21" ht="15.75" customHeight="1" x14ac:dyDescent="0.25">
      <c r="A1" s="642" t="s">
        <v>406</v>
      </c>
      <c r="B1" s="642"/>
      <c r="C1" s="642"/>
      <c r="D1" s="642"/>
      <c r="E1" s="642"/>
      <c r="F1" s="642"/>
      <c r="G1" s="642"/>
      <c r="H1" s="642"/>
      <c r="I1" s="642"/>
      <c r="J1" s="642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</row>
    <row r="2" spans="1:21" x14ac:dyDescent="0.25">
      <c r="A2" s="151"/>
      <c r="B2" s="152"/>
      <c r="C2" s="153"/>
      <c r="D2" s="153"/>
      <c r="E2" s="154"/>
      <c r="F2" s="154"/>
      <c r="G2" s="150"/>
      <c r="H2" s="155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</row>
    <row r="3" spans="1:21" x14ac:dyDescent="0.25">
      <c r="A3" s="151" t="s">
        <v>407</v>
      </c>
      <c r="B3" s="643" t="str">
        <f>+'CC D'!B16</f>
        <v>Contratación de Firmas Consultoras para la inspección de otras Obras de mejoramieto</v>
      </c>
      <c r="C3" s="643"/>
      <c r="D3" s="643"/>
      <c r="E3" s="643"/>
      <c r="F3" s="643"/>
      <c r="G3" s="643"/>
      <c r="H3" s="643"/>
      <c r="I3" s="643"/>
      <c r="J3" s="156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1" x14ac:dyDescent="0.25">
      <c r="A4" s="157"/>
      <c r="B4" s="643"/>
      <c r="C4" s="643"/>
      <c r="D4" s="643"/>
      <c r="E4" s="643"/>
      <c r="F4" s="643"/>
      <c r="G4" s="643"/>
      <c r="H4" s="643"/>
      <c r="I4" s="643"/>
      <c r="J4" s="156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</row>
    <row r="5" spans="1:21" x14ac:dyDescent="0.25">
      <c r="A5" s="644" t="str">
        <f>CONCATENATE("PLAZO: ",A36," MESES (",A45,")")</f>
        <v>PLAZO: 18 MESES (720 dias)</v>
      </c>
      <c r="B5" s="644"/>
      <c r="C5" s="644"/>
      <c r="D5" s="158"/>
      <c r="E5" s="159" t="s">
        <v>408</v>
      </c>
      <c r="F5" s="150"/>
      <c r="G5" s="150"/>
      <c r="H5" s="155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</row>
    <row r="6" spans="1:21" x14ac:dyDescent="0.25">
      <c r="A6" s="150"/>
      <c r="B6" s="160"/>
      <c r="C6" s="158"/>
      <c r="D6" s="158"/>
      <c r="E6" s="158"/>
      <c r="F6" s="150"/>
      <c r="G6" s="150"/>
      <c r="H6" s="155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x14ac:dyDescent="0.25">
      <c r="A7" s="150"/>
      <c r="B7" s="160"/>
      <c r="C7" s="161" t="s">
        <v>409</v>
      </c>
      <c r="D7" s="645"/>
      <c r="E7" s="645"/>
      <c r="F7" s="645"/>
      <c r="G7" s="150"/>
      <c r="H7" s="161" t="s">
        <v>410</v>
      </c>
      <c r="I7" s="162">
        <f ca="1">NOW()</f>
        <v>43000.66745173611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</row>
    <row r="8" spans="1:21" x14ac:dyDescent="0.25">
      <c r="A8" s="150"/>
      <c r="B8" s="160"/>
      <c r="C8" s="161" t="str">
        <f>IF(D7=0,"MONTO ESTIMADO CON IVA:","MONTO DE CONTRATO CON IVA:")</f>
        <v>MONTO ESTIMADO CON IVA:</v>
      </c>
      <c r="D8" s="163">
        <f>+'CC D'!K16</f>
        <v>3000000</v>
      </c>
      <c r="E8" s="164" t="s">
        <v>411</v>
      </c>
      <c r="F8" s="150" t="s">
        <v>412</v>
      </c>
      <c r="G8" s="150"/>
      <c r="H8" s="155" t="s">
        <v>413</v>
      </c>
      <c r="I8" s="165">
        <v>1</v>
      </c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x14ac:dyDescent="0.25">
      <c r="A9" s="150"/>
      <c r="B9" s="160"/>
      <c r="C9" s="161" t="s">
        <v>436</v>
      </c>
      <c r="D9" s="163">
        <v>900000</v>
      </c>
      <c r="E9" s="158" t="s">
        <v>414</v>
      </c>
      <c r="F9" s="150"/>
      <c r="G9" s="150"/>
      <c r="H9" s="155"/>
      <c r="I9" s="166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</row>
    <row r="10" spans="1:21" x14ac:dyDescent="0.25">
      <c r="A10" s="150"/>
      <c r="B10" s="160"/>
      <c r="C10" s="161" t="s">
        <v>437</v>
      </c>
      <c r="D10" s="163">
        <f>+D8+D9</f>
        <v>3900000</v>
      </c>
      <c r="E10" s="158" t="s">
        <v>411</v>
      </c>
      <c r="F10" s="150"/>
      <c r="G10" s="150"/>
      <c r="H10" s="155"/>
      <c r="I10" s="166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</row>
    <row r="11" spans="1:21" x14ac:dyDescent="0.25">
      <c r="A11" s="150"/>
      <c r="B11" s="150"/>
      <c r="C11" s="161" t="str">
        <f>IF(D7=0,"MONTO ESTIMADO SIN IVA:","MONTO DE CONTRATO SIN IVA:")</f>
        <v>MONTO ESTIMADO SIN IVA:</v>
      </c>
      <c r="D11" s="167">
        <f>D8</f>
        <v>3000000</v>
      </c>
      <c r="E11" s="168" t="s">
        <v>414</v>
      </c>
      <c r="F11" s="158"/>
      <c r="G11" s="150"/>
      <c r="H11" s="155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</row>
    <row r="12" spans="1:21" x14ac:dyDescent="0.25">
      <c r="A12" s="150"/>
      <c r="B12" s="150"/>
      <c r="C12" s="161" t="s">
        <v>415</v>
      </c>
      <c r="D12" s="165">
        <v>100</v>
      </c>
      <c r="E12" s="158"/>
      <c r="F12" s="158" t="s">
        <v>416</v>
      </c>
      <c r="G12" s="150"/>
      <c r="H12" s="155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</row>
    <row r="13" spans="1:21" x14ac:dyDescent="0.25">
      <c r="A13" s="150"/>
      <c r="B13" s="150"/>
      <c r="C13" s="161" t="s">
        <v>417</v>
      </c>
      <c r="D13" s="169">
        <f>100-D12</f>
        <v>0</v>
      </c>
      <c r="E13" s="158"/>
      <c r="F13" s="158"/>
      <c r="G13" s="150"/>
      <c r="H13" s="155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</row>
    <row r="14" spans="1:21" x14ac:dyDescent="0.25">
      <c r="A14" s="150"/>
      <c r="B14" s="150"/>
      <c r="C14" s="161" t="s">
        <v>418</v>
      </c>
      <c r="D14" s="166">
        <v>0</v>
      </c>
      <c r="E14" s="158"/>
      <c r="F14" s="158"/>
      <c r="G14" s="150"/>
      <c r="H14" s="155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</row>
    <row r="15" spans="1:21" x14ac:dyDescent="0.25">
      <c r="A15" s="150"/>
      <c r="B15" s="161" t="s">
        <v>419</v>
      </c>
      <c r="C15" s="646"/>
      <c r="D15" s="646"/>
      <c r="E15" s="501" t="s">
        <v>420</v>
      </c>
      <c r="F15" s="502"/>
      <c r="G15" s="150"/>
      <c r="H15" s="170" t="s">
        <v>421</v>
      </c>
      <c r="I15" s="165">
        <v>10</v>
      </c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</row>
    <row r="16" spans="1:21" ht="12.6" thickBot="1" x14ac:dyDescent="0.3">
      <c r="A16" s="150"/>
      <c r="B16" s="160"/>
      <c r="C16" s="158"/>
      <c r="D16" s="158"/>
      <c r="E16" s="158"/>
      <c r="F16" s="171"/>
      <c r="G16" s="150"/>
      <c r="H16" s="155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</row>
    <row r="17" spans="1:21" ht="36.6" thickBot="1" x14ac:dyDescent="0.3">
      <c r="A17" s="172" t="s">
        <v>422</v>
      </c>
      <c r="B17" s="173" t="s">
        <v>423</v>
      </c>
      <c r="C17" s="173" t="s">
        <v>424</v>
      </c>
      <c r="D17" s="174" t="str">
        <f>CONCATENATE("MONTO MENSUAL DESCONTADO ",ROUND(D14,0),"% ANTICIPO")</f>
        <v>MONTO MENSUAL DESCONTADO 0% ANTICIPO</v>
      </c>
      <c r="E17" s="175" t="s">
        <v>425</v>
      </c>
      <c r="F17" s="176" t="s">
        <v>426</v>
      </c>
      <c r="G17" s="177" t="s">
        <v>427</v>
      </c>
      <c r="H17" s="178" t="s">
        <v>428</v>
      </c>
      <c r="I17" s="179" t="str">
        <f>CONCATENATE("DESEMBOLSOS FONDO LOCAL (",ROUND(D13,0),"%) + IVA")</f>
        <v>DESEMBOLSOS FONDO LOCAL (0%) + IVA</v>
      </c>
      <c r="J17" s="179" t="str">
        <f>CONCATENATE("DESEMBOLSOS FONDO EXTERNO (",ROUND(D12,0),"%)")</f>
        <v>DESEMBOLSOS FONDO EXTERNO (100%)</v>
      </c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</row>
    <row r="18" spans="1:21" ht="12.6" thickBot="1" x14ac:dyDescent="0.3">
      <c r="A18" s="180">
        <v>0</v>
      </c>
      <c r="B18" s="181">
        <f>D14/100</f>
        <v>0</v>
      </c>
      <c r="C18" s="181">
        <v>0</v>
      </c>
      <c r="D18" s="182">
        <f>ROUND(B18*D11,0)</f>
        <v>0</v>
      </c>
      <c r="E18" s="183">
        <f>D18</f>
        <v>0</v>
      </c>
      <c r="F18" s="184">
        <f t="shared" ref="F18:F42" si="0">E18/$E$36</f>
        <v>0</v>
      </c>
      <c r="G18" s="185" t="s">
        <v>429</v>
      </c>
      <c r="H18" s="186">
        <f t="shared" ref="H18:H44" si="1">ROUND(D18*0.1,0)</f>
        <v>0</v>
      </c>
      <c r="I18" s="187">
        <v>0</v>
      </c>
      <c r="J18" s="187">
        <f t="shared" ref="J18:J33" si="2">ROUNDUP(D18*$D$12/100,-(LEN(D18)-$I$15))</f>
        <v>0</v>
      </c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</row>
    <row r="19" spans="1:21" ht="12.6" thickBot="1" x14ac:dyDescent="0.3">
      <c r="A19" s="188">
        <v>1</v>
      </c>
      <c r="B19" s="189">
        <v>2.5000000000000001E-2</v>
      </c>
      <c r="C19" s="189">
        <f t="shared" ref="C19:C33" si="3">B19+C18</f>
        <v>2.5000000000000001E-2</v>
      </c>
      <c r="D19" s="190">
        <f>ROUND(B19*$D$11*(100-$D$14)/100,0)</f>
        <v>75000</v>
      </c>
      <c r="E19" s="191">
        <f>E18+D19</f>
        <v>75000</v>
      </c>
      <c r="F19" s="192">
        <f t="shared" si="0"/>
        <v>2.7777777777777776E-2</v>
      </c>
      <c r="G19" s="193" t="s">
        <v>195</v>
      </c>
      <c r="H19" s="186">
        <f t="shared" si="1"/>
        <v>7500</v>
      </c>
      <c r="I19" s="195">
        <f>ROUNDUP((D19+H19-J19),-(LEN(D19)-$I$15))</f>
        <v>7500</v>
      </c>
      <c r="J19" s="195">
        <f>ROUNDUP(D19*$D$12/100,-(LEN(D19)-$I$15))</f>
        <v>75000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</row>
    <row r="20" spans="1:21" ht="12.6" thickBot="1" x14ac:dyDescent="0.3">
      <c r="A20" s="188">
        <v>2</v>
      </c>
      <c r="B20" s="189">
        <v>0.03</v>
      </c>
      <c r="C20" s="189">
        <f t="shared" si="3"/>
        <v>5.5E-2</v>
      </c>
      <c r="D20" s="190">
        <f t="shared" ref="D20:D31" si="4">ROUND(B20*$D$11*(100-$D$14)/100,0)</f>
        <v>90000</v>
      </c>
      <c r="E20" s="191">
        <f t="shared" ref="E20:E33" si="5">E19+D20</f>
        <v>165000</v>
      </c>
      <c r="F20" s="192">
        <f t="shared" si="0"/>
        <v>6.1111111111111109E-2</v>
      </c>
      <c r="G20" s="193" t="s">
        <v>196</v>
      </c>
      <c r="H20" s="186">
        <f t="shared" si="1"/>
        <v>9000</v>
      </c>
      <c r="I20" s="195">
        <f t="shared" ref="I20:I44" si="6">ROUNDUP((D20+H20-J20),-(LEN(D20)-$I$15))</f>
        <v>9000</v>
      </c>
      <c r="J20" s="195">
        <f t="shared" si="2"/>
        <v>90000</v>
      </c>
      <c r="K20" s="196">
        <f>+SUM(J18:J20)</f>
        <v>165000</v>
      </c>
      <c r="L20" s="150"/>
      <c r="M20" s="150"/>
      <c r="N20" s="150"/>
      <c r="O20" s="150"/>
      <c r="P20" s="150"/>
      <c r="Q20" s="150"/>
      <c r="R20" s="150"/>
      <c r="S20" s="150"/>
      <c r="T20" s="150"/>
      <c r="U20" s="150"/>
    </row>
    <row r="21" spans="1:21" ht="12.6" thickBot="1" x14ac:dyDescent="0.3">
      <c r="A21" s="188">
        <v>3</v>
      </c>
      <c r="B21" s="189">
        <v>3.5000000000000003E-2</v>
      </c>
      <c r="C21" s="189">
        <f t="shared" si="3"/>
        <v>0.09</v>
      </c>
      <c r="D21" s="190">
        <f t="shared" si="4"/>
        <v>105000</v>
      </c>
      <c r="E21" s="191">
        <f t="shared" si="5"/>
        <v>270000</v>
      </c>
      <c r="F21" s="192">
        <f t="shared" si="0"/>
        <v>0.1</v>
      </c>
      <c r="G21" s="193" t="s">
        <v>197</v>
      </c>
      <c r="H21" s="186">
        <f t="shared" si="1"/>
        <v>10500</v>
      </c>
      <c r="I21" s="195">
        <f t="shared" si="6"/>
        <v>10500</v>
      </c>
      <c r="J21" s="195">
        <f t="shared" si="2"/>
        <v>105000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</row>
    <row r="22" spans="1:21" ht="12.6" thickBot="1" x14ac:dyDescent="0.3">
      <c r="A22" s="188">
        <v>4</v>
      </c>
      <c r="B22" s="189">
        <v>3.5000000000000003E-2</v>
      </c>
      <c r="C22" s="189">
        <f t="shared" si="3"/>
        <v>0.125</v>
      </c>
      <c r="D22" s="190">
        <f t="shared" si="4"/>
        <v>105000</v>
      </c>
      <c r="E22" s="191">
        <f t="shared" si="5"/>
        <v>375000</v>
      </c>
      <c r="F22" s="192">
        <f t="shared" si="0"/>
        <v>0.1388888888888889</v>
      </c>
      <c r="G22" s="193" t="s">
        <v>198</v>
      </c>
      <c r="H22" s="186">
        <f t="shared" si="1"/>
        <v>10500</v>
      </c>
      <c r="I22" s="195">
        <f t="shared" si="6"/>
        <v>10500</v>
      </c>
      <c r="J22" s="195">
        <f t="shared" si="2"/>
        <v>105000</v>
      </c>
      <c r="K22" s="197"/>
      <c r="L22" s="150"/>
      <c r="M22" s="150"/>
      <c r="N22" s="150"/>
      <c r="O22" s="150"/>
      <c r="P22" s="150"/>
      <c r="Q22" s="150"/>
      <c r="R22" s="150"/>
      <c r="S22" s="150"/>
      <c r="T22" s="150"/>
      <c r="U22" s="150"/>
    </row>
    <row r="23" spans="1:21" ht="12.6" thickBot="1" x14ac:dyDescent="0.3">
      <c r="A23" s="188">
        <v>5</v>
      </c>
      <c r="B23" s="189">
        <v>0.04</v>
      </c>
      <c r="C23" s="189">
        <f t="shared" si="3"/>
        <v>0.16500000000000001</v>
      </c>
      <c r="D23" s="190">
        <f t="shared" si="4"/>
        <v>120000</v>
      </c>
      <c r="E23" s="191">
        <f t="shared" si="5"/>
        <v>495000</v>
      </c>
      <c r="F23" s="192">
        <f t="shared" si="0"/>
        <v>0.18333333333333332</v>
      </c>
      <c r="G23" s="193" t="s">
        <v>199</v>
      </c>
      <c r="H23" s="186">
        <f t="shared" si="1"/>
        <v>12000</v>
      </c>
      <c r="I23" s="195">
        <f t="shared" si="6"/>
        <v>12000</v>
      </c>
      <c r="J23" s="195">
        <f t="shared" si="2"/>
        <v>120000</v>
      </c>
      <c r="K23" s="197"/>
      <c r="L23" s="150"/>
      <c r="M23" s="150"/>
      <c r="N23" s="150"/>
      <c r="O23" s="150"/>
      <c r="P23" s="150"/>
      <c r="Q23" s="150"/>
      <c r="R23" s="150"/>
      <c r="S23" s="150"/>
      <c r="T23" s="150"/>
      <c r="U23" s="150"/>
    </row>
    <row r="24" spans="1:21" ht="12.6" thickBot="1" x14ac:dyDescent="0.3">
      <c r="A24" s="188">
        <v>6</v>
      </c>
      <c r="B24" s="189">
        <v>4.4999999999999998E-2</v>
      </c>
      <c r="C24" s="189">
        <f t="shared" si="3"/>
        <v>0.21000000000000002</v>
      </c>
      <c r="D24" s="190">
        <f t="shared" si="4"/>
        <v>135000</v>
      </c>
      <c r="E24" s="191">
        <f>E23+D24</f>
        <v>630000</v>
      </c>
      <c r="F24" s="192">
        <f t="shared" si="0"/>
        <v>0.23333333333333334</v>
      </c>
      <c r="G24" s="193" t="s">
        <v>200</v>
      </c>
      <c r="H24" s="186">
        <f t="shared" si="1"/>
        <v>13500</v>
      </c>
      <c r="I24" s="195">
        <f>ROUNDUP((D24+H24-J24),-(LEN(D24)-$I$15))</f>
        <v>13500</v>
      </c>
      <c r="J24" s="195">
        <f>ROUNDUP(D24*$D$12/100,-(LEN(D24)-$I$15))</f>
        <v>135000</v>
      </c>
      <c r="K24" s="197"/>
      <c r="L24" s="150"/>
      <c r="M24" s="150"/>
      <c r="N24" s="150"/>
      <c r="O24" s="150"/>
      <c r="P24" s="150"/>
      <c r="Q24" s="150"/>
      <c r="R24" s="150"/>
      <c r="S24" s="150"/>
      <c r="T24" s="150"/>
      <c r="U24" s="150"/>
    </row>
    <row r="25" spans="1:21" ht="12.6" thickBot="1" x14ac:dyDescent="0.3">
      <c r="A25" s="188">
        <v>7</v>
      </c>
      <c r="B25" s="189">
        <v>4.4999999999999998E-2</v>
      </c>
      <c r="C25" s="189">
        <f t="shared" si="3"/>
        <v>0.255</v>
      </c>
      <c r="D25" s="190">
        <f t="shared" si="4"/>
        <v>135000</v>
      </c>
      <c r="E25" s="191">
        <f t="shared" si="5"/>
        <v>765000</v>
      </c>
      <c r="F25" s="192">
        <f t="shared" si="0"/>
        <v>0.28333333333333333</v>
      </c>
      <c r="G25" s="193" t="s">
        <v>201</v>
      </c>
      <c r="H25" s="186">
        <f t="shared" si="1"/>
        <v>13500</v>
      </c>
      <c r="I25" s="195">
        <f t="shared" si="6"/>
        <v>13500</v>
      </c>
      <c r="J25" s="195">
        <f t="shared" si="2"/>
        <v>135000</v>
      </c>
      <c r="K25" s="198"/>
      <c r="L25" s="150"/>
      <c r="M25" s="150"/>
      <c r="N25" s="150"/>
      <c r="O25" s="150"/>
      <c r="P25" s="150"/>
      <c r="Q25" s="150"/>
      <c r="R25" s="150"/>
      <c r="S25" s="150"/>
      <c r="T25" s="150"/>
      <c r="U25" s="150"/>
    </row>
    <row r="26" spans="1:21" ht="12.6" thickBot="1" x14ac:dyDescent="0.3">
      <c r="A26" s="188">
        <v>8</v>
      </c>
      <c r="B26" s="189">
        <v>0.05</v>
      </c>
      <c r="C26" s="189">
        <f t="shared" si="3"/>
        <v>0.30499999999999999</v>
      </c>
      <c r="D26" s="190">
        <f t="shared" si="4"/>
        <v>150000</v>
      </c>
      <c r="E26" s="191">
        <f t="shared" si="5"/>
        <v>915000</v>
      </c>
      <c r="F26" s="192">
        <f t="shared" si="0"/>
        <v>0.33888888888888891</v>
      </c>
      <c r="G26" s="193" t="s">
        <v>202</v>
      </c>
      <c r="H26" s="186">
        <f t="shared" si="1"/>
        <v>15000</v>
      </c>
      <c r="I26" s="195">
        <f t="shared" si="6"/>
        <v>15000</v>
      </c>
      <c r="J26" s="195">
        <f t="shared" si="2"/>
        <v>150000</v>
      </c>
      <c r="K26" s="197"/>
      <c r="L26" s="150"/>
      <c r="M26" s="150"/>
      <c r="N26" s="150"/>
      <c r="O26" s="150"/>
      <c r="P26" s="150"/>
      <c r="Q26" s="150"/>
      <c r="R26" s="150"/>
      <c r="S26" s="150"/>
      <c r="T26" s="150"/>
      <c r="U26" s="150"/>
    </row>
    <row r="27" spans="1:21" ht="12.6" thickBot="1" x14ac:dyDescent="0.3">
      <c r="A27" s="188">
        <v>9</v>
      </c>
      <c r="B27" s="189">
        <v>5.5E-2</v>
      </c>
      <c r="C27" s="189">
        <f t="shared" si="3"/>
        <v>0.36</v>
      </c>
      <c r="D27" s="190">
        <f t="shared" si="4"/>
        <v>165000</v>
      </c>
      <c r="E27" s="191">
        <f t="shared" si="5"/>
        <v>1080000</v>
      </c>
      <c r="F27" s="192">
        <f t="shared" si="0"/>
        <v>0.4</v>
      </c>
      <c r="G27" s="193" t="s">
        <v>203</v>
      </c>
      <c r="H27" s="186">
        <f t="shared" si="1"/>
        <v>16500</v>
      </c>
      <c r="I27" s="195">
        <f t="shared" si="6"/>
        <v>16500</v>
      </c>
      <c r="J27" s="195">
        <f t="shared" si="2"/>
        <v>165000</v>
      </c>
      <c r="K27" s="197"/>
      <c r="L27" s="150"/>
      <c r="M27" s="150"/>
      <c r="N27" s="150"/>
      <c r="O27" s="150"/>
      <c r="P27" s="150"/>
      <c r="Q27" s="150"/>
      <c r="R27" s="150"/>
      <c r="S27" s="150"/>
      <c r="T27" s="150"/>
      <c r="U27" s="150"/>
    </row>
    <row r="28" spans="1:21" ht="12.6" thickBot="1" x14ac:dyDescent="0.3">
      <c r="A28" s="188">
        <v>10</v>
      </c>
      <c r="B28" s="189">
        <v>5.5E-2</v>
      </c>
      <c r="C28" s="189">
        <f t="shared" si="3"/>
        <v>0.41499999999999998</v>
      </c>
      <c r="D28" s="190">
        <f t="shared" si="4"/>
        <v>165000</v>
      </c>
      <c r="E28" s="191">
        <f t="shared" si="5"/>
        <v>1245000</v>
      </c>
      <c r="F28" s="192">
        <f t="shared" si="0"/>
        <v>0.46111111111111114</v>
      </c>
      <c r="G28" s="193" t="s">
        <v>204</v>
      </c>
      <c r="H28" s="186">
        <f t="shared" si="1"/>
        <v>16500</v>
      </c>
      <c r="I28" s="195">
        <f t="shared" si="6"/>
        <v>16500</v>
      </c>
      <c r="J28" s="195">
        <f t="shared" si="2"/>
        <v>165000</v>
      </c>
      <c r="K28" s="197"/>
      <c r="L28" s="150"/>
      <c r="M28" s="150"/>
      <c r="N28" s="150"/>
      <c r="O28" s="150"/>
      <c r="P28" s="150"/>
      <c r="Q28" s="150"/>
      <c r="R28" s="150"/>
      <c r="S28" s="150"/>
      <c r="T28" s="150"/>
      <c r="U28" s="150"/>
    </row>
    <row r="29" spans="1:21" ht="12.6" thickBot="1" x14ac:dyDescent="0.3">
      <c r="A29" s="188">
        <v>11</v>
      </c>
      <c r="B29" s="189">
        <v>5.5E-2</v>
      </c>
      <c r="C29" s="189">
        <f t="shared" si="3"/>
        <v>0.47</v>
      </c>
      <c r="D29" s="190">
        <f t="shared" si="4"/>
        <v>165000</v>
      </c>
      <c r="E29" s="191">
        <f t="shared" si="5"/>
        <v>1410000</v>
      </c>
      <c r="F29" s="192">
        <f t="shared" si="0"/>
        <v>0.52222222222222225</v>
      </c>
      <c r="G29" s="193" t="s">
        <v>205</v>
      </c>
      <c r="H29" s="186">
        <f t="shared" si="1"/>
        <v>16500</v>
      </c>
      <c r="I29" s="195">
        <f t="shared" si="6"/>
        <v>16500</v>
      </c>
      <c r="J29" s="195">
        <f t="shared" si="2"/>
        <v>165000</v>
      </c>
      <c r="K29" s="197"/>
      <c r="L29" s="150"/>
      <c r="M29" s="150"/>
      <c r="N29" s="150"/>
      <c r="O29" s="150"/>
      <c r="P29" s="150"/>
      <c r="Q29" s="150"/>
      <c r="R29" s="150"/>
      <c r="S29" s="150"/>
      <c r="T29" s="150"/>
      <c r="U29" s="150"/>
    </row>
    <row r="30" spans="1:21" ht="12.6" thickBot="1" x14ac:dyDescent="0.3">
      <c r="A30" s="188">
        <v>12</v>
      </c>
      <c r="B30" s="189">
        <v>0.06</v>
      </c>
      <c r="C30" s="189">
        <f t="shared" si="3"/>
        <v>0.53</v>
      </c>
      <c r="D30" s="190">
        <f t="shared" si="4"/>
        <v>180000</v>
      </c>
      <c r="E30" s="191">
        <f t="shared" si="5"/>
        <v>1590000</v>
      </c>
      <c r="F30" s="192">
        <f t="shared" si="0"/>
        <v>0.58888888888888891</v>
      </c>
      <c r="G30" s="193" t="s">
        <v>206</v>
      </c>
      <c r="H30" s="186">
        <f t="shared" si="1"/>
        <v>18000</v>
      </c>
      <c r="I30" s="195">
        <f t="shared" si="6"/>
        <v>18000</v>
      </c>
      <c r="J30" s="195">
        <f t="shared" si="2"/>
        <v>180000</v>
      </c>
      <c r="K30" s="197"/>
      <c r="L30" s="150"/>
      <c r="M30" s="150"/>
      <c r="N30" s="150"/>
      <c r="O30" s="150"/>
      <c r="P30" s="150"/>
      <c r="Q30" s="150"/>
      <c r="R30" s="150"/>
      <c r="S30" s="150"/>
      <c r="T30" s="150"/>
      <c r="U30" s="150"/>
    </row>
    <row r="31" spans="1:21" ht="12.6" thickBot="1" x14ac:dyDescent="0.3">
      <c r="A31" s="188">
        <v>13</v>
      </c>
      <c r="B31" s="189">
        <v>7.0000000000000007E-2</v>
      </c>
      <c r="C31" s="189">
        <f t="shared" si="3"/>
        <v>0.60000000000000009</v>
      </c>
      <c r="D31" s="190">
        <f t="shared" si="4"/>
        <v>210000</v>
      </c>
      <c r="E31" s="191">
        <f t="shared" si="5"/>
        <v>1800000</v>
      </c>
      <c r="F31" s="192">
        <f t="shared" si="0"/>
        <v>0.66666666666666663</v>
      </c>
      <c r="G31" s="193" t="s">
        <v>207</v>
      </c>
      <c r="H31" s="186">
        <f t="shared" si="1"/>
        <v>21000</v>
      </c>
      <c r="I31" s="195">
        <f t="shared" si="6"/>
        <v>21000</v>
      </c>
      <c r="J31" s="195">
        <f t="shared" si="2"/>
        <v>210000</v>
      </c>
      <c r="K31" s="197"/>
      <c r="L31" s="150"/>
      <c r="M31" s="150"/>
      <c r="N31" s="150"/>
      <c r="O31" s="150"/>
      <c r="P31" s="150"/>
      <c r="Q31" s="150"/>
      <c r="R31" s="150"/>
      <c r="S31" s="150"/>
      <c r="T31" s="150"/>
      <c r="U31" s="150"/>
    </row>
    <row r="32" spans="1:21" ht="12.6" thickBot="1" x14ac:dyDescent="0.3">
      <c r="A32" s="188">
        <v>14</v>
      </c>
      <c r="B32" s="189">
        <v>7.0000000000000007E-2</v>
      </c>
      <c r="C32" s="189">
        <f t="shared" si="3"/>
        <v>0.67000000000000015</v>
      </c>
      <c r="D32" s="190">
        <f>ROUND(B32*$D$11*(100-$D$14)/100,0)</f>
        <v>210000</v>
      </c>
      <c r="E32" s="191">
        <f t="shared" si="5"/>
        <v>2010000</v>
      </c>
      <c r="F32" s="192">
        <f t="shared" si="0"/>
        <v>0.74444444444444446</v>
      </c>
      <c r="G32" s="193" t="s">
        <v>208</v>
      </c>
      <c r="H32" s="186">
        <f t="shared" si="1"/>
        <v>21000</v>
      </c>
      <c r="I32" s="195">
        <f t="shared" si="6"/>
        <v>21000</v>
      </c>
      <c r="J32" s="195">
        <f t="shared" si="2"/>
        <v>210000</v>
      </c>
      <c r="K32" s="199">
        <f>+SUM(J21:J32)</f>
        <v>1845000</v>
      </c>
      <c r="L32" s="150"/>
      <c r="M32" s="150"/>
      <c r="N32" s="150"/>
      <c r="O32" s="150"/>
      <c r="P32" s="150"/>
      <c r="Q32" s="150"/>
      <c r="R32" s="150"/>
      <c r="S32" s="150"/>
      <c r="T32" s="150"/>
      <c r="U32" s="150"/>
    </row>
    <row r="33" spans="1:21" ht="12.6" thickBot="1" x14ac:dyDescent="0.3">
      <c r="A33" s="188">
        <v>15</v>
      </c>
      <c r="B33" s="189">
        <v>6.5000000000000002E-2</v>
      </c>
      <c r="C33" s="189">
        <f t="shared" si="3"/>
        <v>0.7350000000000001</v>
      </c>
      <c r="D33" s="190">
        <f>ROUND(B33*$D$11*(100-$D$14)/100,0)</f>
        <v>195000</v>
      </c>
      <c r="E33" s="191">
        <f t="shared" si="5"/>
        <v>2205000</v>
      </c>
      <c r="F33" s="192">
        <f t="shared" si="0"/>
        <v>0.81666666666666665</v>
      </c>
      <c r="G33" s="193" t="s">
        <v>209</v>
      </c>
      <c r="H33" s="186">
        <f t="shared" si="1"/>
        <v>19500</v>
      </c>
      <c r="I33" s="195">
        <f t="shared" si="6"/>
        <v>19500</v>
      </c>
      <c r="J33" s="195">
        <f t="shared" si="2"/>
        <v>195000</v>
      </c>
      <c r="K33" s="197"/>
      <c r="L33" s="150"/>
      <c r="M33" s="150"/>
      <c r="N33" s="150"/>
      <c r="O33" s="150"/>
      <c r="P33" s="150"/>
      <c r="Q33" s="150"/>
      <c r="R33" s="150"/>
      <c r="S33" s="150"/>
      <c r="T33" s="150"/>
      <c r="U33" s="150"/>
    </row>
    <row r="34" spans="1:21" ht="12.6" thickBot="1" x14ac:dyDescent="0.3">
      <c r="A34" s="188">
        <v>16</v>
      </c>
      <c r="B34" s="189">
        <v>6.5000000000000002E-2</v>
      </c>
      <c r="C34" s="189">
        <f>B34+C33</f>
        <v>0.8</v>
      </c>
      <c r="D34" s="190">
        <f>ROUND(B34*$D$11*(100-$D$14)/100,0)</f>
        <v>195000</v>
      </c>
      <c r="E34" s="191">
        <f>E33+D34</f>
        <v>2400000</v>
      </c>
      <c r="F34" s="192">
        <f t="shared" si="0"/>
        <v>0.88888888888888884</v>
      </c>
      <c r="G34" s="193" t="s">
        <v>210</v>
      </c>
      <c r="H34" s="186">
        <f t="shared" si="1"/>
        <v>19500</v>
      </c>
      <c r="I34" s="195">
        <f t="shared" si="6"/>
        <v>19500</v>
      </c>
      <c r="J34" s="195">
        <f>ROUNDUP(D34*$D$12/100,-(LEN(D34)-$I$15))</f>
        <v>195000</v>
      </c>
      <c r="K34" s="197"/>
      <c r="L34" s="150"/>
      <c r="M34" s="150"/>
      <c r="N34" s="150"/>
      <c r="O34" s="150"/>
      <c r="P34" s="150"/>
      <c r="Q34" s="150"/>
      <c r="R34" s="150"/>
      <c r="S34" s="150"/>
      <c r="T34" s="150"/>
      <c r="U34" s="150"/>
    </row>
    <row r="35" spans="1:21" ht="12.6" thickBot="1" x14ac:dyDescent="0.3">
      <c r="A35" s="188">
        <v>17</v>
      </c>
      <c r="B35" s="189">
        <v>0.05</v>
      </c>
      <c r="C35" s="189">
        <f>B35+C34</f>
        <v>0.85000000000000009</v>
      </c>
      <c r="D35" s="190">
        <f>ROUND(B35*$D$11*(100-$D$14)/100,0)</f>
        <v>150000</v>
      </c>
      <c r="E35" s="191">
        <f>E34+D35</f>
        <v>2550000</v>
      </c>
      <c r="F35" s="192">
        <f t="shared" si="0"/>
        <v>0.94444444444444442</v>
      </c>
      <c r="G35" s="193" t="s">
        <v>211</v>
      </c>
      <c r="H35" s="186">
        <f t="shared" si="1"/>
        <v>15000</v>
      </c>
      <c r="I35" s="195">
        <f t="shared" si="6"/>
        <v>15000</v>
      </c>
      <c r="J35" s="195">
        <f>ROUNDUP(D35*$D$12/100,-(LEN(D35)-$I$15))</f>
        <v>150000</v>
      </c>
      <c r="K35" s="197"/>
      <c r="L35" s="150"/>
      <c r="M35" s="150"/>
      <c r="N35" s="150"/>
      <c r="O35" s="150"/>
      <c r="P35" s="150"/>
      <c r="Q35" s="150"/>
      <c r="R35" s="150"/>
      <c r="S35" s="150"/>
      <c r="T35" s="150"/>
      <c r="U35" s="150"/>
    </row>
    <row r="36" spans="1:21" ht="12.6" thickBot="1" x14ac:dyDescent="0.3">
      <c r="A36" s="200">
        <v>18</v>
      </c>
      <c r="B36" s="189">
        <v>0.05</v>
      </c>
      <c r="C36" s="201">
        <f>B36+C35</f>
        <v>0.90000000000000013</v>
      </c>
      <c r="D36" s="202">
        <f>ROUND(B36*$D$11*(100-$D$14)/100,0)</f>
        <v>150000</v>
      </c>
      <c r="E36" s="203">
        <f>E35+D36</f>
        <v>2700000</v>
      </c>
      <c r="F36" s="204">
        <f t="shared" si="0"/>
        <v>1</v>
      </c>
      <c r="G36" s="205" t="s">
        <v>212</v>
      </c>
      <c r="H36" s="186">
        <f t="shared" si="1"/>
        <v>15000</v>
      </c>
      <c r="I36" s="207">
        <f t="shared" si="6"/>
        <v>15000</v>
      </c>
      <c r="J36" s="207">
        <f>ROUNDUP(D36*$D$12/100,-(LEN(D36)-$I$15))</f>
        <v>150000</v>
      </c>
      <c r="K36" s="199">
        <f>+SUM(J33:J36)</f>
        <v>690000</v>
      </c>
      <c r="L36" s="150"/>
      <c r="M36" s="150"/>
      <c r="N36" s="150"/>
      <c r="O36" s="150"/>
      <c r="P36" s="150"/>
      <c r="Q36" s="150"/>
      <c r="R36" s="150"/>
      <c r="S36" s="150"/>
      <c r="T36" s="150"/>
      <c r="U36" s="150"/>
    </row>
    <row r="37" spans="1:21" ht="12.6" thickBot="1" x14ac:dyDescent="0.3">
      <c r="A37" s="188">
        <v>19</v>
      </c>
      <c r="B37" s="189">
        <v>0.04</v>
      </c>
      <c r="C37" s="201">
        <f t="shared" ref="C37:C44" si="7">B37+C36</f>
        <v>0.94000000000000017</v>
      </c>
      <c r="D37" s="202">
        <f t="shared" ref="D37:D44" si="8">ROUND(B37*$D$11*(100-$D$14)/100,0)</f>
        <v>120000</v>
      </c>
      <c r="E37" s="203">
        <f t="shared" ref="E37:E42" si="9">E36+D37</f>
        <v>2820000</v>
      </c>
      <c r="F37" s="204">
        <f t="shared" si="0"/>
        <v>1.0444444444444445</v>
      </c>
      <c r="G37" s="205" t="s">
        <v>213</v>
      </c>
      <c r="H37" s="186">
        <f t="shared" si="1"/>
        <v>12000</v>
      </c>
      <c r="I37" s="207">
        <f t="shared" si="6"/>
        <v>12000</v>
      </c>
      <c r="J37" s="207">
        <f t="shared" ref="J37:J44" si="10">ROUNDUP(D37*$D$12/100,-(LEN(D37)-$I$15))</f>
        <v>120000</v>
      </c>
      <c r="K37" s="199"/>
      <c r="L37" s="150"/>
      <c r="M37" s="150"/>
      <c r="N37" s="150"/>
      <c r="O37" s="150"/>
      <c r="P37" s="150"/>
      <c r="Q37" s="150"/>
      <c r="R37" s="150"/>
      <c r="S37" s="150"/>
      <c r="T37" s="150"/>
      <c r="U37" s="150"/>
    </row>
    <row r="38" spans="1:21" ht="12.6" thickBot="1" x14ac:dyDescent="0.3">
      <c r="A38" s="200">
        <v>20</v>
      </c>
      <c r="B38" s="189">
        <v>0.02</v>
      </c>
      <c r="C38" s="201">
        <f t="shared" si="7"/>
        <v>0.96000000000000019</v>
      </c>
      <c r="D38" s="202">
        <f t="shared" si="8"/>
        <v>60000</v>
      </c>
      <c r="E38" s="203">
        <f t="shared" si="9"/>
        <v>2880000</v>
      </c>
      <c r="F38" s="204">
        <f t="shared" si="0"/>
        <v>1.0666666666666667</v>
      </c>
      <c r="G38" s="205" t="s">
        <v>214</v>
      </c>
      <c r="H38" s="186">
        <f t="shared" si="1"/>
        <v>6000</v>
      </c>
      <c r="I38" s="207">
        <f t="shared" si="6"/>
        <v>6000</v>
      </c>
      <c r="J38" s="207">
        <f t="shared" si="10"/>
        <v>60000</v>
      </c>
      <c r="K38" s="199"/>
      <c r="L38" s="150"/>
      <c r="M38" s="150"/>
      <c r="N38" s="150"/>
      <c r="O38" s="150"/>
      <c r="P38" s="150"/>
      <c r="Q38" s="150"/>
      <c r="R38" s="150"/>
      <c r="S38" s="150"/>
      <c r="T38" s="150"/>
      <c r="U38" s="150"/>
    </row>
    <row r="39" spans="1:21" ht="12.6" thickBot="1" x14ac:dyDescent="0.3">
      <c r="A39" s="188">
        <v>21</v>
      </c>
      <c r="B39" s="219">
        <v>0.01</v>
      </c>
      <c r="C39" s="201">
        <f t="shared" si="7"/>
        <v>0.9700000000000002</v>
      </c>
      <c r="D39" s="202">
        <f t="shared" si="8"/>
        <v>30000</v>
      </c>
      <c r="E39" s="203">
        <f t="shared" si="9"/>
        <v>2910000</v>
      </c>
      <c r="F39" s="204">
        <f t="shared" si="0"/>
        <v>1.0777777777777777</v>
      </c>
      <c r="G39" s="205" t="s">
        <v>215</v>
      </c>
      <c r="H39" s="186">
        <f t="shared" si="1"/>
        <v>3000</v>
      </c>
      <c r="I39" s="207">
        <f t="shared" si="6"/>
        <v>3000</v>
      </c>
      <c r="J39" s="207">
        <f t="shared" si="10"/>
        <v>30000</v>
      </c>
      <c r="K39" s="199"/>
      <c r="L39" s="150"/>
      <c r="M39" s="150"/>
      <c r="N39" s="150"/>
      <c r="O39" s="150"/>
      <c r="P39" s="150"/>
      <c r="Q39" s="150"/>
      <c r="R39" s="150"/>
      <c r="S39" s="150"/>
      <c r="T39" s="150"/>
      <c r="U39" s="150"/>
    </row>
    <row r="40" spans="1:21" ht="12.6" thickBot="1" x14ac:dyDescent="0.3">
      <c r="A40" s="200">
        <v>22</v>
      </c>
      <c r="B40" s="189">
        <v>0.01</v>
      </c>
      <c r="C40" s="201">
        <f t="shared" si="7"/>
        <v>0.9800000000000002</v>
      </c>
      <c r="D40" s="202">
        <f t="shared" si="8"/>
        <v>30000</v>
      </c>
      <c r="E40" s="203">
        <f t="shared" si="9"/>
        <v>2940000</v>
      </c>
      <c r="F40" s="204">
        <f t="shared" si="0"/>
        <v>1.0888888888888888</v>
      </c>
      <c r="G40" s="205" t="s">
        <v>216</v>
      </c>
      <c r="H40" s="186">
        <f t="shared" si="1"/>
        <v>3000</v>
      </c>
      <c r="I40" s="207">
        <f t="shared" si="6"/>
        <v>3000</v>
      </c>
      <c r="J40" s="207">
        <f t="shared" si="10"/>
        <v>30000</v>
      </c>
      <c r="K40" s="199"/>
      <c r="L40" s="150"/>
      <c r="M40" s="150"/>
      <c r="N40" s="150"/>
      <c r="O40" s="150"/>
      <c r="P40" s="150"/>
      <c r="Q40" s="150"/>
      <c r="R40" s="150"/>
      <c r="S40" s="150"/>
      <c r="T40" s="150"/>
      <c r="U40" s="150"/>
    </row>
    <row r="41" spans="1:21" ht="12.6" thickBot="1" x14ac:dyDescent="0.3">
      <c r="A41" s="188">
        <v>23</v>
      </c>
      <c r="B41" s="189">
        <v>5.0000000000000001E-3</v>
      </c>
      <c r="C41" s="201">
        <f t="shared" si="7"/>
        <v>0.98500000000000021</v>
      </c>
      <c r="D41" s="202">
        <f t="shared" si="8"/>
        <v>15000</v>
      </c>
      <c r="E41" s="203">
        <f t="shared" si="9"/>
        <v>2955000</v>
      </c>
      <c r="F41" s="204">
        <f t="shared" si="0"/>
        <v>1.0944444444444446</v>
      </c>
      <c r="G41" s="205" t="s">
        <v>217</v>
      </c>
      <c r="H41" s="186">
        <f t="shared" si="1"/>
        <v>1500</v>
      </c>
      <c r="I41" s="207">
        <f t="shared" si="6"/>
        <v>1500</v>
      </c>
      <c r="J41" s="207">
        <f t="shared" si="10"/>
        <v>15000</v>
      </c>
      <c r="K41" s="199"/>
      <c r="L41" s="150"/>
      <c r="M41" s="150"/>
      <c r="N41" s="150"/>
      <c r="O41" s="150"/>
      <c r="P41" s="150"/>
      <c r="Q41" s="150"/>
      <c r="R41" s="150"/>
      <c r="S41" s="150"/>
      <c r="T41" s="150"/>
      <c r="U41" s="150"/>
    </row>
    <row r="42" spans="1:21" ht="12.6" thickBot="1" x14ac:dyDescent="0.3">
      <c r="A42" s="200">
        <v>24</v>
      </c>
      <c r="B42" s="201">
        <v>5.0000000000000001E-3</v>
      </c>
      <c r="C42" s="201">
        <f t="shared" si="7"/>
        <v>0.99000000000000021</v>
      </c>
      <c r="D42" s="202">
        <f t="shared" si="8"/>
        <v>15000</v>
      </c>
      <c r="E42" s="203">
        <f t="shared" si="9"/>
        <v>2970000</v>
      </c>
      <c r="F42" s="204">
        <f t="shared" si="0"/>
        <v>1.1000000000000001</v>
      </c>
      <c r="G42" s="205" t="s">
        <v>218</v>
      </c>
      <c r="H42" s="186">
        <f t="shared" si="1"/>
        <v>1500</v>
      </c>
      <c r="I42" s="207">
        <f t="shared" si="6"/>
        <v>1500</v>
      </c>
      <c r="J42" s="207">
        <f t="shared" si="10"/>
        <v>15000</v>
      </c>
      <c r="K42" s="199"/>
      <c r="L42" s="150"/>
      <c r="M42" s="150"/>
      <c r="N42" s="150"/>
      <c r="O42" s="150"/>
      <c r="P42" s="150"/>
      <c r="Q42" s="150"/>
      <c r="R42" s="150"/>
      <c r="S42" s="150"/>
      <c r="T42" s="150"/>
      <c r="U42" s="150"/>
    </row>
    <row r="43" spans="1:21" ht="12.6" thickBot="1" x14ac:dyDescent="0.3">
      <c r="A43" s="188">
        <v>25</v>
      </c>
      <c r="B43" s="219">
        <v>5.0000000000000001E-3</v>
      </c>
      <c r="C43" s="201">
        <f t="shared" si="7"/>
        <v>0.99500000000000022</v>
      </c>
      <c r="D43" s="402">
        <f t="shared" si="8"/>
        <v>15000</v>
      </c>
      <c r="E43" s="203">
        <f t="shared" ref="E43:E44" si="11">E42+D43</f>
        <v>2985000</v>
      </c>
      <c r="F43" s="204">
        <f t="shared" ref="F43:F44" si="12">E43/$E$36</f>
        <v>1.1055555555555556</v>
      </c>
      <c r="G43" s="205" t="s">
        <v>219</v>
      </c>
      <c r="H43" s="186">
        <f t="shared" si="1"/>
        <v>1500</v>
      </c>
      <c r="I43" s="211">
        <f t="shared" si="6"/>
        <v>1500</v>
      </c>
      <c r="J43" s="211">
        <f t="shared" si="10"/>
        <v>15000</v>
      </c>
      <c r="K43" s="199"/>
      <c r="L43" s="150"/>
      <c r="M43" s="150"/>
      <c r="N43" s="150"/>
      <c r="O43" s="150"/>
      <c r="P43" s="150"/>
      <c r="Q43" s="150"/>
      <c r="R43" s="150"/>
      <c r="S43" s="150"/>
      <c r="T43" s="150"/>
      <c r="U43" s="150"/>
    </row>
    <row r="44" spans="1:21" ht="12.6" thickBot="1" x14ac:dyDescent="0.3">
      <c r="A44" s="200">
        <v>26</v>
      </c>
      <c r="B44" s="219">
        <v>5.0000000000000001E-3</v>
      </c>
      <c r="C44" s="201">
        <f t="shared" si="7"/>
        <v>1.0000000000000002</v>
      </c>
      <c r="D44" s="402">
        <f t="shared" si="8"/>
        <v>15000</v>
      </c>
      <c r="E44" s="203">
        <f t="shared" si="11"/>
        <v>3000000</v>
      </c>
      <c r="F44" s="204">
        <f t="shared" si="12"/>
        <v>1.1111111111111112</v>
      </c>
      <c r="G44" s="205" t="s">
        <v>220</v>
      </c>
      <c r="H44" s="186">
        <f t="shared" si="1"/>
        <v>1500</v>
      </c>
      <c r="I44" s="211">
        <f t="shared" si="6"/>
        <v>1500</v>
      </c>
      <c r="J44" s="211">
        <f t="shared" si="10"/>
        <v>15000</v>
      </c>
      <c r="K44" s="199"/>
      <c r="L44" s="150"/>
      <c r="M44" s="150"/>
      <c r="N44" s="150"/>
      <c r="O44" s="150"/>
      <c r="P44" s="150"/>
      <c r="Q44" s="150"/>
      <c r="R44" s="150"/>
      <c r="S44" s="150"/>
      <c r="T44" s="150"/>
      <c r="U44" s="150"/>
    </row>
    <row r="45" spans="1:21" ht="12.6" thickBot="1" x14ac:dyDescent="0.3">
      <c r="A45" s="208" t="str">
        <f>A42*30 &amp; " dias"</f>
        <v>720 dias</v>
      </c>
      <c r="B45" s="209">
        <f>SUM(B19:B44)</f>
        <v>1.0000000000000002</v>
      </c>
      <c r="C45" s="210"/>
      <c r="D45" s="211">
        <f>SUM(D18:D44)</f>
        <v>3000000</v>
      </c>
      <c r="E45" s="150"/>
      <c r="F45" s="155"/>
      <c r="G45" s="155"/>
      <c r="H45" s="150"/>
      <c r="I45" s="212">
        <f>SUM(I18:I44)</f>
        <v>300000</v>
      </c>
      <c r="J45" s="212">
        <f>SUM(J18:J44)</f>
        <v>3000000</v>
      </c>
      <c r="K45" s="197"/>
      <c r="L45" s="150"/>
      <c r="M45" s="150"/>
      <c r="N45" s="150"/>
      <c r="O45" s="150"/>
      <c r="P45" s="150"/>
      <c r="Q45" s="150"/>
      <c r="R45" s="150"/>
      <c r="S45" s="150"/>
      <c r="T45" s="150"/>
      <c r="U45" s="150"/>
    </row>
    <row r="46" spans="1:21" x14ac:dyDescent="0.25">
      <c r="A46" s="155"/>
      <c r="B46" s="160"/>
      <c r="C46" s="158"/>
      <c r="D46" s="158"/>
      <c r="E46" s="158"/>
      <c r="F46" s="150"/>
      <c r="G46" s="150"/>
      <c r="H46" s="161" t="s">
        <v>430</v>
      </c>
      <c r="I46" s="640">
        <f>I45+J45</f>
        <v>3300000</v>
      </c>
      <c r="J46" s="641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</row>
    <row r="47" spans="1:21" x14ac:dyDescent="0.25">
      <c r="A47" s="154" t="s">
        <v>438</v>
      </c>
      <c r="B47" s="154"/>
      <c r="C47" s="154"/>
      <c r="D47" s="158"/>
      <c r="E47" s="158"/>
      <c r="F47" s="150"/>
      <c r="G47" s="150"/>
      <c r="H47" s="161" t="s">
        <v>432</v>
      </c>
      <c r="I47" s="170">
        <f>I46/1.1-D11</f>
        <v>0</v>
      </c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</row>
    <row r="48" spans="1:21" x14ac:dyDescent="0.25">
      <c r="A48" s="150"/>
      <c r="B48" s="213"/>
      <c r="C48" s="158"/>
      <c r="D48" s="158"/>
      <c r="E48" s="158"/>
      <c r="F48" s="150"/>
      <c r="G48" s="150"/>
      <c r="H48" s="155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</row>
    <row r="49" spans="1:29" x14ac:dyDescent="0.25">
      <c r="A49" s="150"/>
      <c r="B49" s="213"/>
      <c r="C49" s="158"/>
      <c r="D49" s="158"/>
      <c r="E49" s="158"/>
      <c r="F49" s="150"/>
      <c r="G49" s="150"/>
      <c r="H49" s="155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</row>
    <row r="50" spans="1:29" x14ac:dyDescent="0.25">
      <c r="A50" s="150"/>
      <c r="B50" s="160"/>
      <c r="C50" s="158"/>
      <c r="D50" s="158"/>
      <c r="E50" s="158"/>
      <c r="F50" s="150"/>
      <c r="G50" s="150"/>
      <c r="H50" s="155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</row>
    <row r="51" spans="1:29" x14ac:dyDescent="0.25">
      <c r="A51" s="150"/>
      <c r="B51" s="160"/>
      <c r="C51" s="158"/>
      <c r="D51" s="158"/>
      <c r="E51" s="158"/>
      <c r="F51" s="150"/>
      <c r="G51" s="150"/>
      <c r="H51" s="155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</row>
    <row r="52" spans="1:29" x14ac:dyDescent="0.25">
      <c r="A52" s="150"/>
      <c r="B52" s="160"/>
      <c r="C52" s="158"/>
      <c r="D52" s="158"/>
      <c r="E52" s="158"/>
      <c r="F52" s="150"/>
      <c r="G52" s="150"/>
      <c r="H52" s="155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</row>
    <row r="53" spans="1:29" x14ac:dyDescent="0.25">
      <c r="A53" s="150"/>
      <c r="B53" s="160"/>
      <c r="C53" s="158"/>
      <c r="D53" s="158"/>
      <c r="E53" s="158"/>
      <c r="F53" s="150"/>
      <c r="G53" s="150"/>
      <c r="H53" s="155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</row>
    <row r="54" spans="1:29" x14ac:dyDescent="0.25">
      <c r="A54" s="150"/>
      <c r="B54" s="160"/>
      <c r="C54" s="158"/>
      <c r="D54" s="158"/>
      <c r="E54" s="158"/>
      <c r="F54" s="150"/>
      <c r="G54" s="150"/>
      <c r="H54" s="155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</row>
    <row r="55" spans="1:29" s="222" customFormat="1" ht="12.75" customHeight="1" x14ac:dyDescent="0.25">
      <c r="A55" s="221"/>
      <c r="B55" s="221" t="s">
        <v>433</v>
      </c>
      <c r="C55" s="221" t="s">
        <v>195</v>
      </c>
      <c r="D55" s="221" t="s">
        <v>196</v>
      </c>
      <c r="E55" s="221" t="s">
        <v>197</v>
      </c>
      <c r="F55" s="221" t="s">
        <v>198</v>
      </c>
      <c r="G55" s="221" t="s">
        <v>199</v>
      </c>
      <c r="H55" s="221" t="s">
        <v>200</v>
      </c>
      <c r="I55" s="221" t="s">
        <v>201</v>
      </c>
      <c r="J55" s="221" t="s">
        <v>202</v>
      </c>
      <c r="K55" s="221" t="s">
        <v>203</v>
      </c>
      <c r="L55" s="221" t="s">
        <v>204</v>
      </c>
      <c r="M55" s="221" t="s">
        <v>205</v>
      </c>
      <c r="N55" s="221" t="s">
        <v>206</v>
      </c>
      <c r="O55" s="221" t="s">
        <v>207</v>
      </c>
      <c r="P55" s="221" t="s">
        <v>208</v>
      </c>
      <c r="Q55" s="221" t="s">
        <v>209</v>
      </c>
      <c r="R55" s="221" t="s">
        <v>210</v>
      </c>
      <c r="S55" s="221" t="s">
        <v>211</v>
      </c>
      <c r="T55" s="221" t="s">
        <v>212</v>
      </c>
      <c r="U55" s="221" t="s">
        <v>213</v>
      </c>
      <c r="V55" s="221" t="s">
        <v>214</v>
      </c>
      <c r="W55" s="221" t="s">
        <v>215</v>
      </c>
      <c r="X55" s="221" t="s">
        <v>216</v>
      </c>
      <c r="Y55" s="221" t="s">
        <v>217</v>
      </c>
      <c r="Z55" s="221" t="s">
        <v>218</v>
      </c>
      <c r="AA55" s="221" t="s">
        <v>219</v>
      </c>
      <c r="AB55" s="221" t="s">
        <v>220</v>
      </c>
    </row>
    <row r="56" spans="1:29" s="225" customFormat="1" x14ac:dyDescent="0.25">
      <c r="A56" s="223" t="s">
        <v>434</v>
      </c>
      <c r="B56" s="224">
        <v>0</v>
      </c>
      <c r="C56" s="224">
        <v>0</v>
      </c>
      <c r="D56" s="224">
        <v>0</v>
      </c>
      <c r="E56" s="224">
        <v>0</v>
      </c>
      <c r="F56" s="224">
        <v>0</v>
      </c>
      <c r="G56" s="224">
        <v>0</v>
      </c>
      <c r="H56" s="224">
        <v>0</v>
      </c>
      <c r="I56" s="224">
        <v>0</v>
      </c>
      <c r="J56" s="224">
        <v>0</v>
      </c>
      <c r="K56" s="224">
        <v>0</v>
      </c>
      <c r="L56" s="224">
        <v>0</v>
      </c>
      <c r="M56" s="224">
        <v>0</v>
      </c>
      <c r="N56" s="224">
        <v>0</v>
      </c>
      <c r="O56" s="224">
        <v>0</v>
      </c>
      <c r="P56" s="224">
        <v>0</v>
      </c>
      <c r="Q56" s="224">
        <v>0</v>
      </c>
      <c r="R56" s="224">
        <v>0</v>
      </c>
      <c r="S56" s="224">
        <v>0</v>
      </c>
      <c r="T56" s="224">
        <v>0</v>
      </c>
      <c r="U56" s="224">
        <v>0</v>
      </c>
      <c r="V56" s="224">
        <v>0</v>
      </c>
      <c r="W56" s="224">
        <v>0</v>
      </c>
      <c r="X56" s="224">
        <v>0</v>
      </c>
      <c r="Y56" s="224">
        <v>0</v>
      </c>
      <c r="Z56" s="224">
        <v>0</v>
      </c>
      <c r="AA56" s="224">
        <v>0</v>
      </c>
      <c r="AB56" s="224">
        <v>0</v>
      </c>
      <c r="AC56" s="225">
        <f>SUM(B56:T56)</f>
        <v>0</v>
      </c>
    </row>
    <row r="57" spans="1:29" s="225" customFormat="1" x14ac:dyDescent="0.25">
      <c r="A57" s="223" t="s">
        <v>435</v>
      </c>
      <c r="B57" s="224">
        <f>$J18</f>
        <v>0</v>
      </c>
      <c r="C57" s="224">
        <f>$J19</f>
        <v>75000</v>
      </c>
      <c r="D57" s="224">
        <f>$J20</f>
        <v>90000</v>
      </c>
      <c r="E57" s="224">
        <f>$J21</f>
        <v>105000</v>
      </c>
      <c r="F57" s="224">
        <f>$J22</f>
        <v>105000</v>
      </c>
      <c r="G57" s="224">
        <f>$J23</f>
        <v>120000</v>
      </c>
      <c r="H57" s="224">
        <f>$J24</f>
        <v>135000</v>
      </c>
      <c r="I57" s="224">
        <f>$J25</f>
        <v>135000</v>
      </c>
      <c r="J57" s="224">
        <f>$J26</f>
        <v>150000</v>
      </c>
      <c r="K57" s="224">
        <f>$J27</f>
        <v>165000</v>
      </c>
      <c r="L57" s="224">
        <f>$J28</f>
        <v>165000</v>
      </c>
      <c r="M57" s="224">
        <f>$J29</f>
        <v>165000</v>
      </c>
      <c r="N57" s="224">
        <f>$J30</f>
        <v>180000</v>
      </c>
      <c r="O57" s="224">
        <f>$J31</f>
        <v>210000</v>
      </c>
      <c r="P57" s="224">
        <f>$J32</f>
        <v>210000</v>
      </c>
      <c r="Q57" s="224">
        <f>$J33</f>
        <v>195000</v>
      </c>
      <c r="R57" s="224">
        <f>$J34</f>
        <v>195000</v>
      </c>
      <c r="S57" s="224">
        <f>$J35</f>
        <v>150000</v>
      </c>
      <c r="T57" s="224">
        <f>$J36</f>
        <v>150000</v>
      </c>
      <c r="U57" s="224">
        <f>$J37</f>
        <v>120000</v>
      </c>
      <c r="V57" s="224">
        <f>$J38</f>
        <v>60000</v>
      </c>
      <c r="W57" s="224">
        <f>$J39</f>
        <v>30000</v>
      </c>
      <c r="X57" s="224">
        <f>$J40</f>
        <v>30000</v>
      </c>
      <c r="Y57" s="224">
        <f>$J41</f>
        <v>15000</v>
      </c>
      <c r="Z57" s="224">
        <f>$J42</f>
        <v>15000</v>
      </c>
      <c r="AA57" s="224">
        <f t="shared" ref="AA57:AB57" si="13">$J42</f>
        <v>15000</v>
      </c>
      <c r="AB57" s="224">
        <f t="shared" si="13"/>
        <v>15000</v>
      </c>
      <c r="AC57" s="226">
        <f>SUM(B57:Z57)</f>
        <v>2970000</v>
      </c>
    </row>
    <row r="58" spans="1:29" x14ac:dyDescent="0.25">
      <c r="A58" s="227" t="s">
        <v>439</v>
      </c>
      <c r="B58" s="228">
        <f>SUM(B56:B57)</f>
        <v>0</v>
      </c>
      <c r="C58" s="228">
        <f>SUM(C56:C57)*0.45</f>
        <v>33750</v>
      </c>
      <c r="D58" s="228">
        <f t="shared" ref="D58:Z58" si="14">SUM(D56:D57)*0.45</f>
        <v>40500</v>
      </c>
      <c r="E58" s="228">
        <f t="shared" si="14"/>
        <v>47250</v>
      </c>
      <c r="F58" s="228">
        <f t="shared" si="14"/>
        <v>47250</v>
      </c>
      <c r="G58" s="228">
        <f t="shared" si="14"/>
        <v>54000</v>
      </c>
      <c r="H58" s="228">
        <f t="shared" si="14"/>
        <v>60750</v>
      </c>
      <c r="I58" s="228">
        <f t="shared" si="14"/>
        <v>60750</v>
      </c>
      <c r="J58" s="228">
        <f t="shared" si="14"/>
        <v>67500</v>
      </c>
      <c r="K58" s="228">
        <f t="shared" si="14"/>
        <v>74250</v>
      </c>
      <c r="L58" s="228">
        <f t="shared" si="14"/>
        <v>74250</v>
      </c>
      <c r="M58" s="228">
        <f t="shared" si="14"/>
        <v>74250</v>
      </c>
      <c r="N58" s="228">
        <f t="shared" si="14"/>
        <v>81000</v>
      </c>
      <c r="O58" s="228">
        <f t="shared" si="14"/>
        <v>94500</v>
      </c>
      <c r="P58" s="228">
        <f t="shared" si="14"/>
        <v>94500</v>
      </c>
      <c r="Q58" s="228">
        <f t="shared" si="14"/>
        <v>87750</v>
      </c>
      <c r="R58" s="228">
        <f t="shared" si="14"/>
        <v>87750</v>
      </c>
      <c r="S58" s="228">
        <f t="shared" si="14"/>
        <v>67500</v>
      </c>
      <c r="T58" s="228">
        <f t="shared" si="14"/>
        <v>67500</v>
      </c>
      <c r="U58" s="228">
        <f t="shared" si="14"/>
        <v>54000</v>
      </c>
      <c r="V58" s="228">
        <f t="shared" si="14"/>
        <v>27000</v>
      </c>
      <c r="W58" s="228">
        <f t="shared" si="14"/>
        <v>13500</v>
      </c>
      <c r="X58" s="228">
        <f t="shared" si="14"/>
        <v>13500</v>
      </c>
      <c r="Y58" s="228">
        <f t="shared" si="14"/>
        <v>6750</v>
      </c>
      <c r="Z58" s="228">
        <f t="shared" si="14"/>
        <v>6750</v>
      </c>
      <c r="AA58" s="228">
        <f t="shared" ref="AA58:AB58" si="15">SUM(AA56:AA57)*0.45</f>
        <v>6750</v>
      </c>
      <c r="AB58" s="228">
        <f t="shared" si="15"/>
        <v>6750</v>
      </c>
      <c r="AC58" s="228">
        <f>SUM(B58:AB58)</f>
        <v>1350000</v>
      </c>
    </row>
    <row r="59" spans="1:29" s="226" customFormat="1" x14ac:dyDescent="0.25">
      <c r="A59" s="229" t="s">
        <v>440</v>
      </c>
      <c r="B59" s="229">
        <v>0</v>
      </c>
      <c r="C59" s="229">
        <f>C65</f>
        <v>51923.076923076922</v>
      </c>
      <c r="D59" s="229">
        <f t="shared" ref="D59:Z59" si="16">C59</f>
        <v>51923.076923076922</v>
      </c>
      <c r="E59" s="229">
        <f t="shared" si="16"/>
        <v>51923.076923076922</v>
      </c>
      <c r="F59" s="229">
        <f t="shared" si="16"/>
        <v>51923.076923076922</v>
      </c>
      <c r="G59" s="229">
        <f t="shared" si="16"/>
        <v>51923.076923076922</v>
      </c>
      <c r="H59" s="229">
        <f t="shared" si="16"/>
        <v>51923.076923076922</v>
      </c>
      <c r="I59" s="229">
        <f t="shared" si="16"/>
        <v>51923.076923076922</v>
      </c>
      <c r="J59" s="229">
        <f t="shared" si="16"/>
        <v>51923.076923076922</v>
      </c>
      <c r="K59" s="229">
        <f t="shared" si="16"/>
        <v>51923.076923076922</v>
      </c>
      <c r="L59" s="229">
        <f t="shared" si="16"/>
        <v>51923.076923076922</v>
      </c>
      <c r="M59" s="229">
        <f t="shared" si="16"/>
        <v>51923.076923076922</v>
      </c>
      <c r="N59" s="229">
        <f t="shared" si="16"/>
        <v>51923.076923076922</v>
      </c>
      <c r="O59" s="229">
        <f t="shared" si="16"/>
        <v>51923.076923076922</v>
      </c>
      <c r="P59" s="229">
        <f t="shared" si="16"/>
        <v>51923.076923076922</v>
      </c>
      <c r="Q59" s="229">
        <f t="shared" si="16"/>
        <v>51923.076923076922</v>
      </c>
      <c r="R59" s="229">
        <f t="shared" si="16"/>
        <v>51923.076923076922</v>
      </c>
      <c r="S59" s="229">
        <f t="shared" si="16"/>
        <v>51923.076923076922</v>
      </c>
      <c r="T59" s="229">
        <f t="shared" si="16"/>
        <v>51923.076923076922</v>
      </c>
      <c r="U59" s="229">
        <f t="shared" si="16"/>
        <v>51923.076923076922</v>
      </c>
      <c r="V59" s="229">
        <f t="shared" si="16"/>
        <v>51923.076923076922</v>
      </c>
      <c r="W59" s="229">
        <f t="shared" si="16"/>
        <v>51923.076923076922</v>
      </c>
      <c r="X59" s="229">
        <f t="shared" si="16"/>
        <v>51923.076923076922</v>
      </c>
      <c r="Y59" s="229">
        <f t="shared" si="16"/>
        <v>51923.076923076922</v>
      </c>
      <c r="Z59" s="229">
        <f t="shared" si="16"/>
        <v>51923.076923076922</v>
      </c>
      <c r="AA59" s="229">
        <f t="shared" ref="AA59" si="17">Z59</f>
        <v>51923.076923076922</v>
      </c>
      <c r="AB59" s="229">
        <f t="shared" ref="AB59" si="18">AA59</f>
        <v>51923.076923076922</v>
      </c>
      <c r="AC59" s="228">
        <f>SUM(B59:AB59)</f>
        <v>1350000</v>
      </c>
    </row>
    <row r="60" spans="1:29" s="226" customFormat="1" x14ac:dyDescent="0.25">
      <c r="A60" s="229" t="s">
        <v>433</v>
      </c>
      <c r="B60" s="229">
        <f>A63*10%</f>
        <v>300000</v>
      </c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8">
        <f>SUM(B60:AB60)</f>
        <v>300000</v>
      </c>
    </row>
    <row r="61" spans="1:29" s="226" customFormat="1" x14ac:dyDescent="0.25">
      <c r="A61" s="229"/>
      <c r="B61" s="229">
        <f>SUM(B58:B60)</f>
        <v>300000</v>
      </c>
      <c r="C61" s="229">
        <f t="shared" ref="C61:Z61" si="19">SUM(C58:C60)</f>
        <v>85673.076923076922</v>
      </c>
      <c r="D61" s="229">
        <f t="shared" si="19"/>
        <v>92423.076923076922</v>
      </c>
      <c r="E61" s="229">
        <f t="shared" si="19"/>
        <v>99173.076923076922</v>
      </c>
      <c r="F61" s="229">
        <f t="shared" si="19"/>
        <v>99173.076923076922</v>
      </c>
      <c r="G61" s="229">
        <f t="shared" si="19"/>
        <v>105923.07692307692</v>
      </c>
      <c r="H61" s="229">
        <f t="shared" si="19"/>
        <v>112673.07692307692</v>
      </c>
      <c r="I61" s="229">
        <f t="shared" si="19"/>
        <v>112673.07692307692</v>
      </c>
      <c r="J61" s="229">
        <f t="shared" si="19"/>
        <v>119423.07692307692</v>
      </c>
      <c r="K61" s="229">
        <f t="shared" si="19"/>
        <v>126173.07692307692</v>
      </c>
      <c r="L61" s="229">
        <f t="shared" si="19"/>
        <v>126173.07692307692</v>
      </c>
      <c r="M61" s="229">
        <f t="shared" si="19"/>
        <v>126173.07692307692</v>
      </c>
      <c r="N61" s="229">
        <f t="shared" si="19"/>
        <v>132923.07692307694</v>
      </c>
      <c r="O61" s="229">
        <f t="shared" si="19"/>
        <v>146423.07692307694</v>
      </c>
      <c r="P61" s="229">
        <f t="shared" si="19"/>
        <v>146423.07692307694</v>
      </c>
      <c r="Q61" s="229">
        <f t="shared" si="19"/>
        <v>139673.07692307694</v>
      </c>
      <c r="R61" s="229">
        <f t="shared" si="19"/>
        <v>139673.07692307694</v>
      </c>
      <c r="S61" s="229">
        <f t="shared" si="19"/>
        <v>119423.07692307692</v>
      </c>
      <c r="T61" s="229">
        <f t="shared" si="19"/>
        <v>119423.07692307692</v>
      </c>
      <c r="U61" s="229">
        <f t="shared" si="19"/>
        <v>105923.07692307692</v>
      </c>
      <c r="V61" s="229">
        <f t="shared" si="19"/>
        <v>78923.076923076922</v>
      </c>
      <c r="W61" s="229">
        <f t="shared" si="19"/>
        <v>65423.076923076922</v>
      </c>
      <c r="X61" s="229">
        <f t="shared" si="19"/>
        <v>65423.076923076922</v>
      </c>
      <c r="Y61" s="229">
        <f t="shared" si="19"/>
        <v>58673.076923076922</v>
      </c>
      <c r="Z61" s="229">
        <f t="shared" si="19"/>
        <v>58673.076923076922</v>
      </c>
      <c r="AA61" s="229">
        <f t="shared" ref="AA61:AB61" si="20">SUM(AA58:AA60)</f>
        <v>58673.076923076922</v>
      </c>
      <c r="AB61" s="229">
        <f t="shared" si="20"/>
        <v>58673.076923076922</v>
      </c>
      <c r="AC61" s="228">
        <f>SUM(B61:AB61)</f>
        <v>3000000.0000000009</v>
      </c>
    </row>
    <row r="62" spans="1:29" s="225" customFormat="1" x14ac:dyDescent="0.25">
      <c r="C62" s="225">
        <f>B62/A63</f>
        <v>0</v>
      </c>
    </row>
    <row r="63" spans="1:29" s="225" customFormat="1" x14ac:dyDescent="0.25">
      <c r="A63" s="225">
        <f>+D8</f>
        <v>3000000</v>
      </c>
    </row>
    <row r="64" spans="1:29" s="225" customFormat="1" x14ac:dyDescent="0.25">
      <c r="A64" s="225">
        <f>A63*0.1</f>
        <v>300000</v>
      </c>
    </row>
    <row r="65" spans="1:3" s="225" customFormat="1" x14ac:dyDescent="0.25">
      <c r="A65" s="225">
        <f>A63*0.45</f>
        <v>1350000</v>
      </c>
      <c r="C65" s="225">
        <f>A65/26</f>
        <v>51923.076923076922</v>
      </c>
    </row>
    <row r="66" spans="1:3" s="225" customFormat="1" x14ac:dyDescent="0.25"/>
  </sheetData>
  <mergeCells count="6">
    <mergeCell ref="I46:J46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4"/>
  <sheetViews>
    <sheetView showGridLines="0" zoomScale="80" zoomScaleNormal="80" workbookViewId="0">
      <selection activeCell="A62" sqref="A62"/>
    </sheetView>
  </sheetViews>
  <sheetFormatPr defaultColWidth="11.44140625" defaultRowHeight="12" x14ac:dyDescent="0.25"/>
  <cols>
    <col min="1" max="1" width="17.44140625" style="220" customWidth="1"/>
    <col min="2" max="2" width="14.33203125" style="220" customWidth="1"/>
    <col min="3" max="3" width="16.88671875" style="220" customWidth="1"/>
    <col min="4" max="4" width="13.6640625" style="220" customWidth="1"/>
    <col min="5" max="5" width="13.5546875" style="220" customWidth="1"/>
    <col min="6" max="6" width="18.33203125" style="220" customWidth="1"/>
    <col min="7" max="7" width="17.5546875" style="220" customWidth="1"/>
    <col min="8" max="8" width="17.44140625" style="220" customWidth="1"/>
    <col min="9" max="9" width="13.88671875" style="220" customWidth="1"/>
    <col min="10" max="10" width="16.44140625" style="220" customWidth="1"/>
    <col min="11" max="11" width="13.6640625" style="220" customWidth="1"/>
    <col min="12" max="12" width="15.6640625" style="220" customWidth="1"/>
    <col min="13" max="13" width="15.33203125" style="220" customWidth="1"/>
    <col min="14" max="20" width="13.6640625" style="220" customWidth="1"/>
    <col min="21" max="21" width="14.6640625" style="220" customWidth="1"/>
    <col min="22" max="16384" width="11.44140625" style="220"/>
  </cols>
  <sheetData>
    <row r="1" spans="1:21" ht="15.75" customHeight="1" x14ac:dyDescent="0.25">
      <c r="A1" s="642" t="s">
        <v>406</v>
      </c>
      <c r="B1" s="642"/>
      <c r="C1" s="642"/>
      <c r="D1" s="642"/>
      <c r="E1" s="642"/>
      <c r="F1" s="642"/>
      <c r="G1" s="642"/>
      <c r="H1" s="642"/>
      <c r="I1" s="642"/>
      <c r="J1" s="642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</row>
    <row r="2" spans="1:21" x14ac:dyDescent="0.25">
      <c r="A2" s="151"/>
      <c r="B2" s="152"/>
      <c r="C2" s="153"/>
      <c r="D2" s="153"/>
      <c r="E2" s="154"/>
      <c r="F2" s="154"/>
      <c r="G2" s="150"/>
      <c r="H2" s="155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</row>
    <row r="3" spans="1:21" x14ac:dyDescent="0.25">
      <c r="A3" s="151" t="s">
        <v>407</v>
      </c>
      <c r="B3" s="643" t="e">
        <f>+'CC D'!#REF!</f>
        <v>#REF!</v>
      </c>
      <c r="C3" s="643"/>
      <c r="D3" s="643"/>
      <c r="E3" s="643"/>
      <c r="F3" s="643"/>
      <c r="G3" s="643"/>
      <c r="H3" s="643"/>
      <c r="I3" s="643"/>
      <c r="J3" s="156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1" x14ac:dyDescent="0.25">
      <c r="A4" s="157"/>
      <c r="B4" s="643"/>
      <c r="C4" s="643"/>
      <c r="D4" s="643"/>
      <c r="E4" s="643"/>
      <c r="F4" s="643"/>
      <c r="G4" s="643"/>
      <c r="H4" s="643"/>
      <c r="I4" s="643"/>
      <c r="J4" s="156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</row>
    <row r="5" spans="1:21" x14ac:dyDescent="0.25">
      <c r="A5" s="644" t="str">
        <f>CONCATENATE("PLAZO: ",A36," MESES (",A43,")")</f>
        <v>PLAZO: 18 MESES (720 dias)</v>
      </c>
      <c r="B5" s="644"/>
      <c r="C5" s="644"/>
      <c r="D5" s="158"/>
      <c r="E5" s="159" t="s">
        <v>408</v>
      </c>
      <c r="F5" s="150"/>
      <c r="G5" s="150"/>
      <c r="H5" s="155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</row>
    <row r="6" spans="1:21" x14ac:dyDescent="0.25">
      <c r="A6" s="150"/>
      <c r="B6" s="160"/>
      <c r="C6" s="158"/>
      <c r="D6" s="158"/>
      <c r="E6" s="158"/>
      <c r="F6" s="150"/>
      <c r="G6" s="150"/>
      <c r="H6" s="155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1" x14ac:dyDescent="0.25">
      <c r="A7" s="150"/>
      <c r="B7" s="160"/>
      <c r="C7" s="161" t="s">
        <v>409</v>
      </c>
      <c r="D7" s="645"/>
      <c r="E7" s="645"/>
      <c r="F7" s="645"/>
      <c r="G7" s="150"/>
      <c r="H7" s="161" t="s">
        <v>410</v>
      </c>
      <c r="I7" s="162">
        <f ca="1">NOW()</f>
        <v>43000.66745173611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</row>
    <row r="8" spans="1:21" x14ac:dyDescent="0.25">
      <c r="A8" s="150"/>
      <c r="B8" s="160"/>
      <c r="C8" s="161" t="str">
        <f>IF(D7=0,"MONTO ESTIMADO CON IVA:","MONTO DE CONTRATO CON IVA:")</f>
        <v>MONTO ESTIMADO CON IVA:</v>
      </c>
      <c r="D8" s="163">
        <v>9500000</v>
      </c>
      <c r="E8" s="164" t="s">
        <v>411</v>
      </c>
      <c r="F8" s="150" t="s">
        <v>412</v>
      </c>
      <c r="G8" s="150"/>
      <c r="H8" s="155" t="s">
        <v>413</v>
      </c>
      <c r="I8" s="165">
        <v>1</v>
      </c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x14ac:dyDescent="0.25">
      <c r="A9" s="150"/>
      <c r="B9" s="160"/>
      <c r="C9" s="161" t="s">
        <v>102</v>
      </c>
      <c r="D9" s="163">
        <v>1000000</v>
      </c>
      <c r="E9" s="158" t="s">
        <v>414</v>
      </c>
      <c r="F9" s="150"/>
      <c r="G9" s="150"/>
      <c r="H9" s="155"/>
      <c r="I9" s="166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</row>
    <row r="10" spans="1:21" x14ac:dyDescent="0.25">
      <c r="A10" s="150"/>
      <c r="B10" s="160"/>
      <c r="C10" s="161" t="s">
        <v>18</v>
      </c>
      <c r="D10" s="163">
        <f>+D9+D8</f>
        <v>10500000</v>
      </c>
      <c r="E10" s="158" t="s">
        <v>411</v>
      </c>
      <c r="F10" s="150"/>
      <c r="G10" s="150"/>
      <c r="H10" s="155"/>
      <c r="I10" s="166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</row>
    <row r="11" spans="1:21" x14ac:dyDescent="0.25">
      <c r="A11" s="150"/>
      <c r="B11" s="150"/>
      <c r="C11" s="161" t="str">
        <f>IF(D7=0,"MONTO ESTIMADO SIN IVA:","MONTO DE CONTRATO SIN IVA:")</f>
        <v>MONTO ESTIMADO SIN IVA:</v>
      </c>
      <c r="D11" s="167">
        <f>D8</f>
        <v>9500000</v>
      </c>
      <c r="E11" s="168" t="s">
        <v>414</v>
      </c>
      <c r="F11" s="158"/>
      <c r="G11" s="150"/>
      <c r="H11" s="155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</row>
    <row r="12" spans="1:21" x14ac:dyDescent="0.25">
      <c r="A12" s="150"/>
      <c r="B12" s="150"/>
      <c r="C12" s="161" t="s">
        <v>415</v>
      </c>
      <c r="D12" s="165">
        <v>100</v>
      </c>
      <c r="E12" s="158"/>
      <c r="F12" s="158" t="s">
        <v>416</v>
      </c>
      <c r="G12" s="150"/>
      <c r="H12" s="155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</row>
    <row r="13" spans="1:21" x14ac:dyDescent="0.25">
      <c r="A13" s="150"/>
      <c r="B13" s="150"/>
      <c r="C13" s="161" t="s">
        <v>417</v>
      </c>
      <c r="D13" s="169">
        <f>100-D12</f>
        <v>0</v>
      </c>
      <c r="E13" s="158"/>
      <c r="F13" s="158"/>
      <c r="G13" s="150"/>
      <c r="H13" s="155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</row>
    <row r="14" spans="1:21" x14ac:dyDescent="0.25">
      <c r="A14" s="150"/>
      <c r="B14" s="150"/>
      <c r="C14" s="161" t="s">
        <v>418</v>
      </c>
      <c r="D14" s="166">
        <v>0</v>
      </c>
      <c r="E14" s="158"/>
      <c r="F14" s="158"/>
      <c r="G14" s="150"/>
      <c r="H14" s="155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</row>
    <row r="15" spans="1:21" x14ac:dyDescent="0.25">
      <c r="A15" s="150"/>
      <c r="B15" s="161" t="s">
        <v>419</v>
      </c>
      <c r="C15" s="646"/>
      <c r="D15" s="646"/>
      <c r="E15" s="501" t="s">
        <v>420</v>
      </c>
      <c r="F15" s="502"/>
      <c r="G15" s="150"/>
      <c r="H15" s="170" t="s">
        <v>421</v>
      </c>
      <c r="I15" s="165">
        <v>10</v>
      </c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</row>
    <row r="16" spans="1:21" ht="12.6" thickBot="1" x14ac:dyDescent="0.3">
      <c r="A16" s="150"/>
      <c r="B16" s="160"/>
      <c r="C16" s="158"/>
      <c r="D16" s="158"/>
      <c r="E16" s="158"/>
      <c r="F16" s="171"/>
      <c r="G16" s="150"/>
      <c r="H16" s="155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</row>
    <row r="17" spans="1:21" ht="36.6" thickBot="1" x14ac:dyDescent="0.3">
      <c r="A17" s="172" t="s">
        <v>422</v>
      </c>
      <c r="B17" s="173" t="s">
        <v>423</v>
      </c>
      <c r="C17" s="173" t="s">
        <v>424</v>
      </c>
      <c r="D17" s="174" t="str">
        <f>CONCATENATE("MONTO MENSUAL DESCONTADO ",ROUND(D14,0),"% ANTICIPO")</f>
        <v>MONTO MENSUAL DESCONTADO 0% ANTICIPO</v>
      </c>
      <c r="E17" s="175" t="s">
        <v>425</v>
      </c>
      <c r="F17" s="176" t="s">
        <v>426</v>
      </c>
      <c r="G17" s="177" t="s">
        <v>427</v>
      </c>
      <c r="H17" s="178" t="s">
        <v>428</v>
      </c>
      <c r="I17" s="179" t="str">
        <f>CONCATENATE("DESEMBOLSOS FONDO LOCAL (",ROUND(D13,0),"%) + IVA")</f>
        <v>DESEMBOLSOS FONDO LOCAL (0%) + IVA</v>
      </c>
      <c r="J17" s="179" t="str">
        <f>CONCATENATE("DESEMBOLSOS FONDO EXTERNO (",ROUND(D12,0),"%)")</f>
        <v>DESEMBOLSOS FONDO EXTERNO (100%)</v>
      </c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</row>
    <row r="18" spans="1:21" x14ac:dyDescent="0.25">
      <c r="A18" s="180">
        <v>0</v>
      </c>
      <c r="B18" s="181">
        <f>D14/100</f>
        <v>0</v>
      </c>
      <c r="C18" s="181">
        <v>0</v>
      </c>
      <c r="D18" s="182">
        <f>ROUND(B18*D11,0)</f>
        <v>0</v>
      </c>
      <c r="E18" s="183">
        <f>D18</f>
        <v>0</v>
      </c>
      <c r="F18" s="184">
        <f t="shared" ref="F18:F42" si="0">E18/$E$36</f>
        <v>0</v>
      </c>
      <c r="G18" s="185" t="s">
        <v>429</v>
      </c>
      <c r="H18" s="186">
        <f t="shared" ref="H18:H33" si="1">ROUND(D18*0.1,0)</f>
        <v>0</v>
      </c>
      <c r="I18" s="187">
        <v>0</v>
      </c>
      <c r="J18" s="187">
        <f t="shared" ref="J18:J33" si="2">ROUNDUP(D18*$D$12/100,-(LEN(D18)-$I$15))</f>
        <v>0</v>
      </c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</row>
    <row r="19" spans="1:21" x14ac:dyDescent="0.25">
      <c r="A19" s="188">
        <v>1</v>
      </c>
      <c r="B19" s="189">
        <v>2.5000000000000001E-2</v>
      </c>
      <c r="C19" s="189">
        <f t="shared" ref="C19:C33" si="3">B19+C18</f>
        <v>2.5000000000000001E-2</v>
      </c>
      <c r="D19" s="190">
        <f>ROUND(B19*$D$11*(100-$D$14)/100,0)</f>
        <v>237500</v>
      </c>
      <c r="E19" s="191">
        <f>E18+D19</f>
        <v>237500</v>
      </c>
      <c r="F19" s="192">
        <f t="shared" si="0"/>
        <v>2.7777777777777776E-2</v>
      </c>
      <c r="G19" s="193" t="s">
        <v>195</v>
      </c>
      <c r="H19" s="194">
        <f>ROUND(D19*0.1,0)</f>
        <v>23750</v>
      </c>
      <c r="I19" s="195">
        <f>ROUNDUP((D19+H19-J19),-(LEN(D19)-$I$15))</f>
        <v>23750</v>
      </c>
      <c r="J19" s="195">
        <f>ROUNDUP(D19*$D$12/100,-(LEN(D19)-$I$15))</f>
        <v>237500</v>
      </c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</row>
    <row r="20" spans="1:21" x14ac:dyDescent="0.25">
      <c r="A20" s="188">
        <v>2</v>
      </c>
      <c r="B20" s="189">
        <v>0.03</v>
      </c>
      <c r="C20" s="189">
        <f t="shared" si="3"/>
        <v>5.5E-2</v>
      </c>
      <c r="D20" s="190">
        <f t="shared" ref="D20:D31" si="4">ROUND(B20*$D$11*(100-$D$14)/100,0)</f>
        <v>285000</v>
      </c>
      <c r="E20" s="191">
        <f t="shared" ref="E20:E33" si="5">E19+D20</f>
        <v>522500</v>
      </c>
      <c r="F20" s="192">
        <f t="shared" si="0"/>
        <v>6.1111111111111109E-2</v>
      </c>
      <c r="G20" s="193" t="s">
        <v>196</v>
      </c>
      <c r="H20" s="194">
        <f t="shared" si="1"/>
        <v>28500</v>
      </c>
      <c r="I20" s="195">
        <f t="shared" ref="I20:I42" si="6">ROUNDUP((D20+H20-J20),-(LEN(D20)-$I$15))</f>
        <v>28500</v>
      </c>
      <c r="J20" s="195">
        <f t="shared" si="2"/>
        <v>285000</v>
      </c>
      <c r="K20" s="196">
        <f>+SUM(J18:J20)</f>
        <v>522500</v>
      </c>
      <c r="L20" s="150"/>
      <c r="M20" s="150"/>
      <c r="N20" s="150"/>
      <c r="O20" s="150"/>
      <c r="P20" s="150"/>
      <c r="Q20" s="150"/>
      <c r="R20" s="150"/>
      <c r="S20" s="150"/>
      <c r="T20" s="150"/>
      <c r="U20" s="150"/>
    </row>
    <row r="21" spans="1:21" x14ac:dyDescent="0.25">
      <c r="A21" s="188">
        <v>3</v>
      </c>
      <c r="B21" s="189">
        <v>3.5000000000000003E-2</v>
      </c>
      <c r="C21" s="189">
        <f t="shared" si="3"/>
        <v>0.09</v>
      </c>
      <c r="D21" s="190">
        <f t="shared" si="4"/>
        <v>332500</v>
      </c>
      <c r="E21" s="191">
        <f t="shared" si="5"/>
        <v>855000</v>
      </c>
      <c r="F21" s="192">
        <f t="shared" si="0"/>
        <v>0.1</v>
      </c>
      <c r="G21" s="193" t="s">
        <v>197</v>
      </c>
      <c r="H21" s="194">
        <f t="shared" si="1"/>
        <v>33250</v>
      </c>
      <c r="I21" s="195">
        <f t="shared" si="6"/>
        <v>33250</v>
      </c>
      <c r="J21" s="195">
        <f t="shared" si="2"/>
        <v>332500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</row>
    <row r="22" spans="1:21" x14ac:dyDescent="0.25">
      <c r="A22" s="188">
        <v>4</v>
      </c>
      <c r="B22" s="189">
        <v>3.5000000000000003E-2</v>
      </c>
      <c r="C22" s="189">
        <f t="shared" si="3"/>
        <v>0.125</v>
      </c>
      <c r="D22" s="190">
        <f t="shared" si="4"/>
        <v>332500</v>
      </c>
      <c r="E22" s="191">
        <f t="shared" si="5"/>
        <v>1187500</v>
      </c>
      <c r="F22" s="192">
        <f t="shared" si="0"/>
        <v>0.1388888888888889</v>
      </c>
      <c r="G22" s="193" t="s">
        <v>198</v>
      </c>
      <c r="H22" s="194">
        <f t="shared" si="1"/>
        <v>33250</v>
      </c>
      <c r="I22" s="195">
        <f t="shared" si="6"/>
        <v>33250</v>
      </c>
      <c r="J22" s="195">
        <f t="shared" si="2"/>
        <v>332500</v>
      </c>
      <c r="K22" s="197"/>
      <c r="L22" s="150"/>
      <c r="M22" s="150"/>
      <c r="N22" s="150"/>
      <c r="O22" s="150"/>
      <c r="P22" s="150"/>
      <c r="Q22" s="150"/>
      <c r="R22" s="150"/>
      <c r="S22" s="150"/>
      <c r="T22" s="150"/>
      <c r="U22" s="150"/>
    </row>
    <row r="23" spans="1:21" x14ac:dyDescent="0.25">
      <c r="A23" s="188">
        <v>5</v>
      </c>
      <c r="B23" s="189">
        <v>0.04</v>
      </c>
      <c r="C23" s="189">
        <f t="shared" si="3"/>
        <v>0.16500000000000001</v>
      </c>
      <c r="D23" s="190">
        <f t="shared" si="4"/>
        <v>380000</v>
      </c>
      <c r="E23" s="191">
        <f t="shared" si="5"/>
        <v>1567500</v>
      </c>
      <c r="F23" s="192">
        <f t="shared" si="0"/>
        <v>0.18333333333333332</v>
      </c>
      <c r="G23" s="193" t="s">
        <v>199</v>
      </c>
      <c r="H23" s="194">
        <f t="shared" si="1"/>
        <v>38000</v>
      </c>
      <c r="I23" s="195">
        <f t="shared" si="6"/>
        <v>38000</v>
      </c>
      <c r="J23" s="195">
        <f t="shared" si="2"/>
        <v>380000</v>
      </c>
      <c r="K23" s="197"/>
      <c r="L23" s="150"/>
      <c r="M23" s="150"/>
      <c r="N23" s="150"/>
      <c r="O23" s="150"/>
      <c r="P23" s="150"/>
      <c r="Q23" s="150"/>
      <c r="R23" s="150"/>
      <c r="S23" s="150"/>
      <c r="T23" s="150"/>
      <c r="U23" s="150"/>
    </row>
    <row r="24" spans="1:21" x14ac:dyDescent="0.25">
      <c r="A24" s="188">
        <v>6</v>
      </c>
      <c r="B24" s="189">
        <v>4.4999999999999998E-2</v>
      </c>
      <c r="C24" s="189">
        <f t="shared" si="3"/>
        <v>0.21000000000000002</v>
      </c>
      <c r="D24" s="190">
        <f t="shared" si="4"/>
        <v>427500</v>
      </c>
      <c r="E24" s="191">
        <f>E23+D24</f>
        <v>1995000</v>
      </c>
      <c r="F24" s="192">
        <f t="shared" si="0"/>
        <v>0.23333333333333334</v>
      </c>
      <c r="G24" s="193" t="s">
        <v>200</v>
      </c>
      <c r="H24" s="194">
        <f>ROUND(D24*0.1,0)</f>
        <v>42750</v>
      </c>
      <c r="I24" s="195">
        <f>ROUNDUP((D24+H24-J24),-(LEN(D24)-$I$15))</f>
        <v>42750</v>
      </c>
      <c r="J24" s="195">
        <f>ROUNDUP(D24*$D$12/100,-(LEN(D24)-$I$15))</f>
        <v>427500</v>
      </c>
      <c r="K24" s="197"/>
      <c r="L24" s="150"/>
      <c r="M24" s="150"/>
      <c r="N24" s="150"/>
      <c r="O24" s="150"/>
      <c r="P24" s="150"/>
      <c r="Q24" s="150"/>
      <c r="R24" s="150"/>
      <c r="S24" s="150"/>
      <c r="T24" s="150"/>
      <c r="U24" s="150"/>
    </row>
    <row r="25" spans="1:21" x14ac:dyDescent="0.25">
      <c r="A25" s="188">
        <v>7</v>
      </c>
      <c r="B25" s="189">
        <v>4.4999999999999998E-2</v>
      </c>
      <c r="C25" s="189">
        <f t="shared" si="3"/>
        <v>0.255</v>
      </c>
      <c r="D25" s="190">
        <f t="shared" si="4"/>
        <v>427500</v>
      </c>
      <c r="E25" s="191">
        <f t="shared" si="5"/>
        <v>2422500</v>
      </c>
      <c r="F25" s="192">
        <f t="shared" si="0"/>
        <v>0.28333333333333333</v>
      </c>
      <c r="G25" s="193" t="s">
        <v>201</v>
      </c>
      <c r="H25" s="194">
        <f t="shared" si="1"/>
        <v>42750</v>
      </c>
      <c r="I25" s="195">
        <f t="shared" si="6"/>
        <v>42750</v>
      </c>
      <c r="J25" s="195">
        <f t="shared" si="2"/>
        <v>427500</v>
      </c>
      <c r="K25" s="198"/>
      <c r="L25" s="150"/>
      <c r="M25" s="150"/>
      <c r="N25" s="150"/>
      <c r="O25" s="150"/>
      <c r="P25" s="150"/>
      <c r="Q25" s="150"/>
      <c r="R25" s="150"/>
      <c r="S25" s="150"/>
      <c r="T25" s="150"/>
      <c r="U25" s="150"/>
    </row>
    <row r="26" spans="1:21" x14ac:dyDescent="0.25">
      <c r="A26" s="188">
        <v>8</v>
      </c>
      <c r="B26" s="189">
        <v>0.05</v>
      </c>
      <c r="C26" s="189">
        <f t="shared" si="3"/>
        <v>0.30499999999999999</v>
      </c>
      <c r="D26" s="190">
        <f t="shared" si="4"/>
        <v>475000</v>
      </c>
      <c r="E26" s="191">
        <f t="shared" si="5"/>
        <v>2897500</v>
      </c>
      <c r="F26" s="192">
        <f t="shared" si="0"/>
        <v>0.33888888888888891</v>
      </c>
      <c r="G26" s="193" t="s">
        <v>202</v>
      </c>
      <c r="H26" s="194">
        <f t="shared" si="1"/>
        <v>47500</v>
      </c>
      <c r="I26" s="195">
        <f t="shared" si="6"/>
        <v>47500</v>
      </c>
      <c r="J26" s="195">
        <f t="shared" si="2"/>
        <v>475000</v>
      </c>
      <c r="K26" s="197"/>
      <c r="L26" s="150"/>
      <c r="M26" s="150"/>
      <c r="N26" s="150"/>
      <c r="O26" s="150"/>
      <c r="P26" s="150"/>
      <c r="Q26" s="150"/>
      <c r="R26" s="150"/>
      <c r="S26" s="150"/>
      <c r="T26" s="150"/>
      <c r="U26" s="150"/>
    </row>
    <row r="27" spans="1:21" x14ac:dyDescent="0.25">
      <c r="A27" s="188">
        <v>9</v>
      </c>
      <c r="B27" s="189">
        <v>5.5E-2</v>
      </c>
      <c r="C27" s="189">
        <f t="shared" si="3"/>
        <v>0.36</v>
      </c>
      <c r="D27" s="190">
        <f t="shared" si="4"/>
        <v>522500</v>
      </c>
      <c r="E27" s="191">
        <f t="shared" si="5"/>
        <v>3420000</v>
      </c>
      <c r="F27" s="192">
        <f t="shared" si="0"/>
        <v>0.4</v>
      </c>
      <c r="G27" s="193" t="s">
        <v>203</v>
      </c>
      <c r="H27" s="194">
        <f t="shared" si="1"/>
        <v>52250</v>
      </c>
      <c r="I27" s="195">
        <f t="shared" si="6"/>
        <v>52250</v>
      </c>
      <c r="J27" s="195">
        <f t="shared" si="2"/>
        <v>522500</v>
      </c>
      <c r="K27" s="197"/>
      <c r="L27" s="150"/>
      <c r="M27" s="150"/>
      <c r="N27" s="150"/>
      <c r="O27" s="150"/>
      <c r="P27" s="150"/>
      <c r="Q27" s="150"/>
      <c r="R27" s="150"/>
      <c r="S27" s="150"/>
      <c r="T27" s="150"/>
      <c r="U27" s="150"/>
    </row>
    <row r="28" spans="1:21" x14ac:dyDescent="0.25">
      <c r="A28" s="188">
        <v>10</v>
      </c>
      <c r="B28" s="189">
        <v>5.5E-2</v>
      </c>
      <c r="C28" s="189">
        <f t="shared" si="3"/>
        <v>0.41499999999999998</v>
      </c>
      <c r="D28" s="190">
        <f t="shared" si="4"/>
        <v>522500</v>
      </c>
      <c r="E28" s="191">
        <f t="shared" si="5"/>
        <v>3942500</v>
      </c>
      <c r="F28" s="192">
        <f t="shared" si="0"/>
        <v>0.46111111111111114</v>
      </c>
      <c r="G28" s="193" t="s">
        <v>204</v>
      </c>
      <c r="H28" s="194">
        <f t="shared" si="1"/>
        <v>52250</v>
      </c>
      <c r="I28" s="195">
        <f t="shared" si="6"/>
        <v>52250</v>
      </c>
      <c r="J28" s="195">
        <f t="shared" si="2"/>
        <v>522500</v>
      </c>
      <c r="K28" s="197"/>
      <c r="L28" s="150"/>
      <c r="M28" s="150"/>
      <c r="N28" s="150"/>
      <c r="O28" s="150"/>
      <c r="P28" s="150"/>
      <c r="Q28" s="150"/>
      <c r="R28" s="150"/>
      <c r="S28" s="150"/>
      <c r="T28" s="150"/>
      <c r="U28" s="150"/>
    </row>
    <row r="29" spans="1:21" x14ac:dyDescent="0.25">
      <c r="A29" s="188">
        <v>11</v>
      </c>
      <c r="B29" s="189">
        <v>5.5E-2</v>
      </c>
      <c r="C29" s="189">
        <f t="shared" si="3"/>
        <v>0.47</v>
      </c>
      <c r="D29" s="190">
        <f t="shared" si="4"/>
        <v>522500</v>
      </c>
      <c r="E29" s="191">
        <f t="shared" si="5"/>
        <v>4465000</v>
      </c>
      <c r="F29" s="192">
        <f t="shared" si="0"/>
        <v>0.52222222222222225</v>
      </c>
      <c r="G29" s="193" t="s">
        <v>205</v>
      </c>
      <c r="H29" s="194">
        <f t="shared" si="1"/>
        <v>52250</v>
      </c>
      <c r="I29" s="195">
        <f t="shared" si="6"/>
        <v>52250</v>
      </c>
      <c r="J29" s="195">
        <f t="shared" si="2"/>
        <v>522500</v>
      </c>
      <c r="K29" s="197"/>
      <c r="L29" s="150"/>
      <c r="M29" s="150"/>
      <c r="N29" s="150"/>
      <c r="O29" s="150"/>
      <c r="P29" s="150"/>
      <c r="Q29" s="150"/>
      <c r="R29" s="150"/>
      <c r="S29" s="150"/>
      <c r="T29" s="150"/>
      <c r="U29" s="150"/>
    </row>
    <row r="30" spans="1:21" x14ac:dyDescent="0.25">
      <c r="A30" s="188">
        <v>12</v>
      </c>
      <c r="B30" s="189">
        <v>0.06</v>
      </c>
      <c r="C30" s="189">
        <f t="shared" si="3"/>
        <v>0.53</v>
      </c>
      <c r="D30" s="190">
        <f t="shared" si="4"/>
        <v>570000</v>
      </c>
      <c r="E30" s="191">
        <f t="shared" si="5"/>
        <v>5035000</v>
      </c>
      <c r="F30" s="192">
        <f t="shared" si="0"/>
        <v>0.58888888888888891</v>
      </c>
      <c r="G30" s="193" t="s">
        <v>206</v>
      </c>
      <c r="H30" s="194">
        <f t="shared" si="1"/>
        <v>57000</v>
      </c>
      <c r="I30" s="195">
        <f t="shared" si="6"/>
        <v>57000</v>
      </c>
      <c r="J30" s="195">
        <f t="shared" si="2"/>
        <v>570000</v>
      </c>
      <c r="K30" s="197"/>
      <c r="L30" s="150"/>
      <c r="M30" s="150"/>
      <c r="N30" s="150"/>
      <c r="O30" s="150"/>
      <c r="P30" s="150"/>
      <c r="Q30" s="150"/>
      <c r="R30" s="150"/>
      <c r="S30" s="150"/>
      <c r="T30" s="150"/>
      <c r="U30" s="150"/>
    </row>
    <row r="31" spans="1:21" x14ac:dyDescent="0.25">
      <c r="A31" s="188">
        <v>13</v>
      </c>
      <c r="B31" s="189">
        <v>7.0000000000000007E-2</v>
      </c>
      <c r="C31" s="189">
        <f t="shared" si="3"/>
        <v>0.60000000000000009</v>
      </c>
      <c r="D31" s="190">
        <f t="shared" si="4"/>
        <v>665000</v>
      </c>
      <c r="E31" s="191">
        <f t="shared" si="5"/>
        <v>5700000</v>
      </c>
      <c r="F31" s="192">
        <f t="shared" si="0"/>
        <v>0.66666666666666663</v>
      </c>
      <c r="G31" s="193" t="s">
        <v>207</v>
      </c>
      <c r="H31" s="194">
        <f t="shared" si="1"/>
        <v>66500</v>
      </c>
      <c r="I31" s="195">
        <f t="shared" si="6"/>
        <v>66500</v>
      </c>
      <c r="J31" s="195">
        <f t="shared" si="2"/>
        <v>665000</v>
      </c>
      <c r="K31" s="197"/>
      <c r="L31" s="150"/>
      <c r="M31" s="150"/>
      <c r="N31" s="150"/>
      <c r="O31" s="150"/>
      <c r="P31" s="150"/>
      <c r="Q31" s="150"/>
      <c r="R31" s="150"/>
      <c r="S31" s="150"/>
      <c r="T31" s="150"/>
      <c r="U31" s="150"/>
    </row>
    <row r="32" spans="1:21" x14ac:dyDescent="0.25">
      <c r="A32" s="188">
        <v>14</v>
      </c>
      <c r="B32" s="189">
        <v>7.0000000000000007E-2</v>
      </c>
      <c r="C32" s="189">
        <f t="shared" si="3"/>
        <v>0.67000000000000015</v>
      </c>
      <c r="D32" s="190">
        <f>ROUND(B32*$D$11*(100-$D$14)/100,0)</f>
        <v>665000</v>
      </c>
      <c r="E32" s="191">
        <f t="shared" si="5"/>
        <v>6365000</v>
      </c>
      <c r="F32" s="192">
        <f t="shared" si="0"/>
        <v>0.74444444444444446</v>
      </c>
      <c r="G32" s="193" t="s">
        <v>208</v>
      </c>
      <c r="H32" s="194">
        <f t="shared" si="1"/>
        <v>66500</v>
      </c>
      <c r="I32" s="195">
        <f t="shared" si="6"/>
        <v>66500</v>
      </c>
      <c r="J32" s="195">
        <f t="shared" si="2"/>
        <v>665000</v>
      </c>
      <c r="K32" s="199">
        <f>+SUM(J21:J32)</f>
        <v>5842500</v>
      </c>
      <c r="L32" s="150"/>
      <c r="M32" s="150"/>
      <c r="N32" s="150"/>
      <c r="O32" s="150"/>
      <c r="P32" s="150"/>
      <c r="Q32" s="150"/>
      <c r="R32" s="150"/>
      <c r="S32" s="150"/>
      <c r="T32" s="150"/>
      <c r="U32" s="150"/>
    </row>
    <row r="33" spans="1:21" x14ac:dyDescent="0.25">
      <c r="A33" s="188">
        <v>15</v>
      </c>
      <c r="B33" s="189">
        <v>6.5000000000000002E-2</v>
      </c>
      <c r="C33" s="189">
        <f t="shared" si="3"/>
        <v>0.7350000000000001</v>
      </c>
      <c r="D33" s="190">
        <f>ROUND(B33*$D$11*(100-$D$14)/100,0)</f>
        <v>617500</v>
      </c>
      <c r="E33" s="191">
        <f t="shared" si="5"/>
        <v>6982500</v>
      </c>
      <c r="F33" s="192">
        <f t="shared" si="0"/>
        <v>0.81666666666666665</v>
      </c>
      <c r="G33" s="193" t="s">
        <v>209</v>
      </c>
      <c r="H33" s="194">
        <f t="shared" si="1"/>
        <v>61750</v>
      </c>
      <c r="I33" s="195">
        <f t="shared" si="6"/>
        <v>61750</v>
      </c>
      <c r="J33" s="195">
        <f t="shared" si="2"/>
        <v>617500</v>
      </c>
      <c r="K33" s="197"/>
      <c r="L33" s="150"/>
      <c r="M33" s="150"/>
      <c r="N33" s="150"/>
      <c r="O33" s="150"/>
      <c r="P33" s="150"/>
      <c r="Q33" s="150"/>
      <c r="R33" s="150"/>
      <c r="S33" s="150"/>
      <c r="T33" s="150"/>
      <c r="U33" s="150"/>
    </row>
    <row r="34" spans="1:21" x14ac:dyDescent="0.25">
      <c r="A34" s="188">
        <v>16</v>
      </c>
      <c r="B34" s="189">
        <v>6.5000000000000002E-2</v>
      </c>
      <c r="C34" s="189">
        <f>B34+C33</f>
        <v>0.8</v>
      </c>
      <c r="D34" s="190">
        <f>ROUND(B34*$D$11*(100-$D$14)/100,0)</f>
        <v>617500</v>
      </c>
      <c r="E34" s="191">
        <f>E33+D34</f>
        <v>7600000</v>
      </c>
      <c r="F34" s="192">
        <f t="shared" si="0"/>
        <v>0.88888888888888884</v>
      </c>
      <c r="G34" s="193" t="s">
        <v>210</v>
      </c>
      <c r="H34" s="194">
        <f>ROUND(D34*0.1,0)</f>
        <v>61750</v>
      </c>
      <c r="I34" s="195">
        <f t="shared" si="6"/>
        <v>61750</v>
      </c>
      <c r="J34" s="195">
        <f>ROUNDUP(D34*$D$12/100,-(LEN(D34)-$I$15))</f>
        <v>617500</v>
      </c>
      <c r="K34" s="197"/>
      <c r="L34" s="150"/>
      <c r="M34" s="150"/>
      <c r="N34" s="150"/>
      <c r="O34" s="150"/>
      <c r="P34" s="150"/>
      <c r="Q34" s="150"/>
      <c r="R34" s="150"/>
      <c r="S34" s="150"/>
      <c r="T34" s="150"/>
      <c r="U34" s="150"/>
    </row>
    <row r="35" spans="1:21" x14ac:dyDescent="0.25">
      <c r="A35" s="188">
        <v>17</v>
      </c>
      <c r="B35" s="189">
        <v>0.05</v>
      </c>
      <c r="C35" s="189">
        <f>B35+C34</f>
        <v>0.85000000000000009</v>
      </c>
      <c r="D35" s="190">
        <f>ROUND(B35*$D$11*(100-$D$14)/100,0)</f>
        <v>475000</v>
      </c>
      <c r="E35" s="191">
        <f>E34+D35</f>
        <v>8075000</v>
      </c>
      <c r="F35" s="192">
        <f t="shared" si="0"/>
        <v>0.94444444444444442</v>
      </c>
      <c r="G35" s="193" t="s">
        <v>211</v>
      </c>
      <c r="H35" s="194">
        <f>ROUND(D35*0.1,0)</f>
        <v>47500</v>
      </c>
      <c r="I35" s="195">
        <f t="shared" si="6"/>
        <v>47500</v>
      </c>
      <c r="J35" s="195">
        <f>ROUNDUP(D35*$D$12/100,-(LEN(D35)-$I$15))</f>
        <v>475000</v>
      </c>
      <c r="K35" s="197"/>
      <c r="L35" s="150"/>
      <c r="M35" s="150"/>
      <c r="N35" s="150"/>
      <c r="O35" s="150"/>
      <c r="P35" s="150"/>
      <c r="Q35" s="150"/>
      <c r="R35" s="150"/>
      <c r="S35" s="150"/>
      <c r="T35" s="150"/>
      <c r="U35" s="150"/>
    </row>
    <row r="36" spans="1:21" ht="12.6" thickBot="1" x14ac:dyDescent="0.3">
      <c r="A36" s="200">
        <v>18</v>
      </c>
      <c r="B36" s="189">
        <v>0.05</v>
      </c>
      <c r="C36" s="201">
        <f>B36+C35</f>
        <v>0.90000000000000013</v>
      </c>
      <c r="D36" s="202">
        <f>ROUND(B36*$D$11*(100-$D$14)/100,0)</f>
        <v>475000</v>
      </c>
      <c r="E36" s="203">
        <f>E35+D36</f>
        <v>8550000</v>
      </c>
      <c r="F36" s="204">
        <f t="shared" si="0"/>
        <v>1</v>
      </c>
      <c r="G36" s="205" t="s">
        <v>212</v>
      </c>
      <c r="H36" s="206">
        <f>ROUND(D36*0.1,0)</f>
        <v>47500</v>
      </c>
      <c r="I36" s="207">
        <f t="shared" si="6"/>
        <v>47500</v>
      </c>
      <c r="J36" s="207">
        <f>ROUNDUP(D36*$D$12/100,-(LEN(D36)-$I$15))</f>
        <v>475000</v>
      </c>
      <c r="K36" s="199">
        <f>+SUM(J33:J36)</f>
        <v>2185000</v>
      </c>
      <c r="L36" s="150"/>
      <c r="M36" s="150"/>
      <c r="N36" s="150"/>
      <c r="O36" s="150"/>
      <c r="P36" s="150"/>
      <c r="Q36" s="150"/>
      <c r="R36" s="150"/>
      <c r="S36" s="150"/>
      <c r="T36" s="150"/>
      <c r="U36" s="150"/>
    </row>
    <row r="37" spans="1:21" ht="12.6" thickBot="1" x14ac:dyDescent="0.3">
      <c r="A37" s="188">
        <v>19</v>
      </c>
      <c r="B37" s="189">
        <v>0.04</v>
      </c>
      <c r="C37" s="201">
        <f t="shared" ref="C37:C42" si="7">B37+C36</f>
        <v>0.94000000000000017</v>
      </c>
      <c r="D37" s="202">
        <f t="shared" ref="D37:D42" si="8">ROUND(B37*$D$11*(100-$D$14)/100,0)</f>
        <v>380000</v>
      </c>
      <c r="E37" s="203">
        <f t="shared" ref="E37:E42" si="9">E36+D37</f>
        <v>8930000</v>
      </c>
      <c r="F37" s="204">
        <f t="shared" si="0"/>
        <v>1.0444444444444445</v>
      </c>
      <c r="G37" s="205" t="s">
        <v>213</v>
      </c>
      <c r="H37" s="206">
        <f t="shared" ref="H37:H42" si="10">ROUND(D37*0.1,0)</f>
        <v>38000</v>
      </c>
      <c r="I37" s="207">
        <f t="shared" si="6"/>
        <v>38000</v>
      </c>
      <c r="J37" s="207">
        <f t="shared" ref="J37:J42" si="11">ROUNDUP(D37*$D$12/100,-(LEN(D37)-$I$15))</f>
        <v>380000</v>
      </c>
      <c r="K37" s="199"/>
      <c r="L37" s="150"/>
      <c r="M37" s="150"/>
      <c r="N37" s="150"/>
      <c r="O37" s="150"/>
      <c r="P37" s="150"/>
      <c r="Q37" s="150"/>
      <c r="R37" s="150"/>
      <c r="S37" s="150"/>
      <c r="T37" s="150"/>
      <c r="U37" s="150"/>
    </row>
    <row r="38" spans="1:21" ht="12.6" thickBot="1" x14ac:dyDescent="0.3">
      <c r="A38" s="200">
        <v>20</v>
      </c>
      <c r="B38" s="189">
        <v>0.02</v>
      </c>
      <c r="C38" s="201">
        <f t="shared" si="7"/>
        <v>0.96000000000000019</v>
      </c>
      <c r="D38" s="202">
        <f t="shared" si="8"/>
        <v>190000</v>
      </c>
      <c r="E38" s="203">
        <f t="shared" si="9"/>
        <v>9120000</v>
      </c>
      <c r="F38" s="204">
        <f t="shared" si="0"/>
        <v>1.0666666666666667</v>
      </c>
      <c r="G38" s="205" t="s">
        <v>214</v>
      </c>
      <c r="H38" s="206">
        <f t="shared" si="10"/>
        <v>19000</v>
      </c>
      <c r="I38" s="207">
        <f t="shared" si="6"/>
        <v>19000</v>
      </c>
      <c r="J38" s="207">
        <f t="shared" si="11"/>
        <v>190000</v>
      </c>
      <c r="K38" s="199"/>
      <c r="L38" s="150"/>
      <c r="M38" s="150"/>
      <c r="N38" s="150"/>
      <c r="O38" s="150"/>
      <c r="P38" s="150"/>
      <c r="Q38" s="150"/>
      <c r="R38" s="150"/>
      <c r="S38" s="150"/>
      <c r="T38" s="150"/>
      <c r="U38" s="150"/>
    </row>
    <row r="39" spans="1:21" ht="12.6" thickBot="1" x14ac:dyDescent="0.3">
      <c r="A39" s="188">
        <v>21</v>
      </c>
      <c r="B39" s="219">
        <v>0.01</v>
      </c>
      <c r="C39" s="201">
        <f t="shared" si="7"/>
        <v>0.9700000000000002</v>
      </c>
      <c r="D39" s="202">
        <f t="shared" si="8"/>
        <v>95000</v>
      </c>
      <c r="E39" s="203">
        <f t="shared" si="9"/>
        <v>9215000</v>
      </c>
      <c r="F39" s="204">
        <f t="shared" si="0"/>
        <v>1.0777777777777777</v>
      </c>
      <c r="G39" s="205" t="s">
        <v>215</v>
      </c>
      <c r="H39" s="206">
        <f t="shared" si="10"/>
        <v>9500</v>
      </c>
      <c r="I39" s="207">
        <f t="shared" si="6"/>
        <v>9500</v>
      </c>
      <c r="J39" s="207">
        <f t="shared" si="11"/>
        <v>95000</v>
      </c>
      <c r="K39" s="199"/>
      <c r="L39" s="150"/>
      <c r="M39" s="150"/>
      <c r="N39" s="150"/>
      <c r="O39" s="150"/>
      <c r="P39" s="150"/>
      <c r="Q39" s="150"/>
      <c r="R39" s="150"/>
      <c r="S39" s="150"/>
      <c r="T39" s="150"/>
      <c r="U39" s="150"/>
    </row>
    <row r="40" spans="1:21" ht="12.6" thickBot="1" x14ac:dyDescent="0.3">
      <c r="A40" s="200">
        <v>22</v>
      </c>
      <c r="B40" s="189">
        <v>0.01</v>
      </c>
      <c r="C40" s="201">
        <f t="shared" si="7"/>
        <v>0.9800000000000002</v>
      </c>
      <c r="D40" s="202">
        <f t="shared" si="8"/>
        <v>95000</v>
      </c>
      <c r="E40" s="203">
        <f t="shared" si="9"/>
        <v>9310000</v>
      </c>
      <c r="F40" s="204">
        <f t="shared" si="0"/>
        <v>1.0888888888888888</v>
      </c>
      <c r="G40" s="205" t="s">
        <v>216</v>
      </c>
      <c r="H40" s="206">
        <f t="shared" si="10"/>
        <v>9500</v>
      </c>
      <c r="I40" s="207">
        <f t="shared" si="6"/>
        <v>9500</v>
      </c>
      <c r="J40" s="207">
        <f t="shared" si="11"/>
        <v>95000</v>
      </c>
      <c r="K40" s="199"/>
      <c r="L40" s="150"/>
      <c r="M40" s="150"/>
      <c r="N40" s="150"/>
      <c r="O40" s="150"/>
      <c r="P40" s="150"/>
      <c r="Q40" s="150"/>
      <c r="R40" s="150"/>
      <c r="S40" s="150"/>
      <c r="T40" s="150"/>
      <c r="U40" s="150"/>
    </row>
    <row r="41" spans="1:21" ht="12.6" thickBot="1" x14ac:dyDescent="0.3">
      <c r="A41" s="188">
        <v>23</v>
      </c>
      <c r="B41" s="189">
        <v>0.01</v>
      </c>
      <c r="C41" s="201">
        <f t="shared" si="7"/>
        <v>0.99000000000000021</v>
      </c>
      <c r="D41" s="202">
        <f t="shared" si="8"/>
        <v>95000</v>
      </c>
      <c r="E41" s="203">
        <f t="shared" si="9"/>
        <v>9405000</v>
      </c>
      <c r="F41" s="204">
        <f t="shared" si="0"/>
        <v>1.1000000000000001</v>
      </c>
      <c r="G41" s="205" t="s">
        <v>217</v>
      </c>
      <c r="H41" s="206">
        <f t="shared" si="10"/>
        <v>9500</v>
      </c>
      <c r="I41" s="207">
        <f t="shared" si="6"/>
        <v>9500</v>
      </c>
      <c r="J41" s="207">
        <f t="shared" si="11"/>
        <v>95000</v>
      </c>
      <c r="K41" s="199"/>
      <c r="L41" s="150"/>
      <c r="M41" s="150"/>
      <c r="N41" s="150"/>
      <c r="O41" s="150"/>
      <c r="P41" s="150"/>
      <c r="Q41" s="150"/>
      <c r="R41" s="150"/>
      <c r="S41" s="150"/>
      <c r="T41" s="150"/>
      <c r="U41" s="150"/>
    </row>
    <row r="42" spans="1:21" ht="12.6" thickBot="1" x14ac:dyDescent="0.3">
      <c r="A42" s="200">
        <v>24</v>
      </c>
      <c r="B42" s="201">
        <v>0.01</v>
      </c>
      <c r="C42" s="201">
        <f t="shared" si="7"/>
        <v>1.0000000000000002</v>
      </c>
      <c r="D42" s="202">
        <f t="shared" si="8"/>
        <v>95000</v>
      </c>
      <c r="E42" s="203">
        <f t="shared" si="9"/>
        <v>9500000</v>
      </c>
      <c r="F42" s="204">
        <f t="shared" si="0"/>
        <v>1.1111111111111112</v>
      </c>
      <c r="G42" s="205" t="s">
        <v>218</v>
      </c>
      <c r="H42" s="206">
        <f t="shared" si="10"/>
        <v>9500</v>
      </c>
      <c r="I42" s="207">
        <f t="shared" si="6"/>
        <v>9500</v>
      </c>
      <c r="J42" s="207">
        <f t="shared" si="11"/>
        <v>95000</v>
      </c>
      <c r="K42" s="199"/>
      <c r="L42" s="150"/>
      <c r="M42" s="150"/>
      <c r="N42" s="150"/>
      <c r="O42" s="150"/>
      <c r="P42" s="150"/>
      <c r="Q42" s="150"/>
      <c r="R42" s="150"/>
      <c r="S42" s="150"/>
      <c r="T42" s="150"/>
      <c r="U42" s="150"/>
    </row>
    <row r="43" spans="1:21" ht="12.6" thickBot="1" x14ac:dyDescent="0.3">
      <c r="A43" s="208" t="str">
        <f>A42*30 &amp; " dias"</f>
        <v>720 dias</v>
      </c>
      <c r="B43" s="209">
        <f>SUM(B19:B42)</f>
        <v>1.0000000000000002</v>
      </c>
      <c r="C43" s="210"/>
      <c r="D43" s="211">
        <f>SUM(D18:D42)</f>
        <v>9500000</v>
      </c>
      <c r="E43" s="150"/>
      <c r="F43" s="155"/>
      <c r="G43" s="155"/>
      <c r="H43" s="150"/>
      <c r="I43" s="212">
        <f>SUM(I18:I42)</f>
        <v>950000</v>
      </c>
      <c r="J43" s="212">
        <f>SUM(J18:J42)</f>
        <v>9500000</v>
      </c>
      <c r="K43" s="197"/>
      <c r="L43" s="150"/>
      <c r="M43" s="150"/>
      <c r="N43" s="150"/>
      <c r="O43" s="150"/>
      <c r="P43" s="150"/>
      <c r="Q43" s="150"/>
      <c r="R43" s="150"/>
      <c r="S43" s="150"/>
      <c r="T43" s="150"/>
      <c r="U43" s="150"/>
    </row>
    <row r="44" spans="1:21" x14ac:dyDescent="0.25">
      <c r="A44" s="155"/>
      <c r="B44" s="160"/>
      <c r="C44" s="158"/>
      <c r="D44" s="158"/>
      <c r="E44" s="158"/>
      <c r="F44" s="150"/>
      <c r="G44" s="150"/>
      <c r="H44" s="161" t="s">
        <v>430</v>
      </c>
      <c r="I44" s="640">
        <f>I43+J43</f>
        <v>10450000</v>
      </c>
      <c r="J44" s="641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</row>
    <row r="45" spans="1:21" x14ac:dyDescent="0.25">
      <c r="A45" s="154" t="s">
        <v>438</v>
      </c>
      <c r="B45" s="154"/>
      <c r="C45" s="154"/>
      <c r="D45" s="158"/>
      <c r="E45" s="158"/>
      <c r="F45" s="150"/>
      <c r="G45" s="150"/>
      <c r="H45" s="161" t="s">
        <v>432</v>
      </c>
      <c r="I45" s="170">
        <f>I44/1.1-D11</f>
        <v>0</v>
      </c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</row>
    <row r="46" spans="1:21" x14ac:dyDescent="0.25">
      <c r="A46" s="150"/>
      <c r="B46" s="213"/>
      <c r="C46" s="158"/>
      <c r="D46" s="158"/>
      <c r="E46" s="158"/>
      <c r="F46" s="150"/>
      <c r="G46" s="150"/>
      <c r="H46" s="155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150"/>
      <c r="T46" s="150"/>
      <c r="U46" s="150"/>
    </row>
    <row r="47" spans="1:21" x14ac:dyDescent="0.25">
      <c r="A47" s="150"/>
      <c r="B47" s="213"/>
      <c r="C47" s="158"/>
      <c r="D47" s="158"/>
      <c r="E47" s="158"/>
      <c r="F47" s="150"/>
      <c r="G47" s="150"/>
      <c r="H47" s="155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</row>
    <row r="48" spans="1:21" x14ac:dyDescent="0.25">
      <c r="A48" s="150"/>
      <c r="B48" s="160"/>
      <c r="C48" s="158"/>
      <c r="D48" s="158"/>
      <c r="E48" s="158"/>
      <c r="F48" s="150"/>
      <c r="G48" s="150"/>
      <c r="H48" s="155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</row>
    <row r="49" spans="1:27" x14ac:dyDescent="0.25">
      <c r="A49" s="150"/>
      <c r="B49" s="160"/>
      <c r="C49" s="158"/>
      <c r="D49" s="158"/>
      <c r="E49" s="158"/>
      <c r="F49" s="150"/>
      <c r="G49" s="150"/>
      <c r="H49" s="155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</row>
    <row r="50" spans="1:27" x14ac:dyDescent="0.25">
      <c r="A50" s="150"/>
      <c r="B50" s="160"/>
      <c r="C50" s="158"/>
      <c r="D50" s="158"/>
      <c r="E50" s="158"/>
      <c r="F50" s="150"/>
      <c r="G50" s="150"/>
      <c r="H50" s="155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</row>
    <row r="51" spans="1:27" x14ac:dyDescent="0.25">
      <c r="A51" s="150"/>
      <c r="B51" s="160"/>
      <c r="C51" s="158"/>
      <c r="D51" s="158"/>
      <c r="E51" s="158"/>
      <c r="F51" s="150"/>
      <c r="G51" s="150"/>
      <c r="H51" s="155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</row>
    <row r="52" spans="1:27" x14ac:dyDescent="0.25">
      <c r="A52" s="150"/>
      <c r="B52" s="160"/>
      <c r="C52" s="158"/>
      <c r="D52" s="158"/>
      <c r="E52" s="158"/>
      <c r="F52" s="150"/>
      <c r="G52" s="150"/>
      <c r="H52" s="155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</row>
    <row r="53" spans="1:27" s="222" customFormat="1" ht="12.75" customHeight="1" x14ac:dyDescent="0.25">
      <c r="A53" s="221"/>
      <c r="B53" s="221" t="s">
        <v>433</v>
      </c>
      <c r="C53" s="221" t="s">
        <v>195</v>
      </c>
      <c r="D53" s="221" t="s">
        <v>196</v>
      </c>
      <c r="E53" s="221" t="s">
        <v>197</v>
      </c>
      <c r="F53" s="221" t="s">
        <v>198</v>
      </c>
      <c r="G53" s="221" t="s">
        <v>199</v>
      </c>
      <c r="H53" s="221" t="s">
        <v>200</v>
      </c>
      <c r="I53" s="221" t="s">
        <v>201</v>
      </c>
      <c r="J53" s="221" t="s">
        <v>202</v>
      </c>
      <c r="K53" s="221" t="s">
        <v>203</v>
      </c>
      <c r="L53" s="221" t="s">
        <v>204</v>
      </c>
      <c r="M53" s="221" t="s">
        <v>205</v>
      </c>
      <c r="N53" s="221" t="s">
        <v>206</v>
      </c>
      <c r="O53" s="221" t="s">
        <v>207</v>
      </c>
      <c r="P53" s="221" t="s">
        <v>208</v>
      </c>
      <c r="Q53" s="221" t="s">
        <v>209</v>
      </c>
      <c r="R53" s="221" t="s">
        <v>210</v>
      </c>
      <c r="S53" s="221" t="s">
        <v>211</v>
      </c>
      <c r="T53" s="221" t="s">
        <v>212</v>
      </c>
      <c r="U53" s="221" t="s">
        <v>213</v>
      </c>
      <c r="V53" s="221" t="s">
        <v>214</v>
      </c>
      <c r="W53" s="221" t="s">
        <v>215</v>
      </c>
      <c r="X53" s="221" t="s">
        <v>216</v>
      </c>
      <c r="Y53" s="221" t="s">
        <v>217</v>
      </c>
      <c r="Z53" s="221" t="s">
        <v>218</v>
      </c>
    </row>
    <row r="54" spans="1:27" s="225" customFormat="1" x14ac:dyDescent="0.25">
      <c r="A54" s="223" t="s">
        <v>434</v>
      </c>
      <c r="B54" s="224">
        <v>0</v>
      </c>
      <c r="C54" s="224">
        <v>0</v>
      </c>
      <c r="D54" s="224">
        <v>0</v>
      </c>
      <c r="E54" s="224">
        <v>0</v>
      </c>
      <c r="F54" s="224">
        <v>0</v>
      </c>
      <c r="G54" s="224">
        <v>0</v>
      </c>
      <c r="H54" s="224">
        <v>0</v>
      </c>
      <c r="I54" s="224">
        <v>0</v>
      </c>
      <c r="J54" s="224">
        <v>0</v>
      </c>
      <c r="K54" s="224">
        <v>0</v>
      </c>
      <c r="L54" s="224">
        <v>0</v>
      </c>
      <c r="M54" s="224">
        <v>0</v>
      </c>
      <c r="N54" s="224">
        <v>0</v>
      </c>
      <c r="O54" s="224">
        <v>0</v>
      </c>
      <c r="P54" s="224">
        <v>0</v>
      </c>
      <c r="Q54" s="224">
        <v>0</v>
      </c>
      <c r="R54" s="224">
        <v>0</v>
      </c>
      <c r="S54" s="224">
        <v>0</v>
      </c>
      <c r="T54" s="224">
        <v>0</v>
      </c>
      <c r="U54" s="224">
        <v>0</v>
      </c>
      <c r="V54" s="224">
        <v>0</v>
      </c>
      <c r="W54" s="224">
        <v>0</v>
      </c>
      <c r="X54" s="224">
        <v>0</v>
      </c>
      <c r="Y54" s="224">
        <v>0</v>
      </c>
      <c r="Z54" s="224">
        <v>0</v>
      </c>
      <c r="AA54" s="225">
        <f>SUM(B54:T54)</f>
        <v>0</v>
      </c>
    </row>
    <row r="55" spans="1:27" s="225" customFormat="1" x14ac:dyDescent="0.25">
      <c r="A55" s="223" t="s">
        <v>435</v>
      </c>
      <c r="B55" s="224">
        <f>$J18</f>
        <v>0</v>
      </c>
      <c r="C55" s="224">
        <f>$J19</f>
        <v>237500</v>
      </c>
      <c r="D55" s="224">
        <f>$J20</f>
        <v>285000</v>
      </c>
      <c r="E55" s="224">
        <f>$J21</f>
        <v>332500</v>
      </c>
      <c r="F55" s="224">
        <f>$J22</f>
        <v>332500</v>
      </c>
      <c r="G55" s="224">
        <f>$J23</f>
        <v>380000</v>
      </c>
      <c r="H55" s="224">
        <f>$J24</f>
        <v>427500</v>
      </c>
      <c r="I55" s="224">
        <f>$J25</f>
        <v>427500</v>
      </c>
      <c r="J55" s="224">
        <f>$J26</f>
        <v>475000</v>
      </c>
      <c r="K55" s="224">
        <f>$J27</f>
        <v>522500</v>
      </c>
      <c r="L55" s="224">
        <f>$J28</f>
        <v>522500</v>
      </c>
      <c r="M55" s="224">
        <f>$J29</f>
        <v>522500</v>
      </c>
      <c r="N55" s="224">
        <f>$J30</f>
        <v>570000</v>
      </c>
      <c r="O55" s="224">
        <f>$J31</f>
        <v>665000</v>
      </c>
      <c r="P55" s="224">
        <f>$J32</f>
        <v>665000</v>
      </c>
      <c r="Q55" s="224">
        <f>$J33</f>
        <v>617500</v>
      </c>
      <c r="R55" s="224">
        <f>$J34</f>
        <v>617500</v>
      </c>
      <c r="S55" s="224">
        <f>$J35</f>
        <v>475000</v>
      </c>
      <c r="T55" s="224">
        <f>$J36</f>
        <v>475000</v>
      </c>
      <c r="U55" s="224">
        <f>$J37</f>
        <v>380000</v>
      </c>
      <c r="V55" s="224">
        <f>$J38</f>
        <v>190000</v>
      </c>
      <c r="W55" s="224">
        <f>$J39</f>
        <v>95000</v>
      </c>
      <c r="X55" s="224">
        <f>$J40</f>
        <v>95000</v>
      </c>
      <c r="Y55" s="224">
        <f>$J41</f>
        <v>95000</v>
      </c>
      <c r="Z55" s="224">
        <f>$J42</f>
        <v>95000</v>
      </c>
      <c r="AA55" s="226">
        <f>SUM(B55:Z55)</f>
        <v>9500000</v>
      </c>
    </row>
    <row r="56" spans="1:27" x14ac:dyDescent="0.25">
      <c r="A56" s="227" t="s">
        <v>439</v>
      </c>
      <c r="B56" s="228">
        <f>SUM(B54:B55)</f>
        <v>0</v>
      </c>
      <c r="C56" s="228">
        <f>SUM(C54:C55)*0.45</f>
        <v>106875</v>
      </c>
      <c r="D56" s="228">
        <f t="shared" ref="D56:Z56" si="12">SUM(D54:D55)*0.45</f>
        <v>128250</v>
      </c>
      <c r="E56" s="228">
        <f t="shared" si="12"/>
        <v>149625</v>
      </c>
      <c r="F56" s="228">
        <f t="shared" si="12"/>
        <v>149625</v>
      </c>
      <c r="G56" s="228">
        <f t="shared" si="12"/>
        <v>171000</v>
      </c>
      <c r="H56" s="228">
        <f t="shared" si="12"/>
        <v>192375</v>
      </c>
      <c r="I56" s="228">
        <f t="shared" si="12"/>
        <v>192375</v>
      </c>
      <c r="J56" s="228">
        <f t="shared" si="12"/>
        <v>213750</v>
      </c>
      <c r="K56" s="228">
        <f t="shared" si="12"/>
        <v>235125</v>
      </c>
      <c r="L56" s="228">
        <f t="shared" si="12"/>
        <v>235125</v>
      </c>
      <c r="M56" s="228">
        <f t="shared" si="12"/>
        <v>235125</v>
      </c>
      <c r="N56" s="228">
        <f t="shared" si="12"/>
        <v>256500</v>
      </c>
      <c r="O56" s="228">
        <f t="shared" si="12"/>
        <v>299250</v>
      </c>
      <c r="P56" s="228">
        <f t="shared" si="12"/>
        <v>299250</v>
      </c>
      <c r="Q56" s="228">
        <f t="shared" si="12"/>
        <v>277875</v>
      </c>
      <c r="R56" s="228">
        <f t="shared" si="12"/>
        <v>277875</v>
      </c>
      <c r="S56" s="228">
        <f t="shared" si="12"/>
        <v>213750</v>
      </c>
      <c r="T56" s="228">
        <f t="shared" si="12"/>
        <v>213750</v>
      </c>
      <c r="U56" s="228">
        <f t="shared" si="12"/>
        <v>171000</v>
      </c>
      <c r="V56" s="228">
        <f t="shared" si="12"/>
        <v>85500</v>
      </c>
      <c r="W56" s="228">
        <f t="shared" si="12"/>
        <v>42750</v>
      </c>
      <c r="X56" s="228">
        <f t="shared" si="12"/>
        <v>42750</v>
      </c>
      <c r="Y56" s="228">
        <f t="shared" si="12"/>
        <v>42750</v>
      </c>
      <c r="Z56" s="228">
        <f t="shared" si="12"/>
        <v>42750</v>
      </c>
      <c r="AA56" s="228">
        <f>SUM(B56:Z56)</f>
        <v>4275000</v>
      </c>
    </row>
    <row r="57" spans="1:27" s="226" customFormat="1" x14ac:dyDescent="0.25">
      <c r="A57" s="229" t="s">
        <v>440</v>
      </c>
      <c r="B57" s="229">
        <v>0</v>
      </c>
      <c r="C57" s="229">
        <f>C63</f>
        <v>178125</v>
      </c>
      <c r="D57" s="229">
        <f t="shared" ref="D57:Z57" si="13">C57</f>
        <v>178125</v>
      </c>
      <c r="E57" s="229">
        <f t="shared" si="13"/>
        <v>178125</v>
      </c>
      <c r="F57" s="229">
        <f t="shared" si="13"/>
        <v>178125</v>
      </c>
      <c r="G57" s="229">
        <f t="shared" si="13"/>
        <v>178125</v>
      </c>
      <c r="H57" s="229">
        <f t="shared" si="13"/>
        <v>178125</v>
      </c>
      <c r="I57" s="229">
        <f t="shared" si="13"/>
        <v>178125</v>
      </c>
      <c r="J57" s="229">
        <f t="shared" si="13"/>
        <v>178125</v>
      </c>
      <c r="K57" s="229">
        <f t="shared" si="13"/>
        <v>178125</v>
      </c>
      <c r="L57" s="229">
        <f t="shared" si="13"/>
        <v>178125</v>
      </c>
      <c r="M57" s="229">
        <f t="shared" si="13"/>
        <v>178125</v>
      </c>
      <c r="N57" s="229">
        <f t="shared" si="13"/>
        <v>178125</v>
      </c>
      <c r="O57" s="229">
        <f t="shared" si="13"/>
        <v>178125</v>
      </c>
      <c r="P57" s="229">
        <f t="shared" si="13"/>
        <v>178125</v>
      </c>
      <c r="Q57" s="229">
        <f t="shared" si="13"/>
        <v>178125</v>
      </c>
      <c r="R57" s="229">
        <f t="shared" si="13"/>
        <v>178125</v>
      </c>
      <c r="S57" s="229">
        <f t="shared" si="13"/>
        <v>178125</v>
      </c>
      <c r="T57" s="229">
        <f t="shared" si="13"/>
        <v>178125</v>
      </c>
      <c r="U57" s="229">
        <f t="shared" si="13"/>
        <v>178125</v>
      </c>
      <c r="V57" s="229">
        <f t="shared" si="13"/>
        <v>178125</v>
      </c>
      <c r="W57" s="229">
        <f t="shared" si="13"/>
        <v>178125</v>
      </c>
      <c r="X57" s="229">
        <f t="shared" si="13"/>
        <v>178125</v>
      </c>
      <c r="Y57" s="229">
        <f t="shared" si="13"/>
        <v>178125</v>
      </c>
      <c r="Z57" s="229">
        <f t="shared" si="13"/>
        <v>178125</v>
      </c>
      <c r="AA57" s="228">
        <f>SUM(B57:Z57)</f>
        <v>4275000</v>
      </c>
    </row>
    <row r="58" spans="1:27" s="226" customFormat="1" x14ac:dyDescent="0.25">
      <c r="A58" s="229" t="s">
        <v>433</v>
      </c>
      <c r="B58" s="229">
        <f>A61*10%</f>
        <v>950000</v>
      </c>
      <c r="C58" s="229"/>
      <c r="D58" s="229"/>
      <c r="E58" s="229"/>
      <c r="F58" s="229"/>
      <c r="G58" s="229"/>
      <c r="H58" s="229"/>
      <c r="I58" s="229"/>
      <c r="J58" s="229"/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8">
        <f>SUM(B58:Z58)</f>
        <v>950000</v>
      </c>
    </row>
    <row r="59" spans="1:27" s="226" customFormat="1" x14ac:dyDescent="0.25">
      <c r="A59" s="229"/>
      <c r="B59" s="229">
        <f>SUM(B56:B58)</f>
        <v>950000</v>
      </c>
      <c r="C59" s="229">
        <f t="shared" ref="C59:Z59" si="14">SUM(C56:C58)</f>
        <v>285000</v>
      </c>
      <c r="D59" s="229">
        <f t="shared" si="14"/>
        <v>306375</v>
      </c>
      <c r="E59" s="229">
        <f t="shared" si="14"/>
        <v>327750</v>
      </c>
      <c r="F59" s="229">
        <f t="shared" si="14"/>
        <v>327750</v>
      </c>
      <c r="G59" s="229">
        <f t="shared" si="14"/>
        <v>349125</v>
      </c>
      <c r="H59" s="229">
        <f t="shared" si="14"/>
        <v>370500</v>
      </c>
      <c r="I59" s="229">
        <f t="shared" si="14"/>
        <v>370500</v>
      </c>
      <c r="J59" s="229">
        <f t="shared" si="14"/>
        <v>391875</v>
      </c>
      <c r="K59" s="229">
        <f t="shared" si="14"/>
        <v>413250</v>
      </c>
      <c r="L59" s="229">
        <f t="shared" si="14"/>
        <v>413250</v>
      </c>
      <c r="M59" s="229">
        <f t="shared" si="14"/>
        <v>413250</v>
      </c>
      <c r="N59" s="229">
        <f t="shared" si="14"/>
        <v>434625</v>
      </c>
      <c r="O59" s="229">
        <f t="shared" si="14"/>
        <v>477375</v>
      </c>
      <c r="P59" s="229">
        <f t="shared" si="14"/>
        <v>477375</v>
      </c>
      <c r="Q59" s="229">
        <f t="shared" si="14"/>
        <v>456000</v>
      </c>
      <c r="R59" s="229">
        <f t="shared" si="14"/>
        <v>456000</v>
      </c>
      <c r="S59" s="229">
        <f t="shared" si="14"/>
        <v>391875</v>
      </c>
      <c r="T59" s="229">
        <f t="shared" si="14"/>
        <v>391875</v>
      </c>
      <c r="U59" s="229">
        <f t="shared" si="14"/>
        <v>349125</v>
      </c>
      <c r="V59" s="229">
        <f t="shared" si="14"/>
        <v>263625</v>
      </c>
      <c r="W59" s="229">
        <f t="shared" si="14"/>
        <v>220875</v>
      </c>
      <c r="X59" s="229">
        <f t="shared" si="14"/>
        <v>220875</v>
      </c>
      <c r="Y59" s="229">
        <f t="shared" si="14"/>
        <v>220875</v>
      </c>
      <c r="Z59" s="229">
        <f t="shared" si="14"/>
        <v>220875</v>
      </c>
      <c r="AA59" s="228">
        <f>SUM(B59:Z59)</f>
        <v>9500000</v>
      </c>
    </row>
    <row r="60" spans="1:27" s="225" customFormat="1" x14ac:dyDescent="0.25">
      <c r="C60" s="225">
        <f>B60/A61</f>
        <v>0</v>
      </c>
    </row>
    <row r="61" spans="1:27" s="225" customFormat="1" x14ac:dyDescent="0.25">
      <c r="A61" s="225">
        <f>+D8</f>
        <v>9500000</v>
      </c>
    </row>
    <row r="62" spans="1:27" s="225" customFormat="1" x14ac:dyDescent="0.25">
      <c r="A62" s="225">
        <f>A61*0.1</f>
        <v>950000</v>
      </c>
    </row>
    <row r="63" spans="1:27" s="225" customFormat="1" x14ac:dyDescent="0.25">
      <c r="A63" s="225">
        <f>A61*0.45</f>
        <v>4275000</v>
      </c>
      <c r="C63" s="225">
        <f>A63/24</f>
        <v>178125</v>
      </c>
    </row>
    <row r="64" spans="1:27" s="225" customFormat="1" x14ac:dyDescent="0.25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AA36"/>
  <sheetViews>
    <sheetView showGridLines="0" topLeftCell="K1" zoomScale="70" zoomScaleNormal="70" workbookViewId="0">
      <selection activeCell="W20" sqref="W20:AP20"/>
    </sheetView>
  </sheetViews>
  <sheetFormatPr defaultColWidth="11.44140625" defaultRowHeight="13.8" x14ac:dyDescent="0.25"/>
  <cols>
    <col min="1" max="1" width="11.33203125" style="471" customWidth="1"/>
    <col min="2" max="2" width="94.44140625" style="446" bestFit="1" customWidth="1"/>
    <col min="3" max="4" width="10.44140625" style="447" hidden="1" customWidth="1"/>
    <col min="5" max="5" width="14.33203125" style="448" hidden="1" customWidth="1"/>
    <col min="6" max="6" width="15" style="447" hidden="1" customWidth="1"/>
    <col min="7" max="7" width="9.109375" style="449" hidden="1" customWidth="1"/>
    <col min="8" max="8" width="9.109375" style="450" hidden="1" customWidth="1"/>
    <col min="9" max="9" width="35.77734375" style="450" bestFit="1" customWidth="1"/>
    <col min="10" max="10" width="38.109375" style="451" customWidth="1"/>
    <col min="11" max="11" width="16.88671875" style="452" customWidth="1"/>
    <col min="12" max="12" width="19" style="453" customWidth="1"/>
    <col min="13" max="13" width="13.44140625" style="446" customWidth="1"/>
    <col min="14" max="14" width="8.33203125" style="446" customWidth="1"/>
    <col min="15" max="15" width="12.109375" style="446" customWidth="1"/>
    <col min="16" max="24" width="3.44140625" style="446" customWidth="1"/>
    <col min="25" max="25" width="4.33203125" style="446" customWidth="1"/>
    <col min="26" max="26" width="3.88671875" style="446" bestFit="1" customWidth="1"/>
    <col min="27" max="27" width="4.33203125" style="446" customWidth="1"/>
    <col min="28" max="72" width="2.109375" style="446" customWidth="1"/>
    <col min="73" max="207" width="11.44140625" style="446"/>
    <col min="208" max="208" width="44.44140625" style="446" customWidth="1"/>
    <col min="209" max="209" width="13" style="446" customWidth="1"/>
    <col min="210" max="215" width="2" style="446" customWidth="1"/>
    <col min="216" max="216" width="2.44140625" style="446" customWidth="1"/>
    <col min="217" max="217" width="3" style="446" customWidth="1"/>
    <col min="218" max="220" width="2" style="446" customWidth="1"/>
    <col min="221" max="221" width="2.88671875" style="446" customWidth="1"/>
    <col min="222" max="222" width="3" style="446" customWidth="1"/>
    <col min="223" max="223" width="2.6640625" style="446" customWidth="1"/>
    <col min="224" max="224" width="2.44140625" style="446" customWidth="1"/>
    <col min="225" max="225" width="3.33203125" style="446" customWidth="1"/>
    <col min="226" max="226" width="3.5546875" style="446" customWidth="1"/>
    <col min="227" max="227" width="4" style="446" customWidth="1"/>
    <col min="228" max="228" width="3.44140625" style="446" customWidth="1"/>
    <col min="229" max="229" width="3" style="446" customWidth="1"/>
    <col min="230" max="463" width="11.44140625" style="446"/>
    <col min="464" max="464" width="44.44140625" style="446" customWidth="1"/>
    <col min="465" max="465" width="13" style="446" customWidth="1"/>
    <col min="466" max="471" width="2" style="446" customWidth="1"/>
    <col min="472" max="472" width="2.44140625" style="446" customWidth="1"/>
    <col min="473" max="473" width="3" style="446" customWidth="1"/>
    <col min="474" max="476" width="2" style="446" customWidth="1"/>
    <col min="477" max="477" width="2.88671875" style="446" customWidth="1"/>
    <col min="478" max="478" width="3" style="446" customWidth="1"/>
    <col min="479" max="479" width="2.6640625" style="446" customWidth="1"/>
    <col min="480" max="480" width="2.44140625" style="446" customWidth="1"/>
    <col min="481" max="481" width="3.33203125" style="446" customWidth="1"/>
    <col min="482" max="482" width="3.5546875" style="446" customWidth="1"/>
    <col min="483" max="483" width="4" style="446" customWidth="1"/>
    <col min="484" max="484" width="3.44140625" style="446" customWidth="1"/>
    <col min="485" max="485" width="3" style="446" customWidth="1"/>
    <col min="486" max="719" width="11.44140625" style="446"/>
    <col min="720" max="720" width="44.44140625" style="446" customWidth="1"/>
    <col min="721" max="721" width="13" style="446" customWidth="1"/>
    <col min="722" max="727" width="2" style="446" customWidth="1"/>
    <col min="728" max="728" width="2.44140625" style="446" customWidth="1"/>
    <col min="729" max="729" width="3" style="446" customWidth="1"/>
    <col min="730" max="732" width="2" style="446" customWidth="1"/>
    <col min="733" max="733" width="2.88671875" style="446" customWidth="1"/>
    <col min="734" max="734" width="3" style="446" customWidth="1"/>
    <col min="735" max="735" width="2.6640625" style="446" customWidth="1"/>
    <col min="736" max="736" width="2.44140625" style="446" customWidth="1"/>
    <col min="737" max="737" width="3.33203125" style="446" customWidth="1"/>
    <col min="738" max="738" width="3.5546875" style="446" customWidth="1"/>
    <col min="739" max="739" width="4" style="446" customWidth="1"/>
    <col min="740" max="740" width="3.44140625" style="446" customWidth="1"/>
    <col min="741" max="741" width="3" style="446" customWidth="1"/>
    <col min="742" max="975" width="11.44140625" style="446"/>
    <col min="976" max="976" width="44.44140625" style="446" customWidth="1"/>
    <col min="977" max="977" width="13" style="446" customWidth="1"/>
    <col min="978" max="983" width="2" style="446" customWidth="1"/>
    <col min="984" max="984" width="2.44140625" style="446" customWidth="1"/>
    <col min="985" max="985" width="3" style="446" customWidth="1"/>
    <col min="986" max="988" width="2" style="446" customWidth="1"/>
    <col min="989" max="989" width="2.88671875" style="446" customWidth="1"/>
    <col min="990" max="990" width="3" style="446" customWidth="1"/>
    <col min="991" max="991" width="2.6640625" style="446" customWidth="1"/>
    <col min="992" max="992" width="2.44140625" style="446" customWidth="1"/>
    <col min="993" max="993" width="3.33203125" style="446" customWidth="1"/>
    <col min="994" max="994" width="3.5546875" style="446" customWidth="1"/>
    <col min="995" max="995" width="4" style="446" customWidth="1"/>
    <col min="996" max="996" width="3.44140625" style="446" customWidth="1"/>
    <col min="997" max="997" width="3" style="446" customWidth="1"/>
    <col min="998" max="1231" width="11.44140625" style="446"/>
    <col min="1232" max="1232" width="44.44140625" style="446" customWidth="1"/>
    <col min="1233" max="1233" width="13" style="446" customWidth="1"/>
    <col min="1234" max="1239" width="2" style="446" customWidth="1"/>
    <col min="1240" max="1240" width="2.44140625" style="446" customWidth="1"/>
    <col min="1241" max="1241" width="3" style="446" customWidth="1"/>
    <col min="1242" max="1244" width="2" style="446" customWidth="1"/>
    <col min="1245" max="1245" width="2.88671875" style="446" customWidth="1"/>
    <col min="1246" max="1246" width="3" style="446" customWidth="1"/>
    <col min="1247" max="1247" width="2.6640625" style="446" customWidth="1"/>
    <col min="1248" max="1248" width="2.44140625" style="446" customWidth="1"/>
    <col min="1249" max="1249" width="3.33203125" style="446" customWidth="1"/>
    <col min="1250" max="1250" width="3.5546875" style="446" customWidth="1"/>
    <col min="1251" max="1251" width="4" style="446" customWidth="1"/>
    <col min="1252" max="1252" width="3.44140625" style="446" customWidth="1"/>
    <col min="1253" max="1253" width="3" style="446" customWidth="1"/>
    <col min="1254" max="1487" width="11.44140625" style="446"/>
    <col min="1488" max="1488" width="44.44140625" style="446" customWidth="1"/>
    <col min="1489" max="1489" width="13" style="446" customWidth="1"/>
    <col min="1490" max="1495" width="2" style="446" customWidth="1"/>
    <col min="1496" max="1496" width="2.44140625" style="446" customWidth="1"/>
    <col min="1497" max="1497" width="3" style="446" customWidth="1"/>
    <col min="1498" max="1500" width="2" style="446" customWidth="1"/>
    <col min="1501" max="1501" width="2.88671875" style="446" customWidth="1"/>
    <col min="1502" max="1502" width="3" style="446" customWidth="1"/>
    <col min="1503" max="1503" width="2.6640625" style="446" customWidth="1"/>
    <col min="1504" max="1504" width="2.44140625" style="446" customWidth="1"/>
    <col min="1505" max="1505" width="3.33203125" style="446" customWidth="1"/>
    <col min="1506" max="1506" width="3.5546875" style="446" customWidth="1"/>
    <col min="1507" max="1507" width="4" style="446" customWidth="1"/>
    <col min="1508" max="1508" width="3.44140625" style="446" customWidth="1"/>
    <col min="1509" max="1509" width="3" style="446" customWidth="1"/>
    <col min="1510" max="1743" width="11.44140625" style="446"/>
    <col min="1744" max="1744" width="44.44140625" style="446" customWidth="1"/>
    <col min="1745" max="1745" width="13" style="446" customWidth="1"/>
    <col min="1746" max="1751" width="2" style="446" customWidth="1"/>
    <col min="1752" max="1752" width="2.44140625" style="446" customWidth="1"/>
    <col min="1753" max="1753" width="3" style="446" customWidth="1"/>
    <col min="1754" max="1756" width="2" style="446" customWidth="1"/>
    <col min="1757" max="1757" width="2.88671875" style="446" customWidth="1"/>
    <col min="1758" max="1758" width="3" style="446" customWidth="1"/>
    <col min="1759" max="1759" width="2.6640625" style="446" customWidth="1"/>
    <col min="1760" max="1760" width="2.44140625" style="446" customWidth="1"/>
    <col min="1761" max="1761" width="3.33203125" style="446" customWidth="1"/>
    <col min="1762" max="1762" width="3.5546875" style="446" customWidth="1"/>
    <col min="1763" max="1763" width="4" style="446" customWidth="1"/>
    <col min="1764" max="1764" width="3.44140625" style="446" customWidth="1"/>
    <col min="1765" max="1765" width="3" style="446" customWidth="1"/>
    <col min="1766" max="1999" width="11.44140625" style="446"/>
    <col min="2000" max="2000" width="44.44140625" style="446" customWidth="1"/>
    <col min="2001" max="2001" width="13" style="446" customWidth="1"/>
    <col min="2002" max="2007" width="2" style="446" customWidth="1"/>
    <col min="2008" max="2008" width="2.44140625" style="446" customWidth="1"/>
    <col min="2009" max="2009" width="3" style="446" customWidth="1"/>
    <col min="2010" max="2012" width="2" style="446" customWidth="1"/>
    <col min="2013" max="2013" width="2.88671875" style="446" customWidth="1"/>
    <col min="2014" max="2014" width="3" style="446" customWidth="1"/>
    <col min="2015" max="2015" width="2.6640625" style="446" customWidth="1"/>
    <col min="2016" max="2016" width="2.44140625" style="446" customWidth="1"/>
    <col min="2017" max="2017" width="3.33203125" style="446" customWidth="1"/>
    <col min="2018" max="2018" width="3.5546875" style="446" customWidth="1"/>
    <col min="2019" max="2019" width="4" style="446" customWidth="1"/>
    <col min="2020" max="2020" width="3.44140625" style="446" customWidth="1"/>
    <col min="2021" max="2021" width="3" style="446" customWidth="1"/>
    <col min="2022" max="2255" width="11.44140625" style="446"/>
    <col min="2256" max="2256" width="44.44140625" style="446" customWidth="1"/>
    <col min="2257" max="2257" width="13" style="446" customWidth="1"/>
    <col min="2258" max="2263" width="2" style="446" customWidth="1"/>
    <col min="2264" max="2264" width="2.44140625" style="446" customWidth="1"/>
    <col min="2265" max="2265" width="3" style="446" customWidth="1"/>
    <col min="2266" max="2268" width="2" style="446" customWidth="1"/>
    <col min="2269" max="2269" width="2.88671875" style="446" customWidth="1"/>
    <col min="2270" max="2270" width="3" style="446" customWidth="1"/>
    <col min="2271" max="2271" width="2.6640625" style="446" customWidth="1"/>
    <col min="2272" max="2272" width="2.44140625" style="446" customWidth="1"/>
    <col min="2273" max="2273" width="3.33203125" style="446" customWidth="1"/>
    <col min="2274" max="2274" width="3.5546875" style="446" customWidth="1"/>
    <col min="2275" max="2275" width="4" style="446" customWidth="1"/>
    <col min="2276" max="2276" width="3.44140625" style="446" customWidth="1"/>
    <col min="2277" max="2277" width="3" style="446" customWidth="1"/>
    <col min="2278" max="2511" width="11.44140625" style="446"/>
    <col min="2512" max="2512" width="44.44140625" style="446" customWidth="1"/>
    <col min="2513" max="2513" width="13" style="446" customWidth="1"/>
    <col min="2514" max="2519" width="2" style="446" customWidth="1"/>
    <col min="2520" max="2520" width="2.44140625" style="446" customWidth="1"/>
    <col min="2521" max="2521" width="3" style="446" customWidth="1"/>
    <col min="2522" max="2524" width="2" style="446" customWidth="1"/>
    <col min="2525" max="2525" width="2.88671875" style="446" customWidth="1"/>
    <col min="2526" max="2526" width="3" style="446" customWidth="1"/>
    <col min="2527" max="2527" width="2.6640625" style="446" customWidth="1"/>
    <col min="2528" max="2528" width="2.44140625" style="446" customWidth="1"/>
    <col min="2529" max="2529" width="3.33203125" style="446" customWidth="1"/>
    <col min="2530" max="2530" width="3.5546875" style="446" customWidth="1"/>
    <col min="2531" max="2531" width="4" style="446" customWidth="1"/>
    <col min="2532" max="2532" width="3.44140625" style="446" customWidth="1"/>
    <col min="2533" max="2533" width="3" style="446" customWidth="1"/>
    <col min="2534" max="2767" width="11.44140625" style="446"/>
    <col min="2768" max="2768" width="44.44140625" style="446" customWidth="1"/>
    <col min="2769" max="2769" width="13" style="446" customWidth="1"/>
    <col min="2770" max="2775" width="2" style="446" customWidth="1"/>
    <col min="2776" max="2776" width="2.44140625" style="446" customWidth="1"/>
    <col min="2777" max="2777" width="3" style="446" customWidth="1"/>
    <col min="2778" max="2780" width="2" style="446" customWidth="1"/>
    <col min="2781" max="2781" width="2.88671875" style="446" customWidth="1"/>
    <col min="2782" max="2782" width="3" style="446" customWidth="1"/>
    <col min="2783" max="2783" width="2.6640625" style="446" customWidth="1"/>
    <col min="2784" max="2784" width="2.44140625" style="446" customWidth="1"/>
    <col min="2785" max="2785" width="3.33203125" style="446" customWidth="1"/>
    <col min="2786" max="2786" width="3.5546875" style="446" customWidth="1"/>
    <col min="2787" max="2787" width="4" style="446" customWidth="1"/>
    <col min="2788" max="2788" width="3.44140625" style="446" customWidth="1"/>
    <col min="2789" max="2789" width="3" style="446" customWidth="1"/>
    <col min="2790" max="3023" width="11.44140625" style="446"/>
    <col min="3024" max="3024" width="44.44140625" style="446" customWidth="1"/>
    <col min="3025" max="3025" width="13" style="446" customWidth="1"/>
    <col min="3026" max="3031" width="2" style="446" customWidth="1"/>
    <col min="3032" max="3032" width="2.44140625" style="446" customWidth="1"/>
    <col min="3033" max="3033" width="3" style="446" customWidth="1"/>
    <col min="3034" max="3036" width="2" style="446" customWidth="1"/>
    <col min="3037" max="3037" width="2.88671875" style="446" customWidth="1"/>
    <col min="3038" max="3038" width="3" style="446" customWidth="1"/>
    <col min="3039" max="3039" width="2.6640625" style="446" customWidth="1"/>
    <col min="3040" max="3040" width="2.44140625" style="446" customWidth="1"/>
    <col min="3041" max="3041" width="3.33203125" style="446" customWidth="1"/>
    <col min="3042" max="3042" width="3.5546875" style="446" customWidth="1"/>
    <col min="3043" max="3043" width="4" style="446" customWidth="1"/>
    <col min="3044" max="3044" width="3.44140625" style="446" customWidth="1"/>
    <col min="3045" max="3045" width="3" style="446" customWidth="1"/>
    <col min="3046" max="3279" width="11.44140625" style="446"/>
    <col min="3280" max="3280" width="44.44140625" style="446" customWidth="1"/>
    <col min="3281" max="3281" width="13" style="446" customWidth="1"/>
    <col min="3282" max="3287" width="2" style="446" customWidth="1"/>
    <col min="3288" max="3288" width="2.44140625" style="446" customWidth="1"/>
    <col min="3289" max="3289" width="3" style="446" customWidth="1"/>
    <col min="3290" max="3292" width="2" style="446" customWidth="1"/>
    <col min="3293" max="3293" width="2.88671875" style="446" customWidth="1"/>
    <col min="3294" max="3294" width="3" style="446" customWidth="1"/>
    <col min="3295" max="3295" width="2.6640625" style="446" customWidth="1"/>
    <col min="3296" max="3296" width="2.44140625" style="446" customWidth="1"/>
    <col min="3297" max="3297" width="3.33203125" style="446" customWidth="1"/>
    <col min="3298" max="3298" width="3.5546875" style="446" customWidth="1"/>
    <col min="3299" max="3299" width="4" style="446" customWidth="1"/>
    <col min="3300" max="3300" width="3.44140625" style="446" customWidth="1"/>
    <col min="3301" max="3301" width="3" style="446" customWidth="1"/>
    <col min="3302" max="3535" width="11.44140625" style="446"/>
    <col min="3536" max="3536" width="44.44140625" style="446" customWidth="1"/>
    <col min="3537" max="3537" width="13" style="446" customWidth="1"/>
    <col min="3538" max="3543" width="2" style="446" customWidth="1"/>
    <col min="3544" max="3544" width="2.44140625" style="446" customWidth="1"/>
    <col min="3545" max="3545" width="3" style="446" customWidth="1"/>
    <col min="3546" max="3548" width="2" style="446" customWidth="1"/>
    <col min="3549" max="3549" width="2.88671875" style="446" customWidth="1"/>
    <col min="3550" max="3550" width="3" style="446" customWidth="1"/>
    <col min="3551" max="3551" width="2.6640625" style="446" customWidth="1"/>
    <col min="3552" max="3552" width="2.44140625" style="446" customWidth="1"/>
    <col min="3553" max="3553" width="3.33203125" style="446" customWidth="1"/>
    <col min="3554" max="3554" width="3.5546875" style="446" customWidth="1"/>
    <col min="3555" max="3555" width="4" style="446" customWidth="1"/>
    <col min="3556" max="3556" width="3.44140625" style="446" customWidth="1"/>
    <col min="3557" max="3557" width="3" style="446" customWidth="1"/>
    <col min="3558" max="3791" width="11.44140625" style="446"/>
    <col min="3792" max="3792" width="44.44140625" style="446" customWidth="1"/>
    <col min="3793" max="3793" width="13" style="446" customWidth="1"/>
    <col min="3794" max="3799" width="2" style="446" customWidth="1"/>
    <col min="3800" max="3800" width="2.44140625" style="446" customWidth="1"/>
    <col min="3801" max="3801" width="3" style="446" customWidth="1"/>
    <col min="3802" max="3804" width="2" style="446" customWidth="1"/>
    <col min="3805" max="3805" width="2.88671875" style="446" customWidth="1"/>
    <col min="3806" max="3806" width="3" style="446" customWidth="1"/>
    <col min="3807" max="3807" width="2.6640625" style="446" customWidth="1"/>
    <col min="3808" max="3808" width="2.44140625" style="446" customWidth="1"/>
    <col min="3809" max="3809" width="3.33203125" style="446" customWidth="1"/>
    <col min="3810" max="3810" width="3.5546875" style="446" customWidth="1"/>
    <col min="3811" max="3811" width="4" style="446" customWidth="1"/>
    <col min="3812" max="3812" width="3.44140625" style="446" customWidth="1"/>
    <col min="3813" max="3813" width="3" style="446" customWidth="1"/>
    <col min="3814" max="4047" width="11.44140625" style="446"/>
    <col min="4048" max="4048" width="44.44140625" style="446" customWidth="1"/>
    <col min="4049" max="4049" width="13" style="446" customWidth="1"/>
    <col min="4050" max="4055" width="2" style="446" customWidth="1"/>
    <col min="4056" max="4056" width="2.44140625" style="446" customWidth="1"/>
    <col min="4057" max="4057" width="3" style="446" customWidth="1"/>
    <col min="4058" max="4060" width="2" style="446" customWidth="1"/>
    <col min="4061" max="4061" width="2.88671875" style="446" customWidth="1"/>
    <col min="4062" max="4062" width="3" style="446" customWidth="1"/>
    <col min="4063" max="4063" width="2.6640625" style="446" customWidth="1"/>
    <col min="4064" max="4064" width="2.44140625" style="446" customWidth="1"/>
    <col min="4065" max="4065" width="3.33203125" style="446" customWidth="1"/>
    <col min="4066" max="4066" width="3.5546875" style="446" customWidth="1"/>
    <col min="4067" max="4067" width="4" style="446" customWidth="1"/>
    <col min="4068" max="4068" width="3.44140625" style="446" customWidth="1"/>
    <col min="4069" max="4069" width="3" style="446" customWidth="1"/>
    <col min="4070" max="4303" width="11.44140625" style="446"/>
    <col min="4304" max="4304" width="44.44140625" style="446" customWidth="1"/>
    <col min="4305" max="4305" width="13" style="446" customWidth="1"/>
    <col min="4306" max="4311" width="2" style="446" customWidth="1"/>
    <col min="4312" max="4312" width="2.44140625" style="446" customWidth="1"/>
    <col min="4313" max="4313" width="3" style="446" customWidth="1"/>
    <col min="4314" max="4316" width="2" style="446" customWidth="1"/>
    <col min="4317" max="4317" width="2.88671875" style="446" customWidth="1"/>
    <col min="4318" max="4318" width="3" style="446" customWidth="1"/>
    <col min="4319" max="4319" width="2.6640625" style="446" customWidth="1"/>
    <col min="4320" max="4320" width="2.44140625" style="446" customWidth="1"/>
    <col min="4321" max="4321" width="3.33203125" style="446" customWidth="1"/>
    <col min="4322" max="4322" width="3.5546875" style="446" customWidth="1"/>
    <col min="4323" max="4323" width="4" style="446" customWidth="1"/>
    <col min="4324" max="4324" width="3.44140625" style="446" customWidth="1"/>
    <col min="4325" max="4325" width="3" style="446" customWidth="1"/>
    <col min="4326" max="4559" width="11.44140625" style="446"/>
    <col min="4560" max="4560" width="44.44140625" style="446" customWidth="1"/>
    <col min="4561" max="4561" width="13" style="446" customWidth="1"/>
    <col min="4562" max="4567" width="2" style="446" customWidth="1"/>
    <col min="4568" max="4568" width="2.44140625" style="446" customWidth="1"/>
    <col min="4569" max="4569" width="3" style="446" customWidth="1"/>
    <col min="4570" max="4572" width="2" style="446" customWidth="1"/>
    <col min="4573" max="4573" width="2.88671875" style="446" customWidth="1"/>
    <col min="4574" max="4574" width="3" style="446" customWidth="1"/>
    <col min="4575" max="4575" width="2.6640625" style="446" customWidth="1"/>
    <col min="4576" max="4576" width="2.44140625" style="446" customWidth="1"/>
    <col min="4577" max="4577" width="3.33203125" style="446" customWidth="1"/>
    <col min="4578" max="4578" width="3.5546875" style="446" customWidth="1"/>
    <col min="4579" max="4579" width="4" style="446" customWidth="1"/>
    <col min="4580" max="4580" width="3.44140625" style="446" customWidth="1"/>
    <col min="4581" max="4581" width="3" style="446" customWidth="1"/>
    <col min="4582" max="4815" width="11.44140625" style="446"/>
    <col min="4816" max="4816" width="44.44140625" style="446" customWidth="1"/>
    <col min="4817" max="4817" width="13" style="446" customWidth="1"/>
    <col min="4818" max="4823" width="2" style="446" customWidth="1"/>
    <col min="4824" max="4824" width="2.44140625" style="446" customWidth="1"/>
    <col min="4825" max="4825" width="3" style="446" customWidth="1"/>
    <col min="4826" max="4828" width="2" style="446" customWidth="1"/>
    <col min="4829" max="4829" width="2.88671875" style="446" customWidth="1"/>
    <col min="4830" max="4830" width="3" style="446" customWidth="1"/>
    <col min="4831" max="4831" width="2.6640625" style="446" customWidth="1"/>
    <col min="4832" max="4832" width="2.44140625" style="446" customWidth="1"/>
    <col min="4833" max="4833" width="3.33203125" style="446" customWidth="1"/>
    <col min="4834" max="4834" width="3.5546875" style="446" customWidth="1"/>
    <col min="4835" max="4835" width="4" style="446" customWidth="1"/>
    <col min="4836" max="4836" width="3.44140625" style="446" customWidth="1"/>
    <col min="4837" max="4837" width="3" style="446" customWidth="1"/>
    <col min="4838" max="5071" width="11.44140625" style="446"/>
    <col min="5072" max="5072" width="44.44140625" style="446" customWidth="1"/>
    <col min="5073" max="5073" width="13" style="446" customWidth="1"/>
    <col min="5074" max="5079" width="2" style="446" customWidth="1"/>
    <col min="5080" max="5080" width="2.44140625" style="446" customWidth="1"/>
    <col min="5081" max="5081" width="3" style="446" customWidth="1"/>
    <col min="5082" max="5084" width="2" style="446" customWidth="1"/>
    <col min="5085" max="5085" width="2.88671875" style="446" customWidth="1"/>
    <col min="5086" max="5086" width="3" style="446" customWidth="1"/>
    <col min="5087" max="5087" width="2.6640625" style="446" customWidth="1"/>
    <col min="5088" max="5088" width="2.44140625" style="446" customWidth="1"/>
    <col min="5089" max="5089" width="3.33203125" style="446" customWidth="1"/>
    <col min="5090" max="5090" width="3.5546875" style="446" customWidth="1"/>
    <col min="5091" max="5091" width="4" style="446" customWidth="1"/>
    <col min="5092" max="5092" width="3.44140625" style="446" customWidth="1"/>
    <col min="5093" max="5093" width="3" style="446" customWidth="1"/>
    <col min="5094" max="5327" width="11.44140625" style="446"/>
    <col min="5328" max="5328" width="44.44140625" style="446" customWidth="1"/>
    <col min="5329" max="5329" width="13" style="446" customWidth="1"/>
    <col min="5330" max="5335" width="2" style="446" customWidth="1"/>
    <col min="5336" max="5336" width="2.44140625" style="446" customWidth="1"/>
    <col min="5337" max="5337" width="3" style="446" customWidth="1"/>
    <col min="5338" max="5340" width="2" style="446" customWidth="1"/>
    <col min="5341" max="5341" width="2.88671875" style="446" customWidth="1"/>
    <col min="5342" max="5342" width="3" style="446" customWidth="1"/>
    <col min="5343" max="5343" width="2.6640625" style="446" customWidth="1"/>
    <col min="5344" max="5344" width="2.44140625" style="446" customWidth="1"/>
    <col min="5345" max="5345" width="3.33203125" style="446" customWidth="1"/>
    <col min="5346" max="5346" width="3.5546875" style="446" customWidth="1"/>
    <col min="5347" max="5347" width="4" style="446" customWidth="1"/>
    <col min="5348" max="5348" width="3.44140625" style="446" customWidth="1"/>
    <col min="5349" max="5349" width="3" style="446" customWidth="1"/>
    <col min="5350" max="5583" width="11.44140625" style="446"/>
    <col min="5584" max="5584" width="44.44140625" style="446" customWidth="1"/>
    <col min="5585" max="5585" width="13" style="446" customWidth="1"/>
    <col min="5586" max="5591" width="2" style="446" customWidth="1"/>
    <col min="5592" max="5592" width="2.44140625" style="446" customWidth="1"/>
    <col min="5593" max="5593" width="3" style="446" customWidth="1"/>
    <col min="5594" max="5596" width="2" style="446" customWidth="1"/>
    <col min="5597" max="5597" width="2.88671875" style="446" customWidth="1"/>
    <col min="5598" max="5598" width="3" style="446" customWidth="1"/>
    <col min="5599" max="5599" width="2.6640625" style="446" customWidth="1"/>
    <col min="5600" max="5600" width="2.44140625" style="446" customWidth="1"/>
    <col min="5601" max="5601" width="3.33203125" style="446" customWidth="1"/>
    <col min="5602" max="5602" width="3.5546875" style="446" customWidth="1"/>
    <col min="5603" max="5603" width="4" style="446" customWidth="1"/>
    <col min="5604" max="5604" width="3.44140625" style="446" customWidth="1"/>
    <col min="5605" max="5605" width="3" style="446" customWidth="1"/>
    <col min="5606" max="5839" width="11.44140625" style="446"/>
    <col min="5840" max="5840" width="44.44140625" style="446" customWidth="1"/>
    <col min="5841" max="5841" width="13" style="446" customWidth="1"/>
    <col min="5842" max="5847" width="2" style="446" customWidth="1"/>
    <col min="5848" max="5848" width="2.44140625" style="446" customWidth="1"/>
    <col min="5849" max="5849" width="3" style="446" customWidth="1"/>
    <col min="5850" max="5852" width="2" style="446" customWidth="1"/>
    <col min="5853" max="5853" width="2.88671875" style="446" customWidth="1"/>
    <col min="5854" max="5854" width="3" style="446" customWidth="1"/>
    <col min="5855" max="5855" width="2.6640625" style="446" customWidth="1"/>
    <col min="5856" max="5856" width="2.44140625" style="446" customWidth="1"/>
    <col min="5857" max="5857" width="3.33203125" style="446" customWidth="1"/>
    <col min="5858" max="5858" width="3.5546875" style="446" customWidth="1"/>
    <col min="5859" max="5859" width="4" style="446" customWidth="1"/>
    <col min="5860" max="5860" width="3.44140625" style="446" customWidth="1"/>
    <col min="5861" max="5861" width="3" style="446" customWidth="1"/>
    <col min="5862" max="6095" width="11.44140625" style="446"/>
    <col min="6096" max="6096" width="44.44140625" style="446" customWidth="1"/>
    <col min="6097" max="6097" width="13" style="446" customWidth="1"/>
    <col min="6098" max="6103" width="2" style="446" customWidth="1"/>
    <col min="6104" max="6104" width="2.44140625" style="446" customWidth="1"/>
    <col min="6105" max="6105" width="3" style="446" customWidth="1"/>
    <col min="6106" max="6108" width="2" style="446" customWidth="1"/>
    <col min="6109" max="6109" width="2.88671875" style="446" customWidth="1"/>
    <col min="6110" max="6110" width="3" style="446" customWidth="1"/>
    <col min="6111" max="6111" width="2.6640625" style="446" customWidth="1"/>
    <col min="6112" max="6112" width="2.44140625" style="446" customWidth="1"/>
    <col min="6113" max="6113" width="3.33203125" style="446" customWidth="1"/>
    <col min="6114" max="6114" width="3.5546875" style="446" customWidth="1"/>
    <col min="6115" max="6115" width="4" style="446" customWidth="1"/>
    <col min="6116" max="6116" width="3.44140625" style="446" customWidth="1"/>
    <col min="6117" max="6117" width="3" style="446" customWidth="1"/>
    <col min="6118" max="6351" width="11.44140625" style="446"/>
    <col min="6352" max="6352" width="44.44140625" style="446" customWidth="1"/>
    <col min="6353" max="6353" width="13" style="446" customWidth="1"/>
    <col min="6354" max="6359" width="2" style="446" customWidth="1"/>
    <col min="6360" max="6360" width="2.44140625" style="446" customWidth="1"/>
    <col min="6361" max="6361" width="3" style="446" customWidth="1"/>
    <col min="6362" max="6364" width="2" style="446" customWidth="1"/>
    <col min="6365" max="6365" width="2.88671875" style="446" customWidth="1"/>
    <col min="6366" max="6366" width="3" style="446" customWidth="1"/>
    <col min="6367" max="6367" width="2.6640625" style="446" customWidth="1"/>
    <col min="6368" max="6368" width="2.44140625" style="446" customWidth="1"/>
    <col min="6369" max="6369" width="3.33203125" style="446" customWidth="1"/>
    <col min="6370" max="6370" width="3.5546875" style="446" customWidth="1"/>
    <col min="6371" max="6371" width="4" style="446" customWidth="1"/>
    <col min="6372" max="6372" width="3.44140625" style="446" customWidth="1"/>
    <col min="6373" max="6373" width="3" style="446" customWidth="1"/>
    <col min="6374" max="6607" width="11.44140625" style="446"/>
    <col min="6608" max="6608" width="44.44140625" style="446" customWidth="1"/>
    <col min="6609" max="6609" width="13" style="446" customWidth="1"/>
    <col min="6610" max="6615" width="2" style="446" customWidth="1"/>
    <col min="6616" max="6616" width="2.44140625" style="446" customWidth="1"/>
    <col min="6617" max="6617" width="3" style="446" customWidth="1"/>
    <col min="6618" max="6620" width="2" style="446" customWidth="1"/>
    <col min="6621" max="6621" width="2.88671875" style="446" customWidth="1"/>
    <col min="6622" max="6622" width="3" style="446" customWidth="1"/>
    <col min="6623" max="6623" width="2.6640625" style="446" customWidth="1"/>
    <col min="6624" max="6624" width="2.44140625" style="446" customWidth="1"/>
    <col min="6625" max="6625" width="3.33203125" style="446" customWidth="1"/>
    <col min="6626" max="6626" width="3.5546875" style="446" customWidth="1"/>
    <col min="6627" max="6627" width="4" style="446" customWidth="1"/>
    <col min="6628" max="6628" width="3.44140625" style="446" customWidth="1"/>
    <col min="6629" max="6629" width="3" style="446" customWidth="1"/>
    <col min="6630" max="6863" width="11.44140625" style="446"/>
    <col min="6864" max="6864" width="44.44140625" style="446" customWidth="1"/>
    <col min="6865" max="6865" width="13" style="446" customWidth="1"/>
    <col min="6866" max="6871" width="2" style="446" customWidth="1"/>
    <col min="6872" max="6872" width="2.44140625" style="446" customWidth="1"/>
    <col min="6873" max="6873" width="3" style="446" customWidth="1"/>
    <col min="6874" max="6876" width="2" style="446" customWidth="1"/>
    <col min="6877" max="6877" width="2.88671875" style="446" customWidth="1"/>
    <col min="6878" max="6878" width="3" style="446" customWidth="1"/>
    <col min="6879" max="6879" width="2.6640625" style="446" customWidth="1"/>
    <col min="6880" max="6880" width="2.44140625" style="446" customWidth="1"/>
    <col min="6881" max="6881" width="3.33203125" style="446" customWidth="1"/>
    <col min="6882" max="6882" width="3.5546875" style="446" customWidth="1"/>
    <col min="6883" max="6883" width="4" style="446" customWidth="1"/>
    <col min="6884" max="6884" width="3.44140625" style="446" customWidth="1"/>
    <col min="6885" max="6885" width="3" style="446" customWidth="1"/>
    <col min="6886" max="7119" width="11.44140625" style="446"/>
    <col min="7120" max="7120" width="44.44140625" style="446" customWidth="1"/>
    <col min="7121" max="7121" width="13" style="446" customWidth="1"/>
    <col min="7122" max="7127" width="2" style="446" customWidth="1"/>
    <col min="7128" max="7128" width="2.44140625" style="446" customWidth="1"/>
    <col min="7129" max="7129" width="3" style="446" customWidth="1"/>
    <col min="7130" max="7132" width="2" style="446" customWidth="1"/>
    <col min="7133" max="7133" width="2.88671875" style="446" customWidth="1"/>
    <col min="7134" max="7134" width="3" style="446" customWidth="1"/>
    <col min="7135" max="7135" width="2.6640625" style="446" customWidth="1"/>
    <col min="7136" max="7136" width="2.44140625" style="446" customWidth="1"/>
    <col min="7137" max="7137" width="3.33203125" style="446" customWidth="1"/>
    <col min="7138" max="7138" width="3.5546875" style="446" customWidth="1"/>
    <col min="7139" max="7139" width="4" style="446" customWidth="1"/>
    <col min="7140" max="7140" width="3.44140625" style="446" customWidth="1"/>
    <col min="7141" max="7141" width="3" style="446" customWidth="1"/>
    <col min="7142" max="7375" width="11.44140625" style="446"/>
    <col min="7376" max="7376" width="44.44140625" style="446" customWidth="1"/>
    <col min="7377" max="7377" width="13" style="446" customWidth="1"/>
    <col min="7378" max="7383" width="2" style="446" customWidth="1"/>
    <col min="7384" max="7384" width="2.44140625" style="446" customWidth="1"/>
    <col min="7385" max="7385" width="3" style="446" customWidth="1"/>
    <col min="7386" max="7388" width="2" style="446" customWidth="1"/>
    <col min="7389" max="7389" width="2.88671875" style="446" customWidth="1"/>
    <col min="7390" max="7390" width="3" style="446" customWidth="1"/>
    <col min="7391" max="7391" width="2.6640625" style="446" customWidth="1"/>
    <col min="7392" max="7392" width="2.44140625" style="446" customWidth="1"/>
    <col min="7393" max="7393" width="3.33203125" style="446" customWidth="1"/>
    <col min="7394" max="7394" width="3.5546875" style="446" customWidth="1"/>
    <col min="7395" max="7395" width="4" style="446" customWidth="1"/>
    <col min="7396" max="7396" width="3.44140625" style="446" customWidth="1"/>
    <col min="7397" max="7397" width="3" style="446" customWidth="1"/>
    <col min="7398" max="7631" width="11.44140625" style="446"/>
    <col min="7632" max="7632" width="44.44140625" style="446" customWidth="1"/>
    <col min="7633" max="7633" width="13" style="446" customWidth="1"/>
    <col min="7634" max="7639" width="2" style="446" customWidth="1"/>
    <col min="7640" max="7640" width="2.44140625" style="446" customWidth="1"/>
    <col min="7641" max="7641" width="3" style="446" customWidth="1"/>
    <col min="7642" max="7644" width="2" style="446" customWidth="1"/>
    <col min="7645" max="7645" width="2.88671875" style="446" customWidth="1"/>
    <col min="7646" max="7646" width="3" style="446" customWidth="1"/>
    <col min="7647" max="7647" width="2.6640625" style="446" customWidth="1"/>
    <col min="7648" max="7648" width="2.44140625" style="446" customWidth="1"/>
    <col min="7649" max="7649" width="3.33203125" style="446" customWidth="1"/>
    <col min="7650" max="7650" width="3.5546875" style="446" customWidth="1"/>
    <col min="7651" max="7651" width="4" style="446" customWidth="1"/>
    <col min="7652" max="7652" width="3.44140625" style="446" customWidth="1"/>
    <col min="7653" max="7653" width="3" style="446" customWidth="1"/>
    <col min="7654" max="7887" width="11.44140625" style="446"/>
    <col min="7888" max="7888" width="44.44140625" style="446" customWidth="1"/>
    <col min="7889" max="7889" width="13" style="446" customWidth="1"/>
    <col min="7890" max="7895" width="2" style="446" customWidth="1"/>
    <col min="7896" max="7896" width="2.44140625" style="446" customWidth="1"/>
    <col min="7897" max="7897" width="3" style="446" customWidth="1"/>
    <col min="7898" max="7900" width="2" style="446" customWidth="1"/>
    <col min="7901" max="7901" width="2.88671875" style="446" customWidth="1"/>
    <col min="7902" max="7902" width="3" style="446" customWidth="1"/>
    <col min="7903" max="7903" width="2.6640625" style="446" customWidth="1"/>
    <col min="7904" max="7904" width="2.44140625" style="446" customWidth="1"/>
    <col min="7905" max="7905" width="3.33203125" style="446" customWidth="1"/>
    <col min="7906" max="7906" width="3.5546875" style="446" customWidth="1"/>
    <col min="7907" max="7907" width="4" style="446" customWidth="1"/>
    <col min="7908" max="7908" width="3.44140625" style="446" customWidth="1"/>
    <col min="7909" max="7909" width="3" style="446" customWidth="1"/>
    <col min="7910" max="8143" width="11.44140625" style="446"/>
    <col min="8144" max="8144" width="44.44140625" style="446" customWidth="1"/>
    <col min="8145" max="8145" width="13" style="446" customWidth="1"/>
    <col min="8146" max="8151" width="2" style="446" customWidth="1"/>
    <col min="8152" max="8152" width="2.44140625" style="446" customWidth="1"/>
    <col min="8153" max="8153" width="3" style="446" customWidth="1"/>
    <col min="8154" max="8156" width="2" style="446" customWidth="1"/>
    <col min="8157" max="8157" width="2.88671875" style="446" customWidth="1"/>
    <col min="8158" max="8158" width="3" style="446" customWidth="1"/>
    <col min="8159" max="8159" width="2.6640625" style="446" customWidth="1"/>
    <col min="8160" max="8160" width="2.44140625" style="446" customWidth="1"/>
    <col min="8161" max="8161" width="3.33203125" style="446" customWidth="1"/>
    <col min="8162" max="8162" width="3.5546875" style="446" customWidth="1"/>
    <col min="8163" max="8163" width="4" style="446" customWidth="1"/>
    <col min="8164" max="8164" width="3.44140625" style="446" customWidth="1"/>
    <col min="8165" max="8165" width="3" style="446" customWidth="1"/>
    <col min="8166" max="8399" width="11.44140625" style="446"/>
    <col min="8400" max="8400" width="44.44140625" style="446" customWidth="1"/>
    <col min="8401" max="8401" width="13" style="446" customWidth="1"/>
    <col min="8402" max="8407" width="2" style="446" customWidth="1"/>
    <col min="8408" max="8408" width="2.44140625" style="446" customWidth="1"/>
    <col min="8409" max="8409" width="3" style="446" customWidth="1"/>
    <col min="8410" max="8412" width="2" style="446" customWidth="1"/>
    <col min="8413" max="8413" width="2.88671875" style="446" customWidth="1"/>
    <col min="8414" max="8414" width="3" style="446" customWidth="1"/>
    <col min="8415" max="8415" width="2.6640625" style="446" customWidth="1"/>
    <col min="8416" max="8416" width="2.44140625" style="446" customWidth="1"/>
    <col min="8417" max="8417" width="3.33203125" style="446" customWidth="1"/>
    <col min="8418" max="8418" width="3.5546875" style="446" customWidth="1"/>
    <col min="8419" max="8419" width="4" style="446" customWidth="1"/>
    <col min="8420" max="8420" width="3.44140625" style="446" customWidth="1"/>
    <col min="8421" max="8421" width="3" style="446" customWidth="1"/>
    <col min="8422" max="8655" width="11.44140625" style="446"/>
    <col min="8656" max="8656" width="44.44140625" style="446" customWidth="1"/>
    <col min="8657" max="8657" width="13" style="446" customWidth="1"/>
    <col min="8658" max="8663" width="2" style="446" customWidth="1"/>
    <col min="8664" max="8664" width="2.44140625" style="446" customWidth="1"/>
    <col min="8665" max="8665" width="3" style="446" customWidth="1"/>
    <col min="8666" max="8668" width="2" style="446" customWidth="1"/>
    <col min="8669" max="8669" width="2.88671875" style="446" customWidth="1"/>
    <col min="8670" max="8670" width="3" style="446" customWidth="1"/>
    <col min="8671" max="8671" width="2.6640625" style="446" customWidth="1"/>
    <col min="8672" max="8672" width="2.44140625" style="446" customWidth="1"/>
    <col min="8673" max="8673" width="3.33203125" style="446" customWidth="1"/>
    <col min="8674" max="8674" width="3.5546875" style="446" customWidth="1"/>
    <col min="8675" max="8675" width="4" style="446" customWidth="1"/>
    <col min="8676" max="8676" width="3.44140625" style="446" customWidth="1"/>
    <col min="8677" max="8677" width="3" style="446" customWidth="1"/>
    <col min="8678" max="8911" width="11.44140625" style="446"/>
    <col min="8912" max="8912" width="44.44140625" style="446" customWidth="1"/>
    <col min="8913" max="8913" width="13" style="446" customWidth="1"/>
    <col min="8914" max="8919" width="2" style="446" customWidth="1"/>
    <col min="8920" max="8920" width="2.44140625" style="446" customWidth="1"/>
    <col min="8921" max="8921" width="3" style="446" customWidth="1"/>
    <col min="8922" max="8924" width="2" style="446" customWidth="1"/>
    <col min="8925" max="8925" width="2.88671875" style="446" customWidth="1"/>
    <col min="8926" max="8926" width="3" style="446" customWidth="1"/>
    <col min="8927" max="8927" width="2.6640625" style="446" customWidth="1"/>
    <col min="8928" max="8928" width="2.44140625" style="446" customWidth="1"/>
    <col min="8929" max="8929" width="3.33203125" style="446" customWidth="1"/>
    <col min="8930" max="8930" width="3.5546875" style="446" customWidth="1"/>
    <col min="8931" max="8931" width="4" style="446" customWidth="1"/>
    <col min="8932" max="8932" width="3.44140625" style="446" customWidth="1"/>
    <col min="8933" max="8933" width="3" style="446" customWidth="1"/>
    <col min="8934" max="9167" width="11.44140625" style="446"/>
    <col min="9168" max="9168" width="44.44140625" style="446" customWidth="1"/>
    <col min="9169" max="9169" width="13" style="446" customWidth="1"/>
    <col min="9170" max="9175" width="2" style="446" customWidth="1"/>
    <col min="9176" max="9176" width="2.44140625" style="446" customWidth="1"/>
    <col min="9177" max="9177" width="3" style="446" customWidth="1"/>
    <col min="9178" max="9180" width="2" style="446" customWidth="1"/>
    <col min="9181" max="9181" width="2.88671875" style="446" customWidth="1"/>
    <col min="9182" max="9182" width="3" style="446" customWidth="1"/>
    <col min="9183" max="9183" width="2.6640625" style="446" customWidth="1"/>
    <col min="9184" max="9184" width="2.44140625" style="446" customWidth="1"/>
    <col min="9185" max="9185" width="3.33203125" style="446" customWidth="1"/>
    <col min="9186" max="9186" width="3.5546875" style="446" customWidth="1"/>
    <col min="9187" max="9187" width="4" style="446" customWidth="1"/>
    <col min="9188" max="9188" width="3.44140625" style="446" customWidth="1"/>
    <col min="9189" max="9189" width="3" style="446" customWidth="1"/>
    <col min="9190" max="9423" width="11.44140625" style="446"/>
    <col min="9424" max="9424" width="44.44140625" style="446" customWidth="1"/>
    <col min="9425" max="9425" width="13" style="446" customWidth="1"/>
    <col min="9426" max="9431" width="2" style="446" customWidth="1"/>
    <col min="9432" max="9432" width="2.44140625" style="446" customWidth="1"/>
    <col min="9433" max="9433" width="3" style="446" customWidth="1"/>
    <col min="9434" max="9436" width="2" style="446" customWidth="1"/>
    <col min="9437" max="9437" width="2.88671875" style="446" customWidth="1"/>
    <col min="9438" max="9438" width="3" style="446" customWidth="1"/>
    <col min="9439" max="9439" width="2.6640625" style="446" customWidth="1"/>
    <col min="9440" max="9440" width="2.44140625" style="446" customWidth="1"/>
    <col min="9441" max="9441" width="3.33203125" style="446" customWidth="1"/>
    <col min="9442" max="9442" width="3.5546875" style="446" customWidth="1"/>
    <col min="9443" max="9443" width="4" style="446" customWidth="1"/>
    <col min="9444" max="9444" width="3.44140625" style="446" customWidth="1"/>
    <col min="9445" max="9445" width="3" style="446" customWidth="1"/>
    <col min="9446" max="9679" width="11.44140625" style="446"/>
    <col min="9680" max="9680" width="44.44140625" style="446" customWidth="1"/>
    <col min="9681" max="9681" width="13" style="446" customWidth="1"/>
    <col min="9682" max="9687" width="2" style="446" customWidth="1"/>
    <col min="9688" max="9688" width="2.44140625" style="446" customWidth="1"/>
    <col min="9689" max="9689" width="3" style="446" customWidth="1"/>
    <col min="9690" max="9692" width="2" style="446" customWidth="1"/>
    <col min="9693" max="9693" width="2.88671875" style="446" customWidth="1"/>
    <col min="9694" max="9694" width="3" style="446" customWidth="1"/>
    <col min="9695" max="9695" width="2.6640625" style="446" customWidth="1"/>
    <col min="9696" max="9696" width="2.44140625" style="446" customWidth="1"/>
    <col min="9697" max="9697" width="3.33203125" style="446" customWidth="1"/>
    <col min="9698" max="9698" width="3.5546875" style="446" customWidth="1"/>
    <col min="9699" max="9699" width="4" style="446" customWidth="1"/>
    <col min="9700" max="9700" width="3.44140625" style="446" customWidth="1"/>
    <col min="9701" max="9701" width="3" style="446" customWidth="1"/>
    <col min="9702" max="9935" width="11.44140625" style="446"/>
    <col min="9936" max="9936" width="44.44140625" style="446" customWidth="1"/>
    <col min="9937" max="9937" width="13" style="446" customWidth="1"/>
    <col min="9938" max="9943" width="2" style="446" customWidth="1"/>
    <col min="9944" max="9944" width="2.44140625" style="446" customWidth="1"/>
    <col min="9945" max="9945" width="3" style="446" customWidth="1"/>
    <col min="9946" max="9948" width="2" style="446" customWidth="1"/>
    <col min="9949" max="9949" width="2.88671875" style="446" customWidth="1"/>
    <col min="9950" max="9950" width="3" style="446" customWidth="1"/>
    <col min="9951" max="9951" width="2.6640625" style="446" customWidth="1"/>
    <col min="9952" max="9952" width="2.44140625" style="446" customWidth="1"/>
    <col min="9953" max="9953" width="3.33203125" style="446" customWidth="1"/>
    <col min="9954" max="9954" width="3.5546875" style="446" customWidth="1"/>
    <col min="9955" max="9955" width="4" style="446" customWidth="1"/>
    <col min="9956" max="9956" width="3.44140625" style="446" customWidth="1"/>
    <col min="9957" max="9957" width="3" style="446" customWidth="1"/>
    <col min="9958" max="10191" width="11.44140625" style="446"/>
    <col min="10192" max="10192" width="44.44140625" style="446" customWidth="1"/>
    <col min="10193" max="10193" width="13" style="446" customWidth="1"/>
    <col min="10194" max="10199" width="2" style="446" customWidth="1"/>
    <col min="10200" max="10200" width="2.44140625" style="446" customWidth="1"/>
    <col min="10201" max="10201" width="3" style="446" customWidth="1"/>
    <col min="10202" max="10204" width="2" style="446" customWidth="1"/>
    <col min="10205" max="10205" width="2.88671875" style="446" customWidth="1"/>
    <col min="10206" max="10206" width="3" style="446" customWidth="1"/>
    <col min="10207" max="10207" width="2.6640625" style="446" customWidth="1"/>
    <col min="10208" max="10208" width="2.44140625" style="446" customWidth="1"/>
    <col min="10209" max="10209" width="3.33203125" style="446" customWidth="1"/>
    <col min="10210" max="10210" width="3.5546875" style="446" customWidth="1"/>
    <col min="10211" max="10211" width="4" style="446" customWidth="1"/>
    <col min="10212" max="10212" width="3.44140625" style="446" customWidth="1"/>
    <col min="10213" max="10213" width="3" style="446" customWidth="1"/>
    <col min="10214" max="10447" width="11.44140625" style="446"/>
    <col min="10448" max="10448" width="44.44140625" style="446" customWidth="1"/>
    <col min="10449" max="10449" width="13" style="446" customWidth="1"/>
    <col min="10450" max="10455" width="2" style="446" customWidth="1"/>
    <col min="10456" max="10456" width="2.44140625" style="446" customWidth="1"/>
    <col min="10457" max="10457" width="3" style="446" customWidth="1"/>
    <col min="10458" max="10460" width="2" style="446" customWidth="1"/>
    <col min="10461" max="10461" width="2.88671875" style="446" customWidth="1"/>
    <col min="10462" max="10462" width="3" style="446" customWidth="1"/>
    <col min="10463" max="10463" width="2.6640625" style="446" customWidth="1"/>
    <col min="10464" max="10464" width="2.44140625" style="446" customWidth="1"/>
    <col min="10465" max="10465" width="3.33203125" style="446" customWidth="1"/>
    <col min="10466" max="10466" width="3.5546875" style="446" customWidth="1"/>
    <col min="10467" max="10467" width="4" style="446" customWidth="1"/>
    <col min="10468" max="10468" width="3.44140625" style="446" customWidth="1"/>
    <col min="10469" max="10469" width="3" style="446" customWidth="1"/>
    <col min="10470" max="10703" width="11.44140625" style="446"/>
    <col min="10704" max="10704" width="44.44140625" style="446" customWidth="1"/>
    <col min="10705" max="10705" width="13" style="446" customWidth="1"/>
    <col min="10706" max="10711" width="2" style="446" customWidth="1"/>
    <col min="10712" max="10712" width="2.44140625" style="446" customWidth="1"/>
    <col min="10713" max="10713" width="3" style="446" customWidth="1"/>
    <col min="10714" max="10716" width="2" style="446" customWidth="1"/>
    <col min="10717" max="10717" width="2.88671875" style="446" customWidth="1"/>
    <col min="10718" max="10718" width="3" style="446" customWidth="1"/>
    <col min="10719" max="10719" width="2.6640625" style="446" customWidth="1"/>
    <col min="10720" max="10720" width="2.44140625" style="446" customWidth="1"/>
    <col min="10721" max="10721" width="3.33203125" style="446" customWidth="1"/>
    <col min="10722" max="10722" width="3.5546875" style="446" customWidth="1"/>
    <col min="10723" max="10723" width="4" style="446" customWidth="1"/>
    <col min="10724" max="10724" width="3.44140625" style="446" customWidth="1"/>
    <col min="10725" max="10725" width="3" style="446" customWidth="1"/>
    <col min="10726" max="10959" width="11.44140625" style="446"/>
    <col min="10960" max="10960" width="44.44140625" style="446" customWidth="1"/>
    <col min="10961" max="10961" width="13" style="446" customWidth="1"/>
    <col min="10962" max="10967" width="2" style="446" customWidth="1"/>
    <col min="10968" max="10968" width="2.44140625" style="446" customWidth="1"/>
    <col min="10969" max="10969" width="3" style="446" customWidth="1"/>
    <col min="10970" max="10972" width="2" style="446" customWidth="1"/>
    <col min="10973" max="10973" width="2.88671875" style="446" customWidth="1"/>
    <col min="10974" max="10974" width="3" style="446" customWidth="1"/>
    <col min="10975" max="10975" width="2.6640625" style="446" customWidth="1"/>
    <col min="10976" max="10976" width="2.44140625" style="446" customWidth="1"/>
    <col min="10977" max="10977" width="3.33203125" style="446" customWidth="1"/>
    <col min="10978" max="10978" width="3.5546875" style="446" customWidth="1"/>
    <col min="10979" max="10979" width="4" style="446" customWidth="1"/>
    <col min="10980" max="10980" width="3.44140625" style="446" customWidth="1"/>
    <col min="10981" max="10981" width="3" style="446" customWidth="1"/>
    <col min="10982" max="11215" width="11.44140625" style="446"/>
    <col min="11216" max="11216" width="44.44140625" style="446" customWidth="1"/>
    <col min="11217" max="11217" width="13" style="446" customWidth="1"/>
    <col min="11218" max="11223" width="2" style="446" customWidth="1"/>
    <col min="11224" max="11224" width="2.44140625" style="446" customWidth="1"/>
    <col min="11225" max="11225" width="3" style="446" customWidth="1"/>
    <col min="11226" max="11228" width="2" style="446" customWidth="1"/>
    <col min="11229" max="11229" width="2.88671875" style="446" customWidth="1"/>
    <col min="11230" max="11230" width="3" style="446" customWidth="1"/>
    <col min="11231" max="11231" width="2.6640625" style="446" customWidth="1"/>
    <col min="11232" max="11232" width="2.44140625" style="446" customWidth="1"/>
    <col min="11233" max="11233" width="3.33203125" style="446" customWidth="1"/>
    <col min="11234" max="11234" width="3.5546875" style="446" customWidth="1"/>
    <col min="11235" max="11235" width="4" style="446" customWidth="1"/>
    <col min="11236" max="11236" width="3.44140625" style="446" customWidth="1"/>
    <col min="11237" max="11237" width="3" style="446" customWidth="1"/>
    <col min="11238" max="11471" width="11.44140625" style="446"/>
    <col min="11472" max="11472" width="44.44140625" style="446" customWidth="1"/>
    <col min="11473" max="11473" width="13" style="446" customWidth="1"/>
    <col min="11474" max="11479" width="2" style="446" customWidth="1"/>
    <col min="11480" max="11480" width="2.44140625" style="446" customWidth="1"/>
    <col min="11481" max="11481" width="3" style="446" customWidth="1"/>
    <col min="11482" max="11484" width="2" style="446" customWidth="1"/>
    <col min="11485" max="11485" width="2.88671875" style="446" customWidth="1"/>
    <col min="11486" max="11486" width="3" style="446" customWidth="1"/>
    <col min="11487" max="11487" width="2.6640625" style="446" customWidth="1"/>
    <col min="11488" max="11488" width="2.44140625" style="446" customWidth="1"/>
    <col min="11489" max="11489" width="3.33203125" style="446" customWidth="1"/>
    <col min="11490" max="11490" width="3.5546875" style="446" customWidth="1"/>
    <col min="11491" max="11491" width="4" style="446" customWidth="1"/>
    <col min="11492" max="11492" width="3.44140625" style="446" customWidth="1"/>
    <col min="11493" max="11493" width="3" style="446" customWidth="1"/>
    <col min="11494" max="11727" width="11.44140625" style="446"/>
    <col min="11728" max="11728" width="44.44140625" style="446" customWidth="1"/>
    <col min="11729" max="11729" width="13" style="446" customWidth="1"/>
    <col min="11730" max="11735" width="2" style="446" customWidth="1"/>
    <col min="11736" max="11736" width="2.44140625" style="446" customWidth="1"/>
    <col min="11737" max="11737" width="3" style="446" customWidth="1"/>
    <col min="11738" max="11740" width="2" style="446" customWidth="1"/>
    <col min="11741" max="11741" width="2.88671875" style="446" customWidth="1"/>
    <col min="11742" max="11742" width="3" style="446" customWidth="1"/>
    <col min="11743" max="11743" width="2.6640625" style="446" customWidth="1"/>
    <col min="11744" max="11744" width="2.44140625" style="446" customWidth="1"/>
    <col min="11745" max="11745" width="3.33203125" style="446" customWidth="1"/>
    <col min="11746" max="11746" width="3.5546875" style="446" customWidth="1"/>
    <col min="11747" max="11747" width="4" style="446" customWidth="1"/>
    <col min="11748" max="11748" width="3.44140625" style="446" customWidth="1"/>
    <col min="11749" max="11749" width="3" style="446" customWidth="1"/>
    <col min="11750" max="11983" width="11.44140625" style="446"/>
    <col min="11984" max="11984" width="44.44140625" style="446" customWidth="1"/>
    <col min="11985" max="11985" width="13" style="446" customWidth="1"/>
    <col min="11986" max="11991" width="2" style="446" customWidth="1"/>
    <col min="11992" max="11992" width="2.44140625" style="446" customWidth="1"/>
    <col min="11993" max="11993" width="3" style="446" customWidth="1"/>
    <col min="11994" max="11996" width="2" style="446" customWidth="1"/>
    <col min="11997" max="11997" width="2.88671875" style="446" customWidth="1"/>
    <col min="11998" max="11998" width="3" style="446" customWidth="1"/>
    <col min="11999" max="11999" width="2.6640625" style="446" customWidth="1"/>
    <col min="12000" max="12000" width="2.44140625" style="446" customWidth="1"/>
    <col min="12001" max="12001" width="3.33203125" style="446" customWidth="1"/>
    <col min="12002" max="12002" width="3.5546875" style="446" customWidth="1"/>
    <col min="12003" max="12003" width="4" style="446" customWidth="1"/>
    <col min="12004" max="12004" width="3.44140625" style="446" customWidth="1"/>
    <col min="12005" max="12005" width="3" style="446" customWidth="1"/>
    <col min="12006" max="12239" width="11.44140625" style="446"/>
    <col min="12240" max="12240" width="44.44140625" style="446" customWidth="1"/>
    <col min="12241" max="12241" width="13" style="446" customWidth="1"/>
    <col min="12242" max="12247" width="2" style="446" customWidth="1"/>
    <col min="12248" max="12248" width="2.44140625" style="446" customWidth="1"/>
    <col min="12249" max="12249" width="3" style="446" customWidth="1"/>
    <col min="12250" max="12252" width="2" style="446" customWidth="1"/>
    <col min="12253" max="12253" width="2.88671875" style="446" customWidth="1"/>
    <col min="12254" max="12254" width="3" style="446" customWidth="1"/>
    <col min="12255" max="12255" width="2.6640625" style="446" customWidth="1"/>
    <col min="12256" max="12256" width="2.44140625" style="446" customWidth="1"/>
    <col min="12257" max="12257" width="3.33203125" style="446" customWidth="1"/>
    <col min="12258" max="12258" width="3.5546875" style="446" customWidth="1"/>
    <col min="12259" max="12259" width="4" style="446" customWidth="1"/>
    <col min="12260" max="12260" width="3.44140625" style="446" customWidth="1"/>
    <col min="12261" max="12261" width="3" style="446" customWidth="1"/>
    <col min="12262" max="12495" width="11.44140625" style="446"/>
    <col min="12496" max="12496" width="44.44140625" style="446" customWidth="1"/>
    <col min="12497" max="12497" width="13" style="446" customWidth="1"/>
    <col min="12498" max="12503" width="2" style="446" customWidth="1"/>
    <col min="12504" max="12504" width="2.44140625" style="446" customWidth="1"/>
    <col min="12505" max="12505" width="3" style="446" customWidth="1"/>
    <col min="12506" max="12508" width="2" style="446" customWidth="1"/>
    <col min="12509" max="12509" width="2.88671875" style="446" customWidth="1"/>
    <col min="12510" max="12510" width="3" style="446" customWidth="1"/>
    <col min="12511" max="12511" width="2.6640625" style="446" customWidth="1"/>
    <col min="12512" max="12512" width="2.44140625" style="446" customWidth="1"/>
    <col min="12513" max="12513" width="3.33203125" style="446" customWidth="1"/>
    <col min="12514" max="12514" width="3.5546875" style="446" customWidth="1"/>
    <col min="12515" max="12515" width="4" style="446" customWidth="1"/>
    <col min="12516" max="12516" width="3.44140625" style="446" customWidth="1"/>
    <col min="12517" max="12517" width="3" style="446" customWidth="1"/>
    <col min="12518" max="12751" width="11.44140625" style="446"/>
    <col min="12752" max="12752" width="44.44140625" style="446" customWidth="1"/>
    <col min="12753" max="12753" width="13" style="446" customWidth="1"/>
    <col min="12754" max="12759" width="2" style="446" customWidth="1"/>
    <col min="12760" max="12760" width="2.44140625" style="446" customWidth="1"/>
    <col min="12761" max="12761" width="3" style="446" customWidth="1"/>
    <col min="12762" max="12764" width="2" style="446" customWidth="1"/>
    <col min="12765" max="12765" width="2.88671875" style="446" customWidth="1"/>
    <col min="12766" max="12766" width="3" style="446" customWidth="1"/>
    <col min="12767" max="12767" width="2.6640625" style="446" customWidth="1"/>
    <col min="12768" max="12768" width="2.44140625" style="446" customWidth="1"/>
    <col min="12769" max="12769" width="3.33203125" style="446" customWidth="1"/>
    <col min="12770" max="12770" width="3.5546875" style="446" customWidth="1"/>
    <col min="12771" max="12771" width="4" style="446" customWidth="1"/>
    <col min="12772" max="12772" width="3.44140625" style="446" customWidth="1"/>
    <col min="12773" max="12773" width="3" style="446" customWidth="1"/>
    <col min="12774" max="13007" width="11.44140625" style="446"/>
    <col min="13008" max="13008" width="44.44140625" style="446" customWidth="1"/>
    <col min="13009" max="13009" width="13" style="446" customWidth="1"/>
    <col min="13010" max="13015" width="2" style="446" customWidth="1"/>
    <col min="13016" max="13016" width="2.44140625" style="446" customWidth="1"/>
    <col min="13017" max="13017" width="3" style="446" customWidth="1"/>
    <col min="13018" max="13020" width="2" style="446" customWidth="1"/>
    <col min="13021" max="13021" width="2.88671875" style="446" customWidth="1"/>
    <col min="13022" max="13022" width="3" style="446" customWidth="1"/>
    <col min="13023" max="13023" width="2.6640625" style="446" customWidth="1"/>
    <col min="13024" max="13024" width="2.44140625" style="446" customWidth="1"/>
    <col min="13025" max="13025" width="3.33203125" style="446" customWidth="1"/>
    <col min="13026" max="13026" width="3.5546875" style="446" customWidth="1"/>
    <col min="13027" max="13027" width="4" style="446" customWidth="1"/>
    <col min="13028" max="13028" width="3.44140625" style="446" customWidth="1"/>
    <col min="13029" max="13029" width="3" style="446" customWidth="1"/>
    <col min="13030" max="13263" width="11.44140625" style="446"/>
    <col min="13264" max="13264" width="44.44140625" style="446" customWidth="1"/>
    <col min="13265" max="13265" width="13" style="446" customWidth="1"/>
    <col min="13266" max="13271" width="2" style="446" customWidth="1"/>
    <col min="13272" max="13272" width="2.44140625" style="446" customWidth="1"/>
    <col min="13273" max="13273" width="3" style="446" customWidth="1"/>
    <col min="13274" max="13276" width="2" style="446" customWidth="1"/>
    <col min="13277" max="13277" width="2.88671875" style="446" customWidth="1"/>
    <col min="13278" max="13278" width="3" style="446" customWidth="1"/>
    <col min="13279" max="13279" width="2.6640625" style="446" customWidth="1"/>
    <col min="13280" max="13280" width="2.44140625" style="446" customWidth="1"/>
    <col min="13281" max="13281" width="3.33203125" style="446" customWidth="1"/>
    <col min="13282" max="13282" width="3.5546875" style="446" customWidth="1"/>
    <col min="13283" max="13283" width="4" style="446" customWidth="1"/>
    <col min="13284" max="13284" width="3.44140625" style="446" customWidth="1"/>
    <col min="13285" max="13285" width="3" style="446" customWidth="1"/>
    <col min="13286" max="13519" width="11.44140625" style="446"/>
    <col min="13520" max="13520" width="44.44140625" style="446" customWidth="1"/>
    <col min="13521" max="13521" width="13" style="446" customWidth="1"/>
    <col min="13522" max="13527" width="2" style="446" customWidth="1"/>
    <col min="13528" max="13528" width="2.44140625" style="446" customWidth="1"/>
    <col min="13529" max="13529" width="3" style="446" customWidth="1"/>
    <col min="13530" max="13532" width="2" style="446" customWidth="1"/>
    <col min="13533" max="13533" width="2.88671875" style="446" customWidth="1"/>
    <col min="13534" max="13534" width="3" style="446" customWidth="1"/>
    <col min="13535" max="13535" width="2.6640625" style="446" customWidth="1"/>
    <col min="13536" max="13536" width="2.44140625" style="446" customWidth="1"/>
    <col min="13537" max="13537" width="3.33203125" style="446" customWidth="1"/>
    <col min="13538" max="13538" width="3.5546875" style="446" customWidth="1"/>
    <col min="13539" max="13539" width="4" style="446" customWidth="1"/>
    <col min="13540" max="13540" width="3.44140625" style="446" customWidth="1"/>
    <col min="13541" max="13541" width="3" style="446" customWidth="1"/>
    <col min="13542" max="13775" width="11.44140625" style="446"/>
    <col min="13776" max="13776" width="44.44140625" style="446" customWidth="1"/>
    <col min="13777" max="13777" width="13" style="446" customWidth="1"/>
    <col min="13778" max="13783" width="2" style="446" customWidth="1"/>
    <col min="13784" max="13784" width="2.44140625" style="446" customWidth="1"/>
    <col min="13785" max="13785" width="3" style="446" customWidth="1"/>
    <col min="13786" max="13788" width="2" style="446" customWidth="1"/>
    <col min="13789" max="13789" width="2.88671875" style="446" customWidth="1"/>
    <col min="13790" max="13790" width="3" style="446" customWidth="1"/>
    <col min="13791" max="13791" width="2.6640625" style="446" customWidth="1"/>
    <col min="13792" max="13792" width="2.44140625" style="446" customWidth="1"/>
    <col min="13793" max="13793" width="3.33203125" style="446" customWidth="1"/>
    <col min="13794" max="13794" width="3.5546875" style="446" customWidth="1"/>
    <col min="13795" max="13795" width="4" style="446" customWidth="1"/>
    <col min="13796" max="13796" width="3.44140625" style="446" customWidth="1"/>
    <col min="13797" max="13797" width="3" style="446" customWidth="1"/>
    <col min="13798" max="14031" width="11.44140625" style="446"/>
    <col min="14032" max="14032" width="44.44140625" style="446" customWidth="1"/>
    <col min="14033" max="14033" width="13" style="446" customWidth="1"/>
    <col min="14034" max="14039" width="2" style="446" customWidth="1"/>
    <col min="14040" max="14040" width="2.44140625" style="446" customWidth="1"/>
    <col min="14041" max="14041" width="3" style="446" customWidth="1"/>
    <col min="14042" max="14044" width="2" style="446" customWidth="1"/>
    <col min="14045" max="14045" width="2.88671875" style="446" customWidth="1"/>
    <col min="14046" max="14046" width="3" style="446" customWidth="1"/>
    <col min="14047" max="14047" width="2.6640625" style="446" customWidth="1"/>
    <col min="14048" max="14048" width="2.44140625" style="446" customWidth="1"/>
    <col min="14049" max="14049" width="3.33203125" style="446" customWidth="1"/>
    <col min="14050" max="14050" width="3.5546875" style="446" customWidth="1"/>
    <col min="14051" max="14051" width="4" style="446" customWidth="1"/>
    <col min="14052" max="14052" width="3.44140625" style="446" customWidth="1"/>
    <col min="14053" max="14053" width="3" style="446" customWidth="1"/>
    <col min="14054" max="14287" width="11.44140625" style="446"/>
    <col min="14288" max="14288" width="44.44140625" style="446" customWidth="1"/>
    <col min="14289" max="14289" width="13" style="446" customWidth="1"/>
    <col min="14290" max="14295" width="2" style="446" customWidth="1"/>
    <col min="14296" max="14296" width="2.44140625" style="446" customWidth="1"/>
    <col min="14297" max="14297" width="3" style="446" customWidth="1"/>
    <col min="14298" max="14300" width="2" style="446" customWidth="1"/>
    <col min="14301" max="14301" width="2.88671875" style="446" customWidth="1"/>
    <col min="14302" max="14302" width="3" style="446" customWidth="1"/>
    <col min="14303" max="14303" width="2.6640625" style="446" customWidth="1"/>
    <col min="14304" max="14304" width="2.44140625" style="446" customWidth="1"/>
    <col min="14305" max="14305" width="3.33203125" style="446" customWidth="1"/>
    <col min="14306" max="14306" width="3.5546875" style="446" customWidth="1"/>
    <col min="14307" max="14307" width="4" style="446" customWidth="1"/>
    <col min="14308" max="14308" width="3.44140625" style="446" customWidth="1"/>
    <col min="14309" max="14309" width="3" style="446" customWidth="1"/>
    <col min="14310" max="14543" width="11.44140625" style="446"/>
    <col min="14544" max="14544" width="44.44140625" style="446" customWidth="1"/>
    <col min="14545" max="14545" width="13" style="446" customWidth="1"/>
    <col min="14546" max="14551" width="2" style="446" customWidth="1"/>
    <col min="14552" max="14552" width="2.44140625" style="446" customWidth="1"/>
    <col min="14553" max="14553" width="3" style="446" customWidth="1"/>
    <col min="14554" max="14556" width="2" style="446" customWidth="1"/>
    <col min="14557" max="14557" width="2.88671875" style="446" customWidth="1"/>
    <col min="14558" max="14558" width="3" style="446" customWidth="1"/>
    <col min="14559" max="14559" width="2.6640625" style="446" customWidth="1"/>
    <col min="14560" max="14560" width="2.44140625" style="446" customWidth="1"/>
    <col min="14561" max="14561" width="3.33203125" style="446" customWidth="1"/>
    <col min="14562" max="14562" width="3.5546875" style="446" customWidth="1"/>
    <col min="14563" max="14563" width="4" style="446" customWidth="1"/>
    <col min="14564" max="14564" width="3.44140625" style="446" customWidth="1"/>
    <col min="14565" max="14565" width="3" style="446" customWidth="1"/>
    <col min="14566" max="14799" width="11.44140625" style="446"/>
    <col min="14800" max="14800" width="44.44140625" style="446" customWidth="1"/>
    <col min="14801" max="14801" width="13" style="446" customWidth="1"/>
    <col min="14802" max="14807" width="2" style="446" customWidth="1"/>
    <col min="14808" max="14808" width="2.44140625" style="446" customWidth="1"/>
    <col min="14809" max="14809" width="3" style="446" customWidth="1"/>
    <col min="14810" max="14812" width="2" style="446" customWidth="1"/>
    <col min="14813" max="14813" width="2.88671875" style="446" customWidth="1"/>
    <col min="14814" max="14814" width="3" style="446" customWidth="1"/>
    <col min="14815" max="14815" width="2.6640625" style="446" customWidth="1"/>
    <col min="14816" max="14816" width="2.44140625" style="446" customWidth="1"/>
    <col min="14817" max="14817" width="3.33203125" style="446" customWidth="1"/>
    <col min="14818" max="14818" width="3.5546875" style="446" customWidth="1"/>
    <col min="14819" max="14819" width="4" style="446" customWidth="1"/>
    <col min="14820" max="14820" width="3.44140625" style="446" customWidth="1"/>
    <col min="14821" max="14821" width="3" style="446" customWidth="1"/>
    <col min="14822" max="15055" width="11.44140625" style="446"/>
    <col min="15056" max="15056" width="44.44140625" style="446" customWidth="1"/>
    <col min="15057" max="15057" width="13" style="446" customWidth="1"/>
    <col min="15058" max="15063" width="2" style="446" customWidth="1"/>
    <col min="15064" max="15064" width="2.44140625" style="446" customWidth="1"/>
    <col min="15065" max="15065" width="3" style="446" customWidth="1"/>
    <col min="15066" max="15068" width="2" style="446" customWidth="1"/>
    <col min="15069" max="15069" width="2.88671875" style="446" customWidth="1"/>
    <col min="15070" max="15070" width="3" style="446" customWidth="1"/>
    <col min="15071" max="15071" width="2.6640625" style="446" customWidth="1"/>
    <col min="15072" max="15072" width="2.44140625" style="446" customWidth="1"/>
    <col min="15073" max="15073" width="3.33203125" style="446" customWidth="1"/>
    <col min="15074" max="15074" width="3.5546875" style="446" customWidth="1"/>
    <col min="15075" max="15075" width="4" style="446" customWidth="1"/>
    <col min="15076" max="15076" width="3.44140625" style="446" customWidth="1"/>
    <col min="15077" max="15077" width="3" style="446" customWidth="1"/>
    <col min="15078" max="15311" width="11.44140625" style="446"/>
    <col min="15312" max="15312" width="44.44140625" style="446" customWidth="1"/>
    <col min="15313" max="15313" width="13" style="446" customWidth="1"/>
    <col min="15314" max="15319" width="2" style="446" customWidth="1"/>
    <col min="15320" max="15320" width="2.44140625" style="446" customWidth="1"/>
    <col min="15321" max="15321" width="3" style="446" customWidth="1"/>
    <col min="15322" max="15324" width="2" style="446" customWidth="1"/>
    <col min="15325" max="15325" width="2.88671875" style="446" customWidth="1"/>
    <col min="15326" max="15326" width="3" style="446" customWidth="1"/>
    <col min="15327" max="15327" width="2.6640625" style="446" customWidth="1"/>
    <col min="15328" max="15328" width="2.44140625" style="446" customWidth="1"/>
    <col min="15329" max="15329" width="3.33203125" style="446" customWidth="1"/>
    <col min="15330" max="15330" width="3.5546875" style="446" customWidth="1"/>
    <col min="15331" max="15331" width="4" style="446" customWidth="1"/>
    <col min="15332" max="15332" width="3.44140625" style="446" customWidth="1"/>
    <col min="15333" max="15333" width="3" style="446" customWidth="1"/>
    <col min="15334" max="15567" width="11.44140625" style="446"/>
    <col min="15568" max="15568" width="44.44140625" style="446" customWidth="1"/>
    <col min="15569" max="15569" width="13" style="446" customWidth="1"/>
    <col min="15570" max="15575" width="2" style="446" customWidth="1"/>
    <col min="15576" max="15576" width="2.44140625" style="446" customWidth="1"/>
    <col min="15577" max="15577" width="3" style="446" customWidth="1"/>
    <col min="15578" max="15580" width="2" style="446" customWidth="1"/>
    <col min="15581" max="15581" width="2.88671875" style="446" customWidth="1"/>
    <col min="15582" max="15582" width="3" style="446" customWidth="1"/>
    <col min="15583" max="15583" width="2.6640625" style="446" customWidth="1"/>
    <col min="15584" max="15584" width="2.44140625" style="446" customWidth="1"/>
    <col min="15585" max="15585" width="3.33203125" style="446" customWidth="1"/>
    <col min="15586" max="15586" width="3.5546875" style="446" customWidth="1"/>
    <col min="15587" max="15587" width="4" style="446" customWidth="1"/>
    <col min="15588" max="15588" width="3.44140625" style="446" customWidth="1"/>
    <col min="15589" max="15589" width="3" style="446" customWidth="1"/>
    <col min="15590" max="15823" width="11.44140625" style="446"/>
    <col min="15824" max="15824" width="44.44140625" style="446" customWidth="1"/>
    <col min="15825" max="15825" width="13" style="446" customWidth="1"/>
    <col min="15826" max="15831" width="2" style="446" customWidth="1"/>
    <col min="15832" max="15832" width="2.44140625" style="446" customWidth="1"/>
    <col min="15833" max="15833" width="3" style="446" customWidth="1"/>
    <col min="15834" max="15836" width="2" style="446" customWidth="1"/>
    <col min="15837" max="15837" width="2.88671875" style="446" customWidth="1"/>
    <col min="15838" max="15838" width="3" style="446" customWidth="1"/>
    <col min="15839" max="15839" width="2.6640625" style="446" customWidth="1"/>
    <col min="15840" max="15840" width="2.44140625" style="446" customWidth="1"/>
    <col min="15841" max="15841" width="3.33203125" style="446" customWidth="1"/>
    <col min="15842" max="15842" width="3.5546875" style="446" customWidth="1"/>
    <col min="15843" max="15843" width="4" style="446" customWidth="1"/>
    <col min="15844" max="15844" width="3.44140625" style="446" customWidth="1"/>
    <col min="15845" max="15845" width="3" style="446" customWidth="1"/>
    <col min="15846" max="16079" width="11.44140625" style="446"/>
    <col min="16080" max="16080" width="44.44140625" style="446" customWidth="1"/>
    <col min="16081" max="16081" width="13" style="446" customWidth="1"/>
    <col min="16082" max="16087" width="2" style="446" customWidth="1"/>
    <col min="16088" max="16088" width="2.44140625" style="446" customWidth="1"/>
    <col min="16089" max="16089" width="3" style="446" customWidth="1"/>
    <col min="16090" max="16092" width="2" style="446" customWidth="1"/>
    <col min="16093" max="16093" width="2.88671875" style="446" customWidth="1"/>
    <col min="16094" max="16094" width="3" style="446" customWidth="1"/>
    <col min="16095" max="16095" width="2.6640625" style="446" customWidth="1"/>
    <col min="16096" max="16096" width="2.44140625" style="446" customWidth="1"/>
    <col min="16097" max="16097" width="3.33203125" style="446" customWidth="1"/>
    <col min="16098" max="16098" width="3.5546875" style="446" customWidth="1"/>
    <col min="16099" max="16099" width="4" style="446" customWidth="1"/>
    <col min="16100" max="16100" width="3.44140625" style="446" customWidth="1"/>
    <col min="16101" max="16101" width="3" style="446" customWidth="1"/>
    <col min="16102" max="16384" width="11.44140625" style="446"/>
  </cols>
  <sheetData>
    <row r="1" spans="1:27" ht="14.4" x14ac:dyDescent="0.3">
      <c r="A1" s="230" t="s">
        <v>70</v>
      </c>
    </row>
    <row r="2" spans="1:27" ht="14.4" x14ac:dyDescent="0.3">
      <c r="A2" s="230" t="s">
        <v>1</v>
      </c>
    </row>
    <row r="3" spans="1:27" ht="14.4" x14ac:dyDescent="0.3">
      <c r="A3" s="230"/>
    </row>
    <row r="4" spans="1:27" ht="14.4" x14ac:dyDescent="0.3">
      <c r="A4" s="230" t="str">
        <f>PEP!A4</f>
        <v>Programa de Conectividad y Seguridad en Corredores Viales de la Provincia de Buenos Aires</v>
      </c>
    </row>
    <row r="5" spans="1:27" ht="14.4" x14ac:dyDescent="0.3">
      <c r="A5" s="230"/>
    </row>
    <row r="6" spans="1:27" ht="14.4" x14ac:dyDescent="0.3">
      <c r="A6" s="230" t="s">
        <v>71</v>
      </c>
    </row>
    <row r="7" spans="1:27" ht="14.4" x14ac:dyDescent="0.3">
      <c r="A7" s="454"/>
    </row>
    <row r="8" spans="1:27" s="457" customFormat="1" ht="13.8" customHeight="1" x14ac:dyDescent="0.25">
      <c r="A8" s="455" t="s">
        <v>72</v>
      </c>
      <c r="B8" s="456" t="s">
        <v>73</v>
      </c>
      <c r="C8" s="546" t="s">
        <v>74</v>
      </c>
      <c r="D8" s="546"/>
      <c r="E8" s="546"/>
      <c r="F8" s="546"/>
      <c r="G8" s="456"/>
      <c r="H8" s="456"/>
      <c r="I8" s="456" t="str">
        <f>+PEP!C8</f>
        <v>Producto de Matriz de Resultados Asociado</v>
      </c>
      <c r="J8" s="549" t="s">
        <v>75</v>
      </c>
      <c r="K8" s="550"/>
      <c r="L8" s="551"/>
      <c r="M8" s="546" t="s">
        <v>76</v>
      </c>
      <c r="N8" s="546"/>
      <c r="O8" s="547" t="s">
        <v>77</v>
      </c>
      <c r="P8" s="545" t="s">
        <v>19</v>
      </c>
      <c r="Q8" s="545"/>
      <c r="R8" s="545"/>
      <c r="S8" s="545" t="s">
        <v>20</v>
      </c>
      <c r="T8" s="545"/>
      <c r="U8" s="545"/>
      <c r="V8" s="545" t="s">
        <v>21</v>
      </c>
      <c r="W8" s="545"/>
      <c r="X8" s="545"/>
      <c r="Y8" s="545" t="s">
        <v>22</v>
      </c>
      <c r="Z8" s="545"/>
      <c r="AA8" s="545"/>
    </row>
    <row r="9" spans="1:27" s="457" customFormat="1" ht="27.6" x14ac:dyDescent="0.25">
      <c r="A9" s="455" t="s">
        <v>78</v>
      </c>
      <c r="B9" s="458" t="str">
        <f>+'PF M BID'!B11</f>
        <v>Programa de Conectividad y Seguridad en Corredores Viales de la Provincia de Buenos Aires</v>
      </c>
      <c r="C9" s="459" t="s">
        <v>14</v>
      </c>
      <c r="D9" s="459" t="s">
        <v>15</v>
      </c>
      <c r="E9" s="460" t="s">
        <v>79</v>
      </c>
      <c r="F9" s="459" t="s">
        <v>80</v>
      </c>
      <c r="G9" s="459" t="s">
        <v>81</v>
      </c>
      <c r="H9" s="459" t="s">
        <v>15</v>
      </c>
      <c r="I9" s="459"/>
      <c r="J9" s="459" t="s">
        <v>82</v>
      </c>
      <c r="K9" s="459" t="s">
        <v>83</v>
      </c>
      <c r="L9" s="461" t="s">
        <v>18</v>
      </c>
      <c r="M9" s="459" t="s">
        <v>84</v>
      </c>
      <c r="N9" s="459" t="s">
        <v>85</v>
      </c>
      <c r="O9" s="548"/>
      <c r="P9" s="480">
        <v>1</v>
      </c>
      <c r="Q9" s="480">
        <v>2</v>
      </c>
      <c r="R9" s="480">
        <v>3</v>
      </c>
      <c r="S9" s="480">
        <v>4</v>
      </c>
      <c r="T9" s="480">
        <v>5</v>
      </c>
      <c r="U9" s="480">
        <v>6</v>
      </c>
      <c r="V9" s="480">
        <v>7</v>
      </c>
      <c r="W9" s="480">
        <v>8</v>
      </c>
      <c r="X9" s="480">
        <v>9</v>
      </c>
      <c r="Y9" s="480">
        <v>10</v>
      </c>
      <c r="Z9" s="480">
        <v>11</v>
      </c>
      <c r="AA9" s="480">
        <v>12</v>
      </c>
    </row>
    <row r="10" spans="1:27" x14ac:dyDescent="0.25">
      <c r="A10" s="110">
        <f>+'PF M BID'!A12</f>
        <v>1</v>
      </c>
      <c r="B10" s="462" t="str">
        <f>+'PF M BID'!B12</f>
        <v>Componente 1. Obras Civiles e Inspección</v>
      </c>
      <c r="C10" s="463"/>
      <c r="D10" s="463"/>
      <c r="E10" s="78">
        <f>'[3]3. PEP'!G26</f>
        <v>58220000</v>
      </c>
      <c r="F10" s="463"/>
      <c r="G10" s="463"/>
      <c r="H10" s="463"/>
      <c r="I10" s="463"/>
      <c r="J10" s="464"/>
      <c r="K10" s="463"/>
      <c r="L10" s="78">
        <f>+'PF A BID'!I10</f>
        <v>34669534.615384616</v>
      </c>
      <c r="M10" s="463"/>
      <c r="N10" s="463"/>
      <c r="O10" s="46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465">
        <f>+'PF M BID'!A13</f>
        <v>1.1000000000000001</v>
      </c>
      <c r="B11" s="79" t="str">
        <f>+'PF M BID'!B13</f>
        <v>Mejoramiento de la RP Nº 41</v>
      </c>
      <c r="C11" s="112"/>
      <c r="D11" s="112"/>
      <c r="E11" s="82">
        <f>'[3]3. PEP'!G27</f>
        <v>42340000</v>
      </c>
      <c r="F11" s="112"/>
      <c r="G11" s="112"/>
      <c r="H11" s="112"/>
      <c r="I11" s="112"/>
      <c r="J11" s="466"/>
      <c r="K11" s="112"/>
      <c r="L11" s="82">
        <f>+'PF A BID'!I11</f>
        <v>33864000</v>
      </c>
      <c r="M11" s="112"/>
      <c r="N11" s="112"/>
      <c r="O11" s="112"/>
      <c r="P11" s="396"/>
      <c r="Q11" s="396"/>
      <c r="R11" s="396"/>
      <c r="S11" s="396"/>
      <c r="T11" s="396"/>
      <c r="U11" s="396"/>
      <c r="V11" s="396"/>
      <c r="W11" s="396"/>
      <c r="X11" s="396"/>
      <c r="Y11" s="396"/>
      <c r="Z11" s="396"/>
      <c r="AA11" s="396"/>
    </row>
    <row r="12" spans="1:27" ht="41.4" x14ac:dyDescent="0.25">
      <c r="A12" s="467" t="str">
        <f>+'PF A BID'!A12</f>
        <v>1.1.1</v>
      </c>
      <c r="B12" s="84" t="str">
        <f>+'PF A BID'!B12</f>
        <v>Contratación de Firma Constructora para las Obras de Mejoramiento de la Ruta Nº 41</v>
      </c>
      <c r="C12" s="468" t="str">
        <f>'[3]3. PEP'!D28</f>
        <v>T2 - Año 1</v>
      </c>
      <c r="D12" s="468" t="str">
        <f>'[3]3. PEP'!F28</f>
        <v>T3 - Año 3</v>
      </c>
      <c r="E12" s="86">
        <f>'[3]3. PEP'!G28</f>
        <v>13200000</v>
      </c>
      <c r="F12" s="468"/>
      <c r="G12" s="468" t="str">
        <f t="shared" ref="G12:H34" si="0">C12</f>
        <v>T2 - Año 1</v>
      </c>
      <c r="H12" s="468" t="str">
        <f t="shared" si="0"/>
        <v>T3 - Año 3</v>
      </c>
      <c r="I12" s="468" t="str">
        <f>+PEP!C28</f>
        <v>Km de carreteras de la RP Nº41 mejoradas por el programa</v>
      </c>
      <c r="J12" s="474" t="s">
        <v>86</v>
      </c>
      <c r="K12" s="475" t="s">
        <v>87</v>
      </c>
      <c r="L12" s="86">
        <f>+'PF A BID'!I12</f>
        <v>33864000</v>
      </c>
      <c r="M12" s="468"/>
      <c r="N12" s="468"/>
      <c r="O12" s="468"/>
      <c r="P12" s="88"/>
      <c r="Q12" s="88"/>
      <c r="R12" s="88"/>
      <c r="S12" s="88"/>
      <c r="T12" s="88"/>
      <c r="U12" s="88"/>
      <c r="V12" s="88"/>
      <c r="W12" s="89">
        <v>1</v>
      </c>
      <c r="X12" s="89">
        <v>2</v>
      </c>
      <c r="Y12" s="89">
        <v>3</v>
      </c>
      <c r="Z12" s="89">
        <v>4</v>
      </c>
      <c r="AA12" s="89">
        <v>5</v>
      </c>
    </row>
    <row r="13" spans="1:27" hidden="1" x14ac:dyDescent="0.25">
      <c r="A13" s="465">
        <f>+'PF A BID'!A13</f>
        <v>1.2</v>
      </c>
      <c r="B13" s="79" t="str">
        <f>+'PF A BID'!B13</f>
        <v>Otras Obras de mejoramiento</v>
      </c>
      <c r="C13" s="112" t="str">
        <f>'[3]3. PEP'!D29</f>
        <v>T2 - Año 2</v>
      </c>
      <c r="D13" s="112" t="str">
        <f>'[3]3. PEP'!F29</f>
        <v>T3 - Año 4</v>
      </c>
      <c r="E13" s="82">
        <f>'[3]3. PEP'!G29</f>
        <v>24800000</v>
      </c>
      <c r="F13" s="112"/>
      <c r="G13" s="112" t="str">
        <f t="shared" si="0"/>
        <v>T2 - Año 2</v>
      </c>
      <c r="H13" s="112" t="str">
        <f t="shared" si="0"/>
        <v>T3 - Año 4</v>
      </c>
      <c r="I13" s="112"/>
      <c r="J13" s="466"/>
      <c r="K13" s="112"/>
      <c r="L13" s="82">
        <f>+'PF A BID'!I13</f>
        <v>0</v>
      </c>
      <c r="M13" s="112"/>
      <c r="N13" s="112"/>
      <c r="O13" s="112"/>
      <c r="P13" s="396"/>
      <c r="Q13" s="396"/>
      <c r="R13" s="396"/>
      <c r="S13" s="396"/>
      <c r="T13" s="396"/>
      <c r="U13" s="396"/>
      <c r="V13" s="396"/>
      <c r="W13" s="396"/>
      <c r="X13" s="396"/>
      <c r="Y13" s="396"/>
      <c r="Z13" s="396"/>
      <c r="AA13" s="396"/>
    </row>
    <row r="14" spans="1:27" ht="27.6" hidden="1" x14ac:dyDescent="0.25">
      <c r="A14" s="467" t="str">
        <f>+'PF A BID'!A14</f>
        <v>1.2.1</v>
      </c>
      <c r="B14" s="84" t="str">
        <f>+'PF A BID'!B14</f>
        <v>Contratación de Firma Constructora para las Obras de Mejoramiento de la red vial principal de la PBA (Tramo según criterio de elegibilidad)</v>
      </c>
      <c r="C14" s="468" t="str">
        <f>'[3]3. PEP'!D30</f>
        <v>T2 - Año 1</v>
      </c>
      <c r="D14" s="468" t="str">
        <f>'[3]3. PEP'!F30</f>
        <v>T3 - Año 3</v>
      </c>
      <c r="E14" s="86">
        <f>'[3]3. PEP'!G30</f>
        <v>875000</v>
      </c>
      <c r="F14" s="468"/>
      <c r="G14" s="468" t="str">
        <f>C14</f>
        <v>T2 - Año 1</v>
      </c>
      <c r="H14" s="468" t="str">
        <f>D14</f>
        <v>T3 - Año 3</v>
      </c>
      <c r="I14" s="468"/>
      <c r="J14" s="474"/>
      <c r="K14" s="475"/>
      <c r="L14" s="86">
        <f>+'PF A BID'!I14</f>
        <v>0</v>
      </c>
      <c r="M14" s="468"/>
      <c r="N14" s="468"/>
      <c r="O14" s="468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</row>
    <row r="15" spans="1:27" x14ac:dyDescent="0.25">
      <c r="A15" s="465">
        <f>+'PF A BID'!A15</f>
        <v>1.3</v>
      </c>
      <c r="B15" s="79" t="str">
        <f>+'PF A BID'!B15</f>
        <v>Inspección de Obras</v>
      </c>
      <c r="C15" s="112" t="str">
        <f>'[3]3. PEP'!D32</f>
        <v>T2 - Año 1</v>
      </c>
      <c r="D15" s="112" t="str">
        <f>'[3]3. PEP'!F32</f>
        <v>T3 - Año 2</v>
      </c>
      <c r="E15" s="82">
        <f>'[3]3. PEP'!G32</f>
        <v>1820000</v>
      </c>
      <c r="F15" s="112"/>
      <c r="G15" s="112" t="str">
        <f>C15</f>
        <v>T2 - Año 1</v>
      </c>
      <c r="H15" s="112" t="str">
        <f t="shared" ref="H15" si="1">D15</f>
        <v>T3 - Año 2</v>
      </c>
      <c r="I15" s="112"/>
      <c r="J15" s="466"/>
      <c r="K15" s="112"/>
      <c r="L15" s="82">
        <f>+'PF A BID'!I15</f>
        <v>805534.61538461549</v>
      </c>
      <c r="M15" s="112"/>
      <c r="N15" s="112"/>
      <c r="O15" s="11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</row>
    <row r="16" spans="1:27" ht="41.4" x14ac:dyDescent="0.25">
      <c r="A16" s="467" t="str">
        <f>+'PF A BID'!A16</f>
        <v>1.3.1</v>
      </c>
      <c r="B16" s="84" t="str">
        <f>+'PF A BID'!B16</f>
        <v>Contratación de Firmas Consultoras para la inspección de las Obras de la muestra del programa</v>
      </c>
      <c r="C16" s="112"/>
      <c r="D16" s="112"/>
      <c r="E16" s="469">
        <f>'[3]3. PEP'!G33</f>
        <v>4000000</v>
      </c>
      <c r="F16" s="112"/>
      <c r="G16" s="112"/>
      <c r="H16" s="112"/>
      <c r="I16" s="468" t="str">
        <f>+PEP!C32</f>
        <v>Km de carreteras de la RP Nº41 mejoradas por el programa</v>
      </c>
      <c r="J16" s="474" t="s">
        <v>86</v>
      </c>
      <c r="K16" s="475" t="s">
        <v>87</v>
      </c>
      <c r="L16" s="86">
        <f>+'PF A BID'!I16</f>
        <v>805534.61538461549</v>
      </c>
      <c r="M16" s="468"/>
      <c r="N16" s="468"/>
      <c r="O16" s="468"/>
      <c r="P16" s="88"/>
      <c r="Q16" s="88"/>
      <c r="R16" s="88"/>
      <c r="S16" s="88"/>
      <c r="T16" s="88"/>
      <c r="U16" s="89">
        <v>1</v>
      </c>
      <c r="V16" s="89">
        <v>2</v>
      </c>
      <c r="W16" s="89">
        <v>3</v>
      </c>
      <c r="X16" s="89">
        <v>4</v>
      </c>
      <c r="Y16" s="89">
        <v>5</v>
      </c>
      <c r="Z16" s="89">
        <v>6</v>
      </c>
      <c r="AA16" s="89">
        <v>7</v>
      </c>
    </row>
    <row r="17" spans="1:27" hidden="1" x14ac:dyDescent="0.25">
      <c r="A17" s="467" t="str">
        <f>+'PF A BID'!A17</f>
        <v>1.3.2</v>
      </c>
      <c r="B17" s="84" t="str">
        <f>+'PF A BID'!B17</f>
        <v>Contratación de Firmas Consultoras para la inspección de otras Obras de mejoramieto</v>
      </c>
      <c r="C17" s="468" t="str">
        <f>'[3]3. PEP'!D34</f>
        <v>T1 - Año 1</v>
      </c>
      <c r="D17" s="468" t="str">
        <f>'[3]3. PEP'!F34</f>
        <v>T4 - Año 5</v>
      </c>
      <c r="E17" s="86">
        <f>'[3]3. PEP'!G34</f>
        <v>764080</v>
      </c>
      <c r="F17" s="468"/>
      <c r="G17" s="468" t="str">
        <f t="shared" si="0"/>
        <v>T1 - Año 1</v>
      </c>
      <c r="H17" s="468" t="str">
        <f t="shared" si="0"/>
        <v>T4 - Año 5</v>
      </c>
      <c r="I17" s="468"/>
      <c r="J17" s="474"/>
      <c r="K17" s="475"/>
      <c r="L17" s="86">
        <f>+'PF A BID'!I17</f>
        <v>0</v>
      </c>
      <c r="M17" s="468"/>
      <c r="N17" s="468"/>
      <c r="O17" s="468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</row>
    <row r="18" spans="1:27" x14ac:dyDescent="0.25">
      <c r="A18" s="110">
        <f>+'PF A BID'!A18</f>
        <v>2</v>
      </c>
      <c r="B18" s="462" t="str">
        <f>+'PF A BID'!B18</f>
        <v>Componente 2. Fortalecimiento Institucional</v>
      </c>
      <c r="C18" s="463" t="e">
        <f>'[3]3. PEP'!#REF!</f>
        <v>#REF!</v>
      </c>
      <c r="D18" s="463" t="e">
        <f>'[3]3. PEP'!#REF!</f>
        <v>#REF!</v>
      </c>
      <c r="E18" s="78" t="e">
        <f>'[3]3. PEP'!#REF!</f>
        <v>#REF!</v>
      </c>
      <c r="F18" s="463"/>
      <c r="G18" s="463" t="e">
        <f t="shared" si="0"/>
        <v>#REF!</v>
      </c>
      <c r="H18" s="463" t="e">
        <f t="shared" si="0"/>
        <v>#REF!</v>
      </c>
      <c r="I18" s="463"/>
      <c r="J18" s="464"/>
      <c r="K18" s="463"/>
      <c r="L18" s="78">
        <f>+'PF A BID'!I18</f>
        <v>2080000</v>
      </c>
      <c r="M18" s="463"/>
      <c r="N18" s="463"/>
      <c r="O18" s="463"/>
      <c r="P18" s="393"/>
      <c r="Q18" s="393"/>
      <c r="R18" s="393"/>
      <c r="S18" s="393"/>
      <c r="T18" s="393"/>
      <c r="U18" s="393"/>
      <c r="V18" s="393"/>
      <c r="W18" s="393"/>
      <c r="X18" s="393"/>
      <c r="Y18" s="393"/>
      <c r="Z18" s="393"/>
      <c r="AA18" s="393"/>
    </row>
    <row r="19" spans="1:27" x14ac:dyDescent="0.25">
      <c r="A19" s="465">
        <f>+'PF A BID'!A19</f>
        <v>2.1</v>
      </c>
      <c r="B19" s="79" t="str">
        <f>+'PF A BID'!B19</f>
        <v>Estudios de Pre inversión</v>
      </c>
      <c r="C19" s="112"/>
      <c r="D19" s="112"/>
      <c r="E19" s="82"/>
      <c r="F19" s="112"/>
      <c r="G19" s="112"/>
      <c r="H19" s="112"/>
      <c r="I19" s="112"/>
      <c r="J19" s="466"/>
      <c r="K19" s="112"/>
      <c r="L19" s="82">
        <f>+'PF A BID'!I19</f>
        <v>1860000</v>
      </c>
      <c r="M19" s="112"/>
      <c r="N19" s="112"/>
      <c r="O19" s="112"/>
      <c r="P19" s="396"/>
      <c r="Q19" s="396"/>
      <c r="R19" s="396"/>
      <c r="S19" s="396"/>
      <c r="T19" s="396"/>
      <c r="U19" s="396"/>
      <c r="V19" s="396"/>
      <c r="W19" s="396"/>
      <c r="X19" s="396"/>
      <c r="Y19" s="396"/>
      <c r="Z19" s="396"/>
      <c r="AA19" s="396"/>
    </row>
    <row r="20" spans="1:27" ht="27" customHeight="1" x14ac:dyDescent="0.25">
      <c r="A20" s="467" t="str">
        <f>+'PF A BID'!A20</f>
        <v>2.1.1</v>
      </c>
      <c r="B20" s="84" t="str">
        <f>+'PF A BID'!B20</f>
        <v>Contratación de Firma Consultora para la elaboración de proyectos ejecutivos del programa de inversión de la DVBA</v>
      </c>
      <c r="C20" s="468"/>
      <c r="D20" s="468"/>
      <c r="E20" s="86"/>
      <c r="F20" s="468"/>
      <c r="G20" s="468"/>
      <c r="H20" s="468"/>
      <c r="I20" s="468" t="str">
        <f>+PEP!C36</f>
        <v>Km de carreteras con proyectos en condiciones de ser licitados</v>
      </c>
      <c r="J20" s="474" t="s">
        <v>86</v>
      </c>
      <c r="K20" s="475" t="s">
        <v>87</v>
      </c>
      <c r="L20" s="86">
        <f>+'PF A BID'!I20</f>
        <v>1860000</v>
      </c>
      <c r="M20" s="468"/>
      <c r="N20" s="468"/>
      <c r="O20" s="468"/>
      <c r="P20" s="87"/>
      <c r="Q20" s="87"/>
      <c r="R20" s="87"/>
      <c r="S20" s="88"/>
      <c r="T20" s="88"/>
      <c r="U20" s="88"/>
      <c r="V20" s="89">
        <v>1</v>
      </c>
      <c r="W20" s="89">
        <v>2</v>
      </c>
      <c r="X20" s="89">
        <v>3</v>
      </c>
      <c r="Y20" s="89">
        <v>4</v>
      </c>
      <c r="Z20" s="89">
        <v>5</v>
      </c>
      <c r="AA20" s="89">
        <v>6</v>
      </c>
    </row>
    <row r="21" spans="1:27" x14ac:dyDescent="0.25">
      <c r="A21" s="465">
        <f>+'PF A BID'!A21</f>
        <v>2.2000000000000002</v>
      </c>
      <c r="B21" s="79" t="str">
        <f>+'PF A BID'!B21</f>
        <v>Seguridad Vial</v>
      </c>
      <c r="C21" s="112"/>
      <c r="D21" s="112"/>
      <c r="E21" s="82"/>
      <c r="F21" s="112"/>
      <c r="G21" s="112"/>
      <c r="H21" s="112"/>
      <c r="I21" s="112"/>
      <c r="J21" s="466"/>
      <c r="K21" s="112"/>
      <c r="L21" s="82">
        <f>+'PF A BID'!I21</f>
        <v>120000</v>
      </c>
      <c r="M21" s="112"/>
      <c r="N21" s="112"/>
      <c r="O21" s="112"/>
      <c r="P21" s="396"/>
      <c r="Q21" s="396"/>
      <c r="R21" s="396"/>
      <c r="S21" s="396"/>
      <c r="T21" s="396"/>
      <c r="U21" s="396"/>
      <c r="V21" s="396"/>
      <c r="W21" s="396"/>
      <c r="X21" s="396"/>
      <c r="Y21" s="396"/>
      <c r="Z21" s="396"/>
      <c r="AA21" s="396"/>
    </row>
    <row r="22" spans="1:27" ht="41.4" x14ac:dyDescent="0.25">
      <c r="A22" s="467" t="str">
        <f>+'PF A BID'!A22</f>
        <v>2.2.1</v>
      </c>
      <c r="B22" s="84" t="str">
        <f>+'PF A BID'!B22</f>
        <v>Contratación de Firmas Consultoras para  Auditorías de Seguridad Vial en Corredores</v>
      </c>
      <c r="C22" s="468"/>
      <c r="D22" s="468"/>
      <c r="E22" s="86"/>
      <c r="F22" s="468"/>
      <c r="G22" s="468"/>
      <c r="H22" s="468"/>
      <c r="I22" s="468" t="str">
        <f>+PEP!C38</f>
        <v>Nº de corredores de la RVP de la PBA con auditorías de seguridad vial</v>
      </c>
      <c r="J22" s="474" t="s">
        <v>86</v>
      </c>
      <c r="K22" s="475" t="s">
        <v>87</v>
      </c>
      <c r="L22" s="86">
        <f>+'PF A BID'!I22</f>
        <v>120000</v>
      </c>
      <c r="M22" s="468"/>
      <c r="N22" s="468"/>
      <c r="O22" s="468"/>
      <c r="P22" s="86"/>
      <c r="Q22" s="87"/>
      <c r="R22" s="87"/>
      <c r="S22" s="87"/>
      <c r="T22" s="88"/>
      <c r="U22" s="88"/>
      <c r="V22" s="88"/>
      <c r="W22" s="88"/>
      <c r="X22" s="89">
        <v>1</v>
      </c>
      <c r="Y22" s="89">
        <v>2</v>
      </c>
      <c r="Z22" s="89">
        <v>3</v>
      </c>
      <c r="AA22" s="89">
        <v>4</v>
      </c>
    </row>
    <row r="23" spans="1:27" ht="27.6" x14ac:dyDescent="0.25">
      <c r="A23" s="467" t="str">
        <f>+'PF A BID'!A23</f>
        <v>2.2.2</v>
      </c>
      <c r="B23" s="84" t="str">
        <f>+'PF A BID'!B23</f>
        <v>Contratación de Firma Consultora la elaboración del Plan fortalecimiento del área  de seguridad vial de la DVBA</v>
      </c>
      <c r="C23" s="112"/>
      <c r="D23" s="112"/>
      <c r="E23" s="469">
        <f>'[3]3. PEP'!G40</f>
        <v>11660000</v>
      </c>
      <c r="F23" s="112"/>
      <c r="G23" s="112"/>
      <c r="H23" s="112"/>
      <c r="I23" s="468" t="str">
        <f>+PEP!C39</f>
        <v>Plan de fortalecimiento del área de seguridad vial de la PBA</v>
      </c>
      <c r="J23" s="474" t="s">
        <v>88</v>
      </c>
      <c r="K23" s="475" t="s">
        <v>89</v>
      </c>
      <c r="L23" s="86">
        <f>+'PF A BID'!I23</f>
        <v>0</v>
      </c>
      <c r="M23" s="468"/>
      <c r="N23" s="468"/>
      <c r="O23" s="468"/>
      <c r="P23" s="86"/>
      <c r="Q23" s="86"/>
      <c r="R23" s="86"/>
      <c r="S23" s="86"/>
      <c r="T23" s="86"/>
      <c r="U23" s="86"/>
      <c r="V23" s="87"/>
      <c r="W23" s="87"/>
      <c r="X23" s="87"/>
      <c r="Y23" s="88"/>
      <c r="Z23" s="88"/>
      <c r="AA23" s="88"/>
    </row>
    <row r="24" spans="1:27" x14ac:dyDescent="0.25">
      <c r="A24" s="465">
        <f>+'PF A BID'!A24</f>
        <v>2.2999999999999998</v>
      </c>
      <c r="B24" s="79" t="str">
        <f>+'PF A BID'!B24</f>
        <v>Fortalecimiento de la DVBA</v>
      </c>
      <c r="C24" s="112" t="str">
        <f>'[3]3. PEP'!D41</f>
        <v>T2 - Año 1</v>
      </c>
      <c r="D24" s="112" t="str">
        <f>'[3]3. PEP'!F41</f>
        <v>T1 - Año 3</v>
      </c>
      <c r="E24" s="82">
        <f>'[3]3. PEP'!G41</f>
        <v>6885000</v>
      </c>
      <c r="F24" s="112"/>
      <c r="G24" s="112" t="str">
        <f t="shared" si="0"/>
        <v>T2 - Año 1</v>
      </c>
      <c r="H24" s="112" t="str">
        <f t="shared" si="0"/>
        <v>T1 - Año 3</v>
      </c>
      <c r="I24" s="112"/>
      <c r="J24" s="466"/>
      <c r="K24" s="112"/>
      <c r="L24" s="82">
        <f>+'PF A BID'!I24</f>
        <v>100000</v>
      </c>
      <c r="M24" s="112"/>
      <c r="N24" s="112"/>
      <c r="O24" s="112"/>
      <c r="P24" s="396"/>
      <c r="Q24" s="396"/>
      <c r="R24" s="396"/>
      <c r="S24" s="396"/>
      <c r="T24" s="396"/>
      <c r="U24" s="396"/>
      <c r="V24" s="396"/>
      <c r="W24" s="396"/>
      <c r="X24" s="396"/>
      <c r="Y24" s="396"/>
      <c r="Z24" s="396"/>
      <c r="AA24" s="396"/>
    </row>
    <row r="25" spans="1:27" ht="41.4" x14ac:dyDescent="0.25">
      <c r="A25" s="467" t="str">
        <f>+'PF A BID'!A25</f>
        <v>2.3.1</v>
      </c>
      <c r="B25" s="84" t="str">
        <f>+'PF A BID'!B25</f>
        <v>Contratación de Firma Consultora para la elaboración del Plan Maestro de inversión vial de la PBA</v>
      </c>
      <c r="C25" s="85" t="str">
        <f>'[3]3. PEP'!D42</f>
        <v>T3 - Año 2</v>
      </c>
      <c r="D25" s="85" t="str">
        <f>'[3]3. PEP'!F42</f>
        <v>T4 - Año 4</v>
      </c>
      <c r="E25" s="86">
        <f>'[3]3. PEP'!G42</f>
        <v>3315000</v>
      </c>
      <c r="F25" s="85"/>
      <c r="G25" s="85" t="str">
        <f t="shared" si="0"/>
        <v>T3 - Año 2</v>
      </c>
      <c r="H25" s="85" t="str">
        <f t="shared" si="0"/>
        <v>T4 - Año 4</v>
      </c>
      <c r="I25" s="468" t="str">
        <f>+PEP!C41</f>
        <v>Plan de inversión vial de la PBA</v>
      </c>
      <c r="J25" s="474" t="s">
        <v>86</v>
      </c>
      <c r="K25" s="475" t="s">
        <v>87</v>
      </c>
      <c r="L25" s="86">
        <f>+'PF A BID'!I25</f>
        <v>100000</v>
      </c>
      <c r="M25" s="85"/>
      <c r="N25" s="85"/>
      <c r="O25" s="85"/>
      <c r="P25" s="86"/>
      <c r="Q25" s="86"/>
      <c r="R25" s="86"/>
      <c r="S25" s="87"/>
      <c r="T25" s="87"/>
      <c r="U25" s="87"/>
      <c r="V25" s="88"/>
      <c r="W25" s="88"/>
      <c r="X25" s="88"/>
      <c r="Y25" s="88"/>
      <c r="Z25" s="89">
        <v>1</v>
      </c>
      <c r="AA25" s="89">
        <v>2</v>
      </c>
    </row>
    <row r="26" spans="1:27" ht="12" customHeight="1" x14ac:dyDescent="0.25">
      <c r="A26" s="467" t="str">
        <f>+'PF A BID'!A26</f>
        <v>2.3.2</v>
      </c>
      <c r="B26" s="84" t="str">
        <f>+'PF A BID'!B26</f>
        <v>Contratación de Firma Consultora para la mejora de procesos de gestión de Activos Viales</v>
      </c>
      <c r="C26" s="468" t="str">
        <f>'[3]3. PEP'!D43</f>
        <v>T1 - Año 1</v>
      </c>
      <c r="D26" s="468" t="str">
        <f>'[3]3. PEP'!F43</f>
        <v>T1 - Año 3</v>
      </c>
      <c r="E26" s="86">
        <f>'[3]3. PEP'!G43</f>
        <v>460000</v>
      </c>
      <c r="F26" s="468"/>
      <c r="G26" s="468" t="str">
        <f>C26</f>
        <v>T1 - Año 1</v>
      </c>
      <c r="H26" s="468" t="str">
        <f>D26</f>
        <v>T1 - Año 3</v>
      </c>
      <c r="I26" s="468" t="str">
        <f>+PEP!C42</f>
        <v>Sistema de gestión de activos viales de la PBA</v>
      </c>
      <c r="J26" s="474" t="s">
        <v>88</v>
      </c>
      <c r="K26" s="475" t="s">
        <v>89</v>
      </c>
      <c r="L26" s="86">
        <f>+'PF A BID'!I26</f>
        <v>0</v>
      </c>
      <c r="M26" s="85"/>
      <c r="N26" s="85"/>
      <c r="O26" s="85"/>
      <c r="P26" s="86"/>
      <c r="Q26" s="86"/>
      <c r="R26" s="86"/>
      <c r="S26" s="86"/>
      <c r="T26" s="86"/>
      <c r="U26" s="86"/>
      <c r="V26" s="87"/>
      <c r="W26" s="87"/>
      <c r="X26" s="87"/>
      <c r="Y26" s="88"/>
      <c r="Z26" s="88"/>
      <c r="AA26" s="88"/>
    </row>
    <row r="27" spans="1:27" ht="17.25" hidden="1" customHeight="1" x14ac:dyDescent="0.25">
      <c r="A27" s="467" t="str">
        <f>+'PF A BID'!A27</f>
        <v>2.3.4</v>
      </c>
      <c r="B27" s="84" t="str">
        <f>+'PF A BID'!B27</f>
        <v>Adquisición de Software para gestión de activos viales DVBA</v>
      </c>
      <c r="C27" s="468" t="str">
        <f>'[3]3. PEP'!D44</f>
        <v>T2 - Año 2</v>
      </c>
      <c r="D27" s="468" t="str">
        <f>'[3]3. PEP'!F44</f>
        <v>T1 - Año 5</v>
      </c>
      <c r="E27" s="86">
        <f>'[3]3. PEP'!G44</f>
        <v>220000</v>
      </c>
      <c r="F27" s="468"/>
      <c r="G27" s="468" t="str">
        <f t="shared" si="0"/>
        <v>T2 - Año 2</v>
      </c>
      <c r="H27" s="468" t="str">
        <f t="shared" si="0"/>
        <v>T1 - Año 5</v>
      </c>
      <c r="I27" s="468"/>
      <c r="J27" s="474"/>
      <c r="K27" s="475"/>
      <c r="L27" s="86">
        <f>+'PF A BID'!I27</f>
        <v>0</v>
      </c>
      <c r="M27" s="85"/>
      <c r="N27" s="85"/>
      <c r="O27" s="85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</row>
    <row r="28" spans="1:27" x14ac:dyDescent="0.25">
      <c r="A28" s="465">
        <f>+'PF A BID'!A28</f>
        <v>2.4</v>
      </c>
      <c r="B28" s="79" t="str">
        <f>+'PF A BID'!B28</f>
        <v>Fortalecimiento de la AUBASA</v>
      </c>
      <c r="C28" s="112"/>
      <c r="D28" s="112"/>
      <c r="E28" s="82">
        <f>'[3]3. PEP'!G46</f>
        <v>220000</v>
      </c>
      <c r="F28" s="112"/>
      <c r="G28" s="112"/>
      <c r="H28" s="112"/>
      <c r="I28" s="112"/>
      <c r="J28" s="466"/>
      <c r="K28" s="112"/>
      <c r="L28" s="82">
        <f>+'PF A BID'!I28</f>
        <v>0</v>
      </c>
      <c r="M28" s="112"/>
      <c r="N28" s="112"/>
      <c r="O28" s="112"/>
      <c r="P28" s="396"/>
      <c r="Q28" s="396"/>
      <c r="R28" s="396"/>
      <c r="S28" s="396"/>
      <c r="T28" s="396"/>
      <c r="U28" s="396"/>
      <c r="V28" s="396"/>
      <c r="W28" s="396"/>
      <c r="X28" s="396"/>
      <c r="Y28" s="396"/>
      <c r="Z28" s="396"/>
      <c r="AA28" s="396"/>
    </row>
    <row r="29" spans="1:27" ht="27.6" x14ac:dyDescent="0.25">
      <c r="A29" s="467" t="str">
        <f>+'PF A BID'!A29</f>
        <v>2.4.1</v>
      </c>
      <c r="B29" s="84" t="str">
        <f>+'PF A BID'!B29</f>
        <v>Contratación de Firma Consultora para el mejoramiento del sistema de gobernanza de AUBASA</v>
      </c>
      <c r="C29" s="112"/>
      <c r="D29" s="112"/>
      <c r="E29" s="469"/>
      <c r="F29" s="112"/>
      <c r="G29" s="112"/>
      <c r="H29" s="112"/>
      <c r="I29" s="468" t="str">
        <f>+PEP!C45</f>
        <v>Plan de mejora de gobernanza corporativa de AUBASA</v>
      </c>
      <c r="J29" s="474" t="s">
        <v>88</v>
      </c>
      <c r="K29" s="475" t="s">
        <v>89</v>
      </c>
      <c r="L29" s="86">
        <f>+'PF A BID'!I29</f>
        <v>0</v>
      </c>
      <c r="M29" s="468"/>
      <c r="N29" s="468"/>
      <c r="O29" s="468"/>
      <c r="P29" s="86"/>
      <c r="Q29" s="86"/>
      <c r="R29" s="86"/>
      <c r="S29" s="86"/>
      <c r="T29" s="86"/>
      <c r="U29" s="86"/>
      <c r="V29" s="87"/>
      <c r="W29" s="87"/>
      <c r="X29" s="87"/>
      <c r="Y29" s="88"/>
      <c r="Z29" s="88"/>
      <c r="AA29" s="88"/>
    </row>
    <row r="30" spans="1:27" ht="27.6" x14ac:dyDescent="0.25">
      <c r="A30" s="467" t="str">
        <f>+'PF A BID'!A30</f>
        <v>2.4.2</v>
      </c>
      <c r="B30" s="84" t="str">
        <f>+'PF A BID'!B30</f>
        <v>Contratacción de Firma Consultora para la incorporación de ITS en sistema de recaudo de peaje</v>
      </c>
      <c r="C30" s="112"/>
      <c r="D30" s="112"/>
      <c r="E30" s="469"/>
      <c r="F30" s="112"/>
      <c r="G30" s="112"/>
      <c r="H30" s="112"/>
      <c r="I30" s="468" t="str">
        <f>+PEP!C46</f>
        <v>Plan de incorporación de ITS para recaudación de peajes en AUBASA</v>
      </c>
      <c r="J30" s="474" t="s">
        <v>88</v>
      </c>
      <c r="K30" s="475" t="s">
        <v>89</v>
      </c>
      <c r="L30" s="86">
        <f>+'PF A BID'!I30</f>
        <v>0</v>
      </c>
      <c r="M30" s="468"/>
      <c r="N30" s="468"/>
      <c r="O30" s="468"/>
      <c r="P30" s="86"/>
      <c r="Q30" s="86"/>
      <c r="R30" s="86"/>
      <c r="S30" s="86"/>
      <c r="T30" s="86"/>
      <c r="U30" s="86"/>
      <c r="V30" s="87"/>
      <c r="W30" s="87"/>
      <c r="X30" s="87"/>
      <c r="Y30" s="88"/>
      <c r="Z30" s="88"/>
      <c r="AA30" s="88"/>
    </row>
    <row r="31" spans="1:27" x14ac:dyDescent="0.25">
      <c r="A31" s="110">
        <f>+'PF A BID'!A31</f>
        <v>3</v>
      </c>
      <c r="B31" s="462" t="str">
        <f>+'PF A BID'!B31</f>
        <v>Otros Costos</v>
      </c>
      <c r="C31" s="463"/>
      <c r="D31" s="463"/>
      <c r="E31" s="78"/>
      <c r="F31" s="463"/>
      <c r="G31" s="463"/>
      <c r="H31" s="463"/>
      <c r="I31" s="463"/>
      <c r="J31" s="464"/>
      <c r="K31" s="463"/>
      <c r="L31" s="78">
        <f>+'PF A BID'!I31</f>
        <v>199999.99999999997</v>
      </c>
      <c r="M31" s="463"/>
      <c r="N31" s="463"/>
      <c r="O31" s="463"/>
      <c r="P31" s="393"/>
      <c r="Q31" s="393"/>
      <c r="R31" s="393"/>
      <c r="S31" s="393"/>
      <c r="T31" s="393"/>
      <c r="U31" s="393"/>
      <c r="V31" s="393"/>
      <c r="W31" s="393"/>
      <c r="X31" s="393"/>
      <c r="Y31" s="393"/>
      <c r="Z31" s="393"/>
      <c r="AA31" s="393"/>
    </row>
    <row r="32" spans="1:27" x14ac:dyDescent="0.25">
      <c r="A32" s="465">
        <f>+'PF A BID'!A32</f>
        <v>3.1</v>
      </c>
      <c r="B32" s="79" t="str">
        <f>+'PF A BID'!B32</f>
        <v>Administración del Programa</v>
      </c>
      <c r="C32" s="112"/>
      <c r="D32" s="112"/>
      <c r="E32" s="82"/>
      <c r="F32" s="112"/>
      <c r="G32" s="112"/>
      <c r="H32" s="112"/>
      <c r="I32" s="112"/>
      <c r="J32" s="466"/>
      <c r="K32" s="112"/>
      <c r="L32" s="82">
        <f>+'PF A BID'!I32</f>
        <v>199999.99999999997</v>
      </c>
      <c r="M32" s="112"/>
      <c r="N32" s="112"/>
      <c r="O32" s="112"/>
      <c r="P32" s="396"/>
      <c r="Q32" s="396"/>
      <c r="R32" s="396"/>
      <c r="S32" s="396"/>
      <c r="T32" s="396"/>
      <c r="U32" s="396"/>
      <c r="V32" s="396"/>
      <c r="W32" s="396"/>
      <c r="X32" s="396"/>
      <c r="Y32" s="396"/>
      <c r="Z32" s="396"/>
      <c r="AA32" s="396"/>
    </row>
    <row r="33" spans="1:27" x14ac:dyDescent="0.25">
      <c r="A33" s="467" t="str">
        <f>+'PF A BID'!A33</f>
        <v>3.1.1</v>
      </c>
      <c r="B33" s="84" t="str">
        <f>+'PF A BID'!B33</f>
        <v>Contratación de consultores individuales para conformación de UEP dentro de la DVBA</v>
      </c>
      <c r="C33" s="468" t="str">
        <f>'[3]3. PEP'!D47</f>
        <v>T2 - Año 1</v>
      </c>
      <c r="D33" s="468" t="str">
        <f>'[3]3. PEP'!F47</f>
        <v>T2 - Año 4</v>
      </c>
      <c r="E33" s="86">
        <f>'[3]3. PEP'!G47</f>
        <v>90000</v>
      </c>
      <c r="F33" s="468"/>
      <c r="G33" s="468" t="str">
        <f t="shared" si="0"/>
        <v>T2 - Año 1</v>
      </c>
      <c r="H33" s="468" t="str">
        <f t="shared" si="0"/>
        <v>T2 - Año 4</v>
      </c>
      <c r="I33" s="468"/>
      <c r="J33" s="474" t="s">
        <v>90</v>
      </c>
      <c r="K33" s="475" t="s">
        <v>91</v>
      </c>
      <c r="L33" s="86">
        <f>+'PF A BID'!I33</f>
        <v>199999.99999999997</v>
      </c>
      <c r="M33" s="468"/>
      <c r="N33" s="468"/>
      <c r="O33" s="468"/>
      <c r="P33" s="89">
        <v>1</v>
      </c>
      <c r="Q33" s="89">
        <v>2</v>
      </c>
      <c r="R33" s="89">
        <v>3</v>
      </c>
      <c r="S33" s="89">
        <v>4</v>
      </c>
      <c r="T33" s="89">
        <v>5</v>
      </c>
      <c r="U33" s="89">
        <v>6</v>
      </c>
      <c r="V33" s="89">
        <v>7</v>
      </c>
      <c r="W33" s="89">
        <v>8</v>
      </c>
      <c r="X33" s="89">
        <v>9</v>
      </c>
      <c r="Y33" s="89">
        <v>10</v>
      </c>
      <c r="Z33" s="89">
        <v>11</v>
      </c>
      <c r="AA33" s="89">
        <v>12</v>
      </c>
    </row>
    <row r="34" spans="1:27" x14ac:dyDescent="0.25">
      <c r="A34" s="465">
        <f>+'PF A BID'!A34</f>
        <v>3.2</v>
      </c>
      <c r="B34" s="79" t="str">
        <f>+'PF A BID'!B34</f>
        <v>Auditoria, Monitoreo y Evaluación desarrollados</v>
      </c>
      <c r="C34" s="112" t="str">
        <f>'[3]3. PEP'!D57</f>
        <v>T1 - Año 2</v>
      </c>
      <c r="D34" s="112" t="str">
        <f>'[3]3. PEP'!F57</f>
        <v>T3 - Año 4</v>
      </c>
      <c r="E34" s="82">
        <f>'[3]3. PEP'!G57</f>
        <v>65000</v>
      </c>
      <c r="F34" s="112"/>
      <c r="G34" s="112" t="str">
        <f t="shared" si="0"/>
        <v>T1 - Año 2</v>
      </c>
      <c r="H34" s="112" t="str">
        <f t="shared" si="0"/>
        <v>T3 - Año 4</v>
      </c>
      <c r="I34" s="112"/>
      <c r="J34" s="466"/>
      <c r="K34" s="112"/>
      <c r="L34" s="82">
        <f>+'PF A BID'!I34</f>
        <v>0</v>
      </c>
      <c r="M34" s="112"/>
      <c r="N34" s="112"/>
      <c r="O34" s="112"/>
      <c r="P34" s="396"/>
      <c r="Q34" s="396"/>
      <c r="R34" s="396"/>
      <c r="S34" s="396"/>
      <c r="T34" s="396"/>
      <c r="U34" s="396"/>
      <c r="V34" s="396"/>
      <c r="W34" s="396"/>
      <c r="X34" s="396"/>
      <c r="Y34" s="396"/>
      <c r="Z34" s="396"/>
      <c r="AA34" s="396"/>
    </row>
    <row r="35" spans="1:27" ht="41.4" x14ac:dyDescent="0.25">
      <c r="A35" s="467" t="str">
        <f>+'PF A BID'!A35</f>
        <v>3.2.1</v>
      </c>
      <c r="B35" s="84" t="str">
        <f>+'PF A BID'!B35</f>
        <v>Contratación de Firma Consultora para la Auditoria Externa del Programa</v>
      </c>
      <c r="C35" s="472"/>
      <c r="D35" s="472"/>
      <c r="E35" s="473"/>
      <c r="F35" s="472"/>
      <c r="G35" s="472"/>
      <c r="H35" s="472"/>
      <c r="I35" s="84"/>
      <c r="J35" s="474" t="s">
        <v>86</v>
      </c>
      <c r="K35" s="475" t="s">
        <v>87</v>
      </c>
      <c r="L35" s="86">
        <f>+'PF A BID'!I35</f>
        <v>0</v>
      </c>
      <c r="M35" s="468"/>
      <c r="N35" s="468"/>
      <c r="O35" s="468"/>
      <c r="P35" s="86"/>
      <c r="Q35" s="86"/>
      <c r="R35" s="86"/>
      <c r="S35" s="86"/>
      <c r="T35" s="87"/>
      <c r="U35" s="87"/>
      <c r="V35" s="87"/>
      <c r="W35" s="88"/>
      <c r="X35" s="88"/>
      <c r="Y35" s="88"/>
      <c r="Z35" s="89">
        <v>1</v>
      </c>
      <c r="AA35" s="89">
        <v>2</v>
      </c>
    </row>
    <row r="36" spans="1:27" x14ac:dyDescent="0.3">
      <c r="A36" s="239"/>
      <c r="B36" s="239" t="s">
        <v>92</v>
      </c>
      <c r="I36" s="239"/>
      <c r="J36" s="239"/>
      <c r="K36" s="239"/>
      <c r="L36" s="239">
        <f>+L31+L18+L10</f>
        <v>36949534.615384616</v>
      </c>
      <c r="M36" s="239"/>
      <c r="N36" s="239"/>
      <c r="O36" s="239"/>
      <c r="P36" s="470"/>
      <c r="Q36" s="470"/>
      <c r="R36" s="470"/>
      <c r="S36" s="470"/>
      <c r="T36" s="470"/>
      <c r="U36" s="470"/>
      <c r="V36" s="470"/>
      <c r="W36" s="470"/>
      <c r="X36" s="470"/>
      <c r="Y36" s="470"/>
      <c r="Z36" s="470"/>
      <c r="AA36" s="470"/>
    </row>
  </sheetData>
  <mergeCells count="8">
    <mergeCell ref="V8:X8"/>
    <mergeCell ref="Y8:AA8"/>
    <mergeCell ref="C8:F8"/>
    <mergeCell ref="M8:N8"/>
    <mergeCell ref="O8:O9"/>
    <mergeCell ref="P8:R8"/>
    <mergeCell ref="S8:U8"/>
    <mergeCell ref="J8:L8"/>
  </mergeCells>
  <pageMargins left="0.31496062992125984" right="0.35433070866141736" top="0.31496062992125984" bottom="0.23622047244094491" header="0.31496062992125984" footer="0.31496062992125984"/>
  <pageSetup paperSize="9" scale="79" orientation="landscape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zoomScaleNormal="100" workbookViewId="0">
      <selection activeCell="B30" sqref="B30"/>
    </sheetView>
  </sheetViews>
  <sheetFormatPr defaultColWidth="11.44140625" defaultRowHeight="15" x14ac:dyDescent="0.25"/>
  <cols>
    <col min="1" max="1" width="10.44140625" style="1" bestFit="1" customWidth="1"/>
    <col min="2" max="2" width="78.33203125" style="1" bestFit="1" customWidth="1"/>
    <col min="3" max="3" width="17" style="2" customWidth="1"/>
    <col min="4" max="4" width="8.33203125" style="2" bestFit="1" customWidth="1"/>
    <col min="5" max="5" width="18.6640625" style="2" bestFit="1" customWidth="1"/>
    <col min="6" max="6" width="9" style="2" bestFit="1" customWidth="1"/>
    <col min="7" max="7" width="17.44140625" style="2" bestFit="1" customWidth="1"/>
    <col min="8" max="8" width="13.33203125" style="1" bestFit="1" customWidth="1"/>
    <col min="9" max="16384" width="11.44140625" style="1"/>
  </cols>
  <sheetData>
    <row r="1" spans="1:9" ht="16.5" customHeight="1" x14ac:dyDescent="0.25">
      <c r="A1" s="552" t="s">
        <v>93</v>
      </c>
      <c r="B1" s="552"/>
      <c r="C1" s="552"/>
      <c r="D1" s="552"/>
      <c r="E1" s="552"/>
      <c r="F1" s="552"/>
      <c r="G1" s="552"/>
    </row>
    <row r="2" spans="1:9" ht="33.75" customHeight="1" x14ac:dyDescent="0.25">
      <c r="A2" s="553" t="s">
        <v>94</v>
      </c>
      <c r="B2" s="553"/>
      <c r="C2" s="553"/>
      <c r="D2" s="553"/>
      <c r="E2" s="553"/>
      <c r="F2" s="553"/>
      <c r="G2" s="553"/>
    </row>
    <row r="3" spans="1:9" ht="33.75" hidden="1" customHeight="1" x14ac:dyDescent="0.25">
      <c r="A3" s="481"/>
      <c r="B3" s="481"/>
      <c r="C3" s="481"/>
      <c r="D3" s="481"/>
      <c r="E3" s="481"/>
      <c r="F3" s="481"/>
      <c r="G3" s="481"/>
    </row>
    <row r="4" spans="1:9" ht="33.75" hidden="1" customHeight="1" x14ac:dyDescent="0.25">
      <c r="A4" s="481" t="s">
        <v>95</v>
      </c>
      <c r="B4" s="481" t="s">
        <v>96</v>
      </c>
      <c r="C4" s="481"/>
      <c r="D4" s="481"/>
      <c r="E4" s="481"/>
      <c r="F4" s="481"/>
      <c r="G4" s="481"/>
    </row>
    <row r="5" spans="1:9" ht="15" hidden="1" customHeight="1" x14ac:dyDescent="0.25">
      <c r="A5" s="481"/>
      <c r="B5" s="481"/>
      <c r="C5" s="481"/>
      <c r="D5" s="481"/>
      <c r="E5" s="481"/>
      <c r="F5" s="481"/>
      <c r="G5" s="481"/>
    </row>
    <row r="6" spans="1:9" customFormat="1" ht="13.2" hidden="1" x14ac:dyDescent="0.25">
      <c r="A6" s="554"/>
      <c r="B6" s="556" t="s">
        <v>97</v>
      </c>
      <c r="C6" s="17" t="s">
        <v>98</v>
      </c>
      <c r="D6" s="368"/>
      <c r="E6" s="368"/>
      <c r="F6" s="368"/>
      <c r="G6" s="368"/>
    </row>
    <row r="7" spans="1:9" customFormat="1" ht="13.2" hidden="1" x14ac:dyDescent="0.25">
      <c r="A7" s="555"/>
      <c r="B7" s="557"/>
      <c r="C7" s="18" t="s">
        <v>99</v>
      </c>
      <c r="D7" s="18"/>
      <c r="E7" s="18"/>
      <c r="F7" s="18"/>
      <c r="G7" s="18"/>
    </row>
    <row r="8" spans="1:9" customFormat="1" ht="23.25" hidden="1" customHeight="1" x14ac:dyDescent="0.25">
      <c r="A8" s="7">
        <v>1</v>
      </c>
      <c r="B8" s="8" t="s">
        <v>100</v>
      </c>
      <c r="C8" s="9">
        <f>+C9</f>
        <v>502000000</v>
      </c>
      <c r="D8" s="9"/>
      <c r="E8" s="9" t="s">
        <v>101</v>
      </c>
      <c r="F8" s="369"/>
      <c r="G8" s="369" t="s">
        <v>102</v>
      </c>
    </row>
    <row r="9" spans="1:9" s="13" customFormat="1" ht="13.2" hidden="1" x14ac:dyDescent="0.25">
      <c r="A9" s="10">
        <v>1.1000000000000001</v>
      </c>
      <c r="B9" s="11" t="s">
        <v>103</v>
      </c>
      <c r="C9" s="12">
        <f>+C10+C13+C11+C12</f>
        <v>502000000</v>
      </c>
      <c r="D9" s="12"/>
      <c r="E9" s="12">
        <f>+E10+E11+E12+E13</f>
        <v>474000000</v>
      </c>
      <c r="F9" s="12"/>
      <c r="G9" s="12">
        <f>+G10+G11+G12+G13</f>
        <v>28000000</v>
      </c>
      <c r="H9" s="375"/>
      <c r="I9" s="388"/>
    </row>
    <row r="10" spans="1:9" s="13" customFormat="1" ht="13.2" hidden="1" x14ac:dyDescent="0.25">
      <c r="A10" s="242" t="s">
        <v>104</v>
      </c>
      <c r="B10" s="243" t="s">
        <v>105</v>
      </c>
      <c r="C10" s="244">
        <f>+G10+E10</f>
        <v>107000000</v>
      </c>
      <c r="D10" s="244"/>
      <c r="E10" s="244">
        <v>100000000</v>
      </c>
      <c r="F10" s="244"/>
      <c r="G10" s="244">
        <v>7000000</v>
      </c>
      <c r="H10" s="375"/>
      <c r="I10" s="376"/>
    </row>
    <row r="11" spans="1:9" s="13" customFormat="1" ht="13.2" hidden="1" x14ac:dyDescent="0.25">
      <c r="A11" s="242" t="s">
        <v>106</v>
      </c>
      <c r="B11" s="243" t="s">
        <v>107</v>
      </c>
      <c r="C11" s="244">
        <f t="shared" ref="C11:C13" si="0">+G11+E11</f>
        <v>144000000</v>
      </c>
      <c r="D11" s="244"/>
      <c r="E11" s="244">
        <v>135000000</v>
      </c>
      <c r="F11" s="244"/>
      <c r="G11" s="244">
        <v>9000000</v>
      </c>
      <c r="H11" s="375"/>
      <c r="I11" s="376"/>
    </row>
    <row r="12" spans="1:9" s="13" customFormat="1" ht="13.2" hidden="1" x14ac:dyDescent="0.25">
      <c r="A12" s="242" t="s">
        <v>108</v>
      </c>
      <c r="B12" s="243" t="s">
        <v>109</v>
      </c>
      <c r="C12" s="244">
        <f t="shared" si="0"/>
        <v>134000000</v>
      </c>
      <c r="D12" s="244"/>
      <c r="E12" s="244">
        <v>128000000</v>
      </c>
      <c r="F12" s="244"/>
      <c r="G12" s="244">
        <v>6000000</v>
      </c>
      <c r="H12" s="375"/>
      <c r="I12" s="376"/>
    </row>
    <row r="13" spans="1:9" s="13" customFormat="1" ht="13.2" hidden="1" x14ac:dyDescent="0.25">
      <c r="A13" s="242" t="s">
        <v>110</v>
      </c>
      <c r="B13" s="243" t="s">
        <v>111</v>
      </c>
      <c r="C13" s="244">
        <f t="shared" si="0"/>
        <v>117000000</v>
      </c>
      <c r="D13" s="244"/>
      <c r="E13" s="244">
        <v>111000000</v>
      </c>
      <c r="F13" s="244"/>
      <c r="G13" s="244">
        <v>6000000</v>
      </c>
      <c r="H13" s="375"/>
      <c r="I13" s="376"/>
    </row>
    <row r="14" spans="1:9" customFormat="1" ht="18.75" hidden="1" customHeight="1" x14ac:dyDescent="0.25">
      <c r="A14" s="7">
        <v>2</v>
      </c>
      <c r="B14" s="8" t="s">
        <v>112</v>
      </c>
      <c r="C14" s="9" t="e">
        <f>+C15+C16+C17+C18</f>
        <v>#REF!</v>
      </c>
      <c r="D14" s="9"/>
      <c r="E14" s="9" t="e">
        <f>+E15+E16+E17</f>
        <v>#REF!</v>
      </c>
      <c r="F14" s="369"/>
      <c r="G14" s="369"/>
    </row>
    <row r="15" spans="1:9" customFormat="1" ht="18.75" hidden="1" customHeight="1" x14ac:dyDescent="0.25">
      <c r="A15" s="10">
        <v>2.1</v>
      </c>
      <c r="B15" s="11" t="s">
        <v>113</v>
      </c>
      <c r="C15" s="12">
        <f>+'CC D'!I31</f>
        <v>1000000</v>
      </c>
      <c r="D15" s="12"/>
      <c r="E15" s="12">
        <f>+'CC D'!J31</f>
        <v>0</v>
      </c>
      <c r="F15" s="12"/>
      <c r="G15" s="12"/>
    </row>
    <row r="16" spans="1:9" customFormat="1" ht="13.2" hidden="1" x14ac:dyDescent="0.25">
      <c r="A16" s="10">
        <v>2.2000000000000002</v>
      </c>
      <c r="B16" s="11" t="s">
        <v>114</v>
      </c>
      <c r="C16" s="12">
        <f>+'CC D'!I33</f>
        <v>100000</v>
      </c>
      <c r="D16" s="12"/>
      <c r="E16" s="12">
        <f>+'CC D'!J33</f>
        <v>0</v>
      </c>
      <c r="F16" s="12"/>
      <c r="G16" s="12"/>
    </row>
    <row r="17" spans="1:8" s="13" customFormat="1" ht="13.2" hidden="1" x14ac:dyDescent="0.25">
      <c r="A17" s="10">
        <v>2.2999999999999998</v>
      </c>
      <c r="B17" s="11" t="s">
        <v>115</v>
      </c>
      <c r="C17" s="12" t="e">
        <f>+'CC D'!#REF!</f>
        <v>#REF!</v>
      </c>
      <c r="D17" s="12"/>
      <c r="E17" s="12" t="e">
        <f>+'CC D'!#REF!</f>
        <v>#REF!</v>
      </c>
      <c r="F17" s="12"/>
      <c r="G17" s="12"/>
    </row>
    <row r="18" spans="1:8" s="13" customFormat="1" ht="13.2" hidden="1" x14ac:dyDescent="0.25">
      <c r="A18" s="10">
        <v>2.4</v>
      </c>
      <c r="B18" s="11" t="s">
        <v>116</v>
      </c>
      <c r="C18" s="12" t="e">
        <f>+'CC D'!#REF!</f>
        <v>#REF!</v>
      </c>
      <c r="D18" s="12"/>
      <c r="E18" s="12"/>
      <c r="F18" s="12"/>
      <c r="G18" s="12"/>
    </row>
    <row r="19" spans="1:8" customFormat="1" ht="13.2" hidden="1" x14ac:dyDescent="0.25">
      <c r="A19" s="14"/>
      <c r="B19" s="15" t="s">
        <v>117</v>
      </c>
      <c r="C19" s="16" t="e">
        <f>+C14+C8</f>
        <v>#REF!</v>
      </c>
      <c r="D19" s="16"/>
      <c r="E19" s="16"/>
      <c r="F19" s="16"/>
      <c r="G19" s="16"/>
    </row>
    <row r="20" spans="1:8" customFormat="1" ht="13.2" hidden="1" x14ac:dyDescent="0.25"/>
    <row r="21" spans="1:8" customFormat="1" hidden="1" x14ac:dyDescent="0.25">
      <c r="A21" s="1"/>
      <c r="B21" s="1"/>
      <c r="C21" s="2"/>
      <c r="D21" s="2"/>
      <c r="E21" s="2"/>
      <c r="F21" s="2"/>
      <c r="G21" s="2"/>
    </row>
    <row r="22" spans="1:8" s="13" customFormat="1" ht="22.5" hidden="1" customHeight="1" x14ac:dyDescent="0.25">
      <c r="A22" s="1"/>
      <c r="B22" s="1"/>
      <c r="C22" s="2"/>
      <c r="D22" s="2"/>
      <c r="E22" s="2"/>
      <c r="F22" s="2"/>
      <c r="G22" s="2"/>
    </row>
    <row r="23" spans="1:8" customFormat="1" x14ac:dyDescent="0.25">
      <c r="A23" s="1"/>
      <c r="B23" s="1"/>
      <c r="C23" s="2"/>
      <c r="D23" s="2"/>
      <c r="E23" s="2"/>
      <c r="F23" s="2"/>
      <c r="G23" s="2"/>
    </row>
    <row r="24" spans="1:8" s="13" customFormat="1" ht="22.5" customHeight="1" x14ac:dyDescent="0.25">
      <c r="A24" s="481"/>
      <c r="B24" s="481" t="s">
        <v>96</v>
      </c>
      <c r="C24" s="2"/>
      <c r="D24" s="2"/>
      <c r="E24" s="2"/>
      <c r="F24" s="2"/>
      <c r="G24" s="2"/>
    </row>
    <row r="25" spans="1:8" customFormat="1" x14ac:dyDescent="0.25">
      <c r="A25" s="1"/>
      <c r="B25" s="1"/>
      <c r="C25" s="2"/>
      <c r="D25" s="2"/>
      <c r="E25" s="2"/>
      <c r="F25" s="2"/>
      <c r="G25" s="2"/>
    </row>
    <row r="26" spans="1:8" customFormat="1" ht="13.2" x14ac:dyDescent="0.25">
      <c r="A26" s="558"/>
      <c r="B26" s="559" t="s">
        <v>97</v>
      </c>
      <c r="C26" s="482" t="s">
        <v>98</v>
      </c>
      <c r="D26" s="368"/>
      <c r="E26" s="368" t="s">
        <v>118</v>
      </c>
      <c r="F26" s="368"/>
      <c r="G26" s="368" t="s">
        <v>117</v>
      </c>
    </row>
    <row r="27" spans="1:8" customFormat="1" ht="13.2" x14ac:dyDescent="0.25">
      <c r="A27" s="558"/>
      <c r="B27" s="559"/>
      <c r="C27" s="245" t="s">
        <v>99</v>
      </c>
      <c r="D27" s="18"/>
      <c r="E27" s="18" t="s">
        <v>99</v>
      </c>
      <c r="F27" s="18"/>
      <c r="G27" s="18" t="s">
        <v>99</v>
      </c>
    </row>
    <row r="28" spans="1:8" customFormat="1" ht="16.5" customHeight="1" x14ac:dyDescent="0.25">
      <c r="A28" s="246">
        <v>1</v>
      </c>
      <c r="B28" s="247" t="s">
        <v>119</v>
      </c>
      <c r="C28" s="248">
        <f>+C29+C30+C31</f>
        <v>187700000</v>
      </c>
      <c r="D28" s="249">
        <f t="shared" ref="D28:D39" si="1">+C28/G28</f>
        <v>0.70115801270078448</v>
      </c>
      <c r="E28" s="248">
        <f>E29+E30+E31+E33+E34</f>
        <v>80000000</v>
      </c>
      <c r="F28" s="391">
        <f>+E28/G28</f>
        <v>0.29884198729921552</v>
      </c>
      <c r="G28" s="248">
        <f>+G29+G30+G31</f>
        <v>267700000</v>
      </c>
      <c r="H28" s="389"/>
    </row>
    <row r="29" spans="1:8" s="13" customFormat="1" ht="22.5" customHeight="1" x14ac:dyDescent="0.25">
      <c r="A29" s="250">
        <v>1.1000000000000001</v>
      </c>
      <c r="B29" s="251" t="s">
        <v>120</v>
      </c>
      <c r="C29" s="252">
        <f>+'CC D'!I10</f>
        <v>72000000</v>
      </c>
      <c r="D29" s="379">
        <f>+C29/G29</f>
        <v>0.70588235294117652</v>
      </c>
      <c r="E29" s="252">
        <f>+'CC D'!J10</f>
        <v>30000000</v>
      </c>
      <c r="F29" s="379">
        <f>+E29/G29</f>
        <v>0.29411764705882354</v>
      </c>
      <c r="G29" s="252">
        <f>+E29+C29</f>
        <v>102000000</v>
      </c>
      <c r="H29" s="389"/>
    </row>
    <row r="30" spans="1:8" customFormat="1" ht="13.2" x14ac:dyDescent="0.25">
      <c r="A30" s="250">
        <v>1.2</v>
      </c>
      <c r="B30" s="251" t="s">
        <v>121</v>
      </c>
      <c r="C30" s="252">
        <f>'CC D'!I13</f>
        <v>110000000</v>
      </c>
      <c r="D30" s="379">
        <f t="shared" si="1"/>
        <v>0.6875</v>
      </c>
      <c r="E30" s="252">
        <f>'CC D'!J13</f>
        <v>50000000</v>
      </c>
      <c r="F30" s="379">
        <f t="shared" ref="F30:F39" si="2">+E30/G30</f>
        <v>0.3125</v>
      </c>
      <c r="G30" s="252">
        <f t="shared" ref="G30:G31" si="3">+E30+C30</f>
        <v>160000000</v>
      </c>
      <c r="H30" s="389"/>
    </row>
    <row r="31" spans="1:8" customFormat="1" ht="13.2" x14ac:dyDescent="0.25">
      <c r="A31" s="250">
        <v>1.3</v>
      </c>
      <c r="B31" s="251" t="s">
        <v>122</v>
      </c>
      <c r="C31" s="252">
        <f>+'CC D'!I14</f>
        <v>5700000</v>
      </c>
      <c r="D31" s="379">
        <f t="shared" si="1"/>
        <v>1</v>
      </c>
      <c r="E31" s="252">
        <v>0</v>
      </c>
      <c r="F31" s="379">
        <f t="shared" si="2"/>
        <v>0</v>
      </c>
      <c r="G31" s="252">
        <f t="shared" si="3"/>
        <v>5700000</v>
      </c>
      <c r="H31" s="389"/>
    </row>
    <row r="32" spans="1:8" customFormat="1" ht="13.2" x14ac:dyDescent="0.25">
      <c r="A32" s="246">
        <v>2</v>
      </c>
      <c r="B32" s="247" t="s">
        <v>123</v>
      </c>
      <c r="C32" s="248">
        <f>+C33+C34+C35+C36</f>
        <v>11200000</v>
      </c>
      <c r="D32" s="249">
        <f>+C32/G32</f>
        <v>1</v>
      </c>
      <c r="E32" s="248">
        <f>+E35+E36</f>
        <v>0</v>
      </c>
      <c r="F32" s="249">
        <f>+E32/G32</f>
        <v>0</v>
      </c>
      <c r="G32" s="248">
        <f>+G33+G34+G36+G35</f>
        <v>11200000</v>
      </c>
      <c r="H32" s="389"/>
    </row>
    <row r="33" spans="1:8" customFormat="1" ht="13.2" x14ac:dyDescent="0.25">
      <c r="A33" s="250">
        <v>2.1</v>
      </c>
      <c r="B33" s="251" t="s">
        <v>124</v>
      </c>
      <c r="C33" s="252">
        <f>+'CC D'!I18</f>
        <v>6200000</v>
      </c>
      <c r="D33" s="379">
        <f t="shared" si="1"/>
        <v>1</v>
      </c>
      <c r="E33" s="252">
        <v>0</v>
      </c>
      <c r="F33" s="379">
        <f t="shared" si="2"/>
        <v>0</v>
      </c>
      <c r="G33" s="252">
        <f t="shared" ref="G33:G34" si="4">+E33+C33</f>
        <v>6200000</v>
      </c>
      <c r="H33" s="389"/>
    </row>
    <row r="34" spans="1:8" customFormat="1" ht="13.2" x14ac:dyDescent="0.25">
      <c r="A34" s="250">
        <v>2.2000000000000002</v>
      </c>
      <c r="B34" s="251" t="s">
        <v>125</v>
      </c>
      <c r="C34" s="252">
        <f>+'CC D'!I20</f>
        <v>500000</v>
      </c>
      <c r="D34" s="379">
        <f t="shared" si="1"/>
        <v>1</v>
      </c>
      <c r="E34" s="252">
        <v>0</v>
      </c>
      <c r="F34" s="379">
        <f t="shared" si="2"/>
        <v>0</v>
      </c>
      <c r="G34" s="252">
        <f t="shared" si="4"/>
        <v>500000</v>
      </c>
      <c r="H34" s="389"/>
    </row>
    <row r="35" spans="1:8" customFormat="1" ht="16.5" customHeight="1" x14ac:dyDescent="0.25">
      <c r="A35" s="250">
        <v>2.2999999999999998</v>
      </c>
      <c r="B35" s="251" t="s">
        <v>126</v>
      </c>
      <c r="C35" s="252">
        <f>+'CC D'!I23</f>
        <v>4000000</v>
      </c>
      <c r="D35" s="379">
        <f t="shared" si="1"/>
        <v>1</v>
      </c>
      <c r="E35" s="252">
        <v>0</v>
      </c>
      <c r="F35" s="379">
        <f t="shared" si="2"/>
        <v>0</v>
      </c>
      <c r="G35" s="252">
        <f>+E35+C35</f>
        <v>4000000</v>
      </c>
      <c r="H35" s="389"/>
    </row>
    <row r="36" spans="1:8" customFormat="1" ht="13.2" x14ac:dyDescent="0.25">
      <c r="A36" s="250">
        <v>2.4</v>
      </c>
      <c r="B36" s="251" t="s">
        <v>127</v>
      </c>
      <c r="C36" s="252">
        <f>+'CC D'!I27</f>
        <v>500000</v>
      </c>
      <c r="D36" s="379">
        <f t="shared" si="1"/>
        <v>1</v>
      </c>
      <c r="E36" s="252">
        <v>0</v>
      </c>
      <c r="F36" s="379">
        <f t="shared" si="2"/>
        <v>0</v>
      </c>
      <c r="G36" s="252">
        <f>+C36+E36</f>
        <v>500000</v>
      </c>
      <c r="H36" s="389"/>
    </row>
    <row r="37" spans="1:8" customFormat="1" ht="13.2" x14ac:dyDescent="0.25">
      <c r="A37" s="246">
        <v>3</v>
      </c>
      <c r="B37" s="247" t="s">
        <v>112</v>
      </c>
      <c r="C37" s="248">
        <f>+C38+C39</f>
        <v>1100000</v>
      </c>
      <c r="D37" s="248"/>
      <c r="E37" s="248">
        <f>+E38+E39</f>
        <v>0</v>
      </c>
      <c r="F37" s="249">
        <f>+E37/G37</f>
        <v>0</v>
      </c>
      <c r="G37" s="248">
        <f>+G38+G39</f>
        <v>1100000</v>
      </c>
      <c r="H37" s="390"/>
    </row>
    <row r="38" spans="1:8" customFormat="1" ht="13.2" x14ac:dyDescent="0.25">
      <c r="A38" s="250">
        <v>3.1</v>
      </c>
      <c r="B38" s="251" t="s">
        <v>128</v>
      </c>
      <c r="C38" s="252">
        <f>+'CC D'!I31</f>
        <v>1000000</v>
      </c>
      <c r="D38" s="379">
        <f t="shared" si="1"/>
        <v>1</v>
      </c>
      <c r="E38" s="252">
        <v>0</v>
      </c>
      <c r="F38" s="379">
        <f t="shared" si="2"/>
        <v>0</v>
      </c>
      <c r="G38" s="252">
        <f>+C38+E38</f>
        <v>1000000</v>
      </c>
      <c r="H38" s="389"/>
    </row>
    <row r="39" spans="1:8" customFormat="1" ht="13.2" x14ac:dyDescent="0.25">
      <c r="A39" s="250">
        <v>3.2</v>
      </c>
      <c r="B39" s="251" t="s">
        <v>129</v>
      </c>
      <c r="C39" s="252">
        <f>+'CC D'!I33</f>
        <v>100000</v>
      </c>
      <c r="D39" s="379">
        <f t="shared" si="1"/>
        <v>1</v>
      </c>
      <c r="E39" s="252">
        <v>0</v>
      </c>
      <c r="F39" s="379">
        <f t="shared" si="2"/>
        <v>0</v>
      </c>
      <c r="G39" s="252">
        <f>+C39+E39</f>
        <v>100000</v>
      </c>
      <c r="H39" s="389"/>
    </row>
    <row r="40" spans="1:8" x14ac:dyDescent="0.25">
      <c r="A40" s="253"/>
      <c r="B40" s="254" t="s">
        <v>117</v>
      </c>
      <c r="C40" s="255">
        <f>+C32+C28</f>
        <v>198900000</v>
      </c>
      <c r="D40" s="255"/>
      <c r="E40" s="255">
        <f>+E32+E28+E37</f>
        <v>80000000</v>
      </c>
      <c r="F40" s="255"/>
      <c r="G40" s="255">
        <f>+G37+G32+G28</f>
        <v>280000000</v>
      </c>
    </row>
    <row r="48" spans="1:8" x14ac:dyDescent="0.25">
      <c r="B48" s="6"/>
      <c r="C48" s="4"/>
      <c r="D48" s="4"/>
      <c r="E48" s="4"/>
      <c r="F48" s="4"/>
      <c r="G48" s="4"/>
    </row>
    <row r="49" spans="2:7" x14ac:dyDescent="0.25">
      <c r="B49" s="5"/>
      <c r="C49" s="4"/>
      <c r="D49" s="4"/>
      <c r="E49" s="4"/>
      <c r="F49" s="4"/>
      <c r="G49" s="4"/>
    </row>
    <row r="50" spans="2:7" x14ac:dyDescent="0.25">
      <c r="B50" s="5"/>
      <c r="C50" s="4"/>
      <c r="D50" s="4"/>
      <c r="E50" s="4"/>
      <c r="F50" s="4"/>
      <c r="G50" s="4"/>
    </row>
    <row r="51" spans="2:7" x14ac:dyDescent="0.25">
      <c r="B51" s="5"/>
      <c r="C51" s="4"/>
      <c r="D51" s="4"/>
      <c r="E51" s="4"/>
      <c r="F51" s="4"/>
      <c r="G51" s="4"/>
    </row>
    <row r="52" spans="2:7" ht="16.5" customHeight="1" x14ac:dyDescent="0.25">
      <c r="B52" s="3"/>
      <c r="C52" s="4"/>
      <c r="D52" s="4"/>
      <c r="E52" s="4"/>
      <c r="F52" s="4"/>
      <c r="G52" s="4"/>
    </row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2" ht="16.5" customHeight="1" x14ac:dyDescent="0.25"/>
    <row r="88" ht="16.5" customHeight="1" x14ac:dyDescent="0.25"/>
  </sheetData>
  <mergeCells count="6">
    <mergeCell ref="A1:G1"/>
    <mergeCell ref="A2:G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35"/>
  <sheetViews>
    <sheetView showGridLines="0" topLeftCell="A13" zoomScale="85" zoomScaleNormal="85" zoomScaleSheetLayoutView="70" workbookViewId="0">
      <selection activeCell="C25" sqref="C25"/>
    </sheetView>
  </sheetViews>
  <sheetFormatPr defaultColWidth="11.44140625" defaultRowHeight="13.8" x14ac:dyDescent="0.25"/>
  <cols>
    <col min="1" max="1" width="10.109375" style="98" customWidth="1"/>
    <col min="2" max="2" width="55.6640625" style="29" customWidth="1"/>
    <col min="3" max="3" width="37.109375" style="29" bestFit="1" customWidth="1"/>
    <col min="4" max="4" width="15.109375" style="97" bestFit="1" customWidth="1"/>
    <col min="5" max="5" width="14.5546875" style="97" customWidth="1"/>
    <col min="6" max="6" width="14.44140625" style="96" customWidth="1"/>
    <col min="7" max="7" width="19.88671875" style="96" customWidth="1"/>
    <col min="8" max="8" width="14.5546875" style="95" customWidth="1"/>
    <col min="9" max="9" width="16" style="94" bestFit="1" customWidth="1"/>
    <col min="10" max="11" width="16" style="94" customWidth="1"/>
    <col min="12" max="12" width="15.109375" style="23" bestFit="1" customWidth="1"/>
    <col min="13" max="13" width="11.44140625" style="23"/>
    <col min="14" max="14" width="0" style="23" hidden="1" customWidth="1"/>
    <col min="15" max="15" width="11.44140625" style="23"/>
    <col min="16" max="16" width="12.44140625" style="23" bestFit="1" customWidth="1"/>
    <col min="17" max="224" width="11.44140625" style="23"/>
    <col min="225" max="225" width="44.44140625" style="23" customWidth="1"/>
    <col min="226" max="226" width="13" style="23" customWidth="1"/>
    <col min="227" max="232" width="2" style="23" customWidth="1"/>
    <col min="233" max="233" width="2.44140625" style="23" customWidth="1"/>
    <col min="234" max="234" width="3" style="23" customWidth="1"/>
    <col min="235" max="237" width="2" style="23" customWidth="1"/>
    <col min="238" max="238" width="2.88671875" style="23" customWidth="1"/>
    <col min="239" max="239" width="3" style="23" customWidth="1"/>
    <col min="240" max="240" width="2.6640625" style="23" customWidth="1"/>
    <col min="241" max="241" width="2.44140625" style="23" customWidth="1"/>
    <col min="242" max="242" width="3.33203125" style="23" customWidth="1"/>
    <col min="243" max="243" width="3.5546875" style="23" customWidth="1"/>
    <col min="244" max="244" width="4" style="23" customWidth="1"/>
    <col min="245" max="245" width="3.44140625" style="23" customWidth="1"/>
    <col min="246" max="246" width="3" style="23" customWidth="1"/>
    <col min="247" max="480" width="11.44140625" style="23"/>
    <col min="481" max="481" width="44.44140625" style="23" customWidth="1"/>
    <col min="482" max="482" width="13" style="23" customWidth="1"/>
    <col min="483" max="488" width="2" style="23" customWidth="1"/>
    <col min="489" max="489" width="2.44140625" style="23" customWidth="1"/>
    <col min="490" max="490" width="3" style="23" customWidth="1"/>
    <col min="491" max="493" width="2" style="23" customWidth="1"/>
    <col min="494" max="494" width="2.88671875" style="23" customWidth="1"/>
    <col min="495" max="495" width="3" style="23" customWidth="1"/>
    <col min="496" max="496" width="2.6640625" style="23" customWidth="1"/>
    <col min="497" max="497" width="2.44140625" style="23" customWidth="1"/>
    <col min="498" max="498" width="3.33203125" style="23" customWidth="1"/>
    <col min="499" max="499" width="3.5546875" style="23" customWidth="1"/>
    <col min="500" max="500" width="4" style="23" customWidth="1"/>
    <col min="501" max="501" width="3.44140625" style="23" customWidth="1"/>
    <col min="502" max="502" width="3" style="23" customWidth="1"/>
    <col min="503" max="736" width="11.44140625" style="23"/>
    <col min="737" max="737" width="44.44140625" style="23" customWidth="1"/>
    <col min="738" max="738" width="13" style="23" customWidth="1"/>
    <col min="739" max="744" width="2" style="23" customWidth="1"/>
    <col min="745" max="745" width="2.44140625" style="23" customWidth="1"/>
    <col min="746" max="746" width="3" style="23" customWidth="1"/>
    <col min="747" max="749" width="2" style="23" customWidth="1"/>
    <col min="750" max="750" width="2.88671875" style="23" customWidth="1"/>
    <col min="751" max="751" width="3" style="23" customWidth="1"/>
    <col min="752" max="752" width="2.6640625" style="23" customWidth="1"/>
    <col min="753" max="753" width="2.44140625" style="23" customWidth="1"/>
    <col min="754" max="754" width="3.33203125" style="23" customWidth="1"/>
    <col min="755" max="755" width="3.5546875" style="23" customWidth="1"/>
    <col min="756" max="756" width="4" style="23" customWidth="1"/>
    <col min="757" max="757" width="3.44140625" style="23" customWidth="1"/>
    <col min="758" max="758" width="3" style="23" customWidth="1"/>
    <col min="759" max="992" width="11.44140625" style="23"/>
    <col min="993" max="993" width="44.44140625" style="23" customWidth="1"/>
    <col min="994" max="994" width="13" style="23" customWidth="1"/>
    <col min="995" max="1000" width="2" style="23" customWidth="1"/>
    <col min="1001" max="1001" width="2.44140625" style="23" customWidth="1"/>
    <col min="1002" max="1002" width="3" style="23" customWidth="1"/>
    <col min="1003" max="1005" width="2" style="23" customWidth="1"/>
    <col min="1006" max="1006" width="2.88671875" style="23" customWidth="1"/>
    <col min="1007" max="1007" width="3" style="23" customWidth="1"/>
    <col min="1008" max="1008" width="2.6640625" style="23" customWidth="1"/>
    <col min="1009" max="1009" width="2.44140625" style="23" customWidth="1"/>
    <col min="1010" max="1010" width="3.33203125" style="23" customWidth="1"/>
    <col min="1011" max="1011" width="3.5546875" style="23" customWidth="1"/>
    <col min="1012" max="1012" width="4" style="23" customWidth="1"/>
    <col min="1013" max="1013" width="3.44140625" style="23" customWidth="1"/>
    <col min="1014" max="1014" width="3" style="23" customWidth="1"/>
    <col min="1015" max="1248" width="11.44140625" style="23"/>
    <col min="1249" max="1249" width="44.44140625" style="23" customWidth="1"/>
    <col min="1250" max="1250" width="13" style="23" customWidth="1"/>
    <col min="1251" max="1256" width="2" style="23" customWidth="1"/>
    <col min="1257" max="1257" width="2.44140625" style="23" customWidth="1"/>
    <col min="1258" max="1258" width="3" style="23" customWidth="1"/>
    <col min="1259" max="1261" width="2" style="23" customWidth="1"/>
    <col min="1262" max="1262" width="2.88671875" style="23" customWidth="1"/>
    <col min="1263" max="1263" width="3" style="23" customWidth="1"/>
    <col min="1264" max="1264" width="2.6640625" style="23" customWidth="1"/>
    <col min="1265" max="1265" width="2.44140625" style="23" customWidth="1"/>
    <col min="1266" max="1266" width="3.33203125" style="23" customWidth="1"/>
    <col min="1267" max="1267" width="3.5546875" style="23" customWidth="1"/>
    <col min="1268" max="1268" width="4" style="23" customWidth="1"/>
    <col min="1269" max="1269" width="3.44140625" style="23" customWidth="1"/>
    <col min="1270" max="1270" width="3" style="23" customWidth="1"/>
    <col min="1271" max="1504" width="11.44140625" style="23"/>
    <col min="1505" max="1505" width="44.44140625" style="23" customWidth="1"/>
    <col min="1506" max="1506" width="13" style="23" customWidth="1"/>
    <col min="1507" max="1512" width="2" style="23" customWidth="1"/>
    <col min="1513" max="1513" width="2.44140625" style="23" customWidth="1"/>
    <col min="1514" max="1514" width="3" style="23" customWidth="1"/>
    <col min="1515" max="1517" width="2" style="23" customWidth="1"/>
    <col min="1518" max="1518" width="2.88671875" style="23" customWidth="1"/>
    <col min="1519" max="1519" width="3" style="23" customWidth="1"/>
    <col min="1520" max="1520" width="2.6640625" style="23" customWidth="1"/>
    <col min="1521" max="1521" width="2.44140625" style="23" customWidth="1"/>
    <col min="1522" max="1522" width="3.33203125" style="23" customWidth="1"/>
    <col min="1523" max="1523" width="3.5546875" style="23" customWidth="1"/>
    <col min="1524" max="1524" width="4" style="23" customWidth="1"/>
    <col min="1525" max="1525" width="3.44140625" style="23" customWidth="1"/>
    <col min="1526" max="1526" width="3" style="23" customWidth="1"/>
    <col min="1527" max="1760" width="11.44140625" style="23"/>
    <col min="1761" max="1761" width="44.44140625" style="23" customWidth="1"/>
    <col min="1762" max="1762" width="13" style="23" customWidth="1"/>
    <col min="1763" max="1768" width="2" style="23" customWidth="1"/>
    <col min="1769" max="1769" width="2.44140625" style="23" customWidth="1"/>
    <col min="1770" max="1770" width="3" style="23" customWidth="1"/>
    <col min="1771" max="1773" width="2" style="23" customWidth="1"/>
    <col min="1774" max="1774" width="2.88671875" style="23" customWidth="1"/>
    <col min="1775" max="1775" width="3" style="23" customWidth="1"/>
    <col min="1776" max="1776" width="2.6640625" style="23" customWidth="1"/>
    <col min="1777" max="1777" width="2.44140625" style="23" customWidth="1"/>
    <col min="1778" max="1778" width="3.33203125" style="23" customWidth="1"/>
    <col min="1779" max="1779" width="3.5546875" style="23" customWidth="1"/>
    <col min="1780" max="1780" width="4" style="23" customWidth="1"/>
    <col min="1781" max="1781" width="3.44140625" style="23" customWidth="1"/>
    <col min="1782" max="1782" width="3" style="23" customWidth="1"/>
    <col min="1783" max="2016" width="11.44140625" style="23"/>
    <col min="2017" max="2017" width="44.44140625" style="23" customWidth="1"/>
    <col min="2018" max="2018" width="13" style="23" customWidth="1"/>
    <col min="2019" max="2024" width="2" style="23" customWidth="1"/>
    <col min="2025" max="2025" width="2.44140625" style="23" customWidth="1"/>
    <col min="2026" max="2026" width="3" style="23" customWidth="1"/>
    <col min="2027" max="2029" width="2" style="23" customWidth="1"/>
    <col min="2030" max="2030" width="2.88671875" style="23" customWidth="1"/>
    <col min="2031" max="2031" width="3" style="23" customWidth="1"/>
    <col min="2032" max="2032" width="2.6640625" style="23" customWidth="1"/>
    <col min="2033" max="2033" width="2.44140625" style="23" customWidth="1"/>
    <col min="2034" max="2034" width="3.33203125" style="23" customWidth="1"/>
    <col min="2035" max="2035" width="3.5546875" style="23" customWidth="1"/>
    <col min="2036" max="2036" width="4" style="23" customWidth="1"/>
    <col min="2037" max="2037" width="3.44140625" style="23" customWidth="1"/>
    <col min="2038" max="2038" width="3" style="23" customWidth="1"/>
    <col min="2039" max="2272" width="11.44140625" style="23"/>
    <col min="2273" max="2273" width="44.44140625" style="23" customWidth="1"/>
    <col min="2274" max="2274" width="13" style="23" customWidth="1"/>
    <col min="2275" max="2280" width="2" style="23" customWidth="1"/>
    <col min="2281" max="2281" width="2.44140625" style="23" customWidth="1"/>
    <col min="2282" max="2282" width="3" style="23" customWidth="1"/>
    <col min="2283" max="2285" width="2" style="23" customWidth="1"/>
    <col min="2286" max="2286" width="2.88671875" style="23" customWidth="1"/>
    <col min="2287" max="2287" width="3" style="23" customWidth="1"/>
    <col min="2288" max="2288" width="2.6640625" style="23" customWidth="1"/>
    <col min="2289" max="2289" width="2.44140625" style="23" customWidth="1"/>
    <col min="2290" max="2290" width="3.33203125" style="23" customWidth="1"/>
    <col min="2291" max="2291" width="3.5546875" style="23" customWidth="1"/>
    <col min="2292" max="2292" width="4" style="23" customWidth="1"/>
    <col min="2293" max="2293" width="3.44140625" style="23" customWidth="1"/>
    <col min="2294" max="2294" width="3" style="23" customWidth="1"/>
    <col min="2295" max="2528" width="11.44140625" style="23"/>
    <col min="2529" max="2529" width="44.44140625" style="23" customWidth="1"/>
    <col min="2530" max="2530" width="13" style="23" customWidth="1"/>
    <col min="2531" max="2536" width="2" style="23" customWidth="1"/>
    <col min="2537" max="2537" width="2.44140625" style="23" customWidth="1"/>
    <col min="2538" max="2538" width="3" style="23" customWidth="1"/>
    <col min="2539" max="2541" width="2" style="23" customWidth="1"/>
    <col min="2542" max="2542" width="2.88671875" style="23" customWidth="1"/>
    <col min="2543" max="2543" width="3" style="23" customWidth="1"/>
    <col min="2544" max="2544" width="2.6640625" style="23" customWidth="1"/>
    <col min="2545" max="2545" width="2.44140625" style="23" customWidth="1"/>
    <col min="2546" max="2546" width="3.33203125" style="23" customWidth="1"/>
    <col min="2547" max="2547" width="3.5546875" style="23" customWidth="1"/>
    <col min="2548" max="2548" width="4" style="23" customWidth="1"/>
    <col min="2549" max="2549" width="3.44140625" style="23" customWidth="1"/>
    <col min="2550" max="2550" width="3" style="23" customWidth="1"/>
    <col min="2551" max="2784" width="11.44140625" style="23"/>
    <col min="2785" max="2785" width="44.44140625" style="23" customWidth="1"/>
    <col min="2786" max="2786" width="13" style="23" customWidth="1"/>
    <col min="2787" max="2792" width="2" style="23" customWidth="1"/>
    <col min="2793" max="2793" width="2.44140625" style="23" customWidth="1"/>
    <col min="2794" max="2794" width="3" style="23" customWidth="1"/>
    <col min="2795" max="2797" width="2" style="23" customWidth="1"/>
    <col min="2798" max="2798" width="2.88671875" style="23" customWidth="1"/>
    <col min="2799" max="2799" width="3" style="23" customWidth="1"/>
    <col min="2800" max="2800" width="2.6640625" style="23" customWidth="1"/>
    <col min="2801" max="2801" width="2.44140625" style="23" customWidth="1"/>
    <col min="2802" max="2802" width="3.33203125" style="23" customWidth="1"/>
    <col min="2803" max="2803" width="3.5546875" style="23" customWidth="1"/>
    <col min="2804" max="2804" width="4" style="23" customWidth="1"/>
    <col min="2805" max="2805" width="3.44140625" style="23" customWidth="1"/>
    <col min="2806" max="2806" width="3" style="23" customWidth="1"/>
    <col min="2807" max="3040" width="11.44140625" style="23"/>
    <col min="3041" max="3041" width="44.44140625" style="23" customWidth="1"/>
    <col min="3042" max="3042" width="13" style="23" customWidth="1"/>
    <col min="3043" max="3048" width="2" style="23" customWidth="1"/>
    <col min="3049" max="3049" width="2.44140625" style="23" customWidth="1"/>
    <col min="3050" max="3050" width="3" style="23" customWidth="1"/>
    <col min="3051" max="3053" width="2" style="23" customWidth="1"/>
    <col min="3054" max="3054" width="2.88671875" style="23" customWidth="1"/>
    <col min="3055" max="3055" width="3" style="23" customWidth="1"/>
    <col min="3056" max="3056" width="2.6640625" style="23" customWidth="1"/>
    <col min="3057" max="3057" width="2.44140625" style="23" customWidth="1"/>
    <col min="3058" max="3058" width="3.33203125" style="23" customWidth="1"/>
    <col min="3059" max="3059" width="3.5546875" style="23" customWidth="1"/>
    <col min="3060" max="3060" width="4" style="23" customWidth="1"/>
    <col min="3061" max="3061" width="3.44140625" style="23" customWidth="1"/>
    <col min="3062" max="3062" width="3" style="23" customWidth="1"/>
    <col min="3063" max="3296" width="11.44140625" style="23"/>
    <col min="3297" max="3297" width="44.44140625" style="23" customWidth="1"/>
    <col min="3298" max="3298" width="13" style="23" customWidth="1"/>
    <col min="3299" max="3304" width="2" style="23" customWidth="1"/>
    <col min="3305" max="3305" width="2.44140625" style="23" customWidth="1"/>
    <col min="3306" max="3306" width="3" style="23" customWidth="1"/>
    <col min="3307" max="3309" width="2" style="23" customWidth="1"/>
    <col min="3310" max="3310" width="2.88671875" style="23" customWidth="1"/>
    <col min="3311" max="3311" width="3" style="23" customWidth="1"/>
    <col min="3312" max="3312" width="2.6640625" style="23" customWidth="1"/>
    <col min="3313" max="3313" width="2.44140625" style="23" customWidth="1"/>
    <col min="3314" max="3314" width="3.33203125" style="23" customWidth="1"/>
    <col min="3315" max="3315" width="3.5546875" style="23" customWidth="1"/>
    <col min="3316" max="3316" width="4" style="23" customWidth="1"/>
    <col min="3317" max="3317" width="3.44140625" style="23" customWidth="1"/>
    <col min="3318" max="3318" width="3" style="23" customWidth="1"/>
    <col min="3319" max="3552" width="11.44140625" style="23"/>
    <col min="3553" max="3553" width="44.44140625" style="23" customWidth="1"/>
    <col min="3554" max="3554" width="13" style="23" customWidth="1"/>
    <col min="3555" max="3560" width="2" style="23" customWidth="1"/>
    <col min="3561" max="3561" width="2.44140625" style="23" customWidth="1"/>
    <col min="3562" max="3562" width="3" style="23" customWidth="1"/>
    <col min="3563" max="3565" width="2" style="23" customWidth="1"/>
    <col min="3566" max="3566" width="2.88671875" style="23" customWidth="1"/>
    <col min="3567" max="3567" width="3" style="23" customWidth="1"/>
    <col min="3568" max="3568" width="2.6640625" style="23" customWidth="1"/>
    <col min="3569" max="3569" width="2.44140625" style="23" customWidth="1"/>
    <col min="3570" max="3570" width="3.33203125" style="23" customWidth="1"/>
    <col min="3571" max="3571" width="3.5546875" style="23" customWidth="1"/>
    <col min="3572" max="3572" width="4" style="23" customWidth="1"/>
    <col min="3573" max="3573" width="3.44140625" style="23" customWidth="1"/>
    <col min="3574" max="3574" width="3" style="23" customWidth="1"/>
    <col min="3575" max="3808" width="11.44140625" style="23"/>
    <col min="3809" max="3809" width="44.44140625" style="23" customWidth="1"/>
    <col min="3810" max="3810" width="13" style="23" customWidth="1"/>
    <col min="3811" max="3816" width="2" style="23" customWidth="1"/>
    <col min="3817" max="3817" width="2.44140625" style="23" customWidth="1"/>
    <col min="3818" max="3818" width="3" style="23" customWidth="1"/>
    <col min="3819" max="3821" width="2" style="23" customWidth="1"/>
    <col min="3822" max="3822" width="2.88671875" style="23" customWidth="1"/>
    <col min="3823" max="3823" width="3" style="23" customWidth="1"/>
    <col min="3824" max="3824" width="2.6640625" style="23" customWidth="1"/>
    <col min="3825" max="3825" width="2.44140625" style="23" customWidth="1"/>
    <col min="3826" max="3826" width="3.33203125" style="23" customWidth="1"/>
    <col min="3827" max="3827" width="3.5546875" style="23" customWidth="1"/>
    <col min="3828" max="3828" width="4" style="23" customWidth="1"/>
    <col min="3829" max="3829" width="3.44140625" style="23" customWidth="1"/>
    <col min="3830" max="3830" width="3" style="23" customWidth="1"/>
    <col min="3831" max="4064" width="11.44140625" style="23"/>
    <col min="4065" max="4065" width="44.44140625" style="23" customWidth="1"/>
    <col min="4066" max="4066" width="13" style="23" customWidth="1"/>
    <col min="4067" max="4072" width="2" style="23" customWidth="1"/>
    <col min="4073" max="4073" width="2.44140625" style="23" customWidth="1"/>
    <col min="4074" max="4074" width="3" style="23" customWidth="1"/>
    <col min="4075" max="4077" width="2" style="23" customWidth="1"/>
    <col min="4078" max="4078" width="2.88671875" style="23" customWidth="1"/>
    <col min="4079" max="4079" width="3" style="23" customWidth="1"/>
    <col min="4080" max="4080" width="2.6640625" style="23" customWidth="1"/>
    <col min="4081" max="4081" width="2.44140625" style="23" customWidth="1"/>
    <col min="4082" max="4082" width="3.33203125" style="23" customWidth="1"/>
    <col min="4083" max="4083" width="3.5546875" style="23" customWidth="1"/>
    <col min="4084" max="4084" width="4" style="23" customWidth="1"/>
    <col min="4085" max="4085" width="3.44140625" style="23" customWidth="1"/>
    <col min="4086" max="4086" width="3" style="23" customWidth="1"/>
    <col min="4087" max="4320" width="11.44140625" style="23"/>
    <col min="4321" max="4321" width="44.44140625" style="23" customWidth="1"/>
    <col min="4322" max="4322" width="13" style="23" customWidth="1"/>
    <col min="4323" max="4328" width="2" style="23" customWidth="1"/>
    <col min="4329" max="4329" width="2.44140625" style="23" customWidth="1"/>
    <col min="4330" max="4330" width="3" style="23" customWidth="1"/>
    <col min="4331" max="4333" width="2" style="23" customWidth="1"/>
    <col min="4334" max="4334" width="2.88671875" style="23" customWidth="1"/>
    <col min="4335" max="4335" width="3" style="23" customWidth="1"/>
    <col min="4336" max="4336" width="2.6640625" style="23" customWidth="1"/>
    <col min="4337" max="4337" width="2.44140625" style="23" customWidth="1"/>
    <col min="4338" max="4338" width="3.33203125" style="23" customWidth="1"/>
    <col min="4339" max="4339" width="3.5546875" style="23" customWidth="1"/>
    <col min="4340" max="4340" width="4" style="23" customWidth="1"/>
    <col min="4341" max="4341" width="3.44140625" style="23" customWidth="1"/>
    <col min="4342" max="4342" width="3" style="23" customWidth="1"/>
    <col min="4343" max="4576" width="11.44140625" style="23"/>
    <col min="4577" max="4577" width="44.44140625" style="23" customWidth="1"/>
    <col min="4578" max="4578" width="13" style="23" customWidth="1"/>
    <col min="4579" max="4584" width="2" style="23" customWidth="1"/>
    <col min="4585" max="4585" width="2.44140625" style="23" customWidth="1"/>
    <col min="4586" max="4586" width="3" style="23" customWidth="1"/>
    <col min="4587" max="4589" width="2" style="23" customWidth="1"/>
    <col min="4590" max="4590" width="2.88671875" style="23" customWidth="1"/>
    <col min="4591" max="4591" width="3" style="23" customWidth="1"/>
    <col min="4592" max="4592" width="2.6640625" style="23" customWidth="1"/>
    <col min="4593" max="4593" width="2.44140625" style="23" customWidth="1"/>
    <col min="4594" max="4594" width="3.33203125" style="23" customWidth="1"/>
    <col min="4595" max="4595" width="3.5546875" style="23" customWidth="1"/>
    <col min="4596" max="4596" width="4" style="23" customWidth="1"/>
    <col min="4597" max="4597" width="3.44140625" style="23" customWidth="1"/>
    <col min="4598" max="4598" width="3" style="23" customWidth="1"/>
    <col min="4599" max="4832" width="11.44140625" style="23"/>
    <col min="4833" max="4833" width="44.44140625" style="23" customWidth="1"/>
    <col min="4834" max="4834" width="13" style="23" customWidth="1"/>
    <col min="4835" max="4840" width="2" style="23" customWidth="1"/>
    <col min="4841" max="4841" width="2.44140625" style="23" customWidth="1"/>
    <col min="4842" max="4842" width="3" style="23" customWidth="1"/>
    <col min="4843" max="4845" width="2" style="23" customWidth="1"/>
    <col min="4846" max="4846" width="2.88671875" style="23" customWidth="1"/>
    <col min="4847" max="4847" width="3" style="23" customWidth="1"/>
    <col min="4848" max="4848" width="2.6640625" style="23" customWidth="1"/>
    <col min="4849" max="4849" width="2.44140625" style="23" customWidth="1"/>
    <col min="4850" max="4850" width="3.33203125" style="23" customWidth="1"/>
    <col min="4851" max="4851" width="3.5546875" style="23" customWidth="1"/>
    <col min="4852" max="4852" width="4" style="23" customWidth="1"/>
    <col min="4853" max="4853" width="3.44140625" style="23" customWidth="1"/>
    <col min="4854" max="4854" width="3" style="23" customWidth="1"/>
    <col min="4855" max="5088" width="11.44140625" style="23"/>
    <col min="5089" max="5089" width="44.44140625" style="23" customWidth="1"/>
    <col min="5090" max="5090" width="13" style="23" customWidth="1"/>
    <col min="5091" max="5096" width="2" style="23" customWidth="1"/>
    <col min="5097" max="5097" width="2.44140625" style="23" customWidth="1"/>
    <col min="5098" max="5098" width="3" style="23" customWidth="1"/>
    <col min="5099" max="5101" width="2" style="23" customWidth="1"/>
    <col min="5102" max="5102" width="2.88671875" style="23" customWidth="1"/>
    <col min="5103" max="5103" width="3" style="23" customWidth="1"/>
    <col min="5104" max="5104" width="2.6640625" style="23" customWidth="1"/>
    <col min="5105" max="5105" width="2.44140625" style="23" customWidth="1"/>
    <col min="5106" max="5106" width="3.33203125" style="23" customWidth="1"/>
    <col min="5107" max="5107" width="3.5546875" style="23" customWidth="1"/>
    <col min="5108" max="5108" width="4" style="23" customWidth="1"/>
    <col min="5109" max="5109" width="3.44140625" style="23" customWidth="1"/>
    <col min="5110" max="5110" width="3" style="23" customWidth="1"/>
    <col min="5111" max="5344" width="11.44140625" style="23"/>
    <col min="5345" max="5345" width="44.44140625" style="23" customWidth="1"/>
    <col min="5346" max="5346" width="13" style="23" customWidth="1"/>
    <col min="5347" max="5352" width="2" style="23" customWidth="1"/>
    <col min="5353" max="5353" width="2.44140625" style="23" customWidth="1"/>
    <col min="5354" max="5354" width="3" style="23" customWidth="1"/>
    <col min="5355" max="5357" width="2" style="23" customWidth="1"/>
    <col min="5358" max="5358" width="2.88671875" style="23" customWidth="1"/>
    <col min="5359" max="5359" width="3" style="23" customWidth="1"/>
    <col min="5360" max="5360" width="2.6640625" style="23" customWidth="1"/>
    <col min="5361" max="5361" width="2.44140625" style="23" customWidth="1"/>
    <col min="5362" max="5362" width="3.33203125" style="23" customWidth="1"/>
    <col min="5363" max="5363" width="3.5546875" style="23" customWidth="1"/>
    <col min="5364" max="5364" width="4" style="23" customWidth="1"/>
    <col min="5365" max="5365" width="3.44140625" style="23" customWidth="1"/>
    <col min="5366" max="5366" width="3" style="23" customWidth="1"/>
    <col min="5367" max="5600" width="11.44140625" style="23"/>
    <col min="5601" max="5601" width="44.44140625" style="23" customWidth="1"/>
    <col min="5602" max="5602" width="13" style="23" customWidth="1"/>
    <col min="5603" max="5608" width="2" style="23" customWidth="1"/>
    <col min="5609" max="5609" width="2.44140625" style="23" customWidth="1"/>
    <col min="5610" max="5610" width="3" style="23" customWidth="1"/>
    <col min="5611" max="5613" width="2" style="23" customWidth="1"/>
    <col min="5614" max="5614" width="2.88671875" style="23" customWidth="1"/>
    <col min="5615" max="5615" width="3" style="23" customWidth="1"/>
    <col min="5616" max="5616" width="2.6640625" style="23" customWidth="1"/>
    <col min="5617" max="5617" width="2.44140625" style="23" customWidth="1"/>
    <col min="5618" max="5618" width="3.33203125" style="23" customWidth="1"/>
    <col min="5619" max="5619" width="3.5546875" style="23" customWidth="1"/>
    <col min="5620" max="5620" width="4" style="23" customWidth="1"/>
    <col min="5621" max="5621" width="3.44140625" style="23" customWidth="1"/>
    <col min="5622" max="5622" width="3" style="23" customWidth="1"/>
    <col min="5623" max="5856" width="11.44140625" style="23"/>
    <col min="5857" max="5857" width="44.44140625" style="23" customWidth="1"/>
    <col min="5858" max="5858" width="13" style="23" customWidth="1"/>
    <col min="5859" max="5864" width="2" style="23" customWidth="1"/>
    <col min="5865" max="5865" width="2.44140625" style="23" customWidth="1"/>
    <col min="5866" max="5866" width="3" style="23" customWidth="1"/>
    <col min="5867" max="5869" width="2" style="23" customWidth="1"/>
    <col min="5870" max="5870" width="2.88671875" style="23" customWidth="1"/>
    <col min="5871" max="5871" width="3" style="23" customWidth="1"/>
    <col min="5872" max="5872" width="2.6640625" style="23" customWidth="1"/>
    <col min="5873" max="5873" width="2.44140625" style="23" customWidth="1"/>
    <col min="5874" max="5874" width="3.33203125" style="23" customWidth="1"/>
    <col min="5875" max="5875" width="3.5546875" style="23" customWidth="1"/>
    <col min="5876" max="5876" width="4" style="23" customWidth="1"/>
    <col min="5877" max="5877" width="3.44140625" style="23" customWidth="1"/>
    <col min="5878" max="5878" width="3" style="23" customWidth="1"/>
    <col min="5879" max="6112" width="11.44140625" style="23"/>
    <col min="6113" max="6113" width="44.44140625" style="23" customWidth="1"/>
    <col min="6114" max="6114" width="13" style="23" customWidth="1"/>
    <col min="6115" max="6120" width="2" style="23" customWidth="1"/>
    <col min="6121" max="6121" width="2.44140625" style="23" customWidth="1"/>
    <col min="6122" max="6122" width="3" style="23" customWidth="1"/>
    <col min="6123" max="6125" width="2" style="23" customWidth="1"/>
    <col min="6126" max="6126" width="2.88671875" style="23" customWidth="1"/>
    <col min="6127" max="6127" width="3" style="23" customWidth="1"/>
    <col min="6128" max="6128" width="2.6640625" style="23" customWidth="1"/>
    <col min="6129" max="6129" width="2.44140625" style="23" customWidth="1"/>
    <col min="6130" max="6130" width="3.33203125" style="23" customWidth="1"/>
    <col min="6131" max="6131" width="3.5546875" style="23" customWidth="1"/>
    <col min="6132" max="6132" width="4" style="23" customWidth="1"/>
    <col min="6133" max="6133" width="3.44140625" style="23" customWidth="1"/>
    <col min="6134" max="6134" width="3" style="23" customWidth="1"/>
    <col min="6135" max="6368" width="11.44140625" style="23"/>
    <col min="6369" max="6369" width="44.44140625" style="23" customWidth="1"/>
    <col min="6370" max="6370" width="13" style="23" customWidth="1"/>
    <col min="6371" max="6376" width="2" style="23" customWidth="1"/>
    <col min="6377" max="6377" width="2.44140625" style="23" customWidth="1"/>
    <col min="6378" max="6378" width="3" style="23" customWidth="1"/>
    <col min="6379" max="6381" width="2" style="23" customWidth="1"/>
    <col min="6382" max="6382" width="2.88671875" style="23" customWidth="1"/>
    <col min="6383" max="6383" width="3" style="23" customWidth="1"/>
    <col min="6384" max="6384" width="2.6640625" style="23" customWidth="1"/>
    <col min="6385" max="6385" width="2.44140625" style="23" customWidth="1"/>
    <col min="6386" max="6386" width="3.33203125" style="23" customWidth="1"/>
    <col min="6387" max="6387" width="3.5546875" style="23" customWidth="1"/>
    <col min="6388" max="6388" width="4" style="23" customWidth="1"/>
    <col min="6389" max="6389" width="3.44140625" style="23" customWidth="1"/>
    <col min="6390" max="6390" width="3" style="23" customWidth="1"/>
    <col min="6391" max="6624" width="11.44140625" style="23"/>
    <col min="6625" max="6625" width="44.44140625" style="23" customWidth="1"/>
    <col min="6626" max="6626" width="13" style="23" customWidth="1"/>
    <col min="6627" max="6632" width="2" style="23" customWidth="1"/>
    <col min="6633" max="6633" width="2.44140625" style="23" customWidth="1"/>
    <col min="6634" max="6634" width="3" style="23" customWidth="1"/>
    <col min="6635" max="6637" width="2" style="23" customWidth="1"/>
    <col min="6638" max="6638" width="2.88671875" style="23" customWidth="1"/>
    <col min="6639" max="6639" width="3" style="23" customWidth="1"/>
    <col min="6640" max="6640" width="2.6640625" style="23" customWidth="1"/>
    <col min="6641" max="6641" width="2.44140625" style="23" customWidth="1"/>
    <col min="6642" max="6642" width="3.33203125" style="23" customWidth="1"/>
    <col min="6643" max="6643" width="3.5546875" style="23" customWidth="1"/>
    <col min="6644" max="6644" width="4" style="23" customWidth="1"/>
    <col min="6645" max="6645" width="3.44140625" style="23" customWidth="1"/>
    <col min="6646" max="6646" width="3" style="23" customWidth="1"/>
    <col min="6647" max="6880" width="11.44140625" style="23"/>
    <col min="6881" max="6881" width="44.44140625" style="23" customWidth="1"/>
    <col min="6882" max="6882" width="13" style="23" customWidth="1"/>
    <col min="6883" max="6888" width="2" style="23" customWidth="1"/>
    <col min="6889" max="6889" width="2.44140625" style="23" customWidth="1"/>
    <col min="6890" max="6890" width="3" style="23" customWidth="1"/>
    <col min="6891" max="6893" width="2" style="23" customWidth="1"/>
    <col min="6894" max="6894" width="2.88671875" style="23" customWidth="1"/>
    <col min="6895" max="6895" width="3" style="23" customWidth="1"/>
    <col min="6896" max="6896" width="2.6640625" style="23" customWidth="1"/>
    <col min="6897" max="6897" width="2.44140625" style="23" customWidth="1"/>
    <col min="6898" max="6898" width="3.33203125" style="23" customWidth="1"/>
    <col min="6899" max="6899" width="3.5546875" style="23" customWidth="1"/>
    <col min="6900" max="6900" width="4" style="23" customWidth="1"/>
    <col min="6901" max="6901" width="3.44140625" style="23" customWidth="1"/>
    <col min="6902" max="6902" width="3" style="23" customWidth="1"/>
    <col min="6903" max="7136" width="11.44140625" style="23"/>
    <col min="7137" max="7137" width="44.44140625" style="23" customWidth="1"/>
    <col min="7138" max="7138" width="13" style="23" customWidth="1"/>
    <col min="7139" max="7144" width="2" style="23" customWidth="1"/>
    <col min="7145" max="7145" width="2.44140625" style="23" customWidth="1"/>
    <col min="7146" max="7146" width="3" style="23" customWidth="1"/>
    <col min="7147" max="7149" width="2" style="23" customWidth="1"/>
    <col min="7150" max="7150" width="2.88671875" style="23" customWidth="1"/>
    <col min="7151" max="7151" width="3" style="23" customWidth="1"/>
    <col min="7152" max="7152" width="2.6640625" style="23" customWidth="1"/>
    <col min="7153" max="7153" width="2.44140625" style="23" customWidth="1"/>
    <col min="7154" max="7154" width="3.33203125" style="23" customWidth="1"/>
    <col min="7155" max="7155" width="3.5546875" style="23" customWidth="1"/>
    <col min="7156" max="7156" width="4" style="23" customWidth="1"/>
    <col min="7157" max="7157" width="3.44140625" style="23" customWidth="1"/>
    <col min="7158" max="7158" width="3" style="23" customWidth="1"/>
    <col min="7159" max="7392" width="11.44140625" style="23"/>
    <col min="7393" max="7393" width="44.44140625" style="23" customWidth="1"/>
    <col min="7394" max="7394" width="13" style="23" customWidth="1"/>
    <col min="7395" max="7400" width="2" style="23" customWidth="1"/>
    <col min="7401" max="7401" width="2.44140625" style="23" customWidth="1"/>
    <col min="7402" max="7402" width="3" style="23" customWidth="1"/>
    <col min="7403" max="7405" width="2" style="23" customWidth="1"/>
    <col min="7406" max="7406" width="2.88671875" style="23" customWidth="1"/>
    <col min="7407" max="7407" width="3" style="23" customWidth="1"/>
    <col min="7408" max="7408" width="2.6640625" style="23" customWidth="1"/>
    <col min="7409" max="7409" width="2.44140625" style="23" customWidth="1"/>
    <col min="7410" max="7410" width="3.33203125" style="23" customWidth="1"/>
    <col min="7411" max="7411" width="3.5546875" style="23" customWidth="1"/>
    <col min="7412" max="7412" width="4" style="23" customWidth="1"/>
    <col min="7413" max="7413" width="3.44140625" style="23" customWidth="1"/>
    <col min="7414" max="7414" width="3" style="23" customWidth="1"/>
    <col min="7415" max="7648" width="11.44140625" style="23"/>
    <col min="7649" max="7649" width="44.44140625" style="23" customWidth="1"/>
    <col min="7650" max="7650" width="13" style="23" customWidth="1"/>
    <col min="7651" max="7656" width="2" style="23" customWidth="1"/>
    <col min="7657" max="7657" width="2.44140625" style="23" customWidth="1"/>
    <col min="7658" max="7658" width="3" style="23" customWidth="1"/>
    <col min="7659" max="7661" width="2" style="23" customWidth="1"/>
    <col min="7662" max="7662" width="2.88671875" style="23" customWidth="1"/>
    <col min="7663" max="7663" width="3" style="23" customWidth="1"/>
    <col min="7664" max="7664" width="2.6640625" style="23" customWidth="1"/>
    <col min="7665" max="7665" width="2.44140625" style="23" customWidth="1"/>
    <col min="7666" max="7666" width="3.33203125" style="23" customWidth="1"/>
    <col min="7667" max="7667" width="3.5546875" style="23" customWidth="1"/>
    <col min="7668" max="7668" width="4" style="23" customWidth="1"/>
    <col min="7669" max="7669" width="3.44140625" style="23" customWidth="1"/>
    <col min="7670" max="7670" width="3" style="23" customWidth="1"/>
    <col min="7671" max="7904" width="11.44140625" style="23"/>
    <col min="7905" max="7905" width="44.44140625" style="23" customWidth="1"/>
    <col min="7906" max="7906" width="13" style="23" customWidth="1"/>
    <col min="7907" max="7912" width="2" style="23" customWidth="1"/>
    <col min="7913" max="7913" width="2.44140625" style="23" customWidth="1"/>
    <col min="7914" max="7914" width="3" style="23" customWidth="1"/>
    <col min="7915" max="7917" width="2" style="23" customWidth="1"/>
    <col min="7918" max="7918" width="2.88671875" style="23" customWidth="1"/>
    <col min="7919" max="7919" width="3" style="23" customWidth="1"/>
    <col min="7920" max="7920" width="2.6640625" style="23" customWidth="1"/>
    <col min="7921" max="7921" width="2.44140625" style="23" customWidth="1"/>
    <col min="7922" max="7922" width="3.33203125" style="23" customWidth="1"/>
    <col min="7923" max="7923" width="3.5546875" style="23" customWidth="1"/>
    <col min="7924" max="7924" width="4" style="23" customWidth="1"/>
    <col min="7925" max="7925" width="3.44140625" style="23" customWidth="1"/>
    <col min="7926" max="7926" width="3" style="23" customWidth="1"/>
    <col min="7927" max="8160" width="11.44140625" style="23"/>
    <col min="8161" max="8161" width="44.44140625" style="23" customWidth="1"/>
    <col min="8162" max="8162" width="13" style="23" customWidth="1"/>
    <col min="8163" max="8168" width="2" style="23" customWidth="1"/>
    <col min="8169" max="8169" width="2.44140625" style="23" customWidth="1"/>
    <col min="8170" max="8170" width="3" style="23" customWidth="1"/>
    <col min="8171" max="8173" width="2" style="23" customWidth="1"/>
    <col min="8174" max="8174" width="2.88671875" style="23" customWidth="1"/>
    <col min="8175" max="8175" width="3" style="23" customWidth="1"/>
    <col min="8176" max="8176" width="2.6640625" style="23" customWidth="1"/>
    <col min="8177" max="8177" width="2.44140625" style="23" customWidth="1"/>
    <col min="8178" max="8178" width="3.33203125" style="23" customWidth="1"/>
    <col min="8179" max="8179" width="3.5546875" style="23" customWidth="1"/>
    <col min="8180" max="8180" width="4" style="23" customWidth="1"/>
    <col min="8181" max="8181" width="3.44140625" style="23" customWidth="1"/>
    <col min="8182" max="8182" width="3" style="23" customWidth="1"/>
    <col min="8183" max="8416" width="11.44140625" style="23"/>
    <col min="8417" max="8417" width="44.44140625" style="23" customWidth="1"/>
    <col min="8418" max="8418" width="13" style="23" customWidth="1"/>
    <col min="8419" max="8424" width="2" style="23" customWidth="1"/>
    <col min="8425" max="8425" width="2.44140625" style="23" customWidth="1"/>
    <col min="8426" max="8426" width="3" style="23" customWidth="1"/>
    <col min="8427" max="8429" width="2" style="23" customWidth="1"/>
    <col min="8430" max="8430" width="2.88671875" style="23" customWidth="1"/>
    <col min="8431" max="8431" width="3" style="23" customWidth="1"/>
    <col min="8432" max="8432" width="2.6640625" style="23" customWidth="1"/>
    <col min="8433" max="8433" width="2.44140625" style="23" customWidth="1"/>
    <col min="8434" max="8434" width="3.33203125" style="23" customWidth="1"/>
    <col min="8435" max="8435" width="3.5546875" style="23" customWidth="1"/>
    <col min="8436" max="8436" width="4" style="23" customWidth="1"/>
    <col min="8437" max="8437" width="3.44140625" style="23" customWidth="1"/>
    <col min="8438" max="8438" width="3" style="23" customWidth="1"/>
    <col min="8439" max="8672" width="11.44140625" style="23"/>
    <col min="8673" max="8673" width="44.44140625" style="23" customWidth="1"/>
    <col min="8674" max="8674" width="13" style="23" customWidth="1"/>
    <col min="8675" max="8680" width="2" style="23" customWidth="1"/>
    <col min="8681" max="8681" width="2.44140625" style="23" customWidth="1"/>
    <col min="8682" max="8682" width="3" style="23" customWidth="1"/>
    <col min="8683" max="8685" width="2" style="23" customWidth="1"/>
    <col min="8686" max="8686" width="2.88671875" style="23" customWidth="1"/>
    <col min="8687" max="8687" width="3" style="23" customWidth="1"/>
    <col min="8688" max="8688" width="2.6640625" style="23" customWidth="1"/>
    <col min="8689" max="8689" width="2.44140625" style="23" customWidth="1"/>
    <col min="8690" max="8690" width="3.33203125" style="23" customWidth="1"/>
    <col min="8691" max="8691" width="3.5546875" style="23" customWidth="1"/>
    <col min="8692" max="8692" width="4" style="23" customWidth="1"/>
    <col min="8693" max="8693" width="3.44140625" style="23" customWidth="1"/>
    <col min="8694" max="8694" width="3" style="23" customWidth="1"/>
    <col min="8695" max="8928" width="11.44140625" style="23"/>
    <col min="8929" max="8929" width="44.44140625" style="23" customWidth="1"/>
    <col min="8930" max="8930" width="13" style="23" customWidth="1"/>
    <col min="8931" max="8936" width="2" style="23" customWidth="1"/>
    <col min="8937" max="8937" width="2.44140625" style="23" customWidth="1"/>
    <col min="8938" max="8938" width="3" style="23" customWidth="1"/>
    <col min="8939" max="8941" width="2" style="23" customWidth="1"/>
    <col min="8942" max="8942" width="2.88671875" style="23" customWidth="1"/>
    <col min="8943" max="8943" width="3" style="23" customWidth="1"/>
    <col min="8944" max="8944" width="2.6640625" style="23" customWidth="1"/>
    <col min="8945" max="8945" width="2.44140625" style="23" customWidth="1"/>
    <col min="8946" max="8946" width="3.33203125" style="23" customWidth="1"/>
    <col min="8947" max="8947" width="3.5546875" style="23" customWidth="1"/>
    <col min="8948" max="8948" width="4" style="23" customWidth="1"/>
    <col min="8949" max="8949" width="3.44140625" style="23" customWidth="1"/>
    <col min="8950" max="8950" width="3" style="23" customWidth="1"/>
    <col min="8951" max="9184" width="11.44140625" style="23"/>
    <col min="9185" max="9185" width="44.44140625" style="23" customWidth="1"/>
    <col min="9186" max="9186" width="13" style="23" customWidth="1"/>
    <col min="9187" max="9192" width="2" style="23" customWidth="1"/>
    <col min="9193" max="9193" width="2.44140625" style="23" customWidth="1"/>
    <col min="9194" max="9194" width="3" style="23" customWidth="1"/>
    <col min="9195" max="9197" width="2" style="23" customWidth="1"/>
    <col min="9198" max="9198" width="2.88671875" style="23" customWidth="1"/>
    <col min="9199" max="9199" width="3" style="23" customWidth="1"/>
    <col min="9200" max="9200" width="2.6640625" style="23" customWidth="1"/>
    <col min="9201" max="9201" width="2.44140625" style="23" customWidth="1"/>
    <col min="9202" max="9202" width="3.33203125" style="23" customWidth="1"/>
    <col min="9203" max="9203" width="3.5546875" style="23" customWidth="1"/>
    <col min="9204" max="9204" width="4" style="23" customWidth="1"/>
    <col min="9205" max="9205" width="3.44140625" style="23" customWidth="1"/>
    <col min="9206" max="9206" width="3" style="23" customWidth="1"/>
    <col min="9207" max="9440" width="11.44140625" style="23"/>
    <col min="9441" max="9441" width="44.44140625" style="23" customWidth="1"/>
    <col min="9442" max="9442" width="13" style="23" customWidth="1"/>
    <col min="9443" max="9448" width="2" style="23" customWidth="1"/>
    <col min="9449" max="9449" width="2.44140625" style="23" customWidth="1"/>
    <col min="9450" max="9450" width="3" style="23" customWidth="1"/>
    <col min="9451" max="9453" width="2" style="23" customWidth="1"/>
    <col min="9454" max="9454" width="2.88671875" style="23" customWidth="1"/>
    <col min="9455" max="9455" width="3" style="23" customWidth="1"/>
    <col min="9456" max="9456" width="2.6640625" style="23" customWidth="1"/>
    <col min="9457" max="9457" width="2.44140625" style="23" customWidth="1"/>
    <col min="9458" max="9458" width="3.33203125" style="23" customWidth="1"/>
    <col min="9459" max="9459" width="3.5546875" style="23" customWidth="1"/>
    <col min="9460" max="9460" width="4" style="23" customWidth="1"/>
    <col min="9461" max="9461" width="3.44140625" style="23" customWidth="1"/>
    <col min="9462" max="9462" width="3" style="23" customWidth="1"/>
    <col min="9463" max="9696" width="11.44140625" style="23"/>
    <col min="9697" max="9697" width="44.44140625" style="23" customWidth="1"/>
    <col min="9698" max="9698" width="13" style="23" customWidth="1"/>
    <col min="9699" max="9704" width="2" style="23" customWidth="1"/>
    <col min="9705" max="9705" width="2.44140625" style="23" customWidth="1"/>
    <col min="9706" max="9706" width="3" style="23" customWidth="1"/>
    <col min="9707" max="9709" width="2" style="23" customWidth="1"/>
    <col min="9710" max="9710" width="2.88671875" style="23" customWidth="1"/>
    <col min="9711" max="9711" width="3" style="23" customWidth="1"/>
    <col min="9712" max="9712" width="2.6640625" style="23" customWidth="1"/>
    <col min="9713" max="9713" width="2.44140625" style="23" customWidth="1"/>
    <col min="9714" max="9714" width="3.33203125" style="23" customWidth="1"/>
    <col min="9715" max="9715" width="3.5546875" style="23" customWidth="1"/>
    <col min="9716" max="9716" width="4" style="23" customWidth="1"/>
    <col min="9717" max="9717" width="3.44140625" style="23" customWidth="1"/>
    <col min="9718" max="9718" width="3" style="23" customWidth="1"/>
    <col min="9719" max="9952" width="11.44140625" style="23"/>
    <col min="9953" max="9953" width="44.44140625" style="23" customWidth="1"/>
    <col min="9954" max="9954" width="13" style="23" customWidth="1"/>
    <col min="9955" max="9960" width="2" style="23" customWidth="1"/>
    <col min="9961" max="9961" width="2.44140625" style="23" customWidth="1"/>
    <col min="9962" max="9962" width="3" style="23" customWidth="1"/>
    <col min="9963" max="9965" width="2" style="23" customWidth="1"/>
    <col min="9966" max="9966" width="2.88671875" style="23" customWidth="1"/>
    <col min="9967" max="9967" width="3" style="23" customWidth="1"/>
    <col min="9968" max="9968" width="2.6640625" style="23" customWidth="1"/>
    <col min="9969" max="9969" width="2.44140625" style="23" customWidth="1"/>
    <col min="9970" max="9970" width="3.33203125" style="23" customWidth="1"/>
    <col min="9971" max="9971" width="3.5546875" style="23" customWidth="1"/>
    <col min="9972" max="9972" width="4" style="23" customWidth="1"/>
    <col min="9973" max="9973" width="3.44140625" style="23" customWidth="1"/>
    <col min="9974" max="9974" width="3" style="23" customWidth="1"/>
    <col min="9975" max="10208" width="11.44140625" style="23"/>
    <col min="10209" max="10209" width="44.44140625" style="23" customWidth="1"/>
    <col min="10210" max="10210" width="13" style="23" customWidth="1"/>
    <col min="10211" max="10216" width="2" style="23" customWidth="1"/>
    <col min="10217" max="10217" width="2.44140625" style="23" customWidth="1"/>
    <col min="10218" max="10218" width="3" style="23" customWidth="1"/>
    <col min="10219" max="10221" width="2" style="23" customWidth="1"/>
    <col min="10222" max="10222" width="2.88671875" style="23" customWidth="1"/>
    <col min="10223" max="10223" width="3" style="23" customWidth="1"/>
    <col min="10224" max="10224" width="2.6640625" style="23" customWidth="1"/>
    <col min="10225" max="10225" width="2.44140625" style="23" customWidth="1"/>
    <col min="10226" max="10226" width="3.33203125" style="23" customWidth="1"/>
    <col min="10227" max="10227" width="3.5546875" style="23" customWidth="1"/>
    <col min="10228" max="10228" width="4" style="23" customWidth="1"/>
    <col min="10229" max="10229" width="3.44140625" style="23" customWidth="1"/>
    <col min="10230" max="10230" width="3" style="23" customWidth="1"/>
    <col min="10231" max="10464" width="11.44140625" style="23"/>
    <col min="10465" max="10465" width="44.44140625" style="23" customWidth="1"/>
    <col min="10466" max="10466" width="13" style="23" customWidth="1"/>
    <col min="10467" max="10472" width="2" style="23" customWidth="1"/>
    <col min="10473" max="10473" width="2.44140625" style="23" customWidth="1"/>
    <col min="10474" max="10474" width="3" style="23" customWidth="1"/>
    <col min="10475" max="10477" width="2" style="23" customWidth="1"/>
    <col min="10478" max="10478" width="2.88671875" style="23" customWidth="1"/>
    <col min="10479" max="10479" width="3" style="23" customWidth="1"/>
    <col min="10480" max="10480" width="2.6640625" style="23" customWidth="1"/>
    <col min="10481" max="10481" width="2.44140625" style="23" customWidth="1"/>
    <col min="10482" max="10482" width="3.33203125" style="23" customWidth="1"/>
    <col min="10483" max="10483" width="3.5546875" style="23" customWidth="1"/>
    <col min="10484" max="10484" width="4" style="23" customWidth="1"/>
    <col min="10485" max="10485" width="3.44140625" style="23" customWidth="1"/>
    <col min="10486" max="10486" width="3" style="23" customWidth="1"/>
    <col min="10487" max="10720" width="11.44140625" style="23"/>
    <col min="10721" max="10721" width="44.44140625" style="23" customWidth="1"/>
    <col min="10722" max="10722" width="13" style="23" customWidth="1"/>
    <col min="10723" max="10728" width="2" style="23" customWidth="1"/>
    <col min="10729" max="10729" width="2.44140625" style="23" customWidth="1"/>
    <col min="10730" max="10730" width="3" style="23" customWidth="1"/>
    <col min="10731" max="10733" width="2" style="23" customWidth="1"/>
    <col min="10734" max="10734" width="2.88671875" style="23" customWidth="1"/>
    <col min="10735" max="10735" width="3" style="23" customWidth="1"/>
    <col min="10736" max="10736" width="2.6640625" style="23" customWidth="1"/>
    <col min="10737" max="10737" width="2.44140625" style="23" customWidth="1"/>
    <col min="10738" max="10738" width="3.33203125" style="23" customWidth="1"/>
    <col min="10739" max="10739" width="3.5546875" style="23" customWidth="1"/>
    <col min="10740" max="10740" width="4" style="23" customWidth="1"/>
    <col min="10741" max="10741" width="3.44140625" style="23" customWidth="1"/>
    <col min="10742" max="10742" width="3" style="23" customWidth="1"/>
    <col min="10743" max="10976" width="11.44140625" style="23"/>
    <col min="10977" max="10977" width="44.44140625" style="23" customWidth="1"/>
    <col min="10978" max="10978" width="13" style="23" customWidth="1"/>
    <col min="10979" max="10984" width="2" style="23" customWidth="1"/>
    <col min="10985" max="10985" width="2.44140625" style="23" customWidth="1"/>
    <col min="10986" max="10986" width="3" style="23" customWidth="1"/>
    <col min="10987" max="10989" width="2" style="23" customWidth="1"/>
    <col min="10990" max="10990" width="2.88671875" style="23" customWidth="1"/>
    <col min="10991" max="10991" width="3" style="23" customWidth="1"/>
    <col min="10992" max="10992" width="2.6640625" style="23" customWidth="1"/>
    <col min="10993" max="10993" width="2.44140625" style="23" customWidth="1"/>
    <col min="10994" max="10994" width="3.33203125" style="23" customWidth="1"/>
    <col min="10995" max="10995" width="3.5546875" style="23" customWidth="1"/>
    <col min="10996" max="10996" width="4" style="23" customWidth="1"/>
    <col min="10997" max="10997" width="3.44140625" style="23" customWidth="1"/>
    <col min="10998" max="10998" width="3" style="23" customWidth="1"/>
    <col min="10999" max="11232" width="11.44140625" style="23"/>
    <col min="11233" max="11233" width="44.44140625" style="23" customWidth="1"/>
    <col min="11234" max="11234" width="13" style="23" customWidth="1"/>
    <col min="11235" max="11240" width="2" style="23" customWidth="1"/>
    <col min="11241" max="11241" width="2.44140625" style="23" customWidth="1"/>
    <col min="11242" max="11242" width="3" style="23" customWidth="1"/>
    <col min="11243" max="11245" width="2" style="23" customWidth="1"/>
    <col min="11246" max="11246" width="2.88671875" style="23" customWidth="1"/>
    <col min="11247" max="11247" width="3" style="23" customWidth="1"/>
    <col min="11248" max="11248" width="2.6640625" style="23" customWidth="1"/>
    <col min="11249" max="11249" width="2.44140625" style="23" customWidth="1"/>
    <col min="11250" max="11250" width="3.33203125" style="23" customWidth="1"/>
    <col min="11251" max="11251" width="3.5546875" style="23" customWidth="1"/>
    <col min="11252" max="11252" width="4" style="23" customWidth="1"/>
    <col min="11253" max="11253" width="3.44140625" style="23" customWidth="1"/>
    <col min="11254" max="11254" width="3" style="23" customWidth="1"/>
    <col min="11255" max="11488" width="11.44140625" style="23"/>
    <col min="11489" max="11489" width="44.44140625" style="23" customWidth="1"/>
    <col min="11490" max="11490" width="13" style="23" customWidth="1"/>
    <col min="11491" max="11496" width="2" style="23" customWidth="1"/>
    <col min="11497" max="11497" width="2.44140625" style="23" customWidth="1"/>
    <col min="11498" max="11498" width="3" style="23" customWidth="1"/>
    <col min="11499" max="11501" width="2" style="23" customWidth="1"/>
    <col min="11502" max="11502" width="2.88671875" style="23" customWidth="1"/>
    <col min="11503" max="11503" width="3" style="23" customWidth="1"/>
    <col min="11504" max="11504" width="2.6640625" style="23" customWidth="1"/>
    <col min="11505" max="11505" width="2.44140625" style="23" customWidth="1"/>
    <col min="11506" max="11506" width="3.33203125" style="23" customWidth="1"/>
    <col min="11507" max="11507" width="3.5546875" style="23" customWidth="1"/>
    <col min="11508" max="11508" width="4" style="23" customWidth="1"/>
    <col min="11509" max="11509" width="3.44140625" style="23" customWidth="1"/>
    <col min="11510" max="11510" width="3" style="23" customWidth="1"/>
    <col min="11511" max="11744" width="11.44140625" style="23"/>
    <col min="11745" max="11745" width="44.44140625" style="23" customWidth="1"/>
    <col min="11746" max="11746" width="13" style="23" customWidth="1"/>
    <col min="11747" max="11752" width="2" style="23" customWidth="1"/>
    <col min="11753" max="11753" width="2.44140625" style="23" customWidth="1"/>
    <col min="11754" max="11754" width="3" style="23" customWidth="1"/>
    <col min="11755" max="11757" width="2" style="23" customWidth="1"/>
    <col min="11758" max="11758" width="2.88671875" style="23" customWidth="1"/>
    <col min="11759" max="11759" width="3" style="23" customWidth="1"/>
    <col min="11760" max="11760" width="2.6640625" style="23" customWidth="1"/>
    <col min="11761" max="11761" width="2.44140625" style="23" customWidth="1"/>
    <col min="11762" max="11762" width="3.33203125" style="23" customWidth="1"/>
    <col min="11763" max="11763" width="3.5546875" style="23" customWidth="1"/>
    <col min="11764" max="11764" width="4" style="23" customWidth="1"/>
    <col min="11765" max="11765" width="3.44140625" style="23" customWidth="1"/>
    <col min="11766" max="11766" width="3" style="23" customWidth="1"/>
    <col min="11767" max="12000" width="11.44140625" style="23"/>
    <col min="12001" max="12001" width="44.44140625" style="23" customWidth="1"/>
    <col min="12002" max="12002" width="13" style="23" customWidth="1"/>
    <col min="12003" max="12008" width="2" style="23" customWidth="1"/>
    <col min="12009" max="12009" width="2.44140625" style="23" customWidth="1"/>
    <col min="12010" max="12010" width="3" style="23" customWidth="1"/>
    <col min="12011" max="12013" width="2" style="23" customWidth="1"/>
    <col min="12014" max="12014" width="2.88671875" style="23" customWidth="1"/>
    <col min="12015" max="12015" width="3" style="23" customWidth="1"/>
    <col min="12016" max="12016" width="2.6640625" style="23" customWidth="1"/>
    <col min="12017" max="12017" width="2.44140625" style="23" customWidth="1"/>
    <col min="12018" max="12018" width="3.33203125" style="23" customWidth="1"/>
    <col min="12019" max="12019" width="3.5546875" style="23" customWidth="1"/>
    <col min="12020" max="12020" width="4" style="23" customWidth="1"/>
    <col min="12021" max="12021" width="3.44140625" style="23" customWidth="1"/>
    <col min="12022" max="12022" width="3" style="23" customWidth="1"/>
    <col min="12023" max="12256" width="11.44140625" style="23"/>
    <col min="12257" max="12257" width="44.44140625" style="23" customWidth="1"/>
    <col min="12258" max="12258" width="13" style="23" customWidth="1"/>
    <col min="12259" max="12264" width="2" style="23" customWidth="1"/>
    <col min="12265" max="12265" width="2.44140625" style="23" customWidth="1"/>
    <col min="12266" max="12266" width="3" style="23" customWidth="1"/>
    <col min="12267" max="12269" width="2" style="23" customWidth="1"/>
    <col min="12270" max="12270" width="2.88671875" style="23" customWidth="1"/>
    <col min="12271" max="12271" width="3" style="23" customWidth="1"/>
    <col min="12272" max="12272" width="2.6640625" style="23" customWidth="1"/>
    <col min="12273" max="12273" width="2.44140625" style="23" customWidth="1"/>
    <col min="12274" max="12274" width="3.33203125" style="23" customWidth="1"/>
    <col min="12275" max="12275" width="3.5546875" style="23" customWidth="1"/>
    <col min="12276" max="12276" width="4" style="23" customWidth="1"/>
    <col min="12277" max="12277" width="3.44140625" style="23" customWidth="1"/>
    <col min="12278" max="12278" width="3" style="23" customWidth="1"/>
    <col min="12279" max="12512" width="11.44140625" style="23"/>
    <col min="12513" max="12513" width="44.44140625" style="23" customWidth="1"/>
    <col min="12514" max="12514" width="13" style="23" customWidth="1"/>
    <col min="12515" max="12520" width="2" style="23" customWidth="1"/>
    <col min="12521" max="12521" width="2.44140625" style="23" customWidth="1"/>
    <col min="12522" max="12522" width="3" style="23" customWidth="1"/>
    <col min="12523" max="12525" width="2" style="23" customWidth="1"/>
    <col min="12526" max="12526" width="2.88671875" style="23" customWidth="1"/>
    <col min="12527" max="12527" width="3" style="23" customWidth="1"/>
    <col min="12528" max="12528" width="2.6640625" style="23" customWidth="1"/>
    <col min="12529" max="12529" width="2.44140625" style="23" customWidth="1"/>
    <col min="12530" max="12530" width="3.33203125" style="23" customWidth="1"/>
    <col min="12531" max="12531" width="3.5546875" style="23" customWidth="1"/>
    <col min="12532" max="12532" width="4" style="23" customWidth="1"/>
    <col min="12533" max="12533" width="3.44140625" style="23" customWidth="1"/>
    <col min="12534" max="12534" width="3" style="23" customWidth="1"/>
    <col min="12535" max="12768" width="11.44140625" style="23"/>
    <col min="12769" max="12769" width="44.44140625" style="23" customWidth="1"/>
    <col min="12770" max="12770" width="13" style="23" customWidth="1"/>
    <col min="12771" max="12776" width="2" style="23" customWidth="1"/>
    <col min="12777" max="12777" width="2.44140625" style="23" customWidth="1"/>
    <col min="12778" max="12778" width="3" style="23" customWidth="1"/>
    <col min="12779" max="12781" width="2" style="23" customWidth="1"/>
    <col min="12782" max="12782" width="2.88671875" style="23" customWidth="1"/>
    <col min="12783" max="12783" width="3" style="23" customWidth="1"/>
    <col min="12784" max="12784" width="2.6640625" style="23" customWidth="1"/>
    <col min="12785" max="12785" width="2.44140625" style="23" customWidth="1"/>
    <col min="12786" max="12786" width="3.33203125" style="23" customWidth="1"/>
    <col min="12787" max="12787" width="3.5546875" style="23" customWidth="1"/>
    <col min="12788" max="12788" width="4" style="23" customWidth="1"/>
    <col min="12789" max="12789" width="3.44140625" style="23" customWidth="1"/>
    <col min="12790" max="12790" width="3" style="23" customWidth="1"/>
    <col min="12791" max="13024" width="11.44140625" style="23"/>
    <col min="13025" max="13025" width="44.44140625" style="23" customWidth="1"/>
    <col min="13026" max="13026" width="13" style="23" customWidth="1"/>
    <col min="13027" max="13032" width="2" style="23" customWidth="1"/>
    <col min="13033" max="13033" width="2.44140625" style="23" customWidth="1"/>
    <col min="13034" max="13034" width="3" style="23" customWidth="1"/>
    <col min="13035" max="13037" width="2" style="23" customWidth="1"/>
    <col min="13038" max="13038" width="2.88671875" style="23" customWidth="1"/>
    <col min="13039" max="13039" width="3" style="23" customWidth="1"/>
    <col min="13040" max="13040" width="2.6640625" style="23" customWidth="1"/>
    <col min="13041" max="13041" width="2.44140625" style="23" customWidth="1"/>
    <col min="13042" max="13042" width="3.33203125" style="23" customWidth="1"/>
    <col min="13043" max="13043" width="3.5546875" style="23" customWidth="1"/>
    <col min="13044" max="13044" width="4" style="23" customWidth="1"/>
    <col min="13045" max="13045" width="3.44140625" style="23" customWidth="1"/>
    <col min="13046" max="13046" width="3" style="23" customWidth="1"/>
    <col min="13047" max="13280" width="11.44140625" style="23"/>
    <col min="13281" max="13281" width="44.44140625" style="23" customWidth="1"/>
    <col min="13282" max="13282" width="13" style="23" customWidth="1"/>
    <col min="13283" max="13288" width="2" style="23" customWidth="1"/>
    <col min="13289" max="13289" width="2.44140625" style="23" customWidth="1"/>
    <col min="13290" max="13290" width="3" style="23" customWidth="1"/>
    <col min="13291" max="13293" width="2" style="23" customWidth="1"/>
    <col min="13294" max="13294" width="2.88671875" style="23" customWidth="1"/>
    <col min="13295" max="13295" width="3" style="23" customWidth="1"/>
    <col min="13296" max="13296" width="2.6640625" style="23" customWidth="1"/>
    <col min="13297" max="13297" width="2.44140625" style="23" customWidth="1"/>
    <col min="13298" max="13298" width="3.33203125" style="23" customWidth="1"/>
    <col min="13299" max="13299" width="3.5546875" style="23" customWidth="1"/>
    <col min="13300" max="13300" width="4" style="23" customWidth="1"/>
    <col min="13301" max="13301" width="3.44140625" style="23" customWidth="1"/>
    <col min="13302" max="13302" width="3" style="23" customWidth="1"/>
    <col min="13303" max="13536" width="11.44140625" style="23"/>
    <col min="13537" max="13537" width="44.44140625" style="23" customWidth="1"/>
    <col min="13538" max="13538" width="13" style="23" customWidth="1"/>
    <col min="13539" max="13544" width="2" style="23" customWidth="1"/>
    <col min="13545" max="13545" width="2.44140625" style="23" customWidth="1"/>
    <col min="13546" max="13546" width="3" style="23" customWidth="1"/>
    <col min="13547" max="13549" width="2" style="23" customWidth="1"/>
    <col min="13550" max="13550" width="2.88671875" style="23" customWidth="1"/>
    <col min="13551" max="13551" width="3" style="23" customWidth="1"/>
    <col min="13552" max="13552" width="2.6640625" style="23" customWidth="1"/>
    <col min="13553" max="13553" width="2.44140625" style="23" customWidth="1"/>
    <col min="13554" max="13554" width="3.33203125" style="23" customWidth="1"/>
    <col min="13555" max="13555" width="3.5546875" style="23" customWidth="1"/>
    <col min="13556" max="13556" width="4" style="23" customWidth="1"/>
    <col min="13557" max="13557" width="3.44140625" style="23" customWidth="1"/>
    <col min="13558" max="13558" width="3" style="23" customWidth="1"/>
    <col min="13559" max="13792" width="11.44140625" style="23"/>
    <col min="13793" max="13793" width="44.44140625" style="23" customWidth="1"/>
    <col min="13794" max="13794" width="13" style="23" customWidth="1"/>
    <col min="13795" max="13800" width="2" style="23" customWidth="1"/>
    <col min="13801" max="13801" width="2.44140625" style="23" customWidth="1"/>
    <col min="13802" max="13802" width="3" style="23" customWidth="1"/>
    <col min="13803" max="13805" width="2" style="23" customWidth="1"/>
    <col min="13806" max="13806" width="2.88671875" style="23" customWidth="1"/>
    <col min="13807" max="13807" width="3" style="23" customWidth="1"/>
    <col min="13808" max="13808" width="2.6640625" style="23" customWidth="1"/>
    <col min="13809" max="13809" width="2.44140625" style="23" customWidth="1"/>
    <col min="13810" max="13810" width="3.33203125" style="23" customWidth="1"/>
    <col min="13811" max="13811" width="3.5546875" style="23" customWidth="1"/>
    <col min="13812" max="13812" width="4" style="23" customWidth="1"/>
    <col min="13813" max="13813" width="3.44140625" style="23" customWidth="1"/>
    <col min="13814" max="13814" width="3" style="23" customWidth="1"/>
    <col min="13815" max="14048" width="11.44140625" style="23"/>
    <col min="14049" max="14049" width="44.44140625" style="23" customWidth="1"/>
    <col min="14050" max="14050" width="13" style="23" customWidth="1"/>
    <col min="14051" max="14056" width="2" style="23" customWidth="1"/>
    <col min="14057" max="14057" width="2.44140625" style="23" customWidth="1"/>
    <col min="14058" max="14058" width="3" style="23" customWidth="1"/>
    <col min="14059" max="14061" width="2" style="23" customWidth="1"/>
    <col min="14062" max="14062" width="2.88671875" style="23" customWidth="1"/>
    <col min="14063" max="14063" width="3" style="23" customWidth="1"/>
    <col min="14064" max="14064" width="2.6640625" style="23" customWidth="1"/>
    <col min="14065" max="14065" width="2.44140625" style="23" customWidth="1"/>
    <col min="14066" max="14066" width="3.33203125" style="23" customWidth="1"/>
    <col min="14067" max="14067" width="3.5546875" style="23" customWidth="1"/>
    <col min="14068" max="14068" width="4" style="23" customWidth="1"/>
    <col min="14069" max="14069" width="3.44140625" style="23" customWidth="1"/>
    <col min="14070" max="14070" width="3" style="23" customWidth="1"/>
    <col min="14071" max="14304" width="11.44140625" style="23"/>
    <col min="14305" max="14305" width="44.44140625" style="23" customWidth="1"/>
    <col min="14306" max="14306" width="13" style="23" customWidth="1"/>
    <col min="14307" max="14312" width="2" style="23" customWidth="1"/>
    <col min="14313" max="14313" width="2.44140625" style="23" customWidth="1"/>
    <col min="14314" max="14314" width="3" style="23" customWidth="1"/>
    <col min="14315" max="14317" width="2" style="23" customWidth="1"/>
    <col min="14318" max="14318" width="2.88671875" style="23" customWidth="1"/>
    <col min="14319" max="14319" width="3" style="23" customWidth="1"/>
    <col min="14320" max="14320" width="2.6640625" style="23" customWidth="1"/>
    <col min="14321" max="14321" width="2.44140625" style="23" customWidth="1"/>
    <col min="14322" max="14322" width="3.33203125" style="23" customWidth="1"/>
    <col min="14323" max="14323" width="3.5546875" style="23" customWidth="1"/>
    <col min="14324" max="14324" width="4" style="23" customWidth="1"/>
    <col min="14325" max="14325" width="3.44140625" style="23" customWidth="1"/>
    <col min="14326" max="14326" width="3" style="23" customWidth="1"/>
    <col min="14327" max="14560" width="11.44140625" style="23"/>
    <col min="14561" max="14561" width="44.44140625" style="23" customWidth="1"/>
    <col min="14562" max="14562" width="13" style="23" customWidth="1"/>
    <col min="14563" max="14568" width="2" style="23" customWidth="1"/>
    <col min="14569" max="14569" width="2.44140625" style="23" customWidth="1"/>
    <col min="14570" max="14570" width="3" style="23" customWidth="1"/>
    <col min="14571" max="14573" width="2" style="23" customWidth="1"/>
    <col min="14574" max="14574" width="2.88671875" style="23" customWidth="1"/>
    <col min="14575" max="14575" width="3" style="23" customWidth="1"/>
    <col min="14576" max="14576" width="2.6640625" style="23" customWidth="1"/>
    <col min="14577" max="14577" width="2.44140625" style="23" customWidth="1"/>
    <col min="14578" max="14578" width="3.33203125" style="23" customWidth="1"/>
    <col min="14579" max="14579" width="3.5546875" style="23" customWidth="1"/>
    <col min="14580" max="14580" width="4" style="23" customWidth="1"/>
    <col min="14581" max="14581" width="3.44140625" style="23" customWidth="1"/>
    <col min="14582" max="14582" width="3" style="23" customWidth="1"/>
    <col min="14583" max="14816" width="11.44140625" style="23"/>
    <col min="14817" max="14817" width="44.44140625" style="23" customWidth="1"/>
    <col min="14818" max="14818" width="13" style="23" customWidth="1"/>
    <col min="14819" max="14824" width="2" style="23" customWidth="1"/>
    <col min="14825" max="14825" width="2.44140625" style="23" customWidth="1"/>
    <col min="14826" max="14826" width="3" style="23" customWidth="1"/>
    <col min="14827" max="14829" width="2" style="23" customWidth="1"/>
    <col min="14830" max="14830" width="2.88671875" style="23" customWidth="1"/>
    <col min="14831" max="14831" width="3" style="23" customWidth="1"/>
    <col min="14832" max="14832" width="2.6640625" style="23" customWidth="1"/>
    <col min="14833" max="14833" width="2.44140625" style="23" customWidth="1"/>
    <col min="14834" max="14834" width="3.33203125" style="23" customWidth="1"/>
    <col min="14835" max="14835" width="3.5546875" style="23" customWidth="1"/>
    <col min="14836" max="14836" width="4" style="23" customWidth="1"/>
    <col min="14837" max="14837" width="3.44140625" style="23" customWidth="1"/>
    <col min="14838" max="14838" width="3" style="23" customWidth="1"/>
    <col min="14839" max="15072" width="11.44140625" style="23"/>
    <col min="15073" max="15073" width="44.44140625" style="23" customWidth="1"/>
    <col min="15074" max="15074" width="13" style="23" customWidth="1"/>
    <col min="15075" max="15080" width="2" style="23" customWidth="1"/>
    <col min="15081" max="15081" width="2.44140625" style="23" customWidth="1"/>
    <col min="15082" max="15082" width="3" style="23" customWidth="1"/>
    <col min="15083" max="15085" width="2" style="23" customWidth="1"/>
    <col min="15086" max="15086" width="2.88671875" style="23" customWidth="1"/>
    <col min="15087" max="15087" width="3" style="23" customWidth="1"/>
    <col min="15088" max="15088" width="2.6640625" style="23" customWidth="1"/>
    <col min="15089" max="15089" width="2.44140625" style="23" customWidth="1"/>
    <col min="15090" max="15090" width="3.33203125" style="23" customWidth="1"/>
    <col min="15091" max="15091" width="3.5546875" style="23" customWidth="1"/>
    <col min="15092" max="15092" width="4" style="23" customWidth="1"/>
    <col min="15093" max="15093" width="3.44140625" style="23" customWidth="1"/>
    <col min="15094" max="15094" width="3" style="23" customWidth="1"/>
    <col min="15095" max="15328" width="11.44140625" style="23"/>
    <col min="15329" max="15329" width="44.44140625" style="23" customWidth="1"/>
    <col min="15330" max="15330" width="13" style="23" customWidth="1"/>
    <col min="15331" max="15336" width="2" style="23" customWidth="1"/>
    <col min="15337" max="15337" width="2.44140625" style="23" customWidth="1"/>
    <col min="15338" max="15338" width="3" style="23" customWidth="1"/>
    <col min="15339" max="15341" width="2" style="23" customWidth="1"/>
    <col min="15342" max="15342" width="2.88671875" style="23" customWidth="1"/>
    <col min="15343" max="15343" width="3" style="23" customWidth="1"/>
    <col min="15344" max="15344" width="2.6640625" style="23" customWidth="1"/>
    <col min="15345" max="15345" width="2.44140625" style="23" customWidth="1"/>
    <col min="15346" max="15346" width="3.33203125" style="23" customWidth="1"/>
    <col min="15347" max="15347" width="3.5546875" style="23" customWidth="1"/>
    <col min="15348" max="15348" width="4" style="23" customWidth="1"/>
    <col min="15349" max="15349" width="3.44140625" style="23" customWidth="1"/>
    <col min="15350" max="15350" width="3" style="23" customWidth="1"/>
    <col min="15351" max="15584" width="11.44140625" style="23"/>
    <col min="15585" max="15585" width="44.44140625" style="23" customWidth="1"/>
    <col min="15586" max="15586" width="13" style="23" customWidth="1"/>
    <col min="15587" max="15592" width="2" style="23" customWidth="1"/>
    <col min="15593" max="15593" width="2.44140625" style="23" customWidth="1"/>
    <col min="15594" max="15594" width="3" style="23" customWidth="1"/>
    <col min="15595" max="15597" width="2" style="23" customWidth="1"/>
    <col min="15598" max="15598" width="2.88671875" style="23" customWidth="1"/>
    <col min="15599" max="15599" width="3" style="23" customWidth="1"/>
    <col min="15600" max="15600" width="2.6640625" style="23" customWidth="1"/>
    <col min="15601" max="15601" width="2.44140625" style="23" customWidth="1"/>
    <col min="15602" max="15602" width="3.33203125" style="23" customWidth="1"/>
    <col min="15603" max="15603" width="3.5546875" style="23" customWidth="1"/>
    <col min="15604" max="15604" width="4" style="23" customWidth="1"/>
    <col min="15605" max="15605" width="3.44140625" style="23" customWidth="1"/>
    <col min="15606" max="15606" width="3" style="23" customWidth="1"/>
    <col min="15607" max="15840" width="11.44140625" style="23"/>
    <col min="15841" max="15841" width="44.44140625" style="23" customWidth="1"/>
    <col min="15842" max="15842" width="13" style="23" customWidth="1"/>
    <col min="15843" max="15848" width="2" style="23" customWidth="1"/>
    <col min="15849" max="15849" width="2.44140625" style="23" customWidth="1"/>
    <col min="15850" max="15850" width="3" style="23" customWidth="1"/>
    <col min="15851" max="15853" width="2" style="23" customWidth="1"/>
    <col min="15854" max="15854" width="2.88671875" style="23" customWidth="1"/>
    <col min="15855" max="15855" width="3" style="23" customWidth="1"/>
    <col min="15856" max="15856" width="2.6640625" style="23" customWidth="1"/>
    <col min="15857" max="15857" width="2.44140625" style="23" customWidth="1"/>
    <col min="15858" max="15858" width="3.33203125" style="23" customWidth="1"/>
    <col min="15859" max="15859" width="3.5546875" style="23" customWidth="1"/>
    <col min="15860" max="15860" width="4" style="23" customWidth="1"/>
    <col min="15861" max="15861" width="3.44140625" style="23" customWidth="1"/>
    <col min="15862" max="15862" width="3" style="23" customWidth="1"/>
    <col min="15863" max="16096" width="11.44140625" style="23"/>
    <col min="16097" max="16097" width="44.44140625" style="23" customWidth="1"/>
    <col min="16098" max="16098" width="13" style="23" customWidth="1"/>
    <col min="16099" max="16104" width="2" style="23" customWidth="1"/>
    <col min="16105" max="16105" width="2.44140625" style="23" customWidth="1"/>
    <col min="16106" max="16106" width="3" style="23" customWidth="1"/>
    <col min="16107" max="16109" width="2" style="23" customWidth="1"/>
    <col min="16110" max="16110" width="2.88671875" style="23" customWidth="1"/>
    <col min="16111" max="16111" width="3" style="23" customWidth="1"/>
    <col min="16112" max="16112" width="2.6640625" style="23" customWidth="1"/>
    <col min="16113" max="16113" width="2.44140625" style="23" customWidth="1"/>
    <col min="16114" max="16114" width="3.33203125" style="23" customWidth="1"/>
    <col min="16115" max="16115" width="3.5546875" style="23" customWidth="1"/>
    <col min="16116" max="16116" width="4" style="23" customWidth="1"/>
    <col min="16117" max="16117" width="3.44140625" style="23" customWidth="1"/>
    <col min="16118" max="16118" width="3" style="23" customWidth="1"/>
    <col min="16119" max="16384" width="11.44140625" style="23"/>
  </cols>
  <sheetData>
    <row r="1" spans="1:12" x14ac:dyDescent="0.25">
      <c r="A1" s="119" t="s">
        <v>130</v>
      </c>
      <c r="B1" s="23"/>
      <c r="C1" s="23"/>
      <c r="F1" s="479"/>
      <c r="G1" s="479"/>
    </row>
    <row r="2" spans="1:12" x14ac:dyDescent="0.25">
      <c r="A2" s="119" t="s">
        <v>1</v>
      </c>
      <c r="B2" s="23"/>
      <c r="C2" s="23"/>
      <c r="F2" s="479"/>
      <c r="G2" s="479"/>
    </row>
    <row r="3" spans="1:12" x14ac:dyDescent="0.25">
      <c r="A3" s="119"/>
      <c r="B3" s="23"/>
      <c r="C3" s="23"/>
      <c r="F3" s="479"/>
      <c r="G3" s="479"/>
    </row>
    <row r="4" spans="1:12" x14ac:dyDescent="0.3">
      <c r="A4" s="119" t="s">
        <v>131</v>
      </c>
      <c r="B4" s="476" t="str">
        <f>+CC!A1</f>
        <v>Programa de Conectividad y Seguridad en Corredores Viales de la Provincia de Buenos Aires</v>
      </c>
      <c r="C4" s="476"/>
      <c r="F4" s="479"/>
      <c r="G4" s="479"/>
    </row>
    <row r="5" spans="1:12" x14ac:dyDescent="0.25">
      <c r="A5" s="119"/>
      <c r="B5" s="23"/>
      <c r="C5" s="23"/>
      <c r="F5" s="479"/>
      <c r="G5" s="479"/>
    </row>
    <row r="6" spans="1:12" x14ac:dyDescent="0.25">
      <c r="A6" s="119" t="s">
        <v>2</v>
      </c>
      <c r="B6" s="23"/>
      <c r="C6" s="23"/>
      <c r="F6" s="479"/>
      <c r="G6" s="479"/>
    </row>
    <row r="7" spans="1:12" ht="27.6" x14ac:dyDescent="0.25">
      <c r="A7" s="118"/>
      <c r="B7" s="117" t="s">
        <v>132</v>
      </c>
      <c r="C7" s="117" t="s">
        <v>444</v>
      </c>
      <c r="D7" s="117" t="s">
        <v>133</v>
      </c>
      <c r="E7" s="117" t="s">
        <v>134</v>
      </c>
      <c r="F7" s="117" t="s">
        <v>135</v>
      </c>
      <c r="G7" s="117" t="s">
        <v>136</v>
      </c>
      <c r="H7" s="117" t="s">
        <v>137</v>
      </c>
      <c r="I7" s="116" t="s">
        <v>138</v>
      </c>
      <c r="J7" s="116" t="s">
        <v>17</v>
      </c>
      <c r="K7" s="116" t="s">
        <v>18</v>
      </c>
    </row>
    <row r="8" spans="1:12" ht="27.6" x14ac:dyDescent="0.25">
      <c r="A8" s="114"/>
      <c r="B8" s="381" t="str">
        <f>+B4</f>
        <v>Programa de Conectividad y Seguridad en Corredores Viales de la Provincia de Buenos Aires</v>
      </c>
      <c r="C8" s="71"/>
      <c r="D8" s="115"/>
      <c r="E8" s="115"/>
      <c r="F8" s="71"/>
      <c r="G8" s="71"/>
      <c r="H8" s="115"/>
      <c r="I8" s="114">
        <f t="shared" ref="I8:J8" si="0">+I9+I30+I17</f>
        <v>200000000</v>
      </c>
      <c r="J8" s="114">
        <f t="shared" si="0"/>
        <v>80000000</v>
      </c>
      <c r="K8" s="114">
        <f>+K9+K30+K17</f>
        <v>280000000</v>
      </c>
    </row>
    <row r="9" spans="1:12" s="69" customFormat="1" x14ac:dyDescent="0.25">
      <c r="A9" s="110">
        <v>1</v>
      </c>
      <c r="B9" s="120" t="str">
        <f>+CC!B28</f>
        <v>Componente 1. Obras Civiles e Inspección</v>
      </c>
      <c r="C9" s="120"/>
      <c r="D9" s="121" t="s">
        <v>442</v>
      </c>
      <c r="E9" s="121"/>
      <c r="F9" s="122"/>
      <c r="G9" s="122"/>
      <c r="H9" s="123"/>
      <c r="I9" s="113">
        <f>+I10+I12+I14</f>
        <v>187700000</v>
      </c>
      <c r="J9" s="113">
        <f t="shared" ref="J9:K9" si="1">+J10+J12+J14</f>
        <v>80000000</v>
      </c>
      <c r="K9" s="113">
        <f t="shared" si="1"/>
        <v>267700000</v>
      </c>
    </row>
    <row r="10" spans="1:12" s="69" customFormat="1" x14ac:dyDescent="0.25">
      <c r="A10" s="103">
        <f>+CC!A29</f>
        <v>1.1000000000000001</v>
      </c>
      <c r="B10" s="79" t="str">
        <f>+CC!B29</f>
        <v>Mejoramiento de la RP Nº 41</v>
      </c>
      <c r="C10" s="79"/>
      <c r="D10" s="124" t="s">
        <v>443</v>
      </c>
      <c r="E10" s="124"/>
      <c r="F10" s="112"/>
      <c r="G10" s="124" t="s">
        <v>140</v>
      </c>
      <c r="H10" s="125"/>
      <c r="I10" s="102">
        <f>+I11</f>
        <v>72000000</v>
      </c>
      <c r="J10" s="102">
        <f t="shared" ref="J10:K10" si="2">+J11</f>
        <v>30000000</v>
      </c>
      <c r="K10" s="102">
        <f t="shared" si="2"/>
        <v>102000000</v>
      </c>
    </row>
    <row r="11" spans="1:12" s="108" customFormat="1" ht="27.6" x14ac:dyDescent="0.25">
      <c r="A11" s="101" t="s">
        <v>104</v>
      </c>
      <c r="B11" s="84" t="s">
        <v>141</v>
      </c>
      <c r="C11" s="84" t="s">
        <v>445</v>
      </c>
      <c r="D11" s="126" t="s">
        <v>458</v>
      </c>
      <c r="E11" s="85" t="s">
        <v>143</v>
      </c>
      <c r="F11" s="85" t="s">
        <v>144</v>
      </c>
      <c r="G11" s="85"/>
      <c r="H11" s="400" t="s">
        <v>145</v>
      </c>
      <c r="I11" s="99">
        <v>72000000</v>
      </c>
      <c r="J11" s="99">
        <v>30000000</v>
      </c>
      <c r="K11" s="99">
        <f>+J11+I11</f>
        <v>102000000</v>
      </c>
    </row>
    <row r="12" spans="1:12" s="108" customFormat="1" x14ac:dyDescent="0.25">
      <c r="A12" s="103">
        <f>+CC!A30</f>
        <v>1.2</v>
      </c>
      <c r="B12" s="79" t="str">
        <f>+CC!B30</f>
        <v>Otras Obras de mejoramiento</v>
      </c>
      <c r="C12" s="79"/>
      <c r="D12" s="124" t="s">
        <v>443</v>
      </c>
      <c r="E12" s="124"/>
      <c r="F12" s="112"/>
      <c r="G12" s="124" t="s">
        <v>140</v>
      </c>
      <c r="H12" s="125"/>
      <c r="I12" s="102">
        <f>+I13</f>
        <v>110000000</v>
      </c>
      <c r="J12" s="102">
        <f>+J13</f>
        <v>50000000</v>
      </c>
      <c r="K12" s="102">
        <f>+K13</f>
        <v>160000000</v>
      </c>
    </row>
    <row r="13" spans="1:12" s="108" customFormat="1" ht="32.4" customHeight="1" x14ac:dyDescent="0.25">
      <c r="A13" s="101" t="s">
        <v>146</v>
      </c>
      <c r="B13" s="84" t="s">
        <v>147</v>
      </c>
      <c r="C13" s="84" t="s">
        <v>441</v>
      </c>
      <c r="D13" s="126" t="s">
        <v>458</v>
      </c>
      <c r="E13" s="85" t="s">
        <v>143</v>
      </c>
      <c r="F13" s="85" t="s">
        <v>144</v>
      </c>
      <c r="G13" s="85"/>
      <c r="H13" s="400" t="s">
        <v>145</v>
      </c>
      <c r="I13" s="99">
        <v>110000000</v>
      </c>
      <c r="J13" s="99">
        <v>50000000</v>
      </c>
      <c r="K13" s="99">
        <f>+J13+I13</f>
        <v>160000000</v>
      </c>
    </row>
    <row r="14" spans="1:12" s="108" customFormat="1" x14ac:dyDescent="0.25">
      <c r="A14" s="103">
        <f>+CC!A31</f>
        <v>1.3</v>
      </c>
      <c r="B14" s="79" t="str">
        <f>+CC!B31</f>
        <v>Inspección de Obras</v>
      </c>
      <c r="C14" s="79"/>
      <c r="D14" s="124" t="s">
        <v>443</v>
      </c>
      <c r="E14" s="124"/>
      <c r="F14" s="112"/>
      <c r="G14" s="124" t="s">
        <v>140</v>
      </c>
      <c r="H14" s="125"/>
      <c r="I14" s="102">
        <f>+I15+I16</f>
        <v>5700000</v>
      </c>
      <c r="J14" s="102">
        <f t="shared" ref="J14:K14" si="3">+J15+J16</f>
        <v>0</v>
      </c>
      <c r="K14" s="102">
        <f t="shared" si="3"/>
        <v>5700000</v>
      </c>
    </row>
    <row r="15" spans="1:12" s="108" customFormat="1" ht="27.6" x14ac:dyDescent="0.25">
      <c r="A15" s="101" t="s">
        <v>148</v>
      </c>
      <c r="B15" s="84" t="s">
        <v>149</v>
      </c>
      <c r="C15" s="84" t="s">
        <v>445</v>
      </c>
      <c r="D15" s="126" t="s">
        <v>458</v>
      </c>
      <c r="E15" s="85" t="s">
        <v>150</v>
      </c>
      <c r="F15" s="85" t="s">
        <v>151</v>
      </c>
      <c r="G15" s="85"/>
      <c r="H15" s="400" t="s">
        <v>152</v>
      </c>
      <c r="I15" s="99">
        <v>2700000</v>
      </c>
      <c r="J15" s="99">
        <v>0</v>
      </c>
      <c r="K15" s="99">
        <f>+J15+I15</f>
        <v>2700000</v>
      </c>
      <c r="L15" s="403"/>
    </row>
    <row r="16" spans="1:12" s="108" customFormat="1" ht="26.4" customHeight="1" x14ac:dyDescent="0.25">
      <c r="A16" s="101" t="s">
        <v>153</v>
      </c>
      <c r="B16" s="84" t="s">
        <v>154</v>
      </c>
      <c r="C16" s="84" t="s">
        <v>441</v>
      </c>
      <c r="D16" s="126" t="s">
        <v>458</v>
      </c>
      <c r="E16" s="85" t="s">
        <v>150</v>
      </c>
      <c r="F16" s="85" t="s">
        <v>151</v>
      </c>
      <c r="G16" s="85"/>
      <c r="H16" s="400" t="s">
        <v>152</v>
      </c>
      <c r="I16" s="99">
        <v>3000000</v>
      </c>
      <c r="J16" s="99">
        <v>0</v>
      </c>
      <c r="K16" s="99">
        <f>+J16+I16</f>
        <v>3000000</v>
      </c>
    </row>
    <row r="17" spans="1:14" s="108" customFormat="1" x14ac:dyDescent="0.25">
      <c r="A17" s="110">
        <v>2</v>
      </c>
      <c r="B17" s="120" t="str">
        <f>+CC!B32</f>
        <v>Componente 2. Fortalecimiento Institucional</v>
      </c>
      <c r="C17" s="121"/>
      <c r="D17" s="121"/>
      <c r="E17" s="121"/>
      <c r="F17" s="122"/>
      <c r="G17" s="122"/>
      <c r="H17" s="123"/>
      <c r="I17" s="110">
        <f>+I18+I20+I23+I27</f>
        <v>11200000</v>
      </c>
      <c r="J17" s="110">
        <f>+J22+J24</f>
        <v>0</v>
      </c>
      <c r="K17" s="110">
        <f>+K18+K20+K23+K27</f>
        <v>11200000</v>
      </c>
      <c r="N17" s="109"/>
    </row>
    <row r="18" spans="1:14" x14ac:dyDescent="0.25">
      <c r="A18" s="103">
        <f>+CC!A33</f>
        <v>2.1</v>
      </c>
      <c r="B18" s="79" t="str">
        <f>+CC!B33</f>
        <v>Estudios de Pre inversión</v>
      </c>
      <c r="C18" s="79"/>
      <c r="D18" s="124" t="s">
        <v>443</v>
      </c>
      <c r="E18" s="124"/>
      <c r="F18" s="112"/>
      <c r="G18" s="124" t="s">
        <v>140</v>
      </c>
      <c r="H18" s="125"/>
      <c r="I18" s="102">
        <f>+I19</f>
        <v>6200000</v>
      </c>
      <c r="J18" s="102">
        <f>+J19</f>
        <v>0</v>
      </c>
      <c r="K18" s="102">
        <f>+K19</f>
        <v>6200000</v>
      </c>
    </row>
    <row r="19" spans="1:14" ht="27.6" x14ac:dyDescent="0.25">
      <c r="A19" s="105" t="s">
        <v>155</v>
      </c>
      <c r="B19" s="92" t="s">
        <v>452</v>
      </c>
      <c r="C19" s="84" t="s">
        <v>457</v>
      </c>
      <c r="D19" s="126" t="s">
        <v>458</v>
      </c>
      <c r="E19" s="85" t="s">
        <v>150</v>
      </c>
      <c r="F19" s="100" t="s">
        <v>151</v>
      </c>
      <c r="G19" s="85"/>
      <c r="H19" s="401" t="s">
        <v>156</v>
      </c>
      <c r="I19" s="111">
        <v>6200000</v>
      </c>
      <c r="J19" s="111">
        <v>0</v>
      </c>
      <c r="K19" s="99">
        <f>+J19+I19</f>
        <v>6200000</v>
      </c>
    </row>
    <row r="20" spans="1:14" s="108" customFormat="1" x14ac:dyDescent="0.25">
      <c r="A20" s="103">
        <f>+CC!A34</f>
        <v>2.2000000000000002</v>
      </c>
      <c r="B20" s="79" t="str">
        <f>+CC!B34</f>
        <v>Seguridad Vial</v>
      </c>
      <c r="C20" s="79"/>
      <c r="D20" s="124" t="s">
        <v>443</v>
      </c>
      <c r="E20" s="124"/>
      <c r="F20" s="112"/>
      <c r="G20" s="124" t="s">
        <v>140</v>
      </c>
      <c r="H20" s="125"/>
      <c r="I20" s="102">
        <f>+I21+I22</f>
        <v>500000</v>
      </c>
      <c r="J20" s="102">
        <f>+J21</f>
        <v>0</v>
      </c>
      <c r="K20" s="102">
        <f>+K21+K22</f>
        <v>500000</v>
      </c>
    </row>
    <row r="21" spans="1:14" s="108" customFormat="1" ht="27.6" x14ac:dyDescent="0.25">
      <c r="A21" s="105" t="s">
        <v>157</v>
      </c>
      <c r="B21" s="92" t="s">
        <v>158</v>
      </c>
      <c r="C21" s="84" t="s">
        <v>447</v>
      </c>
      <c r="D21" s="126" t="s">
        <v>458</v>
      </c>
      <c r="E21" s="85" t="s">
        <v>150</v>
      </c>
      <c r="F21" s="100" t="s">
        <v>159</v>
      </c>
      <c r="G21" s="85"/>
      <c r="H21" s="401" t="s">
        <v>160</v>
      </c>
      <c r="I21" s="111">
        <v>300000</v>
      </c>
      <c r="J21" s="111">
        <v>0</v>
      </c>
      <c r="K21" s="111">
        <f>+J21+I21</f>
        <v>300000</v>
      </c>
    </row>
    <row r="22" spans="1:14" ht="27.6" x14ac:dyDescent="0.25">
      <c r="A22" s="105" t="s">
        <v>161</v>
      </c>
      <c r="B22" s="92" t="s">
        <v>162</v>
      </c>
      <c r="C22" s="84" t="s">
        <v>448</v>
      </c>
      <c r="D22" s="126" t="s">
        <v>458</v>
      </c>
      <c r="E22" s="85" t="s">
        <v>150</v>
      </c>
      <c r="F22" s="100" t="s">
        <v>159</v>
      </c>
      <c r="G22" s="85"/>
      <c r="H22" s="401" t="s">
        <v>163</v>
      </c>
      <c r="I22" s="111">
        <v>200000</v>
      </c>
      <c r="J22" s="111">
        <v>0</v>
      </c>
      <c r="K22" s="111">
        <f>+J22+I22</f>
        <v>200000</v>
      </c>
    </row>
    <row r="23" spans="1:14" s="108" customFormat="1" x14ac:dyDescent="0.25">
      <c r="A23" s="103">
        <f>+CC!A35</f>
        <v>2.2999999999999998</v>
      </c>
      <c r="B23" s="79" t="str">
        <f>+CC!B35</f>
        <v>Fortalecimiento de la DVBA</v>
      </c>
      <c r="C23" s="79"/>
      <c r="D23" s="124" t="s">
        <v>443</v>
      </c>
      <c r="E23" s="124"/>
      <c r="F23" s="112"/>
      <c r="G23" s="124" t="s">
        <v>140</v>
      </c>
      <c r="H23" s="125"/>
      <c r="I23" s="102">
        <f>+I24+I25+I26</f>
        <v>4000000</v>
      </c>
      <c r="J23" s="102">
        <f>+J24</f>
        <v>0</v>
      </c>
      <c r="K23" s="102">
        <f>+K24+K25+K26</f>
        <v>4000000</v>
      </c>
    </row>
    <row r="24" spans="1:14" ht="27.6" x14ac:dyDescent="0.25">
      <c r="A24" s="105" t="s">
        <v>164</v>
      </c>
      <c r="B24" s="92" t="s">
        <v>165</v>
      </c>
      <c r="C24" s="84" t="s">
        <v>446</v>
      </c>
      <c r="D24" s="126" t="s">
        <v>458</v>
      </c>
      <c r="E24" s="85" t="s">
        <v>150</v>
      </c>
      <c r="F24" s="85" t="s">
        <v>151</v>
      </c>
      <c r="G24" s="85"/>
      <c r="H24" s="401" t="s">
        <v>166</v>
      </c>
      <c r="I24" s="111">
        <v>1000000</v>
      </c>
      <c r="J24" s="111">
        <v>0</v>
      </c>
      <c r="K24" s="111">
        <f t="shared" ref="K24:K29" si="4">+J24+I24</f>
        <v>1000000</v>
      </c>
    </row>
    <row r="25" spans="1:14" ht="27.6" x14ac:dyDescent="0.25">
      <c r="A25" s="105" t="s">
        <v>167</v>
      </c>
      <c r="B25" s="92" t="s">
        <v>168</v>
      </c>
      <c r="C25" s="84" t="s">
        <v>449</v>
      </c>
      <c r="D25" s="126" t="s">
        <v>458</v>
      </c>
      <c r="E25" s="85" t="s">
        <v>150</v>
      </c>
      <c r="F25" s="85" t="s">
        <v>151</v>
      </c>
      <c r="G25" s="85"/>
      <c r="H25" s="401" t="s">
        <v>163</v>
      </c>
      <c r="I25" s="111">
        <v>2500000</v>
      </c>
      <c r="J25" s="111">
        <v>0</v>
      </c>
      <c r="K25" s="111">
        <f t="shared" si="4"/>
        <v>2500000</v>
      </c>
    </row>
    <row r="26" spans="1:14" ht="27.6" x14ac:dyDescent="0.25">
      <c r="A26" s="105" t="s">
        <v>169</v>
      </c>
      <c r="B26" s="92" t="s">
        <v>170</v>
      </c>
      <c r="C26" s="84" t="s">
        <v>449</v>
      </c>
      <c r="D26" s="126" t="s">
        <v>458</v>
      </c>
      <c r="E26" s="85" t="s">
        <v>171</v>
      </c>
      <c r="F26" s="85" t="s">
        <v>172</v>
      </c>
      <c r="G26" s="85"/>
      <c r="H26" s="401" t="s">
        <v>66</v>
      </c>
      <c r="I26" s="111">
        <v>500000</v>
      </c>
      <c r="J26" s="111"/>
      <c r="K26" s="111">
        <f t="shared" si="4"/>
        <v>500000</v>
      </c>
    </row>
    <row r="27" spans="1:14" s="108" customFormat="1" x14ac:dyDescent="0.25">
      <c r="A27" s="103">
        <v>2.4</v>
      </c>
      <c r="B27" s="79" t="str">
        <f>+CC!B36</f>
        <v>Fortalecimiento de la AUBASA</v>
      </c>
      <c r="C27" s="79"/>
      <c r="D27" s="124" t="s">
        <v>443</v>
      </c>
      <c r="E27" s="124"/>
      <c r="F27" s="112"/>
      <c r="G27" s="124" t="s">
        <v>140</v>
      </c>
      <c r="H27" s="125"/>
      <c r="I27" s="102">
        <f>+I28+I29</f>
        <v>500000</v>
      </c>
      <c r="J27" s="102">
        <f>+J28</f>
        <v>0</v>
      </c>
      <c r="K27" s="102">
        <f t="shared" si="4"/>
        <v>500000</v>
      </c>
    </row>
    <row r="28" spans="1:14" ht="27.6" x14ac:dyDescent="0.25">
      <c r="A28" s="105" t="s">
        <v>173</v>
      </c>
      <c r="B28" s="92" t="s">
        <v>174</v>
      </c>
      <c r="C28" s="84" t="s">
        <v>450</v>
      </c>
      <c r="D28" s="126" t="s">
        <v>458</v>
      </c>
      <c r="E28" s="85" t="s">
        <v>150</v>
      </c>
      <c r="F28" s="85" t="s">
        <v>159</v>
      </c>
      <c r="G28" s="85"/>
      <c r="H28" s="401" t="s">
        <v>163</v>
      </c>
      <c r="I28" s="111">
        <v>200000</v>
      </c>
      <c r="J28" s="111">
        <v>0</v>
      </c>
      <c r="K28" s="111">
        <f t="shared" si="4"/>
        <v>200000</v>
      </c>
    </row>
    <row r="29" spans="1:14" ht="27.6" x14ac:dyDescent="0.25">
      <c r="A29" s="105" t="s">
        <v>175</v>
      </c>
      <c r="B29" s="92" t="s">
        <v>176</v>
      </c>
      <c r="C29" s="84" t="s">
        <v>451</v>
      </c>
      <c r="D29" s="126" t="s">
        <v>458</v>
      </c>
      <c r="E29" s="85" t="s">
        <v>150</v>
      </c>
      <c r="F29" s="85" t="s">
        <v>159</v>
      </c>
      <c r="G29" s="85"/>
      <c r="H29" s="401" t="s">
        <v>163</v>
      </c>
      <c r="I29" s="111">
        <v>300000</v>
      </c>
      <c r="J29" s="380">
        <f>+CC!H33</f>
        <v>0</v>
      </c>
      <c r="K29" s="111">
        <f t="shared" si="4"/>
        <v>300000</v>
      </c>
    </row>
    <row r="30" spans="1:14" s="108" customFormat="1" x14ac:dyDescent="0.25">
      <c r="A30" s="110">
        <v>3</v>
      </c>
      <c r="B30" s="120" t="s">
        <v>112</v>
      </c>
      <c r="C30" s="121"/>
      <c r="D30" s="121"/>
      <c r="E30" s="121"/>
      <c r="F30" s="122"/>
      <c r="G30" s="122"/>
      <c r="H30" s="123"/>
      <c r="I30" s="110">
        <f>+I31+I33</f>
        <v>1100000</v>
      </c>
      <c r="J30" s="110">
        <f>+J31+J33</f>
        <v>0</v>
      </c>
      <c r="K30" s="110">
        <f>+K31+K33</f>
        <v>1100000</v>
      </c>
      <c r="N30" s="109"/>
    </row>
    <row r="31" spans="1:14" x14ac:dyDescent="0.25">
      <c r="A31" s="103">
        <v>3.1</v>
      </c>
      <c r="B31" s="79" t="s">
        <v>128</v>
      </c>
      <c r="C31" s="79"/>
      <c r="D31" s="124" t="s">
        <v>443</v>
      </c>
      <c r="E31" s="124"/>
      <c r="F31" s="127"/>
      <c r="G31" s="124" t="s">
        <v>140</v>
      </c>
      <c r="H31" s="124"/>
      <c r="I31" s="102">
        <f>I32</f>
        <v>1000000</v>
      </c>
      <c r="J31" s="102">
        <f t="shared" ref="J31:K31" si="5">J32</f>
        <v>0</v>
      </c>
      <c r="K31" s="102">
        <f t="shared" si="5"/>
        <v>1000000</v>
      </c>
    </row>
    <row r="32" spans="1:14" ht="27.6" x14ac:dyDescent="0.25">
      <c r="A32" s="105" t="s">
        <v>177</v>
      </c>
      <c r="B32" s="92" t="s">
        <v>178</v>
      </c>
      <c r="C32" s="367"/>
      <c r="D32" s="100" t="s">
        <v>142</v>
      </c>
      <c r="E32" s="85" t="s">
        <v>150</v>
      </c>
      <c r="F32" s="100" t="s">
        <v>179</v>
      </c>
      <c r="G32" s="100"/>
      <c r="H32" s="401" t="s">
        <v>180</v>
      </c>
      <c r="I32" s="104">
        <v>1000000</v>
      </c>
      <c r="J32" s="104">
        <f>+CC!H35</f>
        <v>0</v>
      </c>
      <c r="K32" s="111">
        <f t="shared" ref="K32" si="6">+J32+I32</f>
        <v>1000000</v>
      </c>
    </row>
    <row r="33" spans="1:11" x14ac:dyDescent="0.25">
      <c r="A33" s="103">
        <v>3.2</v>
      </c>
      <c r="B33" s="79" t="s">
        <v>181</v>
      </c>
      <c r="C33" s="79"/>
      <c r="D33" s="124" t="s">
        <v>443</v>
      </c>
      <c r="E33" s="124"/>
      <c r="F33" s="124"/>
      <c r="G33" s="124" t="s">
        <v>140</v>
      </c>
      <c r="H33" s="124"/>
      <c r="I33" s="102">
        <f>+I34</f>
        <v>100000</v>
      </c>
      <c r="J33" s="102">
        <f>+J34</f>
        <v>0</v>
      </c>
      <c r="K33" s="102">
        <f>+K34</f>
        <v>100000</v>
      </c>
    </row>
    <row r="34" spans="1:11" ht="27.6" x14ac:dyDescent="0.25">
      <c r="A34" s="105" t="s">
        <v>182</v>
      </c>
      <c r="B34" s="92" t="s">
        <v>183</v>
      </c>
      <c r="C34" s="367"/>
      <c r="D34" s="100" t="s">
        <v>142</v>
      </c>
      <c r="E34" s="107" t="s">
        <v>150</v>
      </c>
      <c r="F34" s="100" t="s">
        <v>159</v>
      </c>
      <c r="G34" s="106"/>
      <c r="H34" s="401" t="s">
        <v>184</v>
      </c>
      <c r="I34" s="111">
        <v>100000</v>
      </c>
      <c r="J34" s="111">
        <v>0</v>
      </c>
      <c r="K34" s="111">
        <f t="shared" ref="K34" si="7">+J34+I34</f>
        <v>100000</v>
      </c>
    </row>
    <row r="35" spans="1:11" x14ac:dyDescent="0.25">
      <c r="A35" s="254"/>
      <c r="B35" s="254" t="s">
        <v>117</v>
      </c>
      <c r="C35" s="254"/>
      <c r="D35" s="254"/>
      <c r="E35" s="254"/>
      <c r="F35" s="254"/>
      <c r="G35" s="254"/>
      <c r="H35" s="254"/>
      <c r="I35" s="378">
        <f>+I9+I17+I30</f>
        <v>200000000</v>
      </c>
      <c r="J35" s="378">
        <f t="shared" ref="J35:K35" si="8">+J9+J17+J30</f>
        <v>80000000</v>
      </c>
      <c r="K35" s="378">
        <f t="shared" si="8"/>
        <v>280000000</v>
      </c>
    </row>
  </sheetData>
  <autoFilter ref="A7:I34"/>
  <printOptions horizontalCentered="1"/>
  <pageMargins left="0.70866141732283472" right="0.70866141732283472" top="0.74803149606299213" bottom="0.74803149606299213" header="0.31496062992125984" footer="0.31496062992125984"/>
  <pageSetup paperSize="9" scale="41" fitToHeight="0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S38"/>
  <sheetViews>
    <sheetView showGridLines="0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5" sqref="C15"/>
    </sheetView>
  </sheetViews>
  <sheetFormatPr defaultColWidth="9.109375" defaultRowHeight="13.8" x14ac:dyDescent="0.3"/>
  <cols>
    <col min="1" max="1" width="8.88671875" style="146" customWidth="1"/>
    <col min="2" max="2" width="96.5546875" style="147" customWidth="1"/>
    <col min="3" max="3" width="45.5546875" style="147" customWidth="1"/>
    <col min="4" max="4" width="14.88671875" style="148" bestFit="1" customWidth="1"/>
    <col min="5" max="5" width="12.33203125" style="148" bestFit="1" customWidth="1"/>
    <col min="6" max="6" width="12" style="148" bestFit="1" customWidth="1"/>
    <col min="7" max="7" width="9.44140625" style="130" bestFit="1" customWidth="1"/>
    <col min="8" max="8" width="8.88671875" style="130" bestFit="1" customWidth="1"/>
    <col min="9" max="9" width="12.44140625" style="130" bestFit="1" customWidth="1"/>
    <col min="10" max="10" width="8.88671875" style="130" bestFit="1" customWidth="1"/>
    <col min="11" max="11" width="9.6640625" style="130" bestFit="1" customWidth="1"/>
    <col min="12" max="12" width="12" style="130" bestFit="1" customWidth="1"/>
    <col min="13" max="13" width="10.6640625" style="130" bestFit="1" customWidth="1"/>
    <col min="14" max="14" width="11" style="130" bestFit="1" customWidth="1"/>
    <col min="15" max="15" width="12" style="130" bestFit="1" customWidth="1"/>
    <col min="16" max="16" width="9.6640625" style="130" bestFit="1" customWidth="1"/>
    <col min="17" max="17" width="10" style="130" bestFit="1" customWidth="1"/>
    <col min="18" max="18" width="12" style="130" bestFit="1" customWidth="1"/>
    <col min="19" max="21" width="12" style="130" hidden="1" customWidth="1"/>
    <col min="22" max="22" width="14.5546875" style="130" bestFit="1" customWidth="1"/>
    <col min="23" max="23" width="12.44140625" style="130" bestFit="1" customWidth="1"/>
    <col min="24" max="25" width="13.88671875" style="130" bestFit="1" customWidth="1"/>
    <col min="26" max="26" width="12.44140625" style="130" bestFit="1" customWidth="1"/>
    <col min="27" max="28" width="14.33203125" style="130" bestFit="1" customWidth="1"/>
    <col min="29" max="29" width="13.44140625" style="130" bestFit="1" customWidth="1"/>
    <col min="30" max="30" width="13.88671875" style="130" bestFit="1" customWidth="1"/>
    <col min="31" max="31" width="14.33203125" style="130" bestFit="1" customWidth="1"/>
    <col min="32" max="33" width="13.88671875" style="130" bestFit="1" customWidth="1"/>
    <col min="34" max="38" width="14.33203125" style="130" bestFit="1" customWidth="1"/>
    <col min="39" max="39" width="13.88671875" style="130" bestFit="1" customWidth="1"/>
    <col min="40" max="41" width="14.33203125" style="130" bestFit="1" customWidth="1"/>
    <col min="42" max="43" width="12.44140625" style="130" bestFit="1" customWidth="1"/>
    <col min="44" max="44" width="11.6640625" style="130" bestFit="1" customWidth="1"/>
    <col min="45" max="45" width="12" style="130" bestFit="1" customWidth="1"/>
    <col min="46" max="46" width="14.5546875" style="130" bestFit="1" customWidth="1"/>
    <col min="47" max="47" width="12" style="130" bestFit="1" customWidth="1"/>
    <col min="48" max="48" width="13" style="130" bestFit="1" customWidth="1"/>
    <col min="49" max="49" width="14.33203125" style="130" bestFit="1" customWidth="1"/>
    <col min="50" max="50" width="13" style="130" bestFit="1" customWidth="1"/>
    <col min="51" max="51" width="14.33203125" style="130" bestFit="1" customWidth="1"/>
    <col min="52" max="54" width="13.88671875" style="130" bestFit="1" customWidth="1"/>
    <col min="55" max="55" width="14.5546875" style="130" bestFit="1" customWidth="1"/>
    <col min="56" max="57" width="13.88671875" style="130" bestFit="1" customWidth="1"/>
    <col min="58" max="58" width="14.33203125" style="131" bestFit="1" customWidth="1"/>
    <col min="59" max="59" width="13.88671875" style="131" bestFit="1" customWidth="1"/>
    <col min="60" max="60" width="14.33203125" style="131" bestFit="1" customWidth="1"/>
    <col min="61" max="61" width="14.5546875" style="131" bestFit="1" customWidth="1"/>
    <col min="62" max="62" width="14.33203125" style="131" bestFit="1" customWidth="1"/>
    <col min="63" max="63" width="13.88671875" style="131" bestFit="1" customWidth="1"/>
    <col min="64" max="64" width="14.5546875" style="131" bestFit="1" customWidth="1"/>
    <col min="65" max="65" width="14.33203125" style="131" bestFit="1" customWidth="1"/>
    <col min="66" max="66" width="12" style="131" bestFit="1" customWidth="1"/>
    <col min="67" max="67" width="12.44140625" style="131" bestFit="1" customWidth="1"/>
    <col min="68" max="68" width="12" style="131" bestFit="1" customWidth="1"/>
    <col min="69" max="69" width="12.44140625" style="131" bestFit="1" customWidth="1"/>
    <col min="70" max="70" width="16.33203125" style="130" bestFit="1" customWidth="1"/>
    <col min="71" max="71" width="14.33203125" style="130" bestFit="1" customWidth="1"/>
    <col min="72" max="16384" width="9.109375" style="130"/>
  </cols>
  <sheetData>
    <row r="1" spans="1:71" x14ac:dyDescent="0.3">
      <c r="A1" s="128" t="s">
        <v>185</v>
      </c>
      <c r="B1" s="128"/>
      <c r="C1" s="128"/>
      <c r="D1" s="129"/>
      <c r="E1" s="129"/>
      <c r="F1" s="129"/>
    </row>
    <row r="2" spans="1:71" x14ac:dyDescent="0.3">
      <c r="A2" s="128" t="s">
        <v>1</v>
      </c>
      <c r="B2" s="128"/>
      <c r="C2" s="128"/>
      <c r="D2" s="129"/>
      <c r="E2" s="129"/>
      <c r="F2" s="129"/>
    </row>
    <row r="3" spans="1:71" x14ac:dyDescent="0.3">
      <c r="A3" s="128"/>
      <c r="B3" s="128"/>
      <c r="C3" s="128"/>
      <c r="D3" s="133"/>
      <c r="E3" s="133"/>
      <c r="F3" s="133"/>
    </row>
    <row r="4" spans="1:71" x14ac:dyDescent="0.3">
      <c r="A4" s="563" t="str">
        <f>+PEP!A4</f>
        <v>Programa de Conectividad y Seguridad en Corredores Viales de la Provincia de Buenos Aires</v>
      </c>
      <c r="B4" s="563"/>
      <c r="C4" s="522"/>
      <c r="D4" s="129"/>
      <c r="E4" s="129"/>
      <c r="F4" s="129"/>
    </row>
    <row r="5" spans="1:71" x14ac:dyDescent="0.3">
      <c r="A5" s="128"/>
      <c r="B5" s="128"/>
      <c r="C5" s="128"/>
      <c r="D5" s="129"/>
      <c r="E5" s="129"/>
      <c r="F5" s="129"/>
    </row>
    <row r="6" spans="1:71" x14ac:dyDescent="0.3">
      <c r="A6" s="128" t="s">
        <v>186</v>
      </c>
      <c r="B6" s="128"/>
      <c r="C6" s="128"/>
      <c r="D6" s="129"/>
      <c r="E6" s="129"/>
      <c r="F6" s="129"/>
    </row>
    <row r="7" spans="1:71" s="136" customFormat="1" ht="21" customHeight="1" x14ac:dyDescent="0.3">
      <c r="A7" s="564" t="s">
        <v>187</v>
      </c>
      <c r="B7" s="565"/>
      <c r="C7" s="560" t="str">
        <f>+'CC D'!C7</f>
        <v>Producto de Matriz de Resultados Asociado</v>
      </c>
      <c r="D7" s="134" t="s">
        <v>16</v>
      </c>
      <c r="E7" s="134" t="s">
        <v>17</v>
      </c>
      <c r="F7" s="134" t="s">
        <v>18</v>
      </c>
      <c r="G7" s="539" t="s">
        <v>6</v>
      </c>
      <c r="H7" s="540"/>
      <c r="I7" s="540"/>
      <c r="J7" s="540"/>
      <c r="K7" s="540"/>
      <c r="L7" s="540"/>
      <c r="M7" s="540"/>
      <c r="N7" s="540"/>
      <c r="O7" s="540"/>
      <c r="P7" s="540"/>
      <c r="Q7" s="540"/>
      <c r="R7" s="540"/>
      <c r="S7" s="540"/>
      <c r="T7" s="540"/>
      <c r="U7" s="541"/>
      <c r="V7" s="528" t="s">
        <v>7</v>
      </c>
      <c r="W7" s="528"/>
      <c r="X7" s="528"/>
      <c r="Y7" s="528"/>
      <c r="Z7" s="528"/>
      <c r="AA7" s="528"/>
      <c r="AB7" s="528"/>
      <c r="AC7" s="528"/>
      <c r="AD7" s="528"/>
      <c r="AE7" s="528"/>
      <c r="AF7" s="528"/>
      <c r="AG7" s="528"/>
      <c r="AH7" s="528" t="s">
        <v>8</v>
      </c>
      <c r="AI7" s="528"/>
      <c r="AJ7" s="528"/>
      <c r="AK7" s="528"/>
      <c r="AL7" s="528"/>
      <c r="AM7" s="528"/>
      <c r="AN7" s="528"/>
      <c r="AO7" s="528"/>
      <c r="AP7" s="528"/>
      <c r="AQ7" s="528"/>
      <c r="AR7" s="528"/>
      <c r="AS7" s="528"/>
      <c r="AT7" s="528" t="s">
        <v>9</v>
      </c>
      <c r="AU7" s="528"/>
      <c r="AV7" s="528"/>
      <c r="AW7" s="528"/>
      <c r="AX7" s="528"/>
      <c r="AY7" s="528"/>
      <c r="AZ7" s="528"/>
      <c r="BA7" s="528"/>
      <c r="BB7" s="528"/>
      <c r="BC7" s="528"/>
      <c r="BD7" s="528"/>
      <c r="BE7" s="528"/>
      <c r="BF7" s="528" t="s">
        <v>10</v>
      </c>
      <c r="BG7" s="528"/>
      <c r="BH7" s="528"/>
      <c r="BI7" s="528"/>
      <c r="BJ7" s="528"/>
      <c r="BK7" s="528"/>
      <c r="BL7" s="528"/>
      <c r="BM7" s="528"/>
      <c r="BN7" s="528"/>
      <c r="BO7" s="528"/>
      <c r="BP7" s="528"/>
      <c r="BQ7" s="528"/>
    </row>
    <row r="8" spans="1:71" s="136" customFormat="1" x14ac:dyDescent="0.3">
      <c r="A8" s="566"/>
      <c r="B8" s="567"/>
      <c r="C8" s="561"/>
      <c r="D8" s="134"/>
      <c r="E8" s="134"/>
      <c r="F8" s="134"/>
      <c r="G8" s="528" t="s">
        <v>188</v>
      </c>
      <c r="H8" s="528"/>
      <c r="I8" s="528"/>
      <c r="J8" s="528" t="s">
        <v>189</v>
      </c>
      <c r="K8" s="528"/>
      <c r="L8" s="528"/>
      <c r="M8" s="528" t="s">
        <v>190</v>
      </c>
      <c r="N8" s="528"/>
      <c r="O8" s="528"/>
      <c r="P8" s="528" t="s">
        <v>191</v>
      </c>
      <c r="Q8" s="528"/>
      <c r="R8" s="528"/>
      <c r="S8" s="478" t="s">
        <v>192</v>
      </c>
      <c r="T8" s="478" t="s">
        <v>193</v>
      </c>
      <c r="U8" s="478" t="s">
        <v>194</v>
      </c>
      <c r="V8" s="528" t="s">
        <v>188</v>
      </c>
      <c r="W8" s="528"/>
      <c r="X8" s="528"/>
      <c r="Y8" s="528" t="s">
        <v>189</v>
      </c>
      <c r="Z8" s="528"/>
      <c r="AA8" s="528"/>
      <c r="AB8" s="528" t="s">
        <v>190</v>
      </c>
      <c r="AC8" s="528"/>
      <c r="AD8" s="528"/>
      <c r="AE8" s="528" t="s">
        <v>191</v>
      </c>
      <c r="AF8" s="528"/>
      <c r="AG8" s="528"/>
      <c r="AH8" s="528" t="s">
        <v>188</v>
      </c>
      <c r="AI8" s="528"/>
      <c r="AJ8" s="528"/>
      <c r="AK8" s="528" t="s">
        <v>189</v>
      </c>
      <c r="AL8" s="528"/>
      <c r="AM8" s="528"/>
      <c r="AN8" s="528" t="s">
        <v>190</v>
      </c>
      <c r="AO8" s="528"/>
      <c r="AP8" s="528"/>
      <c r="AQ8" s="528" t="s">
        <v>191</v>
      </c>
      <c r="AR8" s="528"/>
      <c r="AS8" s="528"/>
      <c r="AT8" s="528" t="s">
        <v>188</v>
      </c>
      <c r="AU8" s="528"/>
      <c r="AV8" s="528"/>
      <c r="AW8" s="528" t="s">
        <v>189</v>
      </c>
      <c r="AX8" s="528"/>
      <c r="AY8" s="528"/>
      <c r="AZ8" s="528" t="s">
        <v>190</v>
      </c>
      <c r="BA8" s="528"/>
      <c r="BB8" s="528"/>
      <c r="BC8" s="528" t="s">
        <v>191</v>
      </c>
      <c r="BD8" s="528"/>
      <c r="BE8" s="528"/>
      <c r="BF8" s="528" t="s">
        <v>188</v>
      </c>
      <c r="BG8" s="528"/>
      <c r="BH8" s="528"/>
      <c r="BI8" s="528" t="s">
        <v>189</v>
      </c>
      <c r="BJ8" s="528"/>
      <c r="BK8" s="528"/>
      <c r="BL8" s="528" t="s">
        <v>190</v>
      </c>
      <c r="BM8" s="528"/>
      <c r="BN8" s="528"/>
      <c r="BO8" s="528" t="s">
        <v>191</v>
      </c>
      <c r="BP8" s="528"/>
      <c r="BQ8" s="528"/>
    </row>
    <row r="9" spans="1:71" s="136" customFormat="1" x14ac:dyDescent="0.3">
      <c r="A9" s="566"/>
      <c r="B9" s="567"/>
      <c r="C9" s="561"/>
      <c r="D9" s="134"/>
      <c r="E9" s="134"/>
      <c r="F9" s="134"/>
      <c r="G9" s="478" t="s">
        <v>195</v>
      </c>
      <c r="H9" s="478" t="s">
        <v>196</v>
      </c>
      <c r="I9" s="478" t="s">
        <v>197</v>
      </c>
      <c r="J9" s="478" t="s">
        <v>198</v>
      </c>
      <c r="K9" s="478" t="s">
        <v>199</v>
      </c>
      <c r="L9" s="478" t="s">
        <v>200</v>
      </c>
      <c r="M9" s="478" t="s">
        <v>201</v>
      </c>
      <c r="N9" s="478" t="s">
        <v>202</v>
      </c>
      <c r="O9" s="478" t="s">
        <v>203</v>
      </c>
      <c r="P9" s="478" t="s">
        <v>204</v>
      </c>
      <c r="Q9" s="478" t="s">
        <v>205</v>
      </c>
      <c r="R9" s="478" t="s">
        <v>206</v>
      </c>
      <c r="S9" s="478"/>
      <c r="T9" s="478"/>
      <c r="U9" s="478"/>
      <c r="V9" s="478" t="s">
        <v>207</v>
      </c>
      <c r="W9" s="478" t="s">
        <v>208</v>
      </c>
      <c r="X9" s="478" t="s">
        <v>209</v>
      </c>
      <c r="Y9" s="478" t="s">
        <v>210</v>
      </c>
      <c r="Z9" s="478" t="s">
        <v>211</v>
      </c>
      <c r="AA9" s="478" t="s">
        <v>212</v>
      </c>
      <c r="AB9" s="478" t="s">
        <v>213</v>
      </c>
      <c r="AC9" s="478" t="s">
        <v>214</v>
      </c>
      <c r="AD9" s="478" t="s">
        <v>215</v>
      </c>
      <c r="AE9" s="478" t="s">
        <v>216</v>
      </c>
      <c r="AF9" s="478" t="s">
        <v>217</v>
      </c>
      <c r="AG9" s="478" t="s">
        <v>218</v>
      </c>
      <c r="AH9" s="478" t="s">
        <v>219</v>
      </c>
      <c r="AI9" s="478" t="s">
        <v>220</v>
      </c>
      <c r="AJ9" s="478" t="s">
        <v>221</v>
      </c>
      <c r="AK9" s="478" t="s">
        <v>222</v>
      </c>
      <c r="AL9" s="478" t="s">
        <v>223</v>
      </c>
      <c r="AM9" s="478" t="s">
        <v>224</v>
      </c>
      <c r="AN9" s="478" t="s">
        <v>225</v>
      </c>
      <c r="AO9" s="478" t="s">
        <v>226</v>
      </c>
      <c r="AP9" s="478" t="s">
        <v>227</v>
      </c>
      <c r="AQ9" s="478" t="s">
        <v>228</v>
      </c>
      <c r="AR9" s="478" t="s">
        <v>229</v>
      </c>
      <c r="AS9" s="478" t="s">
        <v>230</v>
      </c>
      <c r="AT9" s="478" t="s">
        <v>231</v>
      </c>
      <c r="AU9" s="478" t="s">
        <v>232</v>
      </c>
      <c r="AV9" s="478" t="s">
        <v>233</v>
      </c>
      <c r="AW9" s="478" t="s">
        <v>234</v>
      </c>
      <c r="AX9" s="478" t="s">
        <v>235</v>
      </c>
      <c r="AY9" s="478" t="s">
        <v>236</v>
      </c>
      <c r="AZ9" s="478" t="s">
        <v>237</v>
      </c>
      <c r="BA9" s="478" t="s">
        <v>238</v>
      </c>
      <c r="BB9" s="478" t="s">
        <v>239</v>
      </c>
      <c r="BC9" s="478" t="s">
        <v>240</v>
      </c>
      <c r="BD9" s="478" t="s">
        <v>241</v>
      </c>
      <c r="BE9" s="478" t="s">
        <v>242</v>
      </c>
      <c r="BF9" s="478" t="s">
        <v>243</v>
      </c>
      <c r="BG9" s="478" t="s">
        <v>244</v>
      </c>
      <c r="BH9" s="478" t="s">
        <v>245</v>
      </c>
      <c r="BI9" s="478" t="s">
        <v>246</v>
      </c>
      <c r="BJ9" s="478" t="s">
        <v>247</v>
      </c>
      <c r="BK9" s="478" t="s">
        <v>248</v>
      </c>
      <c r="BL9" s="478" t="s">
        <v>249</v>
      </c>
      <c r="BM9" s="478" t="s">
        <v>250</v>
      </c>
      <c r="BN9" s="478" t="s">
        <v>251</v>
      </c>
      <c r="BO9" s="478" t="s">
        <v>252</v>
      </c>
      <c r="BP9" s="478" t="s">
        <v>253</v>
      </c>
      <c r="BQ9" s="478" t="s">
        <v>254</v>
      </c>
    </row>
    <row r="10" spans="1:71" s="136" customFormat="1" ht="27.6" x14ac:dyDescent="0.3">
      <c r="A10" s="566"/>
      <c r="B10" s="567"/>
      <c r="C10" s="562"/>
      <c r="D10" s="137" t="s">
        <v>255</v>
      </c>
      <c r="E10" s="137"/>
      <c r="F10" s="137"/>
      <c r="G10" s="138">
        <v>43101</v>
      </c>
      <c r="H10" s="138">
        <v>43132</v>
      </c>
      <c r="I10" s="138">
        <v>43160</v>
      </c>
      <c r="J10" s="138">
        <v>43191</v>
      </c>
      <c r="K10" s="138">
        <v>43221</v>
      </c>
      <c r="L10" s="138">
        <v>43252</v>
      </c>
      <c r="M10" s="138">
        <v>43282</v>
      </c>
      <c r="N10" s="138">
        <v>43313</v>
      </c>
      <c r="O10" s="138">
        <v>43344</v>
      </c>
      <c r="P10" s="138">
        <v>43374</v>
      </c>
      <c r="Q10" s="138">
        <v>43405</v>
      </c>
      <c r="R10" s="138">
        <v>43435</v>
      </c>
      <c r="S10" s="138"/>
      <c r="T10" s="138"/>
      <c r="U10" s="138"/>
      <c r="V10" s="138">
        <v>43466</v>
      </c>
      <c r="W10" s="138">
        <v>43497</v>
      </c>
      <c r="X10" s="138">
        <v>43525</v>
      </c>
      <c r="Y10" s="138">
        <v>43556</v>
      </c>
      <c r="Z10" s="138">
        <v>43586</v>
      </c>
      <c r="AA10" s="138">
        <v>43617</v>
      </c>
      <c r="AB10" s="138">
        <v>43647</v>
      </c>
      <c r="AC10" s="138">
        <v>43678</v>
      </c>
      <c r="AD10" s="138">
        <v>43709</v>
      </c>
      <c r="AE10" s="138">
        <v>43739</v>
      </c>
      <c r="AF10" s="138">
        <v>43770</v>
      </c>
      <c r="AG10" s="138">
        <v>43800</v>
      </c>
      <c r="AH10" s="138">
        <v>43831</v>
      </c>
      <c r="AI10" s="138">
        <v>43862</v>
      </c>
      <c r="AJ10" s="138">
        <v>43891</v>
      </c>
      <c r="AK10" s="138">
        <v>43922</v>
      </c>
      <c r="AL10" s="138">
        <v>43952</v>
      </c>
      <c r="AM10" s="138">
        <v>43983</v>
      </c>
      <c r="AN10" s="138">
        <v>44013</v>
      </c>
      <c r="AO10" s="138">
        <v>44044</v>
      </c>
      <c r="AP10" s="138">
        <v>44075</v>
      </c>
      <c r="AQ10" s="138">
        <v>44105</v>
      </c>
      <c r="AR10" s="138">
        <v>44136</v>
      </c>
      <c r="AS10" s="138">
        <v>44166</v>
      </c>
      <c r="AT10" s="138">
        <v>44197</v>
      </c>
      <c r="AU10" s="138">
        <v>44228</v>
      </c>
      <c r="AV10" s="138">
        <v>44256</v>
      </c>
      <c r="AW10" s="138">
        <v>44287</v>
      </c>
      <c r="AX10" s="138">
        <v>44317</v>
      </c>
      <c r="AY10" s="138">
        <v>44348</v>
      </c>
      <c r="AZ10" s="138">
        <v>44378</v>
      </c>
      <c r="BA10" s="138">
        <v>44409</v>
      </c>
      <c r="BB10" s="138">
        <v>44440</v>
      </c>
      <c r="BC10" s="138">
        <v>44470</v>
      </c>
      <c r="BD10" s="138">
        <v>44501</v>
      </c>
      <c r="BE10" s="138">
        <v>44531</v>
      </c>
      <c r="BF10" s="138">
        <v>44562</v>
      </c>
      <c r="BG10" s="138">
        <v>44593</v>
      </c>
      <c r="BH10" s="138">
        <v>44621</v>
      </c>
      <c r="BI10" s="138">
        <v>44652</v>
      </c>
      <c r="BJ10" s="138">
        <v>44682</v>
      </c>
      <c r="BK10" s="138">
        <v>44713</v>
      </c>
      <c r="BL10" s="138">
        <v>44743</v>
      </c>
      <c r="BM10" s="138">
        <v>44774</v>
      </c>
      <c r="BN10" s="138">
        <v>44805</v>
      </c>
      <c r="BO10" s="138">
        <v>44835</v>
      </c>
      <c r="BP10" s="138">
        <v>44866</v>
      </c>
      <c r="BQ10" s="138">
        <v>44896</v>
      </c>
      <c r="BR10" s="132"/>
    </row>
    <row r="11" spans="1:71" s="139" customFormat="1" x14ac:dyDescent="0.3">
      <c r="A11" s="70">
        <f>+'CC D'!A8</f>
        <v>0</v>
      </c>
      <c r="B11" s="71" t="str">
        <f>+'CC D'!B8</f>
        <v>Programa de Conectividad y Seguridad en Corredores Viales de la Provincia de Buenos Aires</v>
      </c>
      <c r="C11" s="71"/>
      <c r="D11" s="74">
        <f>+PEP!H25</f>
        <v>200000000</v>
      </c>
      <c r="E11" s="74">
        <f>+PEP!I25</f>
        <v>80000000</v>
      </c>
      <c r="F11" s="74">
        <f>+PEP!J25</f>
        <v>280000000</v>
      </c>
      <c r="G11" s="74">
        <f t="shared" ref="G11:BQ11" si="0">+G12+G20+G33</f>
        <v>16666.666666666668</v>
      </c>
      <c r="H11" s="74">
        <f t="shared" si="0"/>
        <v>16666.666666666668</v>
      </c>
      <c r="I11" s="74">
        <f t="shared" si="0"/>
        <v>16666.666666666668</v>
      </c>
      <c r="J11" s="74">
        <f t="shared" si="0"/>
        <v>16666.666666666668</v>
      </c>
      <c r="K11" s="74">
        <f t="shared" si="0"/>
        <v>16666.666666666668</v>
      </c>
      <c r="L11" s="74">
        <f t="shared" si="0"/>
        <v>286666.66666666669</v>
      </c>
      <c r="M11" s="74">
        <f t="shared" si="0"/>
        <v>21113772.435897436</v>
      </c>
      <c r="N11" s="74">
        <f t="shared" si="0"/>
        <v>2139847.4358974355</v>
      </c>
      <c r="O11" s="74">
        <f t="shared" si="0"/>
        <v>2583922.4358974355</v>
      </c>
      <c r="P11" s="74">
        <f t="shared" si="0"/>
        <v>4231922.435897436</v>
      </c>
      <c r="Q11" s="74">
        <f t="shared" si="0"/>
        <v>3097997.4358974355</v>
      </c>
      <c r="R11" s="74">
        <f t="shared" si="0"/>
        <v>3412072.4358974355</v>
      </c>
      <c r="S11" s="74">
        <f>+S12+S20+S33</f>
        <v>26187984</v>
      </c>
      <c r="T11" s="74">
        <f t="shared" ref="T11:U11" si="1">+T12+T20+T33</f>
        <v>9956016</v>
      </c>
      <c r="U11" s="74">
        <f t="shared" si="1"/>
        <v>36949534.615384616</v>
      </c>
      <c r="V11" s="74">
        <f t="shared" si="0"/>
        <v>4120072.4358974355</v>
      </c>
      <c r="W11" s="74">
        <f t="shared" si="0"/>
        <v>5110147.435897436</v>
      </c>
      <c r="X11" s="74">
        <f t="shared" si="0"/>
        <v>4840222.435897436</v>
      </c>
      <c r="Y11" s="74">
        <f t="shared" si="0"/>
        <v>4656222.435897436</v>
      </c>
      <c r="Z11" s="74">
        <f t="shared" si="0"/>
        <v>5828222.435897436</v>
      </c>
      <c r="AA11" s="74">
        <f t="shared" si="0"/>
        <v>4662297.435897436</v>
      </c>
      <c r="AB11" s="74">
        <f t="shared" si="0"/>
        <v>5044447.435897436</v>
      </c>
      <c r="AC11" s="74">
        <f t="shared" si="0"/>
        <v>6500447.435897436</v>
      </c>
      <c r="AD11" s="74">
        <f t="shared" si="0"/>
        <v>7294372.435897436</v>
      </c>
      <c r="AE11" s="74">
        <f t="shared" si="0"/>
        <v>6046372.435897436</v>
      </c>
      <c r="AF11" s="74">
        <f t="shared" si="0"/>
        <v>5728147.435897436</v>
      </c>
      <c r="AG11" s="74">
        <f t="shared" si="0"/>
        <v>38189820.512820512</v>
      </c>
      <c r="AH11" s="74">
        <f t="shared" si="0"/>
        <v>7684420.512820513</v>
      </c>
      <c r="AI11" s="74">
        <f t="shared" si="0"/>
        <v>7794870.512820513</v>
      </c>
      <c r="AJ11" s="74">
        <f t="shared" si="0"/>
        <v>6386720.512820513</v>
      </c>
      <c r="AK11" s="74">
        <f t="shared" si="0"/>
        <v>5485470.512820513</v>
      </c>
      <c r="AL11" s="74">
        <f t="shared" si="0"/>
        <v>6118145.512820513</v>
      </c>
      <c r="AM11" s="74">
        <f t="shared" si="0"/>
        <v>6966145.512820513</v>
      </c>
      <c r="AN11" s="74">
        <f t="shared" si="0"/>
        <v>6764895.512820513</v>
      </c>
      <c r="AO11" s="74">
        <f t="shared" si="0"/>
        <v>6595645.512820513</v>
      </c>
      <c r="AP11" s="74">
        <f t="shared" si="0"/>
        <v>7182839.743589744</v>
      </c>
      <c r="AQ11" s="74">
        <f t="shared" si="0"/>
        <v>7182839.743589744</v>
      </c>
      <c r="AR11" s="74">
        <f t="shared" si="0"/>
        <v>7189589.743589744</v>
      </c>
      <c r="AS11" s="74">
        <f t="shared" si="0"/>
        <v>7843089.743589744</v>
      </c>
      <c r="AT11" s="74">
        <f t="shared" si="0"/>
        <v>9123089.7435897421</v>
      </c>
      <c r="AU11" s="74">
        <f t="shared" si="0"/>
        <v>9120339.7435897421</v>
      </c>
      <c r="AV11" s="74">
        <f t="shared" si="0"/>
        <v>8476339.7435897421</v>
      </c>
      <c r="AW11" s="74">
        <f t="shared" si="0"/>
        <v>8464089.7435897421</v>
      </c>
      <c r="AX11" s="74">
        <f t="shared" si="0"/>
        <v>6536089.743589744</v>
      </c>
      <c r="AY11" s="74">
        <f t="shared" si="0"/>
        <v>6530589.743589744</v>
      </c>
      <c r="AZ11" s="74">
        <f t="shared" si="0"/>
        <v>5215589.743589744</v>
      </c>
      <c r="BA11" s="74">
        <f t="shared" si="0"/>
        <v>2642089.7435897435</v>
      </c>
      <c r="BB11" s="74">
        <f t="shared" si="0"/>
        <v>1362089.7435897437</v>
      </c>
      <c r="BC11" s="74">
        <f t="shared" si="0"/>
        <v>1355339.7435897437</v>
      </c>
      <c r="BD11" s="74">
        <f t="shared" si="0"/>
        <v>1355339.7435897437</v>
      </c>
      <c r="BE11" s="74">
        <f t="shared" si="0"/>
        <v>1355339.7435897437</v>
      </c>
      <c r="BF11" s="74">
        <f t="shared" si="0"/>
        <v>75339.743589743593</v>
      </c>
      <c r="BG11" s="74">
        <f t="shared" si="0"/>
        <v>20666.666666666668</v>
      </c>
      <c r="BH11" s="74">
        <f t="shared" si="0"/>
        <v>16666.666666666668</v>
      </c>
      <c r="BI11" s="74">
        <f t="shared" si="0"/>
        <v>24666.666666666668</v>
      </c>
      <c r="BJ11" s="74">
        <f t="shared" si="0"/>
        <v>16666.666666666668</v>
      </c>
      <c r="BK11" s="74">
        <f t="shared" si="0"/>
        <v>24666.666666666668</v>
      </c>
      <c r="BL11" s="74">
        <f t="shared" si="0"/>
        <v>16666.666666666668</v>
      </c>
      <c r="BM11" s="74">
        <f t="shared" si="0"/>
        <v>20666.666666666668</v>
      </c>
      <c r="BN11" s="74">
        <f t="shared" si="0"/>
        <v>16666.666666666668</v>
      </c>
      <c r="BO11" s="74">
        <f t="shared" si="0"/>
        <v>24666.666666666668</v>
      </c>
      <c r="BP11" s="74">
        <f t="shared" si="0"/>
        <v>16666.666666666668</v>
      </c>
      <c r="BQ11" s="74">
        <f t="shared" si="0"/>
        <v>24666.666666666668</v>
      </c>
      <c r="BR11" s="74">
        <f>+BR12+BR20+BR33</f>
        <v>353093534.61538464</v>
      </c>
      <c r="BS11" s="74">
        <f>D11-BR11</f>
        <v>-153093534.61538464</v>
      </c>
    </row>
    <row r="12" spans="1:71" s="141" customFormat="1" x14ac:dyDescent="0.3">
      <c r="A12" s="142">
        <f>+'CC D'!A9</f>
        <v>1</v>
      </c>
      <c r="B12" s="140" t="str">
        <f>+'CC D'!B9</f>
        <v>Componente 1. Obras Civiles e Inspección</v>
      </c>
      <c r="C12" s="140"/>
      <c r="D12" s="78">
        <f>+PEP!H26</f>
        <v>187700000</v>
      </c>
      <c r="E12" s="78">
        <f>+PEP!I26</f>
        <v>80000000</v>
      </c>
      <c r="F12" s="78">
        <f>+PEP!J26</f>
        <v>267700000</v>
      </c>
      <c r="G12" s="78">
        <f>+G13+G15+G17</f>
        <v>0</v>
      </c>
      <c r="H12" s="78">
        <f t="shared" ref="H12:BQ12" si="2">+H13+H15+H17</f>
        <v>0</v>
      </c>
      <c r="I12" s="78">
        <f t="shared" si="2"/>
        <v>0</v>
      </c>
      <c r="J12" s="78">
        <f t="shared" si="2"/>
        <v>0</v>
      </c>
      <c r="K12" s="78">
        <f t="shared" si="2"/>
        <v>0</v>
      </c>
      <c r="L12" s="78">
        <f t="shared" si="2"/>
        <v>270000</v>
      </c>
      <c r="M12" s="78">
        <f t="shared" si="2"/>
        <v>20477105.769230768</v>
      </c>
      <c r="N12" s="78">
        <f t="shared" ref="N12" si="3">+N13+N15+N17</f>
        <v>2123180.769230769</v>
      </c>
      <c r="O12" s="78">
        <f t="shared" ref="O12" si="4">+O13+O15+O17</f>
        <v>2537255.769230769</v>
      </c>
      <c r="P12" s="78">
        <f t="shared" ref="P12" si="5">+P13+P15+P17</f>
        <v>2945255.769230769</v>
      </c>
      <c r="Q12" s="78">
        <f t="shared" ref="Q12" si="6">+Q13+Q15+Q17</f>
        <v>2951330.769230769</v>
      </c>
      <c r="R12" s="78">
        <f t="shared" ref="R12" si="7">+R13+R15+R17</f>
        <v>3365405.769230769</v>
      </c>
      <c r="S12" s="78">
        <f>+S13+S15+S17</f>
        <v>23907984</v>
      </c>
      <c r="T12" s="78">
        <f t="shared" ref="T12:U12" si="8">+T13+T15+T17</f>
        <v>9956016</v>
      </c>
      <c r="U12" s="78">
        <f t="shared" si="8"/>
        <v>34669534.615384616</v>
      </c>
      <c r="V12" s="78">
        <f t="shared" ref="V12" si="9">+V13+V15+V17</f>
        <v>3773405.769230769</v>
      </c>
      <c r="W12" s="78">
        <f t="shared" ref="W12" si="10">+W13+W15+W17</f>
        <v>3779480.769230769</v>
      </c>
      <c r="X12" s="78">
        <f t="shared" ref="X12" si="11">+X13+X15+X17</f>
        <v>4193555.769230769</v>
      </c>
      <c r="Y12" s="78">
        <f t="shared" ref="Y12" si="12">+Y13+Y15+Y17</f>
        <v>4601555.769230769</v>
      </c>
      <c r="Z12" s="78">
        <f t="shared" ref="Z12" si="13">+Z13+Z15+Z17</f>
        <v>4601555.769230769</v>
      </c>
      <c r="AA12" s="78">
        <f t="shared" ref="AA12" si="14">+AA13+AA15+AA17</f>
        <v>4607630.769230769</v>
      </c>
      <c r="AB12" s="78">
        <f t="shared" ref="AB12" si="15">+AB13+AB15+AB17</f>
        <v>5027780.769230769</v>
      </c>
      <c r="AC12" s="78">
        <f t="shared" ref="AC12" si="16">+AC13+AC15+AC17</f>
        <v>5843780.769230769</v>
      </c>
      <c r="AD12" s="78">
        <f t="shared" ref="AD12" si="17">+AD13+AD15+AD17</f>
        <v>5837705.769230769</v>
      </c>
      <c r="AE12" s="78">
        <f t="shared" ref="AE12" si="18">+AE13+AE15+AE17</f>
        <v>5429705.769230769</v>
      </c>
      <c r="AF12" s="78">
        <f t="shared" ref="AF12" si="19">+AF13+AF15+AF17</f>
        <v>5711480.769230769</v>
      </c>
      <c r="AG12" s="78">
        <f t="shared" ref="AG12" si="20">+AG13+AG15+AG17</f>
        <v>36273153.846153848</v>
      </c>
      <c r="AH12" s="78">
        <f t="shared" ref="AH12" si="21">+AH13+AH15+AH17</f>
        <v>7467753.846153846</v>
      </c>
      <c r="AI12" s="78">
        <f t="shared" ref="AI12" si="22">+AI13+AI15+AI17</f>
        <v>7274203.846153846</v>
      </c>
      <c r="AJ12" s="78">
        <f t="shared" ref="AJ12" si="23">+AJ13+AJ15+AJ17</f>
        <v>6270053.846153846</v>
      </c>
      <c r="AK12" s="78">
        <f t="shared" ref="AK12" si="24">+AK13+AK15+AK17</f>
        <v>5460803.846153846</v>
      </c>
      <c r="AL12" s="78">
        <f t="shared" ref="AL12" si="25">+AL13+AL15+AL17</f>
        <v>6101478.846153846</v>
      </c>
      <c r="AM12" s="78">
        <f t="shared" ref="AM12" si="26">+AM13+AM15+AM17</f>
        <v>6741478.846153846</v>
      </c>
      <c r="AN12" s="78">
        <f t="shared" ref="AN12" si="27">+AN13+AN15+AN17</f>
        <v>6748228.846153846</v>
      </c>
      <c r="AO12" s="78">
        <f t="shared" ref="AO12" si="28">+AO13+AO15+AO17</f>
        <v>6578978.846153846</v>
      </c>
      <c r="AP12" s="78">
        <f t="shared" ref="AP12" si="29">+AP13+AP15+AP17</f>
        <v>7166173.076923077</v>
      </c>
      <c r="AQ12" s="78">
        <f t="shared" ref="AQ12" si="30">+AQ13+AQ15+AQ17</f>
        <v>7166173.076923077</v>
      </c>
      <c r="AR12" s="78">
        <f t="shared" ref="AR12" si="31">+AR13+AR15+AR17</f>
        <v>7172923.076923077</v>
      </c>
      <c r="AS12" s="78">
        <f t="shared" ref="AS12" si="32">+AS13+AS15+AS17</f>
        <v>7826423.076923077</v>
      </c>
      <c r="AT12" s="78">
        <f t="shared" ref="AT12" si="33">+AT13+AT15+AT17</f>
        <v>9106423.0769230761</v>
      </c>
      <c r="AU12" s="78">
        <f t="shared" ref="AU12" si="34">+AU13+AU15+AU17</f>
        <v>9099673.0769230761</v>
      </c>
      <c r="AV12" s="78">
        <f t="shared" ref="AV12" si="35">+AV13+AV15+AV17</f>
        <v>8459673.0769230761</v>
      </c>
      <c r="AW12" s="78">
        <f t="shared" ref="AW12" si="36">+AW13+AW15+AW17</f>
        <v>8439423.0769230761</v>
      </c>
      <c r="AX12" s="78">
        <f t="shared" ref="AX12" si="37">+AX13+AX15+AX17</f>
        <v>6519423.076923077</v>
      </c>
      <c r="AY12" s="78">
        <f t="shared" ref="AY12" si="38">+AY13+AY15+AY17</f>
        <v>6505923.076923077</v>
      </c>
      <c r="AZ12" s="78">
        <f t="shared" ref="AZ12" si="39">+AZ13+AZ15+AZ17</f>
        <v>5198923.076923077</v>
      </c>
      <c r="BA12" s="78">
        <f t="shared" ref="BA12" si="40">+BA13+BA15+BA17</f>
        <v>2625423.076923077</v>
      </c>
      <c r="BB12" s="78">
        <f t="shared" ref="BB12" si="41">+BB13+BB15+BB17</f>
        <v>1345423.076923077</v>
      </c>
      <c r="BC12" s="78">
        <f t="shared" ref="BC12" si="42">+BC13+BC15+BC17</f>
        <v>1338673.076923077</v>
      </c>
      <c r="BD12" s="78">
        <f t="shared" ref="BD12" si="43">+BD13+BD15+BD17</f>
        <v>1338673.076923077</v>
      </c>
      <c r="BE12" s="78">
        <f t="shared" ref="BE12" si="44">+BE13+BE15+BE17</f>
        <v>1338673.076923077</v>
      </c>
      <c r="BF12" s="78">
        <f t="shared" ref="BF12" si="45">+BF13+BF15+BF17</f>
        <v>58673.076923076922</v>
      </c>
      <c r="BG12" s="78">
        <f t="shared" ref="BG12" si="46">+BG13+BG15+BG17</f>
        <v>0</v>
      </c>
      <c r="BH12" s="78">
        <f t="shared" si="2"/>
        <v>0</v>
      </c>
      <c r="BI12" s="78">
        <f t="shared" si="2"/>
        <v>0</v>
      </c>
      <c r="BJ12" s="78">
        <f t="shared" si="2"/>
        <v>0</v>
      </c>
      <c r="BK12" s="78">
        <f t="shared" si="2"/>
        <v>0</v>
      </c>
      <c r="BL12" s="78">
        <f t="shared" si="2"/>
        <v>0</v>
      </c>
      <c r="BM12" s="78">
        <f t="shared" si="2"/>
        <v>0</v>
      </c>
      <c r="BN12" s="78">
        <f t="shared" si="2"/>
        <v>0</v>
      </c>
      <c r="BO12" s="78">
        <f t="shared" si="2"/>
        <v>0</v>
      </c>
      <c r="BP12" s="78">
        <f t="shared" si="2"/>
        <v>0</v>
      </c>
      <c r="BQ12" s="78">
        <f t="shared" si="2"/>
        <v>0</v>
      </c>
      <c r="BR12" s="78">
        <f t="shared" ref="BR12" si="47">+BR13+BR15+BR17</f>
        <v>336233534.61538464</v>
      </c>
    </row>
    <row r="13" spans="1:71" s="141" customFormat="1" x14ac:dyDescent="0.3">
      <c r="A13" s="90">
        <f>+'CC D'!A10</f>
        <v>1.1000000000000001</v>
      </c>
      <c r="B13" s="79" t="str">
        <f>+'CC D'!B10</f>
        <v>Mejoramiento de la RP Nº 41</v>
      </c>
      <c r="C13" s="79"/>
      <c r="D13" s="82">
        <f>+PEP!H27</f>
        <v>72000000</v>
      </c>
      <c r="E13" s="82">
        <f>+PEP!I27</f>
        <v>30000000</v>
      </c>
      <c r="F13" s="82">
        <f>+PEP!J27</f>
        <v>102000000</v>
      </c>
      <c r="G13" s="82">
        <f>+G14</f>
        <v>0</v>
      </c>
      <c r="H13" s="82">
        <f t="shared" ref="H13:BQ13" si="48">+H14</f>
        <v>0</v>
      </c>
      <c r="I13" s="82">
        <f t="shared" ref="I13" si="49">+I14</f>
        <v>0</v>
      </c>
      <c r="J13" s="82">
        <f t="shared" ref="J13" si="50">+J14</f>
        <v>0</v>
      </c>
      <c r="K13" s="82">
        <f t="shared" ref="K13" si="51">+K14</f>
        <v>0</v>
      </c>
      <c r="L13" s="82">
        <f t="shared" ref="L13" si="52">+L14</f>
        <v>0</v>
      </c>
      <c r="M13" s="82">
        <f t="shared" ref="M13" si="53">+M14</f>
        <v>20400000</v>
      </c>
      <c r="N13" s="82">
        <f t="shared" ref="N13" si="54">+N14</f>
        <v>2040000</v>
      </c>
      <c r="O13" s="82">
        <f t="shared" ref="O13" si="55">+O14</f>
        <v>2448000</v>
      </c>
      <c r="P13" s="82">
        <f t="shared" ref="P13" si="56">+P14</f>
        <v>2856000</v>
      </c>
      <c r="Q13" s="82">
        <f t="shared" ref="Q13" si="57">+Q14</f>
        <v>2856000</v>
      </c>
      <c r="R13" s="82">
        <f t="shared" ref="R13" si="58">+R14</f>
        <v>3264000</v>
      </c>
      <c r="S13" s="82">
        <f>+S14</f>
        <v>23907984</v>
      </c>
      <c r="T13" s="82">
        <f t="shared" ref="T13:U13" si="59">+T14</f>
        <v>9956016</v>
      </c>
      <c r="U13" s="82">
        <f t="shared" si="59"/>
        <v>33864000</v>
      </c>
      <c r="V13" s="82">
        <f t="shared" ref="V13" si="60">+V14</f>
        <v>3672000</v>
      </c>
      <c r="W13" s="82">
        <f t="shared" ref="W13" si="61">+W14</f>
        <v>3672000</v>
      </c>
      <c r="X13" s="82">
        <f t="shared" ref="X13" si="62">+X14</f>
        <v>4080000</v>
      </c>
      <c r="Y13" s="82">
        <f t="shared" ref="Y13" si="63">+Y14</f>
        <v>4488000</v>
      </c>
      <c r="Z13" s="82">
        <f t="shared" ref="Z13" si="64">+Z14</f>
        <v>4488000</v>
      </c>
      <c r="AA13" s="82">
        <f t="shared" ref="AA13" si="65">+AA14</f>
        <v>4488000</v>
      </c>
      <c r="AB13" s="82">
        <f t="shared" ref="AB13" si="66">+AB14</f>
        <v>4896000</v>
      </c>
      <c r="AC13" s="82">
        <f t="shared" ref="AC13" si="67">+AC14</f>
        <v>5712000</v>
      </c>
      <c r="AD13" s="82">
        <f t="shared" ref="AD13" si="68">+AD14</f>
        <v>5712000</v>
      </c>
      <c r="AE13" s="82">
        <f t="shared" ref="AE13" si="69">+AE14</f>
        <v>5304000</v>
      </c>
      <c r="AF13" s="82">
        <f t="shared" ref="AF13" si="70">+AF14</f>
        <v>5304000</v>
      </c>
      <c r="AG13" s="82">
        <f t="shared" ref="AG13" si="71">+AG14</f>
        <v>4080000</v>
      </c>
      <c r="AH13" s="82">
        <f t="shared" ref="AH13" si="72">+AH14</f>
        <v>4080000</v>
      </c>
      <c r="AI13" s="82">
        <f t="shared" ref="AI13" si="73">+AI14</f>
        <v>3264000</v>
      </c>
      <c r="AJ13" s="82">
        <f t="shared" ref="AJ13" si="74">+AJ14</f>
        <v>1632000</v>
      </c>
      <c r="AK13" s="82">
        <f t="shared" ref="AK13" si="75">+AK14</f>
        <v>816000</v>
      </c>
      <c r="AL13" s="82">
        <f t="shared" ref="AL13" si="76">+AL14</f>
        <v>816000</v>
      </c>
      <c r="AM13" s="82">
        <f t="shared" ref="AM13" si="77">+AM14</f>
        <v>816000</v>
      </c>
      <c r="AN13" s="82">
        <f t="shared" ref="AN13" si="78">+AN14</f>
        <v>816000</v>
      </c>
      <c r="AO13" s="82">
        <f t="shared" ref="AO13" si="79">+AO14</f>
        <v>0</v>
      </c>
      <c r="AP13" s="82">
        <f t="shared" ref="AP13" si="80">+AP14</f>
        <v>0</v>
      </c>
      <c r="AQ13" s="82">
        <f t="shared" ref="AQ13" si="81">+AQ14</f>
        <v>0</v>
      </c>
      <c r="AR13" s="82">
        <f t="shared" ref="AR13" si="82">+AR14</f>
        <v>0</v>
      </c>
      <c r="AS13" s="82">
        <f t="shared" ref="AS13" si="83">+AS14</f>
        <v>0</v>
      </c>
      <c r="AT13" s="82">
        <f t="shared" ref="AT13" si="84">+AT14</f>
        <v>0</v>
      </c>
      <c r="AU13" s="82">
        <f t="shared" ref="AU13" si="85">+AU14</f>
        <v>0</v>
      </c>
      <c r="AV13" s="82">
        <f t="shared" ref="AV13" si="86">+AV14</f>
        <v>0</v>
      </c>
      <c r="AW13" s="82">
        <f t="shared" ref="AW13" si="87">+AW14</f>
        <v>0</v>
      </c>
      <c r="AX13" s="82">
        <f t="shared" ref="AX13" si="88">+AX14</f>
        <v>0</v>
      </c>
      <c r="AY13" s="82">
        <f t="shared" ref="AY13" si="89">+AY14</f>
        <v>0</v>
      </c>
      <c r="AZ13" s="82">
        <f t="shared" ref="AZ13" si="90">+AZ14</f>
        <v>0</v>
      </c>
      <c r="BA13" s="82">
        <f t="shared" ref="BA13" si="91">+BA14</f>
        <v>0</v>
      </c>
      <c r="BB13" s="82">
        <f t="shared" ref="BB13" si="92">+BB14</f>
        <v>0</v>
      </c>
      <c r="BC13" s="82">
        <f t="shared" ref="BC13" si="93">+BC14</f>
        <v>0</v>
      </c>
      <c r="BD13" s="82">
        <f t="shared" ref="BD13" si="94">+BD14</f>
        <v>0</v>
      </c>
      <c r="BE13" s="82">
        <f t="shared" ref="BE13" si="95">+BE14</f>
        <v>0</v>
      </c>
      <c r="BF13" s="82">
        <f t="shared" ref="BF13" si="96">+BF14</f>
        <v>0</v>
      </c>
      <c r="BG13" s="82">
        <f t="shared" ref="BG13" si="97">+BG14</f>
        <v>0</v>
      </c>
      <c r="BH13" s="82">
        <f t="shared" si="48"/>
        <v>0</v>
      </c>
      <c r="BI13" s="82">
        <f t="shared" si="48"/>
        <v>0</v>
      </c>
      <c r="BJ13" s="82">
        <f t="shared" si="48"/>
        <v>0</v>
      </c>
      <c r="BK13" s="82">
        <f t="shared" si="48"/>
        <v>0</v>
      </c>
      <c r="BL13" s="82">
        <f t="shared" si="48"/>
        <v>0</v>
      </c>
      <c r="BM13" s="82">
        <f t="shared" si="48"/>
        <v>0</v>
      </c>
      <c r="BN13" s="82">
        <f t="shared" si="48"/>
        <v>0</v>
      </c>
      <c r="BO13" s="82">
        <f t="shared" si="48"/>
        <v>0</v>
      </c>
      <c r="BP13" s="82">
        <f t="shared" si="48"/>
        <v>0</v>
      </c>
      <c r="BQ13" s="82">
        <f t="shared" si="48"/>
        <v>0</v>
      </c>
      <c r="BR13" s="82">
        <f>+BR14</f>
        <v>169728000</v>
      </c>
    </row>
    <row r="14" spans="1:71" s="141" customFormat="1" ht="27.6" x14ac:dyDescent="0.3">
      <c r="A14" s="149" t="str">
        <f>+'CC D'!A11</f>
        <v>1.1.1</v>
      </c>
      <c r="B14" s="84" t="str">
        <f>+'CC D'!B11</f>
        <v>Contratación de Firma Constructora para las Obras de Mejoramiento de la Ruta Nº 41</v>
      </c>
      <c r="C14" s="84" t="str">
        <f>+'CC D'!C11</f>
        <v>Km de carreteras de la RP Nº41 mejoradas por el programa</v>
      </c>
      <c r="D14" s="86">
        <f>+PEP!H28</f>
        <v>72000000</v>
      </c>
      <c r="E14" s="86">
        <f>+PEP!I28</f>
        <v>30000000</v>
      </c>
      <c r="F14" s="86">
        <f>+PEP!J28</f>
        <v>102000000</v>
      </c>
      <c r="G14" s="86">
        <v>0</v>
      </c>
      <c r="H14" s="86">
        <v>0</v>
      </c>
      <c r="I14" s="86">
        <v>0</v>
      </c>
      <c r="J14" s="86">
        <v>0</v>
      </c>
      <c r="K14" s="86">
        <v>0</v>
      </c>
      <c r="L14" s="86">
        <v>0</v>
      </c>
      <c r="M14" s="86">
        <f>+'R41'!B52</f>
        <v>20400000</v>
      </c>
      <c r="N14" s="86">
        <f>+'R41'!C52</f>
        <v>2040000</v>
      </c>
      <c r="O14" s="86">
        <f>+'R41'!D52</f>
        <v>2448000</v>
      </c>
      <c r="P14" s="86">
        <f>+'R41'!E52</f>
        <v>2856000</v>
      </c>
      <c r="Q14" s="86">
        <f>+'R41'!F52</f>
        <v>2856000</v>
      </c>
      <c r="R14" s="86">
        <f>+'R41'!G52</f>
        <v>3264000</v>
      </c>
      <c r="S14" s="86">
        <f>+U14*0.706</f>
        <v>23907984</v>
      </c>
      <c r="T14" s="86">
        <f>+U14-S14</f>
        <v>9956016</v>
      </c>
      <c r="U14" s="86">
        <f>+SUM(G14:R14)</f>
        <v>33864000</v>
      </c>
      <c r="V14" s="86">
        <f>+'R41'!H52</f>
        <v>3672000</v>
      </c>
      <c r="W14" s="86">
        <f>+'R41'!I52</f>
        <v>3672000</v>
      </c>
      <c r="X14" s="86">
        <f>+'R41'!J52</f>
        <v>4080000</v>
      </c>
      <c r="Y14" s="86">
        <f>+'R41'!K52</f>
        <v>4488000</v>
      </c>
      <c r="Z14" s="86">
        <f>+'R41'!L52</f>
        <v>4488000</v>
      </c>
      <c r="AA14" s="86">
        <f>+'R41'!M52</f>
        <v>4488000</v>
      </c>
      <c r="AB14" s="86">
        <f>+'R41'!N52</f>
        <v>4896000</v>
      </c>
      <c r="AC14" s="86">
        <f>+'R41'!O52</f>
        <v>5712000</v>
      </c>
      <c r="AD14" s="86">
        <f>+'R41'!P52</f>
        <v>5712000</v>
      </c>
      <c r="AE14" s="86">
        <f>+'R41'!Q52</f>
        <v>5304000</v>
      </c>
      <c r="AF14" s="86">
        <f>+'R41'!R52</f>
        <v>5304000</v>
      </c>
      <c r="AG14" s="86">
        <f>+'R41'!S52</f>
        <v>4080000</v>
      </c>
      <c r="AH14" s="86">
        <f>+'R41'!T52</f>
        <v>4080000</v>
      </c>
      <c r="AI14" s="86">
        <f>+'R41'!U52</f>
        <v>3264000</v>
      </c>
      <c r="AJ14" s="86">
        <f>+'R41'!V52</f>
        <v>1632000</v>
      </c>
      <c r="AK14" s="86">
        <f>+'R41'!W52</f>
        <v>816000</v>
      </c>
      <c r="AL14" s="86">
        <f>+'R41'!X52</f>
        <v>816000</v>
      </c>
      <c r="AM14" s="86">
        <f>+'R41'!Y52</f>
        <v>816000</v>
      </c>
      <c r="AN14" s="86">
        <f>+'R41'!Z52</f>
        <v>816000</v>
      </c>
      <c r="AO14" s="86">
        <v>0</v>
      </c>
      <c r="AP14" s="86">
        <f>+'R41'!AB52</f>
        <v>0</v>
      </c>
      <c r="AQ14" s="86">
        <f>+'R41'!AC52</f>
        <v>0</v>
      </c>
      <c r="AR14" s="86">
        <f>+'R41'!AD52</f>
        <v>0</v>
      </c>
      <c r="AS14" s="86">
        <f>+'R41'!AE52</f>
        <v>0</v>
      </c>
      <c r="AT14" s="86">
        <f>+'R41'!AF52</f>
        <v>0</v>
      </c>
      <c r="AU14" s="86">
        <f>+'R41'!AG52</f>
        <v>0</v>
      </c>
      <c r="AV14" s="86">
        <f>+'R41'!AH52</f>
        <v>0</v>
      </c>
      <c r="AW14" s="86">
        <f>+'R41'!AI52</f>
        <v>0</v>
      </c>
      <c r="AX14" s="86">
        <f>+'R41'!AJ52</f>
        <v>0</v>
      </c>
      <c r="AY14" s="86">
        <f>+'R41'!AK52</f>
        <v>0</v>
      </c>
      <c r="AZ14" s="86">
        <f>+'R41'!AL52</f>
        <v>0</v>
      </c>
      <c r="BA14" s="86">
        <f>+'R41'!AM52</f>
        <v>0</v>
      </c>
      <c r="BB14" s="86">
        <f>+'R41'!AN52</f>
        <v>0</v>
      </c>
      <c r="BC14" s="86">
        <v>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86">
        <v>0</v>
      </c>
      <c r="BM14" s="86">
        <v>0</v>
      </c>
      <c r="BN14" s="86">
        <v>0</v>
      </c>
      <c r="BO14" s="86">
        <v>0</v>
      </c>
      <c r="BP14" s="86">
        <v>0</v>
      </c>
      <c r="BQ14" s="86">
        <v>0</v>
      </c>
      <c r="BR14" s="86">
        <f>SUM(G14:BQ14)</f>
        <v>169728000</v>
      </c>
    </row>
    <row r="15" spans="1:71" s="141" customFormat="1" x14ac:dyDescent="0.3">
      <c r="A15" s="90">
        <f>+'CC D'!A12</f>
        <v>1.2</v>
      </c>
      <c r="B15" s="79" t="str">
        <f>+'CC D'!B12</f>
        <v>Otras Obras de mejoramiento</v>
      </c>
      <c r="C15" s="79"/>
      <c r="D15" s="82">
        <f>+PEP!H29</f>
        <v>110000000</v>
      </c>
      <c r="E15" s="82">
        <f>+PEP!I29</f>
        <v>50000000</v>
      </c>
      <c r="F15" s="82">
        <f>+PEP!J29</f>
        <v>160000000</v>
      </c>
      <c r="G15" s="82">
        <f>+G16</f>
        <v>0</v>
      </c>
      <c r="H15" s="82">
        <f t="shared" ref="H15:BQ15" si="98">+H16</f>
        <v>0</v>
      </c>
      <c r="I15" s="82">
        <f t="shared" si="98"/>
        <v>0</v>
      </c>
      <c r="J15" s="82">
        <f t="shared" si="98"/>
        <v>0</v>
      </c>
      <c r="K15" s="82">
        <f t="shared" si="98"/>
        <v>0</v>
      </c>
      <c r="L15" s="82">
        <f t="shared" si="98"/>
        <v>0</v>
      </c>
      <c r="M15" s="82">
        <f t="shared" si="98"/>
        <v>0</v>
      </c>
      <c r="N15" s="82">
        <f t="shared" si="98"/>
        <v>0</v>
      </c>
      <c r="O15" s="82">
        <f t="shared" si="98"/>
        <v>0</v>
      </c>
      <c r="P15" s="82">
        <f t="shared" si="98"/>
        <v>0</v>
      </c>
      <c r="Q15" s="82">
        <f t="shared" si="98"/>
        <v>0</v>
      </c>
      <c r="R15" s="82">
        <f t="shared" si="98"/>
        <v>0</v>
      </c>
      <c r="S15" s="82">
        <f>+S16</f>
        <v>0</v>
      </c>
      <c r="T15" s="82">
        <f t="shared" ref="T15:U15" si="99">+T16</f>
        <v>0</v>
      </c>
      <c r="U15" s="82">
        <f t="shared" si="99"/>
        <v>0</v>
      </c>
      <c r="V15" s="82">
        <f t="shared" si="98"/>
        <v>0</v>
      </c>
      <c r="W15" s="82">
        <f t="shared" si="98"/>
        <v>0</v>
      </c>
      <c r="X15" s="82">
        <f t="shared" si="98"/>
        <v>0</v>
      </c>
      <c r="Y15" s="82">
        <f t="shared" si="98"/>
        <v>0</v>
      </c>
      <c r="Z15" s="82">
        <f t="shared" si="98"/>
        <v>0</v>
      </c>
      <c r="AA15" s="82">
        <f t="shared" si="98"/>
        <v>0</v>
      </c>
      <c r="AB15" s="82">
        <f t="shared" si="98"/>
        <v>0</v>
      </c>
      <c r="AC15" s="82">
        <f t="shared" si="98"/>
        <v>0</v>
      </c>
      <c r="AD15" s="82">
        <f t="shared" si="98"/>
        <v>0</v>
      </c>
      <c r="AE15" s="82">
        <f t="shared" si="98"/>
        <v>0</v>
      </c>
      <c r="AF15" s="82">
        <f t="shared" si="98"/>
        <v>0</v>
      </c>
      <c r="AG15" s="82">
        <f t="shared" si="98"/>
        <v>32000000</v>
      </c>
      <c r="AH15" s="82">
        <f t="shared" si="98"/>
        <v>3200000</v>
      </c>
      <c r="AI15" s="82">
        <f t="shared" si="98"/>
        <v>3840000</v>
      </c>
      <c r="AJ15" s="82">
        <f t="shared" si="98"/>
        <v>4480000</v>
      </c>
      <c r="AK15" s="82">
        <f t="shared" si="98"/>
        <v>4480000</v>
      </c>
      <c r="AL15" s="82">
        <f t="shared" si="98"/>
        <v>5120000</v>
      </c>
      <c r="AM15" s="82">
        <f t="shared" si="98"/>
        <v>5760000</v>
      </c>
      <c r="AN15" s="82">
        <f t="shared" si="98"/>
        <v>5760000</v>
      </c>
      <c r="AO15" s="82">
        <f t="shared" si="98"/>
        <v>6400000</v>
      </c>
      <c r="AP15" s="82">
        <f t="shared" si="98"/>
        <v>7040000</v>
      </c>
      <c r="AQ15" s="82">
        <f t="shared" si="98"/>
        <v>7040000</v>
      </c>
      <c r="AR15" s="82">
        <f t="shared" si="98"/>
        <v>7040000</v>
      </c>
      <c r="AS15" s="82">
        <f t="shared" si="98"/>
        <v>7680000</v>
      </c>
      <c r="AT15" s="82">
        <f t="shared" si="98"/>
        <v>8960000</v>
      </c>
      <c r="AU15" s="82">
        <f t="shared" si="98"/>
        <v>8960000</v>
      </c>
      <c r="AV15" s="82">
        <f t="shared" si="98"/>
        <v>8320000</v>
      </c>
      <c r="AW15" s="82">
        <f t="shared" si="98"/>
        <v>8320000</v>
      </c>
      <c r="AX15" s="82">
        <f t="shared" si="98"/>
        <v>6400000</v>
      </c>
      <c r="AY15" s="82">
        <f t="shared" si="98"/>
        <v>6400000</v>
      </c>
      <c r="AZ15" s="82">
        <f t="shared" si="98"/>
        <v>5120000</v>
      </c>
      <c r="BA15" s="82">
        <f t="shared" si="98"/>
        <v>2560000</v>
      </c>
      <c r="BB15" s="82">
        <f t="shared" si="98"/>
        <v>1280000</v>
      </c>
      <c r="BC15" s="82">
        <f t="shared" si="98"/>
        <v>1280000</v>
      </c>
      <c r="BD15" s="82">
        <f t="shared" si="98"/>
        <v>1280000</v>
      </c>
      <c r="BE15" s="82">
        <f t="shared" si="98"/>
        <v>1280000</v>
      </c>
      <c r="BF15" s="82">
        <f>+BF16</f>
        <v>0</v>
      </c>
      <c r="BG15" s="82">
        <f t="shared" si="98"/>
        <v>0</v>
      </c>
      <c r="BH15" s="82">
        <f t="shared" si="98"/>
        <v>0</v>
      </c>
      <c r="BI15" s="82">
        <f t="shared" si="98"/>
        <v>0</v>
      </c>
      <c r="BJ15" s="82">
        <f t="shared" si="98"/>
        <v>0</v>
      </c>
      <c r="BK15" s="82">
        <f t="shared" si="98"/>
        <v>0</v>
      </c>
      <c r="BL15" s="82">
        <f t="shared" si="98"/>
        <v>0</v>
      </c>
      <c r="BM15" s="82">
        <f t="shared" si="98"/>
        <v>0</v>
      </c>
      <c r="BN15" s="82">
        <f t="shared" si="98"/>
        <v>0</v>
      </c>
      <c r="BO15" s="82">
        <f t="shared" si="98"/>
        <v>0</v>
      </c>
      <c r="BP15" s="82">
        <f t="shared" si="98"/>
        <v>0</v>
      </c>
      <c r="BQ15" s="82">
        <f t="shared" si="98"/>
        <v>0</v>
      </c>
      <c r="BR15" s="82">
        <f>+BR16</f>
        <v>160000000</v>
      </c>
    </row>
    <row r="16" spans="1:71" s="141" customFormat="1" ht="27.6" x14ac:dyDescent="0.3">
      <c r="A16" s="149" t="str">
        <f>+'CC D'!A13</f>
        <v>1.2.1</v>
      </c>
      <c r="B16" s="84" t="str">
        <f>+'CC D'!B13</f>
        <v>Contratación de Firma Constructora para las Obras de Mejoramiento de la red vial principal de la PBA (Tramo según criterio de elegibilidad)</v>
      </c>
      <c r="C16" s="84" t="str">
        <f>+'CC D'!C13</f>
        <v>Km de carreteras de la red vial primaria provincial mejoradas por el programa (otras obras)</v>
      </c>
      <c r="D16" s="86">
        <f>+PEP!H30</f>
        <v>110000000</v>
      </c>
      <c r="E16" s="86">
        <f>+PEP!I30</f>
        <v>50000000</v>
      </c>
      <c r="F16" s="86">
        <f>+PEP!J30</f>
        <v>160000000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/>
      <c r="T16" s="86"/>
      <c r="U16" s="86">
        <f>+SUM(G16:R16)</f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f>+Re!B52</f>
        <v>32000000</v>
      </c>
      <c r="AH16" s="86">
        <f>+Re!C52</f>
        <v>3200000</v>
      </c>
      <c r="AI16" s="86">
        <f>+Re!D52</f>
        <v>3840000</v>
      </c>
      <c r="AJ16" s="86">
        <f>+Re!E52</f>
        <v>4480000</v>
      </c>
      <c r="AK16" s="86">
        <f>+Re!F52</f>
        <v>4480000</v>
      </c>
      <c r="AL16" s="86">
        <f>+Re!G52</f>
        <v>5120000</v>
      </c>
      <c r="AM16" s="86">
        <f>+Re!H52</f>
        <v>5760000</v>
      </c>
      <c r="AN16" s="86">
        <f>+Re!I52</f>
        <v>5760000</v>
      </c>
      <c r="AO16" s="86">
        <f>+Re!J52</f>
        <v>6400000</v>
      </c>
      <c r="AP16" s="86">
        <f>+Re!K52</f>
        <v>7040000</v>
      </c>
      <c r="AQ16" s="86">
        <f>+Re!L52</f>
        <v>7040000</v>
      </c>
      <c r="AR16" s="86">
        <f>+Re!M52</f>
        <v>7040000</v>
      </c>
      <c r="AS16" s="86">
        <f>+Re!N52</f>
        <v>7680000</v>
      </c>
      <c r="AT16" s="86">
        <f>+Re!O52</f>
        <v>8960000</v>
      </c>
      <c r="AU16" s="86">
        <f>+Re!P52</f>
        <v>8960000</v>
      </c>
      <c r="AV16" s="86">
        <f>+Re!Q52</f>
        <v>8320000</v>
      </c>
      <c r="AW16" s="86">
        <f>+Re!R52</f>
        <v>8320000</v>
      </c>
      <c r="AX16" s="86">
        <f>+Re!S52</f>
        <v>6400000</v>
      </c>
      <c r="AY16" s="86">
        <f>+Re!T52</f>
        <v>6400000</v>
      </c>
      <c r="AZ16" s="86">
        <f>+Re!U52</f>
        <v>5120000</v>
      </c>
      <c r="BA16" s="86">
        <f>+Re!V52</f>
        <v>2560000</v>
      </c>
      <c r="BB16" s="86">
        <f>+Re!W52</f>
        <v>1280000</v>
      </c>
      <c r="BC16" s="86">
        <f>+Re!X52</f>
        <v>1280000</v>
      </c>
      <c r="BD16" s="86">
        <f>+Re!Y52</f>
        <v>1280000</v>
      </c>
      <c r="BE16" s="86">
        <f>+Re!Z52</f>
        <v>1280000</v>
      </c>
      <c r="BF16" s="86">
        <f>+Re!AL52</f>
        <v>0</v>
      </c>
      <c r="BG16" s="86">
        <f>+Re!AM52</f>
        <v>0</v>
      </c>
      <c r="BH16" s="86">
        <f>+Re!AN52</f>
        <v>0</v>
      </c>
      <c r="BI16" s="86">
        <f>+Re!AO52</f>
        <v>0</v>
      </c>
      <c r="BJ16" s="86">
        <f>+Re!AP52</f>
        <v>0</v>
      </c>
      <c r="BK16" s="86">
        <f>+Re!AQ52</f>
        <v>0</v>
      </c>
      <c r="BL16" s="86">
        <f>+Re!AR52</f>
        <v>0</v>
      </c>
      <c r="BM16" s="86">
        <f>+Re!AS52</f>
        <v>0</v>
      </c>
      <c r="BN16" s="86">
        <f>+Re!AT52</f>
        <v>0</v>
      </c>
      <c r="BO16" s="86">
        <f>+Re!AU52</f>
        <v>0</v>
      </c>
      <c r="BP16" s="86">
        <f>+Re!AV52</f>
        <v>0</v>
      </c>
      <c r="BQ16" s="86">
        <f>+Re!AW52</f>
        <v>0</v>
      </c>
      <c r="BR16" s="86">
        <f>SUM(G16:BQ16)</f>
        <v>160000000</v>
      </c>
    </row>
    <row r="17" spans="1:70" s="141" customFormat="1" x14ac:dyDescent="0.3">
      <c r="A17" s="90">
        <f>+'CC D'!A14</f>
        <v>1.3</v>
      </c>
      <c r="B17" s="79" t="str">
        <f>+'CC D'!B14</f>
        <v>Inspección de Obras</v>
      </c>
      <c r="C17" s="79"/>
      <c r="D17" s="82">
        <f>+PEP!H31</f>
        <v>5700000</v>
      </c>
      <c r="E17" s="82">
        <f>+PEP!I31</f>
        <v>0</v>
      </c>
      <c r="F17" s="82">
        <f>+PEP!J31</f>
        <v>5700000</v>
      </c>
      <c r="G17" s="82">
        <f t="shared" ref="G17" si="100">+G18+G19</f>
        <v>0</v>
      </c>
      <c r="H17" s="82">
        <f t="shared" ref="H17" si="101">+H18+H19</f>
        <v>0</v>
      </c>
      <c r="I17" s="82">
        <f t="shared" ref="I17" si="102">+I18+I19</f>
        <v>0</v>
      </c>
      <c r="J17" s="82">
        <f t="shared" ref="J17" si="103">+J18+J19</f>
        <v>0</v>
      </c>
      <c r="K17" s="82">
        <f t="shared" ref="K17" si="104">+K18+K19</f>
        <v>0</v>
      </c>
      <c r="L17" s="82">
        <f t="shared" ref="L17" si="105">+L18+L19</f>
        <v>270000</v>
      </c>
      <c r="M17" s="82">
        <f t="shared" ref="M17" si="106">+M18+M19</f>
        <v>77105.769230769234</v>
      </c>
      <c r="N17" s="82">
        <f t="shared" ref="N17" si="107">+N18+N19</f>
        <v>83180.769230769234</v>
      </c>
      <c r="O17" s="82">
        <f t="shared" ref="O17" si="108">+O18+O19</f>
        <v>89255.769230769234</v>
      </c>
      <c r="P17" s="82">
        <f t="shared" ref="P17" si="109">+P18+P19</f>
        <v>89255.769230769234</v>
      </c>
      <c r="Q17" s="82">
        <f t="shared" ref="Q17" si="110">+Q18+Q19</f>
        <v>95330.769230769234</v>
      </c>
      <c r="R17" s="82">
        <f t="shared" ref="R17" si="111">+R18+R19</f>
        <v>101405.76923076923</v>
      </c>
      <c r="S17" s="82">
        <f>+S18+S19</f>
        <v>0</v>
      </c>
      <c r="T17" s="82">
        <f t="shared" ref="T17:U17" si="112">+T18+T19</f>
        <v>0</v>
      </c>
      <c r="U17" s="82">
        <f t="shared" si="112"/>
        <v>805534.61538461549</v>
      </c>
      <c r="V17" s="82">
        <f t="shared" ref="V17" si="113">+V18+V19</f>
        <v>101405.76923076923</v>
      </c>
      <c r="W17" s="82">
        <f t="shared" ref="W17" si="114">+W18+W19</f>
        <v>107480.76923076923</v>
      </c>
      <c r="X17" s="82">
        <f t="shared" ref="X17" si="115">+X18+X19</f>
        <v>113555.76923076923</v>
      </c>
      <c r="Y17" s="82">
        <f t="shared" ref="Y17" si="116">+Y18+Y19</f>
        <v>113555.76923076923</v>
      </c>
      <c r="Z17" s="82">
        <f t="shared" ref="Z17" si="117">+Z18+Z19</f>
        <v>113555.76923076923</v>
      </c>
      <c r="AA17" s="82">
        <f t="shared" ref="AA17" si="118">+AA18+AA19</f>
        <v>119630.76923076923</v>
      </c>
      <c r="AB17" s="82">
        <f t="shared" ref="AB17" si="119">+AB18+AB19</f>
        <v>131780.76923076925</v>
      </c>
      <c r="AC17" s="82">
        <f t="shared" ref="AC17" si="120">+AC18+AC19</f>
        <v>131780.76923076925</v>
      </c>
      <c r="AD17" s="82">
        <f t="shared" ref="AD17" si="121">+AD18+AD19</f>
        <v>125705.76923076923</v>
      </c>
      <c r="AE17" s="82">
        <f t="shared" ref="AE17" si="122">+AE18+AE19</f>
        <v>125705.76923076923</v>
      </c>
      <c r="AF17" s="82">
        <f t="shared" ref="AF17" si="123">+AF18+AF19</f>
        <v>407480.76923076925</v>
      </c>
      <c r="AG17" s="82">
        <f t="shared" ref="AG17" si="124">+AG18+AG19</f>
        <v>193153.84615384616</v>
      </c>
      <c r="AH17" s="82">
        <f t="shared" ref="AH17" si="125">+AH18+AH19</f>
        <v>187753.84615384616</v>
      </c>
      <c r="AI17" s="82">
        <f t="shared" ref="AI17" si="126">+AI18+AI19</f>
        <v>170203.84615384616</v>
      </c>
      <c r="AJ17" s="82">
        <f t="shared" ref="AJ17" si="127">+AJ18+AJ19</f>
        <v>158053.84615384616</v>
      </c>
      <c r="AK17" s="82">
        <f t="shared" ref="AK17" si="128">+AK18+AK19</f>
        <v>164803.84615384616</v>
      </c>
      <c r="AL17" s="82">
        <f t="shared" ref="AL17" si="129">+AL18+AL19</f>
        <v>165478.84615384616</v>
      </c>
      <c r="AM17" s="82">
        <f t="shared" ref="AM17" si="130">+AM18+AM19</f>
        <v>165478.84615384616</v>
      </c>
      <c r="AN17" s="82">
        <f t="shared" ref="AN17" si="131">+AN18+AN19</f>
        <v>172228.84615384616</v>
      </c>
      <c r="AO17" s="82">
        <f t="shared" ref="AO17" si="132">+AO18+AO19</f>
        <v>178978.84615384616</v>
      </c>
      <c r="AP17" s="82">
        <f t="shared" ref="AP17" si="133">+AP18+AP19</f>
        <v>126173.07692307692</v>
      </c>
      <c r="AQ17" s="82">
        <f t="shared" ref="AQ17" si="134">+AQ18+AQ19</f>
        <v>126173.07692307692</v>
      </c>
      <c r="AR17" s="82">
        <f t="shared" ref="AR17" si="135">+AR18+AR19</f>
        <v>132923.07692307694</v>
      </c>
      <c r="AS17" s="82">
        <f t="shared" ref="AS17" si="136">+AS18+AS19</f>
        <v>146423.07692307694</v>
      </c>
      <c r="AT17" s="82">
        <f t="shared" ref="AT17" si="137">+AT18+AT19</f>
        <v>146423.07692307694</v>
      </c>
      <c r="AU17" s="82">
        <f t="shared" ref="AU17" si="138">+AU18+AU19</f>
        <v>139673.07692307694</v>
      </c>
      <c r="AV17" s="82">
        <f t="shared" ref="AV17" si="139">+AV18+AV19</f>
        <v>139673.07692307694</v>
      </c>
      <c r="AW17" s="82">
        <f t="shared" ref="AW17" si="140">+AW18+AW19</f>
        <v>119423.07692307692</v>
      </c>
      <c r="AX17" s="82">
        <f t="shared" ref="AX17" si="141">+AX18+AX19</f>
        <v>119423.07692307692</v>
      </c>
      <c r="AY17" s="82">
        <f t="shared" ref="AY17" si="142">+AY18+AY19</f>
        <v>105923.07692307692</v>
      </c>
      <c r="AZ17" s="82">
        <f t="shared" ref="AZ17" si="143">+AZ18+AZ19</f>
        <v>78923.076923076922</v>
      </c>
      <c r="BA17" s="82">
        <f t="shared" ref="BA17" si="144">+BA18+BA19</f>
        <v>65423.076923076922</v>
      </c>
      <c r="BB17" s="82">
        <f t="shared" ref="BB17" si="145">+BB18+BB19</f>
        <v>65423.076923076922</v>
      </c>
      <c r="BC17" s="82">
        <f t="shared" ref="BC17" si="146">+BC18+BC19</f>
        <v>58673.076923076922</v>
      </c>
      <c r="BD17" s="82">
        <f t="shared" ref="BD17" si="147">+BD18+BD19</f>
        <v>58673.076923076922</v>
      </c>
      <c r="BE17" s="82">
        <f t="shared" ref="BE17" si="148">+BE18+BE19</f>
        <v>58673.076923076922</v>
      </c>
      <c r="BF17" s="82">
        <f t="shared" ref="BF17" si="149">+BF18+BF19</f>
        <v>58673.076923076922</v>
      </c>
      <c r="BG17" s="82">
        <f t="shared" ref="BG17:BQ17" si="150">+BG18+BG19</f>
        <v>0</v>
      </c>
      <c r="BH17" s="82">
        <f t="shared" si="150"/>
        <v>0</v>
      </c>
      <c r="BI17" s="82">
        <f t="shared" si="150"/>
        <v>0</v>
      </c>
      <c r="BJ17" s="82">
        <f t="shared" si="150"/>
        <v>0</v>
      </c>
      <c r="BK17" s="82">
        <f t="shared" si="150"/>
        <v>0</v>
      </c>
      <c r="BL17" s="82">
        <f t="shared" si="150"/>
        <v>0</v>
      </c>
      <c r="BM17" s="82">
        <f t="shared" si="150"/>
        <v>0</v>
      </c>
      <c r="BN17" s="82">
        <f t="shared" si="150"/>
        <v>0</v>
      </c>
      <c r="BO17" s="82">
        <f t="shared" si="150"/>
        <v>0</v>
      </c>
      <c r="BP17" s="82">
        <f t="shared" si="150"/>
        <v>0</v>
      </c>
      <c r="BQ17" s="82">
        <f t="shared" si="150"/>
        <v>0</v>
      </c>
      <c r="BR17" s="82">
        <f>+BR18+BR19</f>
        <v>6505534.6153846132</v>
      </c>
    </row>
    <row r="18" spans="1:70" s="141" customFormat="1" ht="27.6" x14ac:dyDescent="0.3">
      <c r="A18" s="149" t="str">
        <f>+'CC D'!A15</f>
        <v>1.3.1</v>
      </c>
      <c r="B18" s="84" t="str">
        <f>+'CC D'!B15</f>
        <v>Contratación de Firmas Consultoras para la inspección de las Obras de la muestra del programa</v>
      </c>
      <c r="C18" s="84" t="str">
        <f>+'CC D'!C15</f>
        <v>Km de carreteras de la RP Nº41 mejoradas por el programa</v>
      </c>
      <c r="D18" s="86">
        <f>+PEP!H32</f>
        <v>2700000</v>
      </c>
      <c r="E18" s="86">
        <f>+PEP!I32</f>
        <v>0</v>
      </c>
      <c r="F18" s="86">
        <f>+PEP!J32</f>
        <v>2700000</v>
      </c>
      <c r="G18" s="86">
        <v>0</v>
      </c>
      <c r="H18" s="86">
        <v>0</v>
      </c>
      <c r="I18" s="86">
        <v>0</v>
      </c>
      <c r="J18" s="86">
        <v>0</v>
      </c>
      <c r="K18" s="86">
        <v>0</v>
      </c>
      <c r="L18" s="86">
        <f>+'Inspeccion R41'!B61</f>
        <v>270000</v>
      </c>
      <c r="M18" s="86">
        <f>+'Inspeccion R41'!C61</f>
        <v>77105.769230769234</v>
      </c>
      <c r="N18" s="86">
        <f>+'Inspeccion R41'!D61</f>
        <v>83180.769230769234</v>
      </c>
      <c r="O18" s="86">
        <f>+'Inspeccion R41'!E61</f>
        <v>89255.769230769234</v>
      </c>
      <c r="P18" s="86">
        <f>+'Inspeccion R41'!F61</f>
        <v>89255.769230769234</v>
      </c>
      <c r="Q18" s="86">
        <f>+'Inspeccion R41'!G61</f>
        <v>95330.769230769234</v>
      </c>
      <c r="R18" s="86">
        <f>+'Inspeccion R41'!H61</f>
        <v>101405.76923076923</v>
      </c>
      <c r="S18" s="86"/>
      <c r="T18" s="86"/>
      <c r="U18" s="86">
        <f>+SUM(G18:R18)</f>
        <v>805534.61538461549</v>
      </c>
      <c r="V18" s="86">
        <f>+'Inspeccion R41'!I61</f>
        <v>101405.76923076923</v>
      </c>
      <c r="W18" s="86">
        <f>+'Inspeccion R41'!J61</f>
        <v>107480.76923076923</v>
      </c>
      <c r="X18" s="86">
        <f>+'Inspeccion R41'!K61</f>
        <v>113555.76923076923</v>
      </c>
      <c r="Y18" s="86">
        <f>+'Inspeccion R41'!L61</f>
        <v>113555.76923076923</v>
      </c>
      <c r="Z18" s="86">
        <f>+'Inspeccion R41'!M61</f>
        <v>113555.76923076923</v>
      </c>
      <c r="AA18" s="86">
        <f>+'Inspeccion R41'!N61</f>
        <v>119630.76923076923</v>
      </c>
      <c r="AB18" s="86">
        <f>+'Inspeccion R41'!O61</f>
        <v>131780.76923076925</v>
      </c>
      <c r="AC18" s="86">
        <f>+'Inspeccion R41'!P61</f>
        <v>131780.76923076925</v>
      </c>
      <c r="AD18" s="86">
        <f>+'Inspeccion R41'!Q61</f>
        <v>125705.76923076923</v>
      </c>
      <c r="AE18" s="86">
        <f>+'Inspeccion R41'!R61</f>
        <v>125705.76923076923</v>
      </c>
      <c r="AF18" s="86">
        <f>+'Inspeccion R41'!S61</f>
        <v>107480.76923076923</v>
      </c>
      <c r="AG18" s="86">
        <f>+'Inspeccion R41'!T61</f>
        <v>107480.76923076923</v>
      </c>
      <c r="AH18" s="86">
        <f>+'Inspeccion R41'!U61</f>
        <v>95330.769230769234</v>
      </c>
      <c r="AI18" s="86">
        <f>+'Inspeccion R41'!V61</f>
        <v>71030.769230769234</v>
      </c>
      <c r="AJ18" s="86">
        <f>+'Inspeccion R41'!W61</f>
        <v>58880.769230769234</v>
      </c>
      <c r="AK18" s="86">
        <f>+'Inspeccion R41'!X61</f>
        <v>58880.769230769234</v>
      </c>
      <c r="AL18" s="86">
        <f>+'Inspeccion R41'!Y61</f>
        <v>52805.769230769234</v>
      </c>
      <c r="AM18" s="86">
        <f>+'Inspeccion R41'!Z61</f>
        <v>52805.769230769234</v>
      </c>
      <c r="AN18" s="86">
        <f>+'Inspeccion R41'!AA61</f>
        <v>52805.769230769234</v>
      </c>
      <c r="AO18" s="86">
        <f>+'Inspeccion R41'!AB61</f>
        <v>52805.769230769234</v>
      </c>
      <c r="AP18" s="86">
        <v>0</v>
      </c>
      <c r="AQ18" s="86">
        <v>0</v>
      </c>
      <c r="AR18" s="86">
        <v>0</v>
      </c>
      <c r="AS18" s="86">
        <v>0</v>
      </c>
      <c r="AT18" s="86">
        <v>0</v>
      </c>
      <c r="AU18" s="86">
        <v>0</v>
      </c>
      <c r="AV18" s="86">
        <v>0</v>
      </c>
      <c r="AW18" s="86">
        <v>0</v>
      </c>
      <c r="AX18" s="86">
        <v>0</v>
      </c>
      <c r="AY18" s="86">
        <v>0</v>
      </c>
      <c r="AZ18" s="86">
        <v>0</v>
      </c>
      <c r="BA18" s="86">
        <v>0</v>
      </c>
      <c r="BB18" s="86">
        <v>0</v>
      </c>
      <c r="BC18" s="86">
        <v>0</v>
      </c>
      <c r="BD18" s="86">
        <v>0</v>
      </c>
      <c r="BE18" s="86">
        <v>0</v>
      </c>
      <c r="BF18" s="86">
        <v>0</v>
      </c>
      <c r="BG18" s="86">
        <v>0</v>
      </c>
      <c r="BH18" s="86">
        <v>0</v>
      </c>
      <c r="BI18" s="86">
        <v>0</v>
      </c>
      <c r="BJ18" s="86">
        <v>0</v>
      </c>
      <c r="BK18" s="86">
        <v>0</v>
      </c>
      <c r="BL18" s="86">
        <v>0</v>
      </c>
      <c r="BM18" s="86">
        <v>0</v>
      </c>
      <c r="BN18" s="86">
        <v>0</v>
      </c>
      <c r="BO18" s="86">
        <v>0</v>
      </c>
      <c r="BP18" s="86">
        <v>0</v>
      </c>
      <c r="BQ18" s="86">
        <v>0</v>
      </c>
      <c r="BR18" s="86">
        <f>SUM(G18:BQ18)</f>
        <v>3505534.6153846122</v>
      </c>
    </row>
    <row r="19" spans="1:70" s="141" customFormat="1" ht="27.6" x14ac:dyDescent="0.3">
      <c r="A19" s="149" t="str">
        <f>+'CC D'!A16</f>
        <v>1.3.2</v>
      </c>
      <c r="B19" s="84" t="str">
        <f>+'CC D'!B16</f>
        <v>Contratación de Firmas Consultoras para la inspección de otras Obras de mejoramieto</v>
      </c>
      <c r="C19" s="84" t="str">
        <f>+'CC D'!C16</f>
        <v>Km de carreteras de la red vial primaria provincial mejoradas por el programa (otras obras)</v>
      </c>
      <c r="D19" s="86">
        <f>+PEP!H33</f>
        <v>3000000</v>
      </c>
      <c r="E19" s="86">
        <f>+PEP!I33</f>
        <v>0</v>
      </c>
      <c r="F19" s="86">
        <f>+PEP!J33</f>
        <v>3000000</v>
      </c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>
        <v>0</v>
      </c>
      <c r="R19" s="86">
        <v>0</v>
      </c>
      <c r="S19" s="86"/>
      <c r="T19" s="86"/>
      <c r="U19" s="86">
        <f>+SUM(G19:R19)</f>
        <v>0</v>
      </c>
      <c r="V19" s="86">
        <v>0</v>
      </c>
      <c r="W19" s="86">
        <v>0</v>
      </c>
      <c r="X19" s="86">
        <v>0</v>
      </c>
      <c r="Y19" s="86">
        <v>0</v>
      </c>
      <c r="Z19" s="86">
        <v>0</v>
      </c>
      <c r="AA19" s="86">
        <v>0</v>
      </c>
      <c r="AB19" s="86">
        <v>0</v>
      </c>
      <c r="AC19" s="86">
        <v>0</v>
      </c>
      <c r="AD19" s="86">
        <v>0</v>
      </c>
      <c r="AE19" s="86">
        <v>0</v>
      </c>
      <c r="AF19" s="86">
        <f>+'Inspeccion Re'!B61</f>
        <v>300000</v>
      </c>
      <c r="AG19" s="86">
        <f>+'Inspeccion Re'!C61</f>
        <v>85673.076923076922</v>
      </c>
      <c r="AH19" s="86">
        <f>+'Inspeccion Re'!D61</f>
        <v>92423.076923076922</v>
      </c>
      <c r="AI19" s="86">
        <f>+'Inspeccion Re'!E61</f>
        <v>99173.076923076922</v>
      </c>
      <c r="AJ19" s="86">
        <f>+'Inspeccion Re'!F61</f>
        <v>99173.076923076922</v>
      </c>
      <c r="AK19" s="86">
        <f>+'Inspeccion Re'!G61</f>
        <v>105923.07692307692</v>
      </c>
      <c r="AL19" s="86">
        <f>+'Inspeccion Re'!H61</f>
        <v>112673.07692307692</v>
      </c>
      <c r="AM19" s="86">
        <f>+'Inspeccion Re'!I61</f>
        <v>112673.07692307692</v>
      </c>
      <c r="AN19" s="86">
        <f>+'Inspeccion Re'!J61</f>
        <v>119423.07692307692</v>
      </c>
      <c r="AO19" s="86">
        <f>+'Inspeccion Re'!K61</f>
        <v>126173.07692307692</v>
      </c>
      <c r="AP19" s="86">
        <f>+'Inspeccion Re'!L61</f>
        <v>126173.07692307692</v>
      </c>
      <c r="AQ19" s="86">
        <f>+'Inspeccion Re'!M61</f>
        <v>126173.07692307692</v>
      </c>
      <c r="AR19" s="86">
        <f>+'Inspeccion Re'!N61</f>
        <v>132923.07692307694</v>
      </c>
      <c r="AS19" s="86">
        <f>+'Inspeccion Re'!O61</f>
        <v>146423.07692307694</v>
      </c>
      <c r="AT19" s="86">
        <f>+'Inspeccion Re'!P61</f>
        <v>146423.07692307694</v>
      </c>
      <c r="AU19" s="86">
        <f>+'Inspeccion Re'!Q61</f>
        <v>139673.07692307694</v>
      </c>
      <c r="AV19" s="86">
        <f>+'Inspeccion Re'!R61</f>
        <v>139673.07692307694</v>
      </c>
      <c r="AW19" s="86">
        <f>+'Inspeccion Re'!S61</f>
        <v>119423.07692307692</v>
      </c>
      <c r="AX19" s="86">
        <f>+'Inspeccion Re'!T61</f>
        <v>119423.07692307692</v>
      </c>
      <c r="AY19" s="86">
        <f>+'Inspeccion Re'!U61</f>
        <v>105923.07692307692</v>
      </c>
      <c r="AZ19" s="86">
        <f>+'Inspeccion Re'!V61</f>
        <v>78923.076923076922</v>
      </c>
      <c r="BA19" s="86">
        <f>+'Inspeccion Re'!W61</f>
        <v>65423.076923076922</v>
      </c>
      <c r="BB19" s="86">
        <f>+'Inspeccion Re'!X61</f>
        <v>65423.076923076922</v>
      </c>
      <c r="BC19" s="86">
        <f>+'Inspeccion Re'!Y61</f>
        <v>58673.076923076922</v>
      </c>
      <c r="BD19" s="86">
        <f>+'Inspeccion Re'!Z61</f>
        <v>58673.076923076922</v>
      </c>
      <c r="BE19" s="86">
        <f>+'Inspeccion Re'!AA61</f>
        <v>58673.076923076922</v>
      </c>
      <c r="BF19" s="86">
        <f>+'Inspeccion Re'!AB61</f>
        <v>58673.076923076922</v>
      </c>
      <c r="BG19" s="86">
        <v>0</v>
      </c>
      <c r="BH19" s="86">
        <f>+'Inspeccion Re'!AD61</f>
        <v>0</v>
      </c>
      <c r="BI19" s="86">
        <f>+'Inspeccion Re'!AE61</f>
        <v>0</v>
      </c>
      <c r="BJ19" s="86">
        <f>+'Inspeccion Re'!AF61</f>
        <v>0</v>
      </c>
      <c r="BK19" s="86">
        <f>+'Inspeccion Re'!AG61</f>
        <v>0</v>
      </c>
      <c r="BL19" s="86">
        <f>+'Inspeccion Re'!AH61</f>
        <v>0</v>
      </c>
      <c r="BM19" s="86">
        <f>+'Inspeccion Re'!AV61</f>
        <v>0</v>
      </c>
      <c r="BN19" s="86">
        <f>+'Inspeccion Re'!AW61</f>
        <v>0</v>
      </c>
      <c r="BO19" s="86">
        <f>+'Inspeccion Re'!AX61</f>
        <v>0</v>
      </c>
      <c r="BP19" s="86">
        <f>+'Inspeccion Re'!AY61</f>
        <v>0</v>
      </c>
      <c r="BQ19" s="86">
        <f>+'Inspeccion Re'!AZ61</f>
        <v>0</v>
      </c>
      <c r="BR19" s="86">
        <f>SUM(G19:BQ19)</f>
        <v>3000000.0000000009</v>
      </c>
    </row>
    <row r="20" spans="1:70" s="141" customFormat="1" x14ac:dyDescent="0.3">
      <c r="A20" s="142">
        <f>+'CC D'!A17</f>
        <v>2</v>
      </c>
      <c r="B20" s="140" t="str">
        <f>+'CC D'!B17</f>
        <v>Componente 2. Fortalecimiento Institucional</v>
      </c>
      <c r="C20" s="140"/>
      <c r="D20" s="78">
        <f>+PEP!H34</f>
        <v>11200000</v>
      </c>
      <c r="E20" s="78">
        <f>+PEP!I34</f>
        <v>0</v>
      </c>
      <c r="F20" s="78">
        <f>+PEP!J34</f>
        <v>11200000</v>
      </c>
      <c r="G20" s="78">
        <f>+G21+G23+G26+G30</f>
        <v>0</v>
      </c>
      <c r="H20" s="78">
        <f t="shared" ref="H20:BQ20" si="151">+H21+H23+H26+H30</f>
        <v>0</v>
      </c>
      <c r="I20" s="78">
        <f t="shared" si="151"/>
        <v>0</v>
      </c>
      <c r="J20" s="78">
        <f t="shared" si="151"/>
        <v>0</v>
      </c>
      <c r="K20" s="78">
        <f t="shared" si="151"/>
        <v>0</v>
      </c>
      <c r="L20" s="78">
        <f t="shared" si="151"/>
        <v>0</v>
      </c>
      <c r="M20" s="78">
        <f t="shared" ref="M20" si="152">+M21+M23+M26+M30</f>
        <v>620000</v>
      </c>
      <c r="N20" s="78">
        <f t="shared" ref="N20" si="153">+N21+N23+N26+N30</f>
        <v>0</v>
      </c>
      <c r="O20" s="78">
        <f t="shared" si="151"/>
        <v>30000</v>
      </c>
      <c r="P20" s="78">
        <f t="shared" si="151"/>
        <v>1270000</v>
      </c>
      <c r="Q20" s="78">
        <f t="shared" si="151"/>
        <v>130000</v>
      </c>
      <c r="R20" s="78">
        <f t="shared" si="151"/>
        <v>30000</v>
      </c>
      <c r="S20" s="78">
        <f>+S21+S23+S26+S30</f>
        <v>2080000</v>
      </c>
      <c r="T20" s="78">
        <f t="shared" ref="T20:U20" si="154">+T21+T23+T26+T30</f>
        <v>0</v>
      </c>
      <c r="U20" s="78">
        <f t="shared" si="154"/>
        <v>2080000</v>
      </c>
      <c r="V20" s="78">
        <f t="shared" si="151"/>
        <v>330000</v>
      </c>
      <c r="W20" s="78">
        <f t="shared" si="151"/>
        <v>1310000</v>
      </c>
      <c r="X20" s="78">
        <f t="shared" si="151"/>
        <v>630000</v>
      </c>
      <c r="Y20" s="78">
        <f t="shared" si="151"/>
        <v>30000</v>
      </c>
      <c r="Z20" s="78">
        <f t="shared" si="151"/>
        <v>1210000</v>
      </c>
      <c r="AA20" s="78">
        <f t="shared" si="151"/>
        <v>30000</v>
      </c>
      <c r="AB20" s="78">
        <f t="shared" si="151"/>
        <v>0</v>
      </c>
      <c r="AC20" s="78">
        <f t="shared" si="151"/>
        <v>640000</v>
      </c>
      <c r="AD20" s="78">
        <f t="shared" si="151"/>
        <v>1440000</v>
      </c>
      <c r="AE20" s="78">
        <f t="shared" si="151"/>
        <v>600000</v>
      </c>
      <c r="AF20" s="78">
        <f t="shared" si="151"/>
        <v>0</v>
      </c>
      <c r="AG20" s="78">
        <f t="shared" si="151"/>
        <v>1900000</v>
      </c>
      <c r="AH20" s="78">
        <f t="shared" si="151"/>
        <v>200000</v>
      </c>
      <c r="AI20" s="78">
        <f t="shared" si="151"/>
        <v>500000</v>
      </c>
      <c r="AJ20" s="78">
        <f t="shared" si="151"/>
        <v>100000</v>
      </c>
      <c r="AK20" s="78">
        <f t="shared" si="151"/>
        <v>0</v>
      </c>
      <c r="AL20" s="78">
        <f t="shared" si="151"/>
        <v>0</v>
      </c>
      <c r="AM20" s="78">
        <f t="shared" si="151"/>
        <v>200000</v>
      </c>
      <c r="AN20" s="78">
        <f t="shared" si="151"/>
        <v>0</v>
      </c>
      <c r="AO20" s="78">
        <f t="shared" si="151"/>
        <v>0</v>
      </c>
      <c r="AP20" s="78">
        <f t="shared" si="151"/>
        <v>0</v>
      </c>
      <c r="AQ20" s="78">
        <f t="shared" si="151"/>
        <v>0</v>
      </c>
      <c r="AR20" s="78">
        <f t="shared" si="151"/>
        <v>0</v>
      </c>
      <c r="AS20" s="78">
        <f t="shared" si="151"/>
        <v>0</v>
      </c>
      <c r="AT20" s="78">
        <f t="shared" si="151"/>
        <v>0</v>
      </c>
      <c r="AU20" s="78">
        <f t="shared" si="151"/>
        <v>0</v>
      </c>
      <c r="AV20" s="78">
        <f t="shared" si="151"/>
        <v>0</v>
      </c>
      <c r="AW20" s="78">
        <f t="shared" si="151"/>
        <v>0</v>
      </c>
      <c r="AX20" s="78">
        <f t="shared" si="151"/>
        <v>0</v>
      </c>
      <c r="AY20" s="78">
        <f t="shared" si="151"/>
        <v>0</v>
      </c>
      <c r="AZ20" s="78">
        <f t="shared" si="151"/>
        <v>0</v>
      </c>
      <c r="BA20" s="78">
        <f t="shared" si="151"/>
        <v>0</v>
      </c>
      <c r="BB20" s="78">
        <f t="shared" si="151"/>
        <v>0</v>
      </c>
      <c r="BC20" s="78">
        <f t="shared" si="151"/>
        <v>0</v>
      </c>
      <c r="BD20" s="78">
        <f t="shared" si="151"/>
        <v>0</v>
      </c>
      <c r="BE20" s="78">
        <f t="shared" si="151"/>
        <v>0</v>
      </c>
      <c r="BF20" s="78">
        <f t="shared" si="151"/>
        <v>0</v>
      </c>
      <c r="BG20" s="78">
        <f t="shared" si="151"/>
        <v>0</v>
      </c>
      <c r="BH20" s="78">
        <f t="shared" si="151"/>
        <v>0</v>
      </c>
      <c r="BI20" s="78">
        <f t="shared" si="151"/>
        <v>0</v>
      </c>
      <c r="BJ20" s="78">
        <f t="shared" si="151"/>
        <v>0</v>
      </c>
      <c r="BK20" s="78">
        <f t="shared" si="151"/>
        <v>0</v>
      </c>
      <c r="BL20" s="78">
        <f t="shared" si="151"/>
        <v>0</v>
      </c>
      <c r="BM20" s="78">
        <f t="shared" si="151"/>
        <v>0</v>
      </c>
      <c r="BN20" s="78">
        <f t="shared" si="151"/>
        <v>0</v>
      </c>
      <c r="BO20" s="78">
        <f t="shared" si="151"/>
        <v>0</v>
      </c>
      <c r="BP20" s="78">
        <f t="shared" si="151"/>
        <v>0</v>
      </c>
      <c r="BQ20" s="78">
        <f t="shared" si="151"/>
        <v>0</v>
      </c>
      <c r="BR20" s="78">
        <f>+BR21+BR23+BR26+BR30</f>
        <v>15360000</v>
      </c>
    </row>
    <row r="21" spans="1:70" s="141" customFormat="1" x14ac:dyDescent="0.3">
      <c r="A21" s="90">
        <f>+'CC D'!A18</f>
        <v>2.1</v>
      </c>
      <c r="B21" s="79" t="str">
        <f>+'CC D'!B18</f>
        <v>Estudios de Pre inversión</v>
      </c>
      <c r="C21" s="79"/>
      <c r="D21" s="82">
        <f>+PEP!H35</f>
        <v>6200000</v>
      </c>
      <c r="E21" s="82">
        <f>+PEP!I35</f>
        <v>0</v>
      </c>
      <c r="F21" s="82">
        <f>+PEP!J35</f>
        <v>6200000</v>
      </c>
      <c r="G21" s="82">
        <f>+G22</f>
        <v>0</v>
      </c>
      <c r="H21" s="82">
        <f t="shared" ref="H21:BQ21" si="155">+H22</f>
        <v>0</v>
      </c>
      <c r="I21" s="82">
        <f t="shared" si="155"/>
        <v>0</v>
      </c>
      <c r="J21" s="82">
        <f t="shared" si="155"/>
        <v>0</v>
      </c>
      <c r="K21" s="82">
        <f t="shared" si="155"/>
        <v>0</v>
      </c>
      <c r="L21" s="82">
        <f t="shared" si="155"/>
        <v>0</v>
      </c>
      <c r="M21" s="82">
        <f t="shared" ref="M21" si="156">+M22</f>
        <v>620000</v>
      </c>
      <c r="N21" s="82">
        <f t="shared" ref="N21" si="157">+N22</f>
        <v>0</v>
      </c>
      <c r="O21" s="82">
        <f t="shared" si="155"/>
        <v>0</v>
      </c>
      <c r="P21" s="82">
        <f t="shared" si="155"/>
        <v>1240000</v>
      </c>
      <c r="Q21" s="82">
        <f t="shared" si="155"/>
        <v>0</v>
      </c>
      <c r="R21" s="82">
        <f t="shared" si="155"/>
        <v>0</v>
      </c>
      <c r="S21" s="82">
        <f>+S22</f>
        <v>1860000</v>
      </c>
      <c r="T21" s="82">
        <f t="shared" ref="T21:U21" si="158">+T22</f>
        <v>0</v>
      </c>
      <c r="U21" s="82">
        <f t="shared" si="158"/>
        <v>1860000</v>
      </c>
      <c r="V21" s="82">
        <f t="shared" si="155"/>
        <v>0</v>
      </c>
      <c r="W21" s="82">
        <f t="shared" si="155"/>
        <v>1240000</v>
      </c>
      <c r="X21" s="82">
        <f t="shared" si="155"/>
        <v>0</v>
      </c>
      <c r="Y21" s="82">
        <f t="shared" si="155"/>
        <v>0</v>
      </c>
      <c r="Z21" s="82">
        <f t="shared" si="155"/>
        <v>620000</v>
      </c>
      <c r="AA21" s="82">
        <f t="shared" si="155"/>
        <v>0</v>
      </c>
      <c r="AB21" s="82">
        <f t="shared" si="155"/>
        <v>0</v>
      </c>
      <c r="AC21" s="82">
        <f t="shared" si="155"/>
        <v>0</v>
      </c>
      <c r="AD21" s="82">
        <f t="shared" si="155"/>
        <v>1240000</v>
      </c>
      <c r="AE21" s="82">
        <f t="shared" si="155"/>
        <v>0</v>
      </c>
      <c r="AF21" s="82">
        <f t="shared" si="155"/>
        <v>0</v>
      </c>
      <c r="AG21" s="82">
        <f t="shared" si="155"/>
        <v>1240000</v>
      </c>
      <c r="AH21" s="82">
        <f t="shared" si="155"/>
        <v>0</v>
      </c>
      <c r="AI21" s="82">
        <f t="shared" si="155"/>
        <v>0</v>
      </c>
      <c r="AJ21" s="82">
        <f t="shared" si="155"/>
        <v>0</v>
      </c>
      <c r="AK21" s="82">
        <f t="shared" si="155"/>
        <v>0</v>
      </c>
      <c r="AL21" s="82">
        <f t="shared" si="155"/>
        <v>0</v>
      </c>
      <c r="AM21" s="82">
        <f t="shared" si="155"/>
        <v>0</v>
      </c>
      <c r="AN21" s="82">
        <f t="shared" si="155"/>
        <v>0</v>
      </c>
      <c r="AO21" s="82">
        <f t="shared" si="155"/>
        <v>0</v>
      </c>
      <c r="AP21" s="82">
        <f t="shared" si="155"/>
        <v>0</v>
      </c>
      <c r="AQ21" s="82">
        <f t="shared" si="155"/>
        <v>0</v>
      </c>
      <c r="AR21" s="82">
        <f t="shared" si="155"/>
        <v>0</v>
      </c>
      <c r="AS21" s="82">
        <f t="shared" si="155"/>
        <v>0</v>
      </c>
      <c r="AT21" s="82">
        <f t="shared" si="155"/>
        <v>0</v>
      </c>
      <c r="AU21" s="82">
        <f t="shared" si="155"/>
        <v>0</v>
      </c>
      <c r="AV21" s="82">
        <f t="shared" si="155"/>
        <v>0</v>
      </c>
      <c r="AW21" s="82">
        <f t="shared" si="155"/>
        <v>0</v>
      </c>
      <c r="AX21" s="82">
        <f t="shared" si="155"/>
        <v>0</v>
      </c>
      <c r="AY21" s="82">
        <f t="shared" si="155"/>
        <v>0</v>
      </c>
      <c r="AZ21" s="82">
        <f t="shared" si="155"/>
        <v>0</v>
      </c>
      <c r="BA21" s="82">
        <f t="shared" si="155"/>
        <v>0</v>
      </c>
      <c r="BB21" s="82">
        <f t="shared" si="155"/>
        <v>0</v>
      </c>
      <c r="BC21" s="82">
        <f t="shared" si="155"/>
        <v>0</v>
      </c>
      <c r="BD21" s="82">
        <f t="shared" si="155"/>
        <v>0</v>
      </c>
      <c r="BE21" s="82">
        <f t="shared" si="155"/>
        <v>0</v>
      </c>
      <c r="BF21" s="82">
        <f t="shared" si="155"/>
        <v>0</v>
      </c>
      <c r="BG21" s="82">
        <f t="shared" si="155"/>
        <v>0</v>
      </c>
      <c r="BH21" s="82">
        <f t="shared" si="155"/>
        <v>0</v>
      </c>
      <c r="BI21" s="82">
        <f t="shared" si="155"/>
        <v>0</v>
      </c>
      <c r="BJ21" s="82">
        <f t="shared" si="155"/>
        <v>0</v>
      </c>
      <c r="BK21" s="82">
        <f t="shared" si="155"/>
        <v>0</v>
      </c>
      <c r="BL21" s="82">
        <f t="shared" si="155"/>
        <v>0</v>
      </c>
      <c r="BM21" s="82">
        <f t="shared" si="155"/>
        <v>0</v>
      </c>
      <c r="BN21" s="82">
        <f t="shared" si="155"/>
        <v>0</v>
      </c>
      <c r="BO21" s="82">
        <f t="shared" si="155"/>
        <v>0</v>
      </c>
      <c r="BP21" s="82">
        <f t="shared" si="155"/>
        <v>0</v>
      </c>
      <c r="BQ21" s="82">
        <f t="shared" si="155"/>
        <v>0</v>
      </c>
      <c r="BR21" s="82">
        <f>+BR22</f>
        <v>9920000</v>
      </c>
    </row>
    <row r="22" spans="1:70" s="141" customFormat="1" ht="35.4" customHeight="1" x14ac:dyDescent="0.3">
      <c r="A22" s="149" t="str">
        <f>+'CC D'!A19</f>
        <v>2.1.1</v>
      </c>
      <c r="B22" s="525" t="str">
        <f>+'CC D'!B19</f>
        <v>Contratación de Firma Consultora para la elaboración de proyectos ejecutivos del programa de inversión de la DVBA</v>
      </c>
      <c r="C22" s="84" t="str">
        <f>+'CC D'!C19</f>
        <v>Km de carreteras con proyectos en condiciones de ser licitados</v>
      </c>
      <c r="D22" s="86">
        <f>+PEP!H36</f>
        <v>6200000</v>
      </c>
      <c r="E22" s="86">
        <f>+PEP!I36</f>
        <v>0</v>
      </c>
      <c r="F22" s="86">
        <f>+PEP!J36</f>
        <v>6200000</v>
      </c>
      <c r="G22" s="86"/>
      <c r="H22" s="86"/>
      <c r="I22" s="86"/>
      <c r="J22" s="86"/>
      <c r="K22" s="86"/>
      <c r="L22" s="86"/>
      <c r="M22" s="86">
        <f>+$F$22*0.1</f>
        <v>620000</v>
      </c>
      <c r="O22" s="86"/>
      <c r="P22" s="86">
        <f>+$F$22*0.2</f>
        <v>1240000</v>
      </c>
      <c r="Q22" s="86"/>
      <c r="R22" s="86"/>
      <c r="S22" s="86">
        <f>+U22</f>
        <v>1860000</v>
      </c>
      <c r="T22" s="86">
        <v>0</v>
      </c>
      <c r="U22" s="86">
        <f>+SUM(G22:R22)</f>
        <v>1860000</v>
      </c>
      <c r="V22" s="86"/>
      <c r="W22" s="86">
        <f>+$F$22*0.2</f>
        <v>1240000</v>
      </c>
      <c r="X22" s="86"/>
      <c r="Y22" s="86"/>
      <c r="Z22" s="86">
        <f>+$F$22*0.1</f>
        <v>620000</v>
      </c>
      <c r="AA22" s="86">
        <v>0</v>
      </c>
      <c r="AB22" s="86">
        <v>0</v>
      </c>
      <c r="AC22" s="86">
        <v>0</v>
      </c>
      <c r="AD22" s="86">
        <f>+$F$22*0.2</f>
        <v>1240000</v>
      </c>
      <c r="AE22" s="86">
        <v>0</v>
      </c>
      <c r="AF22" s="86">
        <v>0</v>
      </c>
      <c r="AG22" s="86">
        <f>+$F$22*0.2</f>
        <v>1240000</v>
      </c>
      <c r="AH22" s="86">
        <v>0</v>
      </c>
      <c r="AI22" s="86">
        <v>0</v>
      </c>
      <c r="AJ22" s="86">
        <v>0</v>
      </c>
      <c r="AK22" s="86">
        <v>0</v>
      </c>
      <c r="AL22" s="86">
        <v>0</v>
      </c>
      <c r="AM22" s="86">
        <v>0</v>
      </c>
      <c r="AN22" s="86">
        <v>0</v>
      </c>
      <c r="AO22" s="86">
        <v>0</v>
      </c>
      <c r="AP22" s="86">
        <v>0</v>
      </c>
      <c r="AQ22" s="86">
        <v>0</v>
      </c>
      <c r="AR22" s="86">
        <v>0</v>
      </c>
      <c r="AS22" s="86">
        <v>0</v>
      </c>
      <c r="AT22" s="86">
        <v>0</v>
      </c>
      <c r="AU22" s="86">
        <v>0</v>
      </c>
      <c r="AV22" s="86">
        <v>0</v>
      </c>
      <c r="AW22" s="86">
        <v>0</v>
      </c>
      <c r="AX22" s="86">
        <v>0</v>
      </c>
      <c r="AY22" s="86">
        <v>0</v>
      </c>
      <c r="AZ22" s="86">
        <v>0</v>
      </c>
      <c r="BA22" s="86">
        <v>0</v>
      </c>
      <c r="BB22" s="86">
        <v>0</v>
      </c>
      <c r="BC22" s="86">
        <v>0</v>
      </c>
      <c r="BD22" s="86">
        <v>0</v>
      </c>
      <c r="BE22" s="86">
        <v>0</v>
      </c>
      <c r="BF22" s="86">
        <v>0</v>
      </c>
      <c r="BG22" s="86">
        <v>0</v>
      </c>
      <c r="BH22" s="86">
        <v>0</v>
      </c>
      <c r="BI22" s="86">
        <v>0</v>
      </c>
      <c r="BJ22" s="86">
        <v>0</v>
      </c>
      <c r="BK22" s="86">
        <v>0</v>
      </c>
      <c r="BL22" s="86">
        <v>0</v>
      </c>
      <c r="BM22" s="86">
        <v>0</v>
      </c>
      <c r="BN22" s="86">
        <v>0</v>
      </c>
      <c r="BO22" s="86">
        <v>0</v>
      </c>
      <c r="BP22" s="86">
        <v>0</v>
      </c>
      <c r="BQ22" s="86">
        <v>0</v>
      </c>
      <c r="BR22" s="86">
        <f>SUM(G22:BQ22)</f>
        <v>9920000</v>
      </c>
    </row>
    <row r="23" spans="1:70" s="141" customFormat="1" x14ac:dyDescent="0.3">
      <c r="A23" s="90">
        <f>+'CC D'!A20</f>
        <v>2.2000000000000002</v>
      </c>
      <c r="B23" s="79" t="str">
        <f>+'CC D'!B20</f>
        <v>Seguridad Vial</v>
      </c>
      <c r="C23" s="79"/>
      <c r="D23" s="82">
        <f>+PEP!H37</f>
        <v>500000</v>
      </c>
      <c r="E23" s="82">
        <f>+PEP!I37</f>
        <v>0</v>
      </c>
      <c r="F23" s="82">
        <f>+PEP!J37</f>
        <v>500000</v>
      </c>
      <c r="G23" s="82">
        <f>+G24+G25</f>
        <v>0</v>
      </c>
      <c r="H23" s="82">
        <f t="shared" ref="H23:BQ23" si="159">+H24+H25</f>
        <v>0</v>
      </c>
      <c r="I23" s="82">
        <f t="shared" si="159"/>
        <v>0</v>
      </c>
      <c r="J23" s="82">
        <f t="shared" si="159"/>
        <v>0</v>
      </c>
      <c r="K23" s="82">
        <f t="shared" si="159"/>
        <v>0</v>
      </c>
      <c r="L23" s="82">
        <f t="shared" si="159"/>
        <v>0</v>
      </c>
      <c r="M23" s="82">
        <f t="shared" si="159"/>
        <v>0</v>
      </c>
      <c r="N23" s="82">
        <f t="shared" si="159"/>
        <v>0</v>
      </c>
      <c r="O23" s="82">
        <f t="shared" si="159"/>
        <v>30000</v>
      </c>
      <c r="P23" s="82">
        <f t="shared" si="159"/>
        <v>30000</v>
      </c>
      <c r="Q23" s="82">
        <f t="shared" si="159"/>
        <v>30000</v>
      </c>
      <c r="R23" s="82">
        <f t="shared" si="159"/>
        <v>30000</v>
      </c>
      <c r="S23" s="82">
        <f>+S24+S25</f>
        <v>120000</v>
      </c>
      <c r="T23" s="82">
        <f t="shared" ref="T23:U23" si="160">+T24+T25</f>
        <v>0</v>
      </c>
      <c r="U23" s="82">
        <f t="shared" si="160"/>
        <v>120000</v>
      </c>
      <c r="V23" s="82">
        <f t="shared" si="159"/>
        <v>30000</v>
      </c>
      <c r="W23" s="82">
        <f t="shared" si="159"/>
        <v>70000</v>
      </c>
      <c r="X23" s="82">
        <f t="shared" si="159"/>
        <v>30000</v>
      </c>
      <c r="Y23" s="82">
        <f t="shared" si="159"/>
        <v>30000</v>
      </c>
      <c r="Z23" s="82">
        <f t="shared" si="159"/>
        <v>90000</v>
      </c>
      <c r="AA23" s="82">
        <f t="shared" si="159"/>
        <v>30000</v>
      </c>
      <c r="AB23" s="82">
        <f t="shared" si="159"/>
        <v>0</v>
      </c>
      <c r="AC23" s="82">
        <f t="shared" si="159"/>
        <v>40000</v>
      </c>
      <c r="AD23" s="82">
        <f t="shared" si="159"/>
        <v>0</v>
      </c>
      <c r="AE23" s="82">
        <f t="shared" si="159"/>
        <v>0</v>
      </c>
      <c r="AF23" s="82">
        <f t="shared" si="159"/>
        <v>0</v>
      </c>
      <c r="AG23" s="82">
        <f t="shared" si="159"/>
        <v>60000</v>
      </c>
      <c r="AH23" s="82">
        <f t="shared" si="159"/>
        <v>0</v>
      </c>
      <c r="AI23" s="82">
        <f t="shared" si="159"/>
        <v>0</v>
      </c>
      <c r="AJ23" s="82">
        <f t="shared" si="159"/>
        <v>0</v>
      </c>
      <c r="AK23" s="82">
        <f t="shared" si="159"/>
        <v>0</v>
      </c>
      <c r="AL23" s="82">
        <f t="shared" si="159"/>
        <v>0</v>
      </c>
      <c r="AM23" s="82">
        <f t="shared" si="159"/>
        <v>0</v>
      </c>
      <c r="AN23" s="82">
        <f t="shared" si="159"/>
        <v>0</v>
      </c>
      <c r="AO23" s="82">
        <f t="shared" si="159"/>
        <v>0</v>
      </c>
      <c r="AP23" s="82">
        <f t="shared" si="159"/>
        <v>0</v>
      </c>
      <c r="AQ23" s="82">
        <f t="shared" si="159"/>
        <v>0</v>
      </c>
      <c r="AR23" s="82">
        <f t="shared" si="159"/>
        <v>0</v>
      </c>
      <c r="AS23" s="82">
        <f t="shared" si="159"/>
        <v>0</v>
      </c>
      <c r="AT23" s="82">
        <f t="shared" si="159"/>
        <v>0</v>
      </c>
      <c r="AU23" s="82">
        <f t="shared" si="159"/>
        <v>0</v>
      </c>
      <c r="AV23" s="82">
        <f t="shared" si="159"/>
        <v>0</v>
      </c>
      <c r="AW23" s="82">
        <f t="shared" si="159"/>
        <v>0</v>
      </c>
      <c r="AX23" s="82">
        <f t="shared" si="159"/>
        <v>0</v>
      </c>
      <c r="AY23" s="82">
        <f t="shared" si="159"/>
        <v>0</v>
      </c>
      <c r="AZ23" s="82">
        <f t="shared" si="159"/>
        <v>0</v>
      </c>
      <c r="BA23" s="82">
        <f t="shared" si="159"/>
        <v>0</v>
      </c>
      <c r="BB23" s="82">
        <f t="shared" si="159"/>
        <v>0</v>
      </c>
      <c r="BC23" s="82">
        <f t="shared" si="159"/>
        <v>0</v>
      </c>
      <c r="BD23" s="82">
        <f t="shared" si="159"/>
        <v>0</v>
      </c>
      <c r="BE23" s="82">
        <f t="shared" si="159"/>
        <v>0</v>
      </c>
      <c r="BF23" s="82">
        <f t="shared" si="159"/>
        <v>0</v>
      </c>
      <c r="BG23" s="82">
        <f t="shared" si="159"/>
        <v>0</v>
      </c>
      <c r="BH23" s="82">
        <f t="shared" si="159"/>
        <v>0</v>
      </c>
      <c r="BI23" s="82">
        <f t="shared" si="159"/>
        <v>0</v>
      </c>
      <c r="BJ23" s="82">
        <f t="shared" si="159"/>
        <v>0</v>
      </c>
      <c r="BK23" s="82">
        <f t="shared" si="159"/>
        <v>0</v>
      </c>
      <c r="BL23" s="82">
        <f t="shared" si="159"/>
        <v>0</v>
      </c>
      <c r="BM23" s="82">
        <f t="shared" si="159"/>
        <v>0</v>
      </c>
      <c r="BN23" s="82">
        <f t="shared" si="159"/>
        <v>0</v>
      </c>
      <c r="BO23" s="82">
        <f t="shared" si="159"/>
        <v>0</v>
      </c>
      <c r="BP23" s="82">
        <f t="shared" si="159"/>
        <v>0</v>
      </c>
      <c r="BQ23" s="82">
        <f t="shared" si="159"/>
        <v>0</v>
      </c>
      <c r="BR23" s="82">
        <f>+BR24+BR25</f>
        <v>740000</v>
      </c>
    </row>
    <row r="24" spans="1:70" s="141" customFormat="1" ht="27.6" x14ac:dyDescent="0.3">
      <c r="A24" s="149" t="str">
        <f>+'CC D'!A21</f>
        <v>2.2.1</v>
      </c>
      <c r="B24" s="84" t="str">
        <f>+'CC D'!B21</f>
        <v>Contratación de Firmas Consultoras para  Auditorías de Seguridad Vial en Corredores</v>
      </c>
      <c r="C24" s="84" t="str">
        <f>+'CC D'!C21</f>
        <v>Nº de corredores de la RVP de la PBA con auditorías de seguridad vial</v>
      </c>
      <c r="D24" s="86">
        <f>+PEP!H38</f>
        <v>300000</v>
      </c>
      <c r="E24" s="86">
        <f>+PEP!I38</f>
        <v>0</v>
      </c>
      <c r="F24" s="86">
        <f>+PEP!J38</f>
        <v>300000</v>
      </c>
      <c r="G24" s="86"/>
      <c r="H24" s="86"/>
      <c r="I24" s="86"/>
      <c r="J24" s="86"/>
      <c r="K24" s="86"/>
      <c r="L24" s="86"/>
      <c r="M24" s="86"/>
      <c r="N24" s="86"/>
      <c r="O24" s="86">
        <f>+$F24*0.1</f>
        <v>30000</v>
      </c>
      <c r="P24" s="86">
        <f t="shared" ref="P24:AA24" si="161">+$F24*0.1</f>
        <v>30000</v>
      </c>
      <c r="Q24" s="86">
        <f t="shared" si="161"/>
        <v>30000</v>
      </c>
      <c r="R24" s="86">
        <f t="shared" si="161"/>
        <v>30000</v>
      </c>
      <c r="S24" s="86">
        <f>+U24</f>
        <v>120000</v>
      </c>
      <c r="T24" s="86">
        <v>0</v>
      </c>
      <c r="U24" s="86">
        <f>+SUM(G24:R24)</f>
        <v>120000</v>
      </c>
      <c r="V24" s="86">
        <f t="shared" si="161"/>
        <v>30000</v>
      </c>
      <c r="W24" s="86">
        <f t="shared" si="161"/>
        <v>30000</v>
      </c>
      <c r="X24" s="86">
        <f t="shared" si="161"/>
        <v>30000</v>
      </c>
      <c r="Y24" s="86">
        <f t="shared" si="161"/>
        <v>30000</v>
      </c>
      <c r="Z24" s="86">
        <f t="shared" si="161"/>
        <v>30000</v>
      </c>
      <c r="AA24" s="86">
        <f t="shared" si="161"/>
        <v>30000</v>
      </c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>
        <f>SUM(G24:BQ24)</f>
        <v>540000</v>
      </c>
    </row>
    <row r="25" spans="1:70" s="141" customFormat="1" ht="27.6" x14ac:dyDescent="0.3">
      <c r="A25" s="149" t="str">
        <f>+'CC D'!A22</f>
        <v>2.2.2</v>
      </c>
      <c r="B25" s="84" t="str">
        <f>+'CC D'!B22</f>
        <v>Contratación de Firma Consultora la elaboración del Plan fortalecimiento del área  de seguridad vial de la DVBA</v>
      </c>
      <c r="C25" s="84" t="str">
        <f>+'CC D'!C22</f>
        <v>Plan de fortalecimiento del área de seguridad vial de la PBA</v>
      </c>
      <c r="D25" s="86">
        <f>+PEP!H39</f>
        <v>200000</v>
      </c>
      <c r="E25" s="86">
        <f>+PEP!I39</f>
        <v>0</v>
      </c>
      <c r="F25" s="86">
        <f>+PEP!J39</f>
        <v>200000</v>
      </c>
      <c r="G25" s="86">
        <v>0</v>
      </c>
      <c r="H25" s="86">
        <v>0</v>
      </c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86">
        <v>0</v>
      </c>
      <c r="Q25" s="86">
        <v>0</v>
      </c>
      <c r="R25" s="86">
        <v>0</v>
      </c>
      <c r="S25" s="86">
        <f>+U25</f>
        <v>0</v>
      </c>
      <c r="T25" s="86">
        <v>0</v>
      </c>
      <c r="U25" s="86">
        <f>+SUM(G25:R25)</f>
        <v>0</v>
      </c>
      <c r="V25" s="86">
        <v>0</v>
      </c>
      <c r="W25" s="86">
        <f>+$F25*0.2</f>
        <v>40000</v>
      </c>
      <c r="X25" s="86">
        <v>0</v>
      </c>
      <c r="Y25" s="86"/>
      <c r="Z25" s="86">
        <f>+$F25*0.3</f>
        <v>60000</v>
      </c>
      <c r="AA25" s="86">
        <f>+X25</f>
        <v>0</v>
      </c>
      <c r="AB25" s="86"/>
      <c r="AC25" s="86">
        <f>+$F25*0.2</f>
        <v>40000</v>
      </c>
      <c r="AD25" s="86">
        <f>+AA25</f>
        <v>0</v>
      </c>
      <c r="AE25" s="86"/>
      <c r="AF25" s="86"/>
      <c r="AG25" s="86">
        <f>+$F25*0.3</f>
        <v>60000</v>
      </c>
      <c r="AH25" s="86">
        <v>0</v>
      </c>
      <c r="AI25" s="86">
        <v>0</v>
      </c>
      <c r="AJ25" s="86">
        <v>0</v>
      </c>
      <c r="AK25" s="86">
        <v>0</v>
      </c>
      <c r="AL25" s="86">
        <v>0</v>
      </c>
      <c r="AM25" s="86">
        <v>0</v>
      </c>
      <c r="AN25" s="86">
        <v>0</v>
      </c>
      <c r="AO25" s="86">
        <v>0</v>
      </c>
      <c r="AP25" s="86">
        <v>0</v>
      </c>
      <c r="AQ25" s="86">
        <v>0</v>
      </c>
      <c r="AR25" s="86">
        <v>0</v>
      </c>
      <c r="AS25" s="86">
        <v>0</v>
      </c>
      <c r="AT25" s="86">
        <v>0</v>
      </c>
      <c r="AU25" s="86">
        <v>0</v>
      </c>
      <c r="AV25" s="86">
        <v>0</v>
      </c>
      <c r="AW25" s="86">
        <v>0</v>
      </c>
      <c r="AX25" s="86">
        <v>0</v>
      </c>
      <c r="AY25" s="86">
        <v>0</v>
      </c>
      <c r="AZ25" s="86">
        <v>0</v>
      </c>
      <c r="BA25" s="86">
        <v>0</v>
      </c>
      <c r="BB25" s="86">
        <v>0</v>
      </c>
      <c r="BC25" s="86">
        <v>0</v>
      </c>
      <c r="BD25" s="86">
        <v>0</v>
      </c>
      <c r="BE25" s="86">
        <v>0</v>
      </c>
      <c r="BF25" s="86">
        <v>0</v>
      </c>
      <c r="BG25" s="86"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  <c r="BO25" s="86">
        <v>0</v>
      </c>
      <c r="BP25" s="86">
        <v>0</v>
      </c>
      <c r="BQ25" s="86">
        <v>0</v>
      </c>
      <c r="BR25" s="86">
        <f>SUM(G25:BQ25)</f>
        <v>200000</v>
      </c>
    </row>
    <row r="26" spans="1:70" s="141" customFormat="1" x14ac:dyDescent="0.3">
      <c r="A26" s="90">
        <f>+'CC D'!A23</f>
        <v>2.2999999999999998</v>
      </c>
      <c r="B26" s="79" t="str">
        <f>+'CC D'!B23</f>
        <v>Fortalecimiento de la DVBA</v>
      </c>
      <c r="C26" s="79"/>
      <c r="D26" s="82">
        <f>+PEP!H40</f>
        <v>4000000</v>
      </c>
      <c r="E26" s="82">
        <f>+PEP!I40</f>
        <v>0</v>
      </c>
      <c r="F26" s="82">
        <f>+PEP!J40</f>
        <v>4000000</v>
      </c>
      <c r="G26" s="82">
        <f>+G27+G28+G29</f>
        <v>0</v>
      </c>
      <c r="H26" s="82">
        <f t="shared" ref="H26:BQ26" si="162">+H27+H28+H29</f>
        <v>0</v>
      </c>
      <c r="I26" s="82">
        <f t="shared" si="162"/>
        <v>0</v>
      </c>
      <c r="J26" s="82">
        <f t="shared" si="162"/>
        <v>0</v>
      </c>
      <c r="K26" s="82">
        <f t="shared" si="162"/>
        <v>0</v>
      </c>
      <c r="L26" s="82">
        <f t="shared" si="162"/>
        <v>0</v>
      </c>
      <c r="M26" s="82">
        <f t="shared" si="162"/>
        <v>0</v>
      </c>
      <c r="N26" s="82">
        <f t="shared" si="162"/>
        <v>0</v>
      </c>
      <c r="O26" s="82">
        <f t="shared" si="162"/>
        <v>0</v>
      </c>
      <c r="P26" s="82">
        <f t="shared" si="162"/>
        <v>0</v>
      </c>
      <c r="Q26" s="82">
        <f t="shared" si="162"/>
        <v>100000</v>
      </c>
      <c r="R26" s="82">
        <f t="shared" si="162"/>
        <v>0</v>
      </c>
      <c r="S26" s="82">
        <f>+S27+S28+S29</f>
        <v>100000</v>
      </c>
      <c r="T26" s="82">
        <f t="shared" ref="T26:U26" si="163">+T27+T28+T29</f>
        <v>0</v>
      </c>
      <c r="U26" s="82">
        <f t="shared" si="163"/>
        <v>100000</v>
      </c>
      <c r="V26" s="82">
        <f t="shared" si="162"/>
        <v>250000</v>
      </c>
      <c r="W26" s="82">
        <f t="shared" si="162"/>
        <v>0</v>
      </c>
      <c r="X26" s="82">
        <f t="shared" si="162"/>
        <v>500000</v>
      </c>
      <c r="Y26" s="82">
        <f t="shared" si="162"/>
        <v>0</v>
      </c>
      <c r="Z26" s="82">
        <f t="shared" si="162"/>
        <v>450000</v>
      </c>
      <c r="AA26" s="82">
        <f t="shared" si="162"/>
        <v>0</v>
      </c>
      <c r="AB26" s="82">
        <f t="shared" si="162"/>
        <v>0</v>
      </c>
      <c r="AC26" s="82">
        <f t="shared" si="162"/>
        <v>500000</v>
      </c>
      <c r="AD26" s="82">
        <f t="shared" si="162"/>
        <v>200000</v>
      </c>
      <c r="AE26" s="82">
        <f t="shared" si="162"/>
        <v>500000</v>
      </c>
      <c r="AF26" s="82">
        <f t="shared" si="162"/>
        <v>0</v>
      </c>
      <c r="AG26" s="82">
        <f t="shared" si="162"/>
        <v>500000</v>
      </c>
      <c r="AH26" s="82">
        <f t="shared" si="162"/>
        <v>200000</v>
      </c>
      <c r="AI26" s="82">
        <f t="shared" si="162"/>
        <v>500000</v>
      </c>
      <c r="AJ26" s="82">
        <f t="shared" si="162"/>
        <v>100000</v>
      </c>
      <c r="AK26" s="82">
        <f t="shared" si="162"/>
        <v>0</v>
      </c>
      <c r="AL26" s="82">
        <f t="shared" si="162"/>
        <v>0</v>
      </c>
      <c r="AM26" s="82">
        <f t="shared" si="162"/>
        <v>200000</v>
      </c>
      <c r="AN26" s="82">
        <f t="shared" si="162"/>
        <v>0</v>
      </c>
      <c r="AO26" s="82">
        <f t="shared" si="162"/>
        <v>0</v>
      </c>
      <c r="AP26" s="82">
        <f t="shared" si="162"/>
        <v>0</v>
      </c>
      <c r="AQ26" s="82">
        <f t="shared" si="162"/>
        <v>0</v>
      </c>
      <c r="AR26" s="82">
        <f t="shared" si="162"/>
        <v>0</v>
      </c>
      <c r="AS26" s="82">
        <f t="shared" si="162"/>
        <v>0</v>
      </c>
      <c r="AT26" s="82">
        <f t="shared" si="162"/>
        <v>0</v>
      </c>
      <c r="AU26" s="82">
        <f t="shared" si="162"/>
        <v>0</v>
      </c>
      <c r="AV26" s="82">
        <f t="shared" si="162"/>
        <v>0</v>
      </c>
      <c r="AW26" s="82">
        <f t="shared" si="162"/>
        <v>0</v>
      </c>
      <c r="AX26" s="82">
        <f t="shared" si="162"/>
        <v>0</v>
      </c>
      <c r="AY26" s="82">
        <f t="shared" si="162"/>
        <v>0</v>
      </c>
      <c r="AZ26" s="82">
        <f t="shared" si="162"/>
        <v>0</v>
      </c>
      <c r="BA26" s="82">
        <f t="shared" si="162"/>
        <v>0</v>
      </c>
      <c r="BB26" s="82">
        <f t="shared" si="162"/>
        <v>0</v>
      </c>
      <c r="BC26" s="82">
        <f t="shared" si="162"/>
        <v>0</v>
      </c>
      <c r="BD26" s="82">
        <f t="shared" si="162"/>
        <v>0</v>
      </c>
      <c r="BE26" s="82">
        <f t="shared" si="162"/>
        <v>0</v>
      </c>
      <c r="BF26" s="82">
        <f t="shared" si="162"/>
        <v>0</v>
      </c>
      <c r="BG26" s="82">
        <f t="shared" si="162"/>
        <v>0</v>
      </c>
      <c r="BH26" s="82">
        <f t="shared" si="162"/>
        <v>0</v>
      </c>
      <c r="BI26" s="82">
        <f t="shared" si="162"/>
        <v>0</v>
      </c>
      <c r="BJ26" s="82">
        <f t="shared" si="162"/>
        <v>0</v>
      </c>
      <c r="BK26" s="82">
        <f t="shared" si="162"/>
        <v>0</v>
      </c>
      <c r="BL26" s="82">
        <f t="shared" si="162"/>
        <v>0</v>
      </c>
      <c r="BM26" s="82">
        <f t="shared" si="162"/>
        <v>0</v>
      </c>
      <c r="BN26" s="82">
        <f t="shared" si="162"/>
        <v>0</v>
      </c>
      <c r="BO26" s="82">
        <f t="shared" si="162"/>
        <v>0</v>
      </c>
      <c r="BP26" s="82">
        <f t="shared" si="162"/>
        <v>0</v>
      </c>
      <c r="BQ26" s="82">
        <f t="shared" si="162"/>
        <v>0</v>
      </c>
      <c r="BR26" s="82">
        <f>+BR27+BR28+BR29</f>
        <v>4200000</v>
      </c>
    </row>
    <row r="27" spans="1:70" s="141" customFormat="1" x14ac:dyDescent="0.3">
      <c r="A27" s="149" t="str">
        <f>+'CC D'!A24</f>
        <v>2.3.1</v>
      </c>
      <c r="B27" s="84" t="str">
        <f>+'CC D'!B24</f>
        <v>Contratación de Firma Consultora para la elaboración del Plan Maestro de inversión vial de la PBA</v>
      </c>
      <c r="C27" s="84" t="str">
        <f>+'CC D'!C24</f>
        <v>Plan de inversión vial de la PBA</v>
      </c>
      <c r="D27" s="86">
        <f>+PEP!H41</f>
        <v>1000000</v>
      </c>
      <c r="E27" s="86">
        <f>+PEP!I41</f>
        <v>0</v>
      </c>
      <c r="F27" s="86">
        <f>+PEP!J41</f>
        <v>1000000</v>
      </c>
      <c r="G27" s="86">
        <v>0</v>
      </c>
      <c r="H27" s="86">
        <v>0</v>
      </c>
      <c r="I27" s="86">
        <v>0</v>
      </c>
      <c r="J27" s="86">
        <v>0</v>
      </c>
      <c r="K27" s="86">
        <v>0</v>
      </c>
      <c r="L27" s="86">
        <v>0</v>
      </c>
      <c r="M27" s="86">
        <v>0</v>
      </c>
      <c r="N27" s="86">
        <v>0</v>
      </c>
      <c r="O27" s="86">
        <v>0</v>
      </c>
      <c r="P27" s="86">
        <v>0</v>
      </c>
      <c r="Q27" s="86">
        <f>+$F27*0.1</f>
        <v>100000</v>
      </c>
      <c r="R27" s="86">
        <v>0</v>
      </c>
      <c r="S27" s="86">
        <f>+U27</f>
        <v>100000</v>
      </c>
      <c r="T27" s="86">
        <v>0</v>
      </c>
      <c r="U27" s="86">
        <f>+SUM(G27:R27)</f>
        <v>100000</v>
      </c>
      <c r="V27" s="86">
        <v>0</v>
      </c>
      <c r="W27" s="86">
        <v>0</v>
      </c>
      <c r="X27" s="86">
        <v>0</v>
      </c>
      <c r="Y27" s="86">
        <v>0</v>
      </c>
      <c r="Z27" s="86">
        <f>+$F27*0.2</f>
        <v>200000</v>
      </c>
      <c r="AA27" s="86">
        <v>0</v>
      </c>
      <c r="AB27" s="86">
        <v>0</v>
      </c>
      <c r="AC27" s="86">
        <v>0</v>
      </c>
      <c r="AD27" s="86">
        <f>+$F27*0.2</f>
        <v>200000</v>
      </c>
      <c r="AE27" s="86">
        <v>0</v>
      </c>
      <c r="AF27" s="86">
        <v>0</v>
      </c>
      <c r="AG27" s="86">
        <v>0</v>
      </c>
      <c r="AH27" s="86">
        <f>+$F27*0.2</f>
        <v>200000</v>
      </c>
      <c r="AI27" s="86">
        <v>0</v>
      </c>
      <c r="AJ27" s="86">
        <f>+$F27*0.1</f>
        <v>100000</v>
      </c>
      <c r="AK27" s="86">
        <v>0</v>
      </c>
      <c r="AL27" s="86">
        <v>0</v>
      </c>
      <c r="AM27" s="86">
        <f>+$F27*0.2</f>
        <v>200000</v>
      </c>
      <c r="AN27" s="86">
        <v>0</v>
      </c>
      <c r="AO27" s="86">
        <v>0</v>
      </c>
      <c r="AP27" s="86">
        <v>0</v>
      </c>
      <c r="AQ27" s="86">
        <v>0</v>
      </c>
      <c r="AR27" s="86">
        <v>0</v>
      </c>
      <c r="AS27" s="86">
        <v>0</v>
      </c>
      <c r="AT27" s="86">
        <v>0</v>
      </c>
      <c r="AU27" s="86">
        <v>0</v>
      </c>
      <c r="AV27" s="86">
        <v>0</v>
      </c>
      <c r="AW27" s="86">
        <v>0</v>
      </c>
      <c r="AX27" s="86">
        <v>0</v>
      </c>
      <c r="AY27" s="86">
        <v>0</v>
      </c>
      <c r="AZ27" s="86">
        <v>0</v>
      </c>
      <c r="BA27" s="86">
        <v>0</v>
      </c>
      <c r="BB27" s="86">
        <v>0</v>
      </c>
      <c r="BC27" s="86">
        <v>0</v>
      </c>
      <c r="BD27" s="86">
        <v>0</v>
      </c>
      <c r="BE27" s="86">
        <v>0</v>
      </c>
      <c r="BF27" s="86">
        <v>0</v>
      </c>
      <c r="BG27" s="86">
        <v>0</v>
      </c>
      <c r="BH27" s="86">
        <v>0</v>
      </c>
      <c r="BI27" s="86">
        <v>0</v>
      </c>
      <c r="BJ27" s="86">
        <v>0</v>
      </c>
      <c r="BK27" s="86">
        <v>0</v>
      </c>
      <c r="BL27" s="86">
        <v>0</v>
      </c>
      <c r="BM27" s="86">
        <v>0</v>
      </c>
      <c r="BN27" s="86">
        <v>0</v>
      </c>
      <c r="BO27" s="86">
        <v>0</v>
      </c>
      <c r="BP27" s="86">
        <v>0</v>
      </c>
      <c r="BQ27" s="86">
        <v>0</v>
      </c>
      <c r="BR27" s="86">
        <f>SUM(G27:BQ27)</f>
        <v>1200000</v>
      </c>
    </row>
    <row r="28" spans="1:70" s="141" customFormat="1" x14ac:dyDescent="0.3">
      <c r="A28" s="149" t="str">
        <f>+'CC D'!A25</f>
        <v>2.3.2</v>
      </c>
      <c r="B28" s="84" t="str">
        <f>+'CC D'!B25</f>
        <v>Contratación de Firma Consultora para la mejora de procesos de gestión de Activos Viales</v>
      </c>
      <c r="C28" s="84" t="str">
        <f>+'CC D'!C25</f>
        <v>Sistema de gestión de activos viales de la PBA</v>
      </c>
      <c r="D28" s="86">
        <f>+PEP!H42</f>
        <v>2500000</v>
      </c>
      <c r="E28" s="86">
        <f>+PEP!I42</f>
        <v>0</v>
      </c>
      <c r="F28" s="86">
        <f>+PEP!J42</f>
        <v>2500000</v>
      </c>
      <c r="G28" s="86">
        <f>+G29</f>
        <v>0</v>
      </c>
      <c r="H28" s="86">
        <f t="shared" ref="H28:P28" si="164">+H29</f>
        <v>0</v>
      </c>
      <c r="I28" s="86">
        <f t="shared" si="164"/>
        <v>0</v>
      </c>
      <c r="J28" s="86">
        <f t="shared" si="164"/>
        <v>0</v>
      </c>
      <c r="K28" s="86">
        <f t="shared" si="164"/>
        <v>0</v>
      </c>
      <c r="L28" s="86">
        <f t="shared" si="164"/>
        <v>0</v>
      </c>
      <c r="M28" s="86">
        <f t="shared" si="164"/>
        <v>0</v>
      </c>
      <c r="N28" s="86">
        <f t="shared" si="164"/>
        <v>0</v>
      </c>
      <c r="O28" s="86">
        <f t="shared" si="164"/>
        <v>0</v>
      </c>
      <c r="P28" s="86">
        <f t="shared" si="164"/>
        <v>0</v>
      </c>
      <c r="Q28" s="86">
        <v>0</v>
      </c>
      <c r="R28" s="86">
        <v>0</v>
      </c>
      <c r="S28" s="86">
        <f t="shared" ref="S28:S29" si="165">+U28</f>
        <v>0</v>
      </c>
      <c r="T28" s="86">
        <v>0</v>
      </c>
      <c r="U28" s="86">
        <f>+SUM(G28:R28)</f>
        <v>0</v>
      </c>
      <c r="V28" s="86">
        <f>+$F28*0.1</f>
        <v>250000</v>
      </c>
      <c r="W28" s="86">
        <v>0</v>
      </c>
      <c r="X28" s="86">
        <f>+$F28*0.2</f>
        <v>500000</v>
      </c>
      <c r="Y28" s="86"/>
      <c r="Z28" s="86">
        <f>+$F28*0.1</f>
        <v>250000</v>
      </c>
      <c r="AA28" s="86">
        <v>0</v>
      </c>
      <c r="AB28" s="86">
        <v>0</v>
      </c>
      <c r="AC28" s="86">
        <f>+$F28*0.2</f>
        <v>500000</v>
      </c>
      <c r="AD28" s="86">
        <v>0</v>
      </c>
      <c r="AE28" s="86">
        <f>+$F28*0.2</f>
        <v>500000</v>
      </c>
      <c r="AF28" s="86">
        <v>0</v>
      </c>
      <c r="AG28" s="86">
        <f>+$F28*0.2</f>
        <v>500000</v>
      </c>
      <c r="AH28" s="86">
        <v>0</v>
      </c>
      <c r="AI28" s="86">
        <v>0</v>
      </c>
      <c r="AJ28" s="86">
        <v>0</v>
      </c>
      <c r="AK28" s="86">
        <v>0</v>
      </c>
      <c r="AL28" s="86">
        <v>0</v>
      </c>
      <c r="AM28" s="86">
        <v>0</v>
      </c>
      <c r="AN28" s="86">
        <v>0</v>
      </c>
      <c r="AO28" s="86">
        <v>0</v>
      </c>
      <c r="AP28" s="86">
        <v>0</v>
      </c>
      <c r="AQ28" s="86">
        <v>0</v>
      </c>
      <c r="AR28" s="86">
        <v>0</v>
      </c>
      <c r="AS28" s="86">
        <v>0</v>
      </c>
      <c r="AT28" s="86">
        <v>0</v>
      </c>
      <c r="AU28" s="86">
        <v>0</v>
      </c>
      <c r="AV28" s="86">
        <v>0</v>
      </c>
      <c r="AW28" s="86">
        <v>0</v>
      </c>
      <c r="AX28" s="86">
        <v>0</v>
      </c>
      <c r="AY28" s="86">
        <v>0</v>
      </c>
      <c r="AZ28" s="86">
        <v>0</v>
      </c>
      <c r="BA28" s="86">
        <v>0</v>
      </c>
      <c r="BB28" s="86">
        <v>0</v>
      </c>
      <c r="BC28" s="86">
        <v>0</v>
      </c>
      <c r="BD28" s="86">
        <v>0</v>
      </c>
      <c r="BE28" s="86">
        <v>0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86">
        <v>0</v>
      </c>
      <c r="BL28" s="86">
        <v>0</v>
      </c>
      <c r="BM28" s="86">
        <v>0</v>
      </c>
      <c r="BN28" s="86">
        <v>0</v>
      </c>
      <c r="BO28" s="86">
        <v>0</v>
      </c>
      <c r="BP28" s="86">
        <v>0</v>
      </c>
      <c r="BQ28" s="86">
        <v>0</v>
      </c>
      <c r="BR28" s="86">
        <f>SUM(G28:BQ28)</f>
        <v>2500000</v>
      </c>
    </row>
    <row r="29" spans="1:70" s="141" customFormat="1" x14ac:dyDescent="0.3">
      <c r="A29" s="149" t="str">
        <f>+'CC D'!A26</f>
        <v>2.3.4</v>
      </c>
      <c r="B29" s="84" t="str">
        <f>+'CC D'!B26</f>
        <v>Adquisición de Software para gestión de activos viales DVBA</v>
      </c>
      <c r="C29" s="84" t="str">
        <f>+'CC D'!C26</f>
        <v>Sistema de gestión de activos viales de la PBA</v>
      </c>
      <c r="D29" s="86">
        <f>+PEP!H43</f>
        <v>500000</v>
      </c>
      <c r="E29" s="86">
        <f>+PEP!I43</f>
        <v>0</v>
      </c>
      <c r="F29" s="86">
        <f>+PEP!J43</f>
        <v>500000</v>
      </c>
      <c r="G29" s="86"/>
      <c r="H29" s="86">
        <v>0</v>
      </c>
      <c r="I29" s="86">
        <v>0</v>
      </c>
      <c r="J29" s="86">
        <v>0</v>
      </c>
      <c r="K29" s="86">
        <v>0</v>
      </c>
      <c r="L29" s="86">
        <v>0</v>
      </c>
      <c r="M29" s="86">
        <v>0</v>
      </c>
      <c r="N29" s="86">
        <v>0</v>
      </c>
      <c r="O29" s="86">
        <v>0</v>
      </c>
      <c r="P29" s="86">
        <v>0</v>
      </c>
      <c r="Q29" s="86">
        <v>0</v>
      </c>
      <c r="R29" s="86">
        <v>0</v>
      </c>
      <c r="S29" s="86">
        <f t="shared" si="165"/>
        <v>0</v>
      </c>
      <c r="T29" s="86">
        <v>0</v>
      </c>
      <c r="U29" s="86">
        <f>+SUM(G29:R29)</f>
        <v>0</v>
      </c>
      <c r="V29" s="86">
        <v>0</v>
      </c>
      <c r="W29" s="86">
        <v>0</v>
      </c>
      <c r="X29" s="86">
        <v>0</v>
      </c>
      <c r="Y29" s="86">
        <v>0</v>
      </c>
      <c r="Z29" s="86">
        <v>0</v>
      </c>
      <c r="AA29" s="86">
        <v>0</v>
      </c>
      <c r="AB29" s="86">
        <v>0</v>
      </c>
      <c r="AC29" s="86">
        <v>0</v>
      </c>
      <c r="AD29" s="86">
        <v>0</v>
      </c>
      <c r="AE29" s="86">
        <v>0</v>
      </c>
      <c r="AF29" s="86">
        <v>0</v>
      </c>
      <c r="AG29" s="86">
        <v>0</v>
      </c>
      <c r="AH29" s="86">
        <v>0</v>
      </c>
      <c r="AI29" s="86">
        <f>+F29</f>
        <v>500000</v>
      </c>
      <c r="AJ29" s="86">
        <v>0</v>
      </c>
      <c r="AK29" s="86">
        <v>0</v>
      </c>
      <c r="AL29" s="86">
        <v>0</v>
      </c>
      <c r="AM29" s="86">
        <v>0</v>
      </c>
      <c r="AN29" s="86">
        <v>0</v>
      </c>
      <c r="AO29" s="86">
        <v>0</v>
      </c>
      <c r="AP29" s="86">
        <v>0</v>
      </c>
      <c r="AQ29" s="86">
        <v>0</v>
      </c>
      <c r="AR29" s="86">
        <v>0</v>
      </c>
      <c r="AS29" s="86">
        <v>0</v>
      </c>
      <c r="AT29" s="86">
        <v>0</v>
      </c>
      <c r="AU29" s="86">
        <v>0</v>
      </c>
      <c r="AV29" s="86">
        <v>0</v>
      </c>
      <c r="AW29" s="86">
        <v>0</v>
      </c>
      <c r="AX29" s="86">
        <v>0</v>
      </c>
      <c r="AY29" s="86">
        <v>0</v>
      </c>
      <c r="AZ29" s="86">
        <v>0</v>
      </c>
      <c r="BA29" s="86">
        <v>0</v>
      </c>
      <c r="BB29" s="86">
        <v>0</v>
      </c>
      <c r="BC29" s="86">
        <v>0</v>
      </c>
      <c r="BD29" s="86">
        <v>0</v>
      </c>
      <c r="BE29" s="86">
        <v>0</v>
      </c>
      <c r="BF29" s="86">
        <v>0</v>
      </c>
      <c r="BG29" s="86">
        <v>0</v>
      </c>
      <c r="BH29" s="86">
        <v>0</v>
      </c>
      <c r="BI29" s="86">
        <v>0</v>
      </c>
      <c r="BJ29" s="86">
        <v>0</v>
      </c>
      <c r="BK29" s="86">
        <v>0</v>
      </c>
      <c r="BL29" s="86">
        <v>0</v>
      </c>
      <c r="BM29" s="86">
        <v>0</v>
      </c>
      <c r="BN29" s="86">
        <v>0</v>
      </c>
      <c r="BO29" s="86">
        <v>0</v>
      </c>
      <c r="BP29" s="86">
        <v>0</v>
      </c>
      <c r="BQ29" s="86">
        <v>0</v>
      </c>
      <c r="BR29" s="86">
        <f>SUM(G29:BQ29)</f>
        <v>500000</v>
      </c>
    </row>
    <row r="30" spans="1:70" s="141" customFormat="1" x14ac:dyDescent="0.3">
      <c r="A30" s="90">
        <f>+'CC D'!A27</f>
        <v>2.4</v>
      </c>
      <c r="B30" s="79" t="str">
        <f>+'CC D'!B27</f>
        <v>Fortalecimiento de la AUBASA</v>
      </c>
      <c r="C30" s="79"/>
      <c r="D30" s="82">
        <f>+PEP!H44</f>
        <v>500000</v>
      </c>
      <c r="E30" s="82">
        <f>+PEP!I44</f>
        <v>0</v>
      </c>
      <c r="F30" s="82">
        <f>+PEP!J44</f>
        <v>500000</v>
      </c>
      <c r="G30" s="82">
        <f>+G31+G32</f>
        <v>0</v>
      </c>
      <c r="H30" s="82">
        <f t="shared" ref="H30:BQ30" si="166">+H31+H32</f>
        <v>0</v>
      </c>
      <c r="I30" s="82">
        <f t="shared" si="166"/>
        <v>0</v>
      </c>
      <c r="J30" s="82">
        <f t="shared" si="166"/>
        <v>0</v>
      </c>
      <c r="K30" s="82">
        <f t="shared" si="166"/>
        <v>0</v>
      </c>
      <c r="L30" s="82">
        <f t="shared" si="166"/>
        <v>0</v>
      </c>
      <c r="M30" s="82">
        <f t="shared" si="166"/>
        <v>0</v>
      </c>
      <c r="N30" s="82">
        <f t="shared" si="166"/>
        <v>0</v>
      </c>
      <c r="O30" s="82">
        <f t="shared" si="166"/>
        <v>0</v>
      </c>
      <c r="P30" s="82">
        <f t="shared" si="166"/>
        <v>0</v>
      </c>
      <c r="Q30" s="82">
        <f t="shared" si="166"/>
        <v>0</v>
      </c>
      <c r="R30" s="82">
        <f t="shared" si="166"/>
        <v>0</v>
      </c>
      <c r="S30" s="82">
        <f>+S31+S32</f>
        <v>0</v>
      </c>
      <c r="T30" s="82"/>
      <c r="U30" s="82"/>
      <c r="V30" s="82">
        <f t="shared" si="166"/>
        <v>50000</v>
      </c>
      <c r="W30" s="82">
        <f t="shared" si="166"/>
        <v>0</v>
      </c>
      <c r="X30" s="82">
        <f t="shared" si="166"/>
        <v>100000</v>
      </c>
      <c r="Y30" s="82">
        <f t="shared" si="166"/>
        <v>0</v>
      </c>
      <c r="Z30" s="82">
        <f t="shared" si="166"/>
        <v>50000</v>
      </c>
      <c r="AA30" s="82">
        <f t="shared" si="166"/>
        <v>0</v>
      </c>
      <c r="AB30" s="82">
        <f t="shared" si="166"/>
        <v>0</v>
      </c>
      <c r="AC30" s="82">
        <f t="shared" si="166"/>
        <v>100000</v>
      </c>
      <c r="AD30" s="82">
        <f t="shared" si="166"/>
        <v>0</v>
      </c>
      <c r="AE30" s="82">
        <f t="shared" si="166"/>
        <v>100000</v>
      </c>
      <c r="AF30" s="82">
        <f t="shared" si="166"/>
        <v>0</v>
      </c>
      <c r="AG30" s="82">
        <f t="shared" si="166"/>
        <v>100000</v>
      </c>
      <c r="AH30" s="82">
        <f t="shared" si="166"/>
        <v>0</v>
      </c>
      <c r="AI30" s="82">
        <f t="shared" si="166"/>
        <v>0</v>
      </c>
      <c r="AJ30" s="82">
        <f t="shared" si="166"/>
        <v>0</v>
      </c>
      <c r="AK30" s="82">
        <f t="shared" si="166"/>
        <v>0</v>
      </c>
      <c r="AL30" s="82">
        <f t="shared" si="166"/>
        <v>0</v>
      </c>
      <c r="AM30" s="82">
        <f t="shared" si="166"/>
        <v>0</v>
      </c>
      <c r="AN30" s="82">
        <f t="shared" si="166"/>
        <v>0</v>
      </c>
      <c r="AO30" s="82">
        <f t="shared" si="166"/>
        <v>0</v>
      </c>
      <c r="AP30" s="82">
        <f t="shared" si="166"/>
        <v>0</v>
      </c>
      <c r="AQ30" s="82">
        <f t="shared" si="166"/>
        <v>0</v>
      </c>
      <c r="AR30" s="82">
        <f t="shared" si="166"/>
        <v>0</v>
      </c>
      <c r="AS30" s="82">
        <f t="shared" si="166"/>
        <v>0</v>
      </c>
      <c r="AT30" s="82">
        <f t="shared" si="166"/>
        <v>0</v>
      </c>
      <c r="AU30" s="82">
        <f t="shared" si="166"/>
        <v>0</v>
      </c>
      <c r="AV30" s="82">
        <f t="shared" si="166"/>
        <v>0</v>
      </c>
      <c r="AW30" s="82">
        <f t="shared" si="166"/>
        <v>0</v>
      </c>
      <c r="AX30" s="82">
        <f t="shared" si="166"/>
        <v>0</v>
      </c>
      <c r="AY30" s="82">
        <f t="shared" si="166"/>
        <v>0</v>
      </c>
      <c r="AZ30" s="82">
        <f t="shared" si="166"/>
        <v>0</v>
      </c>
      <c r="BA30" s="82">
        <f t="shared" si="166"/>
        <v>0</v>
      </c>
      <c r="BB30" s="82">
        <f t="shared" si="166"/>
        <v>0</v>
      </c>
      <c r="BC30" s="82">
        <f t="shared" si="166"/>
        <v>0</v>
      </c>
      <c r="BD30" s="82">
        <f t="shared" si="166"/>
        <v>0</v>
      </c>
      <c r="BE30" s="82">
        <f t="shared" si="166"/>
        <v>0</v>
      </c>
      <c r="BF30" s="82">
        <f t="shared" si="166"/>
        <v>0</v>
      </c>
      <c r="BG30" s="82">
        <f t="shared" si="166"/>
        <v>0</v>
      </c>
      <c r="BH30" s="82">
        <f t="shared" si="166"/>
        <v>0</v>
      </c>
      <c r="BI30" s="82">
        <f t="shared" si="166"/>
        <v>0</v>
      </c>
      <c r="BJ30" s="82">
        <f t="shared" si="166"/>
        <v>0</v>
      </c>
      <c r="BK30" s="82">
        <f t="shared" si="166"/>
        <v>0</v>
      </c>
      <c r="BL30" s="82">
        <f t="shared" si="166"/>
        <v>0</v>
      </c>
      <c r="BM30" s="82">
        <f t="shared" si="166"/>
        <v>0</v>
      </c>
      <c r="BN30" s="82">
        <f t="shared" si="166"/>
        <v>0</v>
      </c>
      <c r="BO30" s="82">
        <f t="shared" si="166"/>
        <v>0</v>
      </c>
      <c r="BP30" s="82">
        <f t="shared" si="166"/>
        <v>0</v>
      </c>
      <c r="BQ30" s="82">
        <f t="shared" si="166"/>
        <v>0</v>
      </c>
      <c r="BR30" s="82">
        <f>+BR31+BR32</f>
        <v>500000</v>
      </c>
    </row>
    <row r="31" spans="1:70" s="141" customFormat="1" x14ac:dyDescent="0.3">
      <c r="A31" s="149" t="str">
        <f>+'CC D'!A28</f>
        <v>2.4.1</v>
      </c>
      <c r="B31" s="84" t="str">
        <f>+'CC D'!B28</f>
        <v>Contratación de Firma Consultora para el mejoramiento del sistema de gobernanza de AUBASA</v>
      </c>
      <c r="C31" s="84" t="str">
        <f>+'CC D'!C28</f>
        <v>Plan de mejora de gobernanza corporativa de AUBASA</v>
      </c>
      <c r="D31" s="86">
        <f>+PEP!H45</f>
        <v>200000</v>
      </c>
      <c r="E31" s="86">
        <f>+PEP!I45</f>
        <v>0</v>
      </c>
      <c r="F31" s="86">
        <f>+PEP!J45</f>
        <v>200000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86">
        <v>0</v>
      </c>
      <c r="Q31" s="86">
        <v>0</v>
      </c>
      <c r="R31" s="86">
        <v>0</v>
      </c>
      <c r="S31" s="86">
        <f>+U31</f>
        <v>0</v>
      </c>
      <c r="T31" s="86">
        <v>0</v>
      </c>
      <c r="U31" s="86">
        <f>+SUM(G31:R31)</f>
        <v>0</v>
      </c>
      <c r="V31" s="86">
        <f>+$F31*0.1</f>
        <v>20000</v>
      </c>
      <c r="W31" s="86">
        <v>0</v>
      </c>
      <c r="X31" s="86">
        <f>+$F31*0.2</f>
        <v>40000</v>
      </c>
      <c r="Y31" s="86"/>
      <c r="Z31" s="86">
        <f>+$F31*0.1</f>
        <v>20000</v>
      </c>
      <c r="AA31" s="86">
        <v>0</v>
      </c>
      <c r="AB31" s="86">
        <v>0</v>
      </c>
      <c r="AC31" s="86">
        <f>+$F31*0.2</f>
        <v>40000</v>
      </c>
      <c r="AD31" s="86">
        <v>0</v>
      </c>
      <c r="AE31" s="86">
        <f>+$F31*0.2</f>
        <v>40000</v>
      </c>
      <c r="AF31" s="86">
        <v>0</v>
      </c>
      <c r="AG31" s="86">
        <f>+$F31*0.2</f>
        <v>40000</v>
      </c>
      <c r="AH31" s="86">
        <v>0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0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f>SUM(G31:BQ31)</f>
        <v>200000</v>
      </c>
    </row>
    <row r="32" spans="1:70" s="141" customFormat="1" ht="27.6" x14ac:dyDescent="0.3">
      <c r="A32" s="149" t="str">
        <f>+'CC D'!A29</f>
        <v>2.4.2</v>
      </c>
      <c r="B32" s="84" t="str">
        <f>+'CC D'!B29</f>
        <v>Contratacción de Firma Consultora para la incorporación de ITS en sistema de recaudo de peaje</v>
      </c>
      <c r="C32" s="84" t="str">
        <f>+'CC D'!C29</f>
        <v>Plan de incorporación de ITS para recaudación de peajes en AUBASA</v>
      </c>
      <c r="D32" s="86">
        <f>+PEP!H46</f>
        <v>300000</v>
      </c>
      <c r="E32" s="86">
        <f>+PEP!I46</f>
        <v>0</v>
      </c>
      <c r="F32" s="86">
        <f>+PEP!J46</f>
        <v>300000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6">
        <v>0</v>
      </c>
      <c r="M32" s="86">
        <v>0</v>
      </c>
      <c r="N32" s="86">
        <v>0</v>
      </c>
      <c r="O32" s="86">
        <v>0</v>
      </c>
      <c r="P32" s="86">
        <v>0</v>
      </c>
      <c r="Q32" s="86">
        <v>0</v>
      </c>
      <c r="R32" s="86">
        <v>0</v>
      </c>
      <c r="S32" s="86">
        <f>+U32</f>
        <v>0</v>
      </c>
      <c r="T32" s="86">
        <v>0</v>
      </c>
      <c r="U32" s="86">
        <f>+SUM(G32:R32)</f>
        <v>0</v>
      </c>
      <c r="V32" s="86">
        <f>+$F32*0.1</f>
        <v>30000</v>
      </c>
      <c r="W32" s="86">
        <v>0</v>
      </c>
      <c r="X32" s="86">
        <f>+$F32*0.2</f>
        <v>60000</v>
      </c>
      <c r="Y32" s="86"/>
      <c r="Z32" s="86">
        <f>+$F32*0.1</f>
        <v>30000</v>
      </c>
      <c r="AA32" s="86">
        <v>0</v>
      </c>
      <c r="AB32" s="86">
        <v>0</v>
      </c>
      <c r="AC32" s="86">
        <f>+$F32*0.2</f>
        <v>60000</v>
      </c>
      <c r="AD32" s="86">
        <v>0</v>
      </c>
      <c r="AE32" s="86">
        <f>+$F32*0.2</f>
        <v>60000</v>
      </c>
      <c r="AF32" s="86">
        <v>0</v>
      </c>
      <c r="AG32" s="86">
        <f>+$F32*0.2</f>
        <v>60000</v>
      </c>
      <c r="AH32" s="86">
        <v>0</v>
      </c>
      <c r="AI32" s="86">
        <v>0</v>
      </c>
      <c r="AJ32" s="86">
        <v>0</v>
      </c>
      <c r="AK32" s="86">
        <v>0</v>
      </c>
      <c r="AL32" s="86">
        <v>0</v>
      </c>
      <c r="AM32" s="86">
        <v>0</v>
      </c>
      <c r="AN32" s="86">
        <v>0</v>
      </c>
      <c r="AO32" s="86">
        <v>0</v>
      </c>
      <c r="AP32" s="86">
        <v>0</v>
      </c>
      <c r="AQ32" s="86">
        <v>0</v>
      </c>
      <c r="AR32" s="86">
        <v>0</v>
      </c>
      <c r="AS32" s="86">
        <v>0</v>
      </c>
      <c r="AT32" s="86">
        <v>0</v>
      </c>
      <c r="AU32" s="86">
        <v>0</v>
      </c>
      <c r="AV32" s="86">
        <v>0</v>
      </c>
      <c r="AW32" s="86">
        <v>0</v>
      </c>
      <c r="AX32" s="86">
        <v>0</v>
      </c>
      <c r="AY32" s="86">
        <v>0</v>
      </c>
      <c r="AZ32" s="86">
        <v>0</v>
      </c>
      <c r="BA32" s="86">
        <v>0</v>
      </c>
      <c r="BB32" s="86">
        <v>0</v>
      </c>
      <c r="BC32" s="86">
        <v>0</v>
      </c>
      <c r="BD32" s="86">
        <v>0</v>
      </c>
      <c r="BE32" s="86">
        <v>0</v>
      </c>
      <c r="BF32" s="86">
        <v>0</v>
      </c>
      <c r="BG32" s="86">
        <v>0</v>
      </c>
      <c r="BH32" s="86">
        <v>0</v>
      </c>
      <c r="BI32" s="86">
        <v>0</v>
      </c>
      <c r="BJ32" s="86">
        <v>0</v>
      </c>
      <c r="BK32" s="86">
        <v>0</v>
      </c>
      <c r="BL32" s="86">
        <v>0</v>
      </c>
      <c r="BM32" s="86">
        <v>0</v>
      </c>
      <c r="BN32" s="86">
        <v>0</v>
      </c>
      <c r="BO32" s="86">
        <v>0</v>
      </c>
      <c r="BP32" s="86">
        <v>0</v>
      </c>
      <c r="BQ32" s="86">
        <v>0</v>
      </c>
      <c r="BR32" s="86">
        <f>SUM(G32:BQ32)</f>
        <v>300000</v>
      </c>
    </row>
    <row r="33" spans="1:70" s="141" customFormat="1" x14ac:dyDescent="0.3">
      <c r="A33" s="142">
        <f>+'CC D'!A30</f>
        <v>3</v>
      </c>
      <c r="B33" s="140" t="str">
        <f>+'CC D'!B30</f>
        <v>Otros Costos</v>
      </c>
      <c r="C33" s="140"/>
      <c r="D33" s="78">
        <f>+PEP!H47</f>
        <v>1100000</v>
      </c>
      <c r="E33" s="78">
        <f>+PEP!I47</f>
        <v>0</v>
      </c>
      <c r="F33" s="78">
        <f>+PEP!J47</f>
        <v>1100000</v>
      </c>
      <c r="G33" s="78">
        <f>+G34+G36</f>
        <v>16666.666666666668</v>
      </c>
      <c r="H33" s="78">
        <f t="shared" ref="H33:BQ33" si="167">+H34+H36</f>
        <v>16666.666666666668</v>
      </c>
      <c r="I33" s="78">
        <f t="shared" si="167"/>
        <v>16666.666666666668</v>
      </c>
      <c r="J33" s="78">
        <f t="shared" si="167"/>
        <v>16666.666666666668</v>
      </c>
      <c r="K33" s="78">
        <f t="shared" si="167"/>
        <v>16666.666666666668</v>
      </c>
      <c r="L33" s="78">
        <f t="shared" si="167"/>
        <v>16666.666666666668</v>
      </c>
      <c r="M33" s="78">
        <f t="shared" si="167"/>
        <v>16666.666666666668</v>
      </c>
      <c r="N33" s="78">
        <f t="shared" si="167"/>
        <v>16666.666666666668</v>
      </c>
      <c r="O33" s="78">
        <f t="shared" si="167"/>
        <v>16666.666666666668</v>
      </c>
      <c r="P33" s="78">
        <f t="shared" si="167"/>
        <v>16666.666666666668</v>
      </c>
      <c r="Q33" s="78">
        <f t="shared" si="167"/>
        <v>16666.666666666668</v>
      </c>
      <c r="R33" s="78">
        <f t="shared" si="167"/>
        <v>16666.666666666668</v>
      </c>
      <c r="S33" s="78">
        <f>+S34+S36</f>
        <v>199999.99999999997</v>
      </c>
      <c r="T33" s="78">
        <f t="shared" ref="T33:U33" si="168">+T34+T36</f>
        <v>0</v>
      </c>
      <c r="U33" s="78">
        <f t="shared" si="168"/>
        <v>199999.99999999997</v>
      </c>
      <c r="V33" s="78">
        <f t="shared" si="167"/>
        <v>16666.666666666668</v>
      </c>
      <c r="W33" s="78">
        <f t="shared" si="167"/>
        <v>20666.666666666668</v>
      </c>
      <c r="X33" s="78">
        <f t="shared" si="167"/>
        <v>16666.666666666668</v>
      </c>
      <c r="Y33" s="78">
        <f t="shared" si="167"/>
        <v>24666.666666666668</v>
      </c>
      <c r="Z33" s="78">
        <f t="shared" si="167"/>
        <v>16666.666666666668</v>
      </c>
      <c r="AA33" s="78">
        <f t="shared" si="167"/>
        <v>24666.666666666668</v>
      </c>
      <c r="AB33" s="78">
        <f t="shared" si="167"/>
        <v>16666.666666666668</v>
      </c>
      <c r="AC33" s="78">
        <f t="shared" si="167"/>
        <v>16666.666666666668</v>
      </c>
      <c r="AD33" s="78">
        <f t="shared" si="167"/>
        <v>16666.666666666668</v>
      </c>
      <c r="AE33" s="78">
        <f t="shared" si="167"/>
        <v>16666.666666666668</v>
      </c>
      <c r="AF33" s="78">
        <f t="shared" si="167"/>
        <v>16666.666666666668</v>
      </c>
      <c r="AG33" s="78">
        <f t="shared" si="167"/>
        <v>16666.666666666668</v>
      </c>
      <c r="AH33" s="78">
        <f t="shared" si="167"/>
        <v>16666.666666666668</v>
      </c>
      <c r="AI33" s="78">
        <f t="shared" si="167"/>
        <v>20666.666666666668</v>
      </c>
      <c r="AJ33" s="78">
        <f t="shared" si="167"/>
        <v>16666.666666666668</v>
      </c>
      <c r="AK33" s="78">
        <f t="shared" si="167"/>
        <v>24666.666666666668</v>
      </c>
      <c r="AL33" s="78">
        <f t="shared" si="167"/>
        <v>16666.666666666668</v>
      </c>
      <c r="AM33" s="78">
        <f t="shared" si="167"/>
        <v>24666.666666666668</v>
      </c>
      <c r="AN33" s="78">
        <f t="shared" si="167"/>
        <v>16666.666666666668</v>
      </c>
      <c r="AO33" s="78">
        <f t="shared" si="167"/>
        <v>16666.666666666668</v>
      </c>
      <c r="AP33" s="78">
        <f t="shared" si="167"/>
        <v>16666.666666666668</v>
      </c>
      <c r="AQ33" s="78">
        <f t="shared" si="167"/>
        <v>16666.666666666668</v>
      </c>
      <c r="AR33" s="78">
        <f t="shared" si="167"/>
        <v>16666.666666666668</v>
      </c>
      <c r="AS33" s="78">
        <f t="shared" si="167"/>
        <v>16666.666666666668</v>
      </c>
      <c r="AT33" s="78">
        <f t="shared" si="167"/>
        <v>16666.666666666668</v>
      </c>
      <c r="AU33" s="78">
        <f t="shared" si="167"/>
        <v>20666.666666666668</v>
      </c>
      <c r="AV33" s="78">
        <f t="shared" si="167"/>
        <v>16666.666666666668</v>
      </c>
      <c r="AW33" s="78">
        <f t="shared" si="167"/>
        <v>24666.666666666668</v>
      </c>
      <c r="AX33" s="78">
        <f t="shared" si="167"/>
        <v>16666.666666666668</v>
      </c>
      <c r="AY33" s="78">
        <f t="shared" si="167"/>
        <v>24666.666666666668</v>
      </c>
      <c r="AZ33" s="78">
        <f t="shared" si="167"/>
        <v>16666.666666666668</v>
      </c>
      <c r="BA33" s="78">
        <f t="shared" si="167"/>
        <v>16666.666666666668</v>
      </c>
      <c r="BB33" s="78">
        <f t="shared" si="167"/>
        <v>16666.666666666668</v>
      </c>
      <c r="BC33" s="78">
        <f t="shared" si="167"/>
        <v>16666.666666666668</v>
      </c>
      <c r="BD33" s="78">
        <f t="shared" si="167"/>
        <v>16666.666666666668</v>
      </c>
      <c r="BE33" s="78">
        <f t="shared" si="167"/>
        <v>16666.666666666668</v>
      </c>
      <c r="BF33" s="78">
        <f t="shared" si="167"/>
        <v>16666.666666666668</v>
      </c>
      <c r="BG33" s="78">
        <f t="shared" si="167"/>
        <v>20666.666666666668</v>
      </c>
      <c r="BH33" s="78">
        <f t="shared" si="167"/>
        <v>16666.666666666668</v>
      </c>
      <c r="BI33" s="78">
        <f t="shared" si="167"/>
        <v>24666.666666666668</v>
      </c>
      <c r="BJ33" s="78">
        <f t="shared" si="167"/>
        <v>16666.666666666668</v>
      </c>
      <c r="BK33" s="78">
        <f t="shared" si="167"/>
        <v>24666.666666666668</v>
      </c>
      <c r="BL33" s="78">
        <f t="shared" si="167"/>
        <v>16666.666666666668</v>
      </c>
      <c r="BM33" s="78">
        <f t="shared" si="167"/>
        <v>20666.666666666668</v>
      </c>
      <c r="BN33" s="78">
        <f t="shared" si="167"/>
        <v>16666.666666666668</v>
      </c>
      <c r="BO33" s="78">
        <f t="shared" si="167"/>
        <v>24666.666666666668</v>
      </c>
      <c r="BP33" s="78">
        <f t="shared" si="167"/>
        <v>16666.666666666668</v>
      </c>
      <c r="BQ33" s="78">
        <f t="shared" si="167"/>
        <v>24666.666666666668</v>
      </c>
      <c r="BR33" s="78">
        <f>+BR34+BR36</f>
        <v>1500000.0000000005</v>
      </c>
    </row>
    <row r="34" spans="1:70" s="141" customFormat="1" x14ac:dyDescent="0.3">
      <c r="A34" s="90">
        <f>+'CC D'!A31</f>
        <v>3.1</v>
      </c>
      <c r="B34" s="79" t="str">
        <f>+'CC D'!B31</f>
        <v>Administración del Programa</v>
      </c>
      <c r="C34" s="79"/>
      <c r="D34" s="82">
        <f>+PEP!H48</f>
        <v>1000000</v>
      </c>
      <c r="E34" s="82">
        <f>+PEP!I48</f>
        <v>0</v>
      </c>
      <c r="F34" s="82">
        <f>+PEP!J48</f>
        <v>1000000</v>
      </c>
      <c r="G34" s="82">
        <f>+G35</f>
        <v>16666.666666666668</v>
      </c>
      <c r="H34" s="82">
        <f t="shared" ref="H34:BR34" si="169">+H35</f>
        <v>16666.666666666668</v>
      </c>
      <c r="I34" s="82">
        <f t="shared" si="169"/>
        <v>16666.666666666668</v>
      </c>
      <c r="J34" s="82">
        <f t="shared" si="169"/>
        <v>16666.666666666668</v>
      </c>
      <c r="K34" s="82">
        <f t="shared" si="169"/>
        <v>16666.666666666668</v>
      </c>
      <c r="L34" s="82">
        <f t="shared" si="169"/>
        <v>16666.666666666668</v>
      </c>
      <c r="M34" s="82">
        <f t="shared" si="169"/>
        <v>16666.666666666668</v>
      </c>
      <c r="N34" s="82">
        <f t="shared" si="169"/>
        <v>16666.666666666668</v>
      </c>
      <c r="O34" s="82">
        <f t="shared" si="169"/>
        <v>16666.666666666668</v>
      </c>
      <c r="P34" s="82">
        <f t="shared" si="169"/>
        <v>16666.666666666668</v>
      </c>
      <c r="Q34" s="82">
        <f t="shared" si="169"/>
        <v>16666.666666666668</v>
      </c>
      <c r="R34" s="82">
        <f t="shared" si="169"/>
        <v>16666.666666666668</v>
      </c>
      <c r="S34" s="82">
        <f>+S35</f>
        <v>199999.99999999997</v>
      </c>
      <c r="T34" s="82">
        <f t="shared" ref="T34:U34" si="170">+T35</f>
        <v>0</v>
      </c>
      <c r="U34" s="82">
        <f t="shared" si="170"/>
        <v>199999.99999999997</v>
      </c>
      <c r="V34" s="82">
        <f t="shared" si="169"/>
        <v>16666.666666666668</v>
      </c>
      <c r="W34" s="82">
        <f t="shared" si="169"/>
        <v>16666.666666666668</v>
      </c>
      <c r="X34" s="82">
        <f t="shared" si="169"/>
        <v>16666.666666666668</v>
      </c>
      <c r="Y34" s="82">
        <f t="shared" si="169"/>
        <v>16666.666666666668</v>
      </c>
      <c r="Z34" s="82">
        <f t="shared" si="169"/>
        <v>16666.666666666668</v>
      </c>
      <c r="AA34" s="82">
        <f t="shared" si="169"/>
        <v>16666.666666666668</v>
      </c>
      <c r="AB34" s="82">
        <f t="shared" si="169"/>
        <v>16666.666666666668</v>
      </c>
      <c r="AC34" s="82">
        <f t="shared" si="169"/>
        <v>16666.666666666668</v>
      </c>
      <c r="AD34" s="82">
        <f t="shared" si="169"/>
        <v>16666.666666666668</v>
      </c>
      <c r="AE34" s="82">
        <f t="shared" si="169"/>
        <v>16666.666666666668</v>
      </c>
      <c r="AF34" s="82">
        <f t="shared" si="169"/>
        <v>16666.666666666668</v>
      </c>
      <c r="AG34" s="82">
        <f t="shared" si="169"/>
        <v>16666.666666666668</v>
      </c>
      <c r="AH34" s="82">
        <f t="shared" si="169"/>
        <v>16666.666666666668</v>
      </c>
      <c r="AI34" s="82">
        <f t="shared" si="169"/>
        <v>16666.666666666668</v>
      </c>
      <c r="AJ34" s="82">
        <f t="shared" si="169"/>
        <v>16666.666666666668</v>
      </c>
      <c r="AK34" s="82">
        <f t="shared" si="169"/>
        <v>16666.666666666668</v>
      </c>
      <c r="AL34" s="82">
        <f t="shared" si="169"/>
        <v>16666.666666666668</v>
      </c>
      <c r="AM34" s="82">
        <f t="shared" si="169"/>
        <v>16666.666666666668</v>
      </c>
      <c r="AN34" s="82">
        <f t="shared" si="169"/>
        <v>16666.666666666668</v>
      </c>
      <c r="AO34" s="82">
        <f t="shared" si="169"/>
        <v>16666.666666666668</v>
      </c>
      <c r="AP34" s="82">
        <f t="shared" si="169"/>
        <v>16666.666666666668</v>
      </c>
      <c r="AQ34" s="82">
        <f t="shared" si="169"/>
        <v>16666.666666666668</v>
      </c>
      <c r="AR34" s="82">
        <f t="shared" si="169"/>
        <v>16666.666666666668</v>
      </c>
      <c r="AS34" s="82">
        <f t="shared" si="169"/>
        <v>16666.666666666668</v>
      </c>
      <c r="AT34" s="82">
        <f t="shared" si="169"/>
        <v>16666.666666666668</v>
      </c>
      <c r="AU34" s="82">
        <f t="shared" si="169"/>
        <v>16666.666666666668</v>
      </c>
      <c r="AV34" s="82">
        <f t="shared" si="169"/>
        <v>16666.666666666668</v>
      </c>
      <c r="AW34" s="82">
        <f t="shared" si="169"/>
        <v>16666.666666666668</v>
      </c>
      <c r="AX34" s="82">
        <f t="shared" si="169"/>
        <v>16666.666666666668</v>
      </c>
      <c r="AY34" s="82">
        <f t="shared" si="169"/>
        <v>16666.666666666668</v>
      </c>
      <c r="AZ34" s="82">
        <f t="shared" si="169"/>
        <v>16666.666666666668</v>
      </c>
      <c r="BA34" s="82">
        <f t="shared" si="169"/>
        <v>16666.666666666668</v>
      </c>
      <c r="BB34" s="82">
        <f t="shared" si="169"/>
        <v>16666.666666666668</v>
      </c>
      <c r="BC34" s="82">
        <f t="shared" si="169"/>
        <v>16666.666666666668</v>
      </c>
      <c r="BD34" s="82">
        <f t="shared" si="169"/>
        <v>16666.666666666668</v>
      </c>
      <c r="BE34" s="82">
        <f t="shared" si="169"/>
        <v>16666.666666666668</v>
      </c>
      <c r="BF34" s="82">
        <f t="shared" si="169"/>
        <v>16666.666666666668</v>
      </c>
      <c r="BG34" s="82">
        <f t="shared" si="169"/>
        <v>16666.666666666668</v>
      </c>
      <c r="BH34" s="82">
        <f t="shared" si="169"/>
        <v>16666.666666666668</v>
      </c>
      <c r="BI34" s="82">
        <f t="shared" si="169"/>
        <v>16666.666666666668</v>
      </c>
      <c r="BJ34" s="82">
        <f t="shared" si="169"/>
        <v>16666.666666666668</v>
      </c>
      <c r="BK34" s="82">
        <f t="shared" si="169"/>
        <v>16666.666666666668</v>
      </c>
      <c r="BL34" s="82">
        <f t="shared" si="169"/>
        <v>16666.666666666668</v>
      </c>
      <c r="BM34" s="82">
        <f t="shared" si="169"/>
        <v>16666.666666666668</v>
      </c>
      <c r="BN34" s="82">
        <f t="shared" si="169"/>
        <v>16666.666666666668</v>
      </c>
      <c r="BO34" s="82">
        <f t="shared" si="169"/>
        <v>16666.666666666668</v>
      </c>
      <c r="BP34" s="82">
        <f t="shared" si="169"/>
        <v>16666.666666666668</v>
      </c>
      <c r="BQ34" s="82">
        <f t="shared" si="169"/>
        <v>16666.666666666668</v>
      </c>
      <c r="BR34" s="82">
        <f t="shared" si="169"/>
        <v>1400000.0000000005</v>
      </c>
    </row>
    <row r="35" spans="1:70" s="141" customFormat="1" x14ac:dyDescent="0.3">
      <c r="A35" s="149" t="str">
        <f>+'CC D'!A32</f>
        <v>3.1.1</v>
      </c>
      <c r="B35" s="84" t="str">
        <f>+'CC D'!B32</f>
        <v>Contratación de consultores individuales para conformación de UEP dentro de la DVBA</v>
      </c>
      <c r="C35" s="84"/>
      <c r="D35" s="86">
        <f>+PEP!H49</f>
        <v>1000000</v>
      </c>
      <c r="E35" s="86">
        <f>+PEP!I49</f>
        <v>0</v>
      </c>
      <c r="F35" s="86">
        <f>+PEP!J49</f>
        <v>1000000</v>
      </c>
      <c r="G35" s="86">
        <f>+$F35/60</f>
        <v>16666.666666666668</v>
      </c>
      <c r="H35" s="86">
        <f t="shared" ref="H35:BQ35" si="171">+$F35/60</f>
        <v>16666.666666666668</v>
      </c>
      <c r="I35" s="86">
        <f t="shared" si="171"/>
        <v>16666.666666666668</v>
      </c>
      <c r="J35" s="86">
        <f t="shared" si="171"/>
        <v>16666.666666666668</v>
      </c>
      <c r="K35" s="86">
        <f t="shared" si="171"/>
        <v>16666.666666666668</v>
      </c>
      <c r="L35" s="86">
        <f t="shared" si="171"/>
        <v>16666.666666666668</v>
      </c>
      <c r="M35" s="86">
        <f t="shared" si="171"/>
        <v>16666.666666666668</v>
      </c>
      <c r="N35" s="86">
        <f t="shared" si="171"/>
        <v>16666.666666666668</v>
      </c>
      <c r="O35" s="86">
        <f t="shared" si="171"/>
        <v>16666.666666666668</v>
      </c>
      <c r="P35" s="86">
        <f t="shared" si="171"/>
        <v>16666.666666666668</v>
      </c>
      <c r="Q35" s="86">
        <f t="shared" si="171"/>
        <v>16666.666666666668</v>
      </c>
      <c r="R35" s="86">
        <f t="shared" si="171"/>
        <v>16666.666666666668</v>
      </c>
      <c r="S35" s="86">
        <f>+U35</f>
        <v>199999.99999999997</v>
      </c>
      <c r="T35" s="86">
        <v>0</v>
      </c>
      <c r="U35" s="86">
        <f>+SUM(G35:R35)</f>
        <v>199999.99999999997</v>
      </c>
      <c r="V35" s="86">
        <f t="shared" si="171"/>
        <v>16666.666666666668</v>
      </c>
      <c r="W35" s="86">
        <f t="shared" si="171"/>
        <v>16666.666666666668</v>
      </c>
      <c r="X35" s="86">
        <f t="shared" si="171"/>
        <v>16666.666666666668</v>
      </c>
      <c r="Y35" s="86">
        <f t="shared" si="171"/>
        <v>16666.666666666668</v>
      </c>
      <c r="Z35" s="86">
        <f t="shared" si="171"/>
        <v>16666.666666666668</v>
      </c>
      <c r="AA35" s="86">
        <f t="shared" si="171"/>
        <v>16666.666666666668</v>
      </c>
      <c r="AB35" s="86">
        <f t="shared" si="171"/>
        <v>16666.666666666668</v>
      </c>
      <c r="AC35" s="86">
        <f t="shared" si="171"/>
        <v>16666.666666666668</v>
      </c>
      <c r="AD35" s="86">
        <f t="shared" si="171"/>
        <v>16666.666666666668</v>
      </c>
      <c r="AE35" s="86">
        <f t="shared" si="171"/>
        <v>16666.666666666668</v>
      </c>
      <c r="AF35" s="86">
        <f t="shared" si="171"/>
        <v>16666.666666666668</v>
      </c>
      <c r="AG35" s="86">
        <f t="shared" si="171"/>
        <v>16666.666666666668</v>
      </c>
      <c r="AH35" s="86">
        <f t="shared" si="171"/>
        <v>16666.666666666668</v>
      </c>
      <c r="AI35" s="86">
        <f t="shared" si="171"/>
        <v>16666.666666666668</v>
      </c>
      <c r="AJ35" s="86">
        <f t="shared" si="171"/>
        <v>16666.666666666668</v>
      </c>
      <c r="AK35" s="86">
        <f t="shared" si="171"/>
        <v>16666.666666666668</v>
      </c>
      <c r="AL35" s="86">
        <f t="shared" si="171"/>
        <v>16666.666666666668</v>
      </c>
      <c r="AM35" s="86">
        <f t="shared" si="171"/>
        <v>16666.666666666668</v>
      </c>
      <c r="AN35" s="86">
        <f t="shared" si="171"/>
        <v>16666.666666666668</v>
      </c>
      <c r="AO35" s="86">
        <f t="shared" si="171"/>
        <v>16666.666666666668</v>
      </c>
      <c r="AP35" s="86">
        <f t="shared" si="171"/>
        <v>16666.666666666668</v>
      </c>
      <c r="AQ35" s="86">
        <f t="shared" si="171"/>
        <v>16666.666666666668</v>
      </c>
      <c r="AR35" s="86">
        <f t="shared" si="171"/>
        <v>16666.666666666668</v>
      </c>
      <c r="AS35" s="86">
        <f t="shared" si="171"/>
        <v>16666.666666666668</v>
      </c>
      <c r="AT35" s="86">
        <f t="shared" si="171"/>
        <v>16666.666666666668</v>
      </c>
      <c r="AU35" s="86">
        <f t="shared" si="171"/>
        <v>16666.666666666668</v>
      </c>
      <c r="AV35" s="86">
        <f t="shared" si="171"/>
        <v>16666.666666666668</v>
      </c>
      <c r="AW35" s="86">
        <f t="shared" si="171"/>
        <v>16666.666666666668</v>
      </c>
      <c r="AX35" s="86">
        <f t="shared" si="171"/>
        <v>16666.666666666668</v>
      </c>
      <c r="AY35" s="86">
        <f t="shared" si="171"/>
        <v>16666.666666666668</v>
      </c>
      <c r="AZ35" s="86">
        <f t="shared" si="171"/>
        <v>16666.666666666668</v>
      </c>
      <c r="BA35" s="86">
        <f t="shared" si="171"/>
        <v>16666.666666666668</v>
      </c>
      <c r="BB35" s="86">
        <f t="shared" si="171"/>
        <v>16666.666666666668</v>
      </c>
      <c r="BC35" s="86">
        <f t="shared" si="171"/>
        <v>16666.666666666668</v>
      </c>
      <c r="BD35" s="86">
        <f t="shared" si="171"/>
        <v>16666.666666666668</v>
      </c>
      <c r="BE35" s="86">
        <f t="shared" si="171"/>
        <v>16666.666666666668</v>
      </c>
      <c r="BF35" s="86">
        <f t="shared" si="171"/>
        <v>16666.666666666668</v>
      </c>
      <c r="BG35" s="86">
        <f t="shared" si="171"/>
        <v>16666.666666666668</v>
      </c>
      <c r="BH35" s="86">
        <f t="shared" si="171"/>
        <v>16666.666666666668</v>
      </c>
      <c r="BI35" s="86">
        <f t="shared" si="171"/>
        <v>16666.666666666668</v>
      </c>
      <c r="BJ35" s="86">
        <f t="shared" si="171"/>
        <v>16666.666666666668</v>
      </c>
      <c r="BK35" s="86">
        <f t="shared" si="171"/>
        <v>16666.666666666668</v>
      </c>
      <c r="BL35" s="86">
        <f t="shared" si="171"/>
        <v>16666.666666666668</v>
      </c>
      <c r="BM35" s="86">
        <f t="shared" si="171"/>
        <v>16666.666666666668</v>
      </c>
      <c r="BN35" s="86">
        <f t="shared" si="171"/>
        <v>16666.666666666668</v>
      </c>
      <c r="BO35" s="86">
        <f t="shared" si="171"/>
        <v>16666.666666666668</v>
      </c>
      <c r="BP35" s="86">
        <f t="shared" si="171"/>
        <v>16666.666666666668</v>
      </c>
      <c r="BQ35" s="86">
        <f t="shared" si="171"/>
        <v>16666.666666666668</v>
      </c>
      <c r="BR35" s="86">
        <f>SUM(G35:BQ35)</f>
        <v>1400000.0000000005</v>
      </c>
    </row>
    <row r="36" spans="1:70" s="141" customFormat="1" x14ac:dyDescent="0.3">
      <c r="A36" s="90">
        <f>+'CC D'!A33</f>
        <v>3.2</v>
      </c>
      <c r="B36" s="79" t="str">
        <f>+'CC D'!B33</f>
        <v>Auditoria, Monitoreo y Evaluación desarrollados</v>
      </c>
      <c r="C36" s="79"/>
      <c r="D36" s="82">
        <f>+PEP!H50</f>
        <v>100000</v>
      </c>
      <c r="E36" s="82">
        <f>+PEP!I50</f>
        <v>0</v>
      </c>
      <c r="F36" s="82">
        <f>+PEP!J50</f>
        <v>100000</v>
      </c>
      <c r="G36" s="82">
        <f>+G37</f>
        <v>0</v>
      </c>
      <c r="H36" s="82">
        <f t="shared" ref="H36:BQ36" si="172">+H37</f>
        <v>0</v>
      </c>
      <c r="I36" s="82">
        <f t="shared" si="172"/>
        <v>0</v>
      </c>
      <c r="J36" s="82">
        <f t="shared" si="172"/>
        <v>0</v>
      </c>
      <c r="K36" s="82">
        <f t="shared" si="172"/>
        <v>0</v>
      </c>
      <c r="L36" s="82">
        <f t="shared" si="172"/>
        <v>0</v>
      </c>
      <c r="M36" s="82">
        <f t="shared" si="172"/>
        <v>0</v>
      </c>
      <c r="N36" s="82">
        <f t="shared" si="172"/>
        <v>0</v>
      </c>
      <c r="O36" s="82">
        <f t="shared" si="172"/>
        <v>0</v>
      </c>
      <c r="P36" s="82">
        <f t="shared" si="172"/>
        <v>0</v>
      </c>
      <c r="Q36" s="82">
        <f t="shared" si="172"/>
        <v>0</v>
      </c>
      <c r="R36" s="82">
        <f t="shared" si="172"/>
        <v>0</v>
      </c>
      <c r="S36" s="82">
        <v>0</v>
      </c>
      <c r="T36" s="82">
        <v>0</v>
      </c>
      <c r="U36" s="82">
        <v>0</v>
      </c>
      <c r="V36" s="82">
        <f t="shared" si="172"/>
        <v>0</v>
      </c>
      <c r="W36" s="82">
        <f t="shared" si="172"/>
        <v>4000</v>
      </c>
      <c r="X36" s="82">
        <f t="shared" si="172"/>
        <v>0</v>
      </c>
      <c r="Y36" s="82">
        <f t="shared" si="172"/>
        <v>8000</v>
      </c>
      <c r="Z36" s="82">
        <f t="shared" si="172"/>
        <v>0</v>
      </c>
      <c r="AA36" s="82">
        <f t="shared" si="172"/>
        <v>8000</v>
      </c>
      <c r="AB36" s="82">
        <f t="shared" si="172"/>
        <v>0</v>
      </c>
      <c r="AC36" s="82">
        <f t="shared" si="172"/>
        <v>0</v>
      </c>
      <c r="AD36" s="82">
        <f t="shared" si="172"/>
        <v>0</v>
      </c>
      <c r="AE36" s="82">
        <f t="shared" si="172"/>
        <v>0</v>
      </c>
      <c r="AF36" s="82">
        <f t="shared" si="172"/>
        <v>0</v>
      </c>
      <c r="AG36" s="82">
        <f t="shared" si="172"/>
        <v>0</v>
      </c>
      <c r="AH36" s="82">
        <f t="shared" si="172"/>
        <v>0</v>
      </c>
      <c r="AI36" s="82">
        <f t="shared" si="172"/>
        <v>4000</v>
      </c>
      <c r="AJ36" s="82">
        <f t="shared" si="172"/>
        <v>0</v>
      </c>
      <c r="AK36" s="82">
        <f t="shared" si="172"/>
        <v>8000</v>
      </c>
      <c r="AL36" s="82">
        <f t="shared" si="172"/>
        <v>0</v>
      </c>
      <c r="AM36" s="82">
        <f t="shared" si="172"/>
        <v>8000</v>
      </c>
      <c r="AN36" s="82">
        <f t="shared" si="172"/>
        <v>0</v>
      </c>
      <c r="AO36" s="82">
        <f t="shared" si="172"/>
        <v>0</v>
      </c>
      <c r="AP36" s="82">
        <f t="shared" si="172"/>
        <v>0</v>
      </c>
      <c r="AQ36" s="82">
        <f t="shared" si="172"/>
        <v>0</v>
      </c>
      <c r="AR36" s="82">
        <f t="shared" si="172"/>
        <v>0</v>
      </c>
      <c r="AS36" s="82">
        <f t="shared" si="172"/>
        <v>0</v>
      </c>
      <c r="AT36" s="82">
        <f t="shared" si="172"/>
        <v>0</v>
      </c>
      <c r="AU36" s="82">
        <f t="shared" si="172"/>
        <v>4000</v>
      </c>
      <c r="AV36" s="82">
        <f t="shared" si="172"/>
        <v>0</v>
      </c>
      <c r="AW36" s="82">
        <f t="shared" si="172"/>
        <v>8000</v>
      </c>
      <c r="AX36" s="82">
        <f t="shared" si="172"/>
        <v>0</v>
      </c>
      <c r="AY36" s="82">
        <f t="shared" si="172"/>
        <v>8000</v>
      </c>
      <c r="AZ36" s="82">
        <f t="shared" si="172"/>
        <v>0</v>
      </c>
      <c r="BA36" s="82">
        <f t="shared" si="172"/>
        <v>0</v>
      </c>
      <c r="BB36" s="82">
        <f t="shared" si="172"/>
        <v>0</v>
      </c>
      <c r="BC36" s="82">
        <f t="shared" si="172"/>
        <v>0</v>
      </c>
      <c r="BD36" s="82">
        <f t="shared" si="172"/>
        <v>0</v>
      </c>
      <c r="BE36" s="82">
        <f t="shared" si="172"/>
        <v>0</v>
      </c>
      <c r="BF36" s="82">
        <f t="shared" si="172"/>
        <v>0</v>
      </c>
      <c r="BG36" s="82">
        <f t="shared" si="172"/>
        <v>4000</v>
      </c>
      <c r="BH36" s="82">
        <f t="shared" si="172"/>
        <v>0</v>
      </c>
      <c r="BI36" s="82">
        <f t="shared" si="172"/>
        <v>8000</v>
      </c>
      <c r="BJ36" s="82">
        <f t="shared" si="172"/>
        <v>0</v>
      </c>
      <c r="BK36" s="82">
        <f t="shared" si="172"/>
        <v>8000</v>
      </c>
      <c r="BL36" s="82">
        <f t="shared" si="172"/>
        <v>0</v>
      </c>
      <c r="BM36" s="82">
        <f t="shared" si="172"/>
        <v>4000</v>
      </c>
      <c r="BN36" s="82">
        <f t="shared" si="172"/>
        <v>0</v>
      </c>
      <c r="BO36" s="82">
        <f t="shared" si="172"/>
        <v>8000</v>
      </c>
      <c r="BP36" s="82">
        <f t="shared" si="172"/>
        <v>0</v>
      </c>
      <c r="BQ36" s="82">
        <f t="shared" si="172"/>
        <v>8000</v>
      </c>
      <c r="BR36" s="82">
        <f>+BR37</f>
        <v>100000</v>
      </c>
    </row>
    <row r="37" spans="1:70" s="141" customFormat="1" x14ac:dyDescent="0.3">
      <c r="A37" s="149" t="str">
        <f>+'CC D'!A34</f>
        <v>3.2.1</v>
      </c>
      <c r="B37" s="84" t="str">
        <f>+'CC D'!B34</f>
        <v>Contratación de Firma Consultora para la Auditoria Externa del Programa</v>
      </c>
      <c r="C37" s="84"/>
      <c r="D37" s="86">
        <f>+PEP!H51</f>
        <v>100000</v>
      </c>
      <c r="E37" s="86">
        <f>+PEP!I51</f>
        <v>0</v>
      </c>
      <c r="F37" s="86">
        <f>+PEP!J51</f>
        <v>100000</v>
      </c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>
        <v>0</v>
      </c>
      <c r="T37" s="86">
        <v>0</v>
      </c>
      <c r="U37" s="86">
        <v>0</v>
      </c>
      <c r="V37" s="86"/>
      <c r="W37" s="86">
        <f>+($F37/5)*0.2</f>
        <v>4000</v>
      </c>
      <c r="X37" s="86"/>
      <c r="Y37" s="86">
        <f>+($F37/5)*0.4</f>
        <v>8000</v>
      </c>
      <c r="Z37" s="86"/>
      <c r="AA37" s="86">
        <f>+($F37/5)*0.4</f>
        <v>8000</v>
      </c>
      <c r="AB37" s="86"/>
      <c r="AC37" s="86"/>
      <c r="AD37" s="86"/>
      <c r="AE37" s="86"/>
      <c r="AF37" s="86"/>
      <c r="AG37" s="86"/>
      <c r="AH37" s="86"/>
      <c r="AI37" s="86">
        <f>+($F37/5)*0.2</f>
        <v>4000</v>
      </c>
      <c r="AJ37" s="86"/>
      <c r="AK37" s="86">
        <f>+($F37/5)*0.4</f>
        <v>8000</v>
      </c>
      <c r="AL37" s="86"/>
      <c r="AM37" s="86">
        <f>+($F37/5)*0.4</f>
        <v>8000</v>
      </c>
      <c r="AN37" s="86"/>
      <c r="AO37" s="86"/>
      <c r="AP37" s="86"/>
      <c r="AQ37" s="86"/>
      <c r="AR37" s="86"/>
      <c r="AS37" s="86"/>
      <c r="AT37" s="86"/>
      <c r="AU37" s="86">
        <f>+($F37/5)*0.2</f>
        <v>4000</v>
      </c>
      <c r="AV37" s="86"/>
      <c r="AW37" s="86">
        <f>+($F37/5)*0.4</f>
        <v>8000</v>
      </c>
      <c r="AX37" s="86"/>
      <c r="AY37" s="86">
        <f>+($F37/5)*0.4</f>
        <v>8000</v>
      </c>
      <c r="AZ37" s="86"/>
      <c r="BA37" s="86"/>
      <c r="BB37" s="86"/>
      <c r="BC37" s="86"/>
      <c r="BD37" s="86"/>
      <c r="BE37" s="86"/>
      <c r="BF37" s="86"/>
      <c r="BG37" s="86">
        <f>+($F37/5)*0.2</f>
        <v>4000</v>
      </c>
      <c r="BH37" s="86"/>
      <c r="BI37" s="86">
        <f>+($F37/5)*0.4</f>
        <v>8000</v>
      </c>
      <c r="BJ37" s="86"/>
      <c r="BK37" s="86">
        <f>+($F37/5)*0.4</f>
        <v>8000</v>
      </c>
      <c r="BL37" s="86"/>
      <c r="BM37" s="86">
        <f>+($F37/5)*0.2</f>
        <v>4000</v>
      </c>
      <c r="BN37" s="86"/>
      <c r="BO37" s="86">
        <f>+($F37/5)*0.4</f>
        <v>8000</v>
      </c>
      <c r="BP37" s="86"/>
      <c r="BQ37" s="86">
        <f>+($F37/5)*0.4</f>
        <v>8000</v>
      </c>
      <c r="BR37" s="86">
        <f>SUM(G37:BQ37)</f>
        <v>100000</v>
      </c>
    </row>
    <row r="38" spans="1:70" x14ac:dyDescent="0.3">
      <c r="A38" s="143"/>
      <c r="B38" s="144" t="s">
        <v>256</v>
      </c>
      <c r="C38" s="144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  <c r="AA38" s="145">
        <f>SUM(G11:AA11)</f>
        <v>139260253.84615386</v>
      </c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>
        <f>SUM(AB11:AM11)</f>
        <v>109239380.76923077</v>
      </c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>
        <f>SUM(AN11:AY11)</f>
        <v>91009438.461538464</v>
      </c>
      <c r="AZ38" s="145"/>
      <c r="BA38" s="145"/>
      <c r="BB38" s="145"/>
      <c r="BC38" s="145"/>
      <c r="BD38" s="145"/>
      <c r="BE38" s="145"/>
      <c r="BF38" s="145"/>
      <c r="BG38" s="145"/>
      <c r="BH38" s="145"/>
      <c r="BI38" s="145"/>
      <c r="BJ38" s="145"/>
      <c r="BK38" s="145">
        <f>SUM(AZ11:BK11)</f>
        <v>13464461.538461538</v>
      </c>
      <c r="BL38" s="145"/>
      <c r="BM38" s="145"/>
      <c r="BN38" s="145"/>
      <c r="BO38" s="145"/>
      <c r="BP38" s="145"/>
      <c r="BQ38" s="145">
        <f>SUM(BL11:BQ11)</f>
        <v>120000.00000000001</v>
      </c>
      <c r="BR38" s="145">
        <f>SUM(G38:BQ38)</f>
        <v>353093534.6153847</v>
      </c>
    </row>
  </sheetData>
  <mergeCells count="28">
    <mergeCell ref="BO8:BQ8"/>
    <mergeCell ref="AN8:AP8"/>
    <mergeCell ref="A7:B10"/>
    <mergeCell ref="V7:AG7"/>
    <mergeCell ref="AH7:AS7"/>
    <mergeCell ref="V8:X8"/>
    <mergeCell ref="Y8:AA8"/>
    <mergeCell ref="AB8:AD8"/>
    <mergeCell ref="AE8:AG8"/>
    <mergeCell ref="AH8:AJ8"/>
    <mergeCell ref="AQ8:AS8"/>
    <mergeCell ref="AT7:BE7"/>
    <mergeCell ref="BF7:BQ7"/>
    <mergeCell ref="G8:I8"/>
    <mergeCell ref="J8:L8"/>
    <mergeCell ref="M8:O8"/>
    <mergeCell ref="C7:C10"/>
    <mergeCell ref="A4:B4"/>
    <mergeCell ref="BF8:BH8"/>
    <mergeCell ref="BI8:BK8"/>
    <mergeCell ref="BL8:BN8"/>
    <mergeCell ref="P8:R8"/>
    <mergeCell ref="AK8:AM8"/>
    <mergeCell ref="AT8:AV8"/>
    <mergeCell ref="AW8:AY8"/>
    <mergeCell ref="AZ8:BB8"/>
    <mergeCell ref="BC8:BE8"/>
    <mergeCell ref="G7:U7"/>
  </mergeCells>
  <pageMargins left="0.31496062992125984" right="0.31496062992125984" top="0.27559055118110237" bottom="0.27559055118110237" header="0.31496062992125984" footer="0.31496062992125984"/>
  <pageSetup paperSize="9" scale="53" orientation="landscape" r:id="rId1"/>
  <colBreaks count="4" manualBreakCount="4">
    <brk id="21" max="126" man="1"/>
    <brk id="33" max="126" man="1"/>
    <brk id="45" max="126" man="1"/>
    <brk id="57" max="12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8"/>
  <sheetViews>
    <sheetView showGridLines="0" topLeftCell="A7" zoomScale="70" zoomScaleNormal="70" zoomScaleSheetLayoutView="80" workbookViewId="0">
      <selection activeCell="C33" sqref="C33"/>
    </sheetView>
  </sheetViews>
  <sheetFormatPr defaultColWidth="9.109375" defaultRowHeight="13.8" x14ac:dyDescent="0.3"/>
  <cols>
    <col min="1" max="1" width="8.88671875" style="146" customWidth="1"/>
    <col min="2" max="3" width="57.88671875" style="130" customWidth="1"/>
    <col min="4" max="6" width="14.109375" style="233" customWidth="1"/>
    <col min="7" max="8" width="15.44140625" style="233" customWidth="1"/>
    <col min="9" max="9" width="15.44140625" style="518" customWidth="1"/>
    <col min="10" max="11" width="15.44140625" style="233" customWidth="1"/>
    <col min="12" max="12" width="15.44140625" style="518" customWidth="1"/>
    <col min="13" max="14" width="15.44140625" style="233" customWidth="1"/>
    <col min="15" max="15" width="15.44140625" style="518" customWidth="1"/>
    <col min="16" max="17" width="15.44140625" style="233" customWidth="1"/>
    <col min="18" max="18" width="15.44140625" style="518" customWidth="1"/>
    <col min="19" max="20" width="15.44140625" style="233" customWidth="1"/>
    <col min="21" max="21" width="15.44140625" style="518" customWidth="1"/>
    <col min="22" max="22" width="11.44140625" style="130" bestFit="1" customWidth="1"/>
    <col min="23" max="16384" width="9.109375" style="130"/>
  </cols>
  <sheetData>
    <row r="1" spans="1:21" ht="14.4" x14ac:dyDescent="0.3">
      <c r="A1" s="230" t="s">
        <v>257</v>
      </c>
      <c r="B1" s="231"/>
      <c r="C1" s="231"/>
      <c r="D1" s="232"/>
      <c r="E1" s="232"/>
      <c r="F1" s="232"/>
      <c r="G1" s="232"/>
      <c r="H1" s="232"/>
      <c r="I1" s="232"/>
    </row>
    <row r="2" spans="1:21" ht="14.4" x14ac:dyDescent="0.3">
      <c r="A2" s="230" t="s">
        <v>1</v>
      </c>
      <c r="B2" s="231"/>
      <c r="C2" s="231"/>
      <c r="D2" s="232"/>
      <c r="E2" s="232"/>
      <c r="F2" s="232"/>
      <c r="G2" s="232"/>
      <c r="H2" s="232"/>
      <c r="I2" s="232"/>
    </row>
    <row r="3" spans="1:21" ht="14.4" x14ac:dyDescent="0.3">
      <c r="A3" s="230"/>
      <c r="B3" s="234"/>
      <c r="C3" s="234"/>
      <c r="D3" s="235"/>
      <c r="E3" s="235"/>
      <c r="F3" s="235"/>
      <c r="G3" s="235"/>
      <c r="H3" s="235"/>
      <c r="I3" s="235"/>
    </row>
    <row r="4" spans="1:21" ht="14.4" x14ac:dyDescent="0.3">
      <c r="A4" s="230" t="str">
        <f>+'PF M BID'!A4:B4</f>
        <v>Programa de Conectividad y Seguridad en Corredores Viales de la Provincia de Buenos Aires</v>
      </c>
      <c r="B4" s="231"/>
      <c r="C4" s="231"/>
      <c r="D4" s="232"/>
      <c r="E4" s="232"/>
      <c r="F4" s="232"/>
      <c r="G4" s="232"/>
      <c r="H4" s="232"/>
      <c r="I4" s="232"/>
    </row>
    <row r="5" spans="1:21" ht="14.4" x14ac:dyDescent="0.3">
      <c r="A5" s="230"/>
      <c r="B5" s="234"/>
      <c r="C5" s="234"/>
      <c r="D5" s="235"/>
      <c r="E5" s="235"/>
      <c r="F5" s="235"/>
      <c r="G5" s="235"/>
      <c r="H5" s="235"/>
      <c r="I5" s="235"/>
    </row>
    <row r="6" spans="1:21" ht="14.4" x14ac:dyDescent="0.3">
      <c r="A6" s="230" t="s">
        <v>186</v>
      </c>
      <c r="B6" s="231"/>
      <c r="C6" s="231"/>
      <c r="D6" s="232"/>
      <c r="E6" s="232"/>
      <c r="F6" s="232"/>
      <c r="G6" s="232"/>
      <c r="H6" s="232"/>
      <c r="I6" s="232"/>
    </row>
    <row r="7" spans="1:21" ht="14.4" thickBot="1" x14ac:dyDescent="0.35"/>
    <row r="8" spans="1:21" s="139" customFormat="1" ht="14.4" thickBot="1" x14ac:dyDescent="0.35">
      <c r="A8" s="573" t="s">
        <v>258</v>
      </c>
      <c r="B8" s="574"/>
      <c r="C8" s="574" t="str">
        <f>+'CC D'!C7</f>
        <v>Producto de Matriz de Resultados Asociado</v>
      </c>
      <c r="D8" s="570" t="s">
        <v>259</v>
      </c>
      <c r="E8" s="571"/>
      <c r="F8" s="572"/>
      <c r="G8" s="570" t="s">
        <v>6</v>
      </c>
      <c r="H8" s="571"/>
      <c r="I8" s="572"/>
      <c r="J8" s="570" t="s">
        <v>7</v>
      </c>
      <c r="K8" s="571"/>
      <c r="L8" s="572"/>
      <c r="M8" s="570" t="s">
        <v>8</v>
      </c>
      <c r="N8" s="571"/>
      <c r="O8" s="572"/>
      <c r="P8" s="570" t="s">
        <v>9</v>
      </c>
      <c r="Q8" s="571"/>
      <c r="R8" s="572"/>
      <c r="S8" s="568" t="s">
        <v>10</v>
      </c>
      <c r="T8" s="569"/>
      <c r="U8" s="569"/>
    </row>
    <row r="9" spans="1:21" s="139" customFormat="1" x14ac:dyDescent="0.3">
      <c r="A9" s="517"/>
      <c r="B9" s="517"/>
      <c r="C9" s="575"/>
      <c r="D9" s="236" t="s">
        <v>16</v>
      </c>
      <c r="E9" s="236" t="s">
        <v>17</v>
      </c>
      <c r="F9" s="236" t="s">
        <v>18</v>
      </c>
      <c r="G9" s="503" t="s">
        <v>16</v>
      </c>
      <c r="H9" s="503" t="s">
        <v>17</v>
      </c>
      <c r="I9" s="503" t="s">
        <v>260</v>
      </c>
      <c r="J9" s="503" t="s">
        <v>16</v>
      </c>
      <c r="K9" s="503" t="s">
        <v>17</v>
      </c>
      <c r="L9" s="503" t="s">
        <v>260</v>
      </c>
      <c r="M9" s="503" t="s">
        <v>16</v>
      </c>
      <c r="N9" s="503" t="s">
        <v>17</v>
      </c>
      <c r="O9" s="503" t="s">
        <v>260</v>
      </c>
      <c r="P9" s="503" t="s">
        <v>16</v>
      </c>
      <c r="Q9" s="503" t="s">
        <v>17</v>
      </c>
      <c r="R9" s="503" t="s">
        <v>260</v>
      </c>
      <c r="S9" s="503" t="s">
        <v>16</v>
      </c>
      <c r="T9" s="503" t="s">
        <v>17</v>
      </c>
      <c r="U9" s="503" t="s">
        <v>260</v>
      </c>
    </row>
    <row r="10" spans="1:21" x14ac:dyDescent="0.3">
      <c r="A10" s="508">
        <f>+'PF M BID'!A12</f>
        <v>1</v>
      </c>
      <c r="B10" s="509" t="str">
        <f>+'PF M BID'!B12</f>
        <v>Componente 1. Obras Civiles e Inspección</v>
      </c>
      <c r="C10" s="509"/>
      <c r="D10" s="504">
        <f>+D11+D13+D15</f>
        <v>187700000</v>
      </c>
      <c r="E10" s="504">
        <f t="shared" ref="E10:F10" si="0">+E11+E13+E15</f>
        <v>80000000</v>
      </c>
      <c r="F10" s="504">
        <f t="shared" si="0"/>
        <v>267700000</v>
      </c>
      <c r="G10" s="504">
        <f t="shared" ref="G10:T10" si="1">+G11+G13+G15</f>
        <v>24709534.615384631</v>
      </c>
      <c r="H10" s="504">
        <f t="shared" si="1"/>
        <v>9959999.9999999851</v>
      </c>
      <c r="I10" s="504">
        <f t="shared" si="1"/>
        <v>34669534.615384616</v>
      </c>
      <c r="J10" s="504">
        <f t="shared" si="1"/>
        <v>63240792.307692334</v>
      </c>
      <c r="K10" s="504">
        <f t="shared" si="1"/>
        <v>26439999.99999997</v>
      </c>
      <c r="L10" s="504">
        <f t="shared" ref="L10" si="2">+L11+L13+L15</f>
        <v>89680792.307692304</v>
      </c>
      <c r="M10" s="504">
        <f t="shared" si="1"/>
        <v>57174673.076923087</v>
      </c>
      <c r="N10" s="504">
        <f t="shared" si="1"/>
        <v>24799999.999999993</v>
      </c>
      <c r="O10" s="504">
        <f t="shared" ref="O10" si="3">+O11+O13+O15</f>
        <v>81974673.076923072</v>
      </c>
      <c r="P10" s="504">
        <f t="shared" si="1"/>
        <v>42516326.92307692</v>
      </c>
      <c r="Q10" s="504">
        <f t="shared" si="1"/>
        <v>18800000</v>
      </c>
      <c r="R10" s="504">
        <f t="shared" ref="R10" si="4">+R11+R13+R15</f>
        <v>61316326.92307692</v>
      </c>
      <c r="S10" s="504">
        <f t="shared" si="1"/>
        <v>58673.076923076922</v>
      </c>
      <c r="T10" s="504">
        <f t="shared" si="1"/>
        <v>0</v>
      </c>
      <c r="U10" s="504">
        <f t="shared" ref="U10" si="5">+U11+U13+U15</f>
        <v>58673.076923076922</v>
      </c>
    </row>
    <row r="11" spans="1:21" x14ac:dyDescent="0.3">
      <c r="A11" s="510">
        <f>+'PF M BID'!A13</f>
        <v>1.1000000000000001</v>
      </c>
      <c r="B11" s="511" t="str">
        <f>+'PF M BID'!B13</f>
        <v>Mejoramiento de la RP Nº 41</v>
      </c>
      <c r="C11" s="511"/>
      <c r="D11" s="505">
        <f>+D12</f>
        <v>72000000</v>
      </c>
      <c r="E11" s="505">
        <f t="shared" ref="E11:F11" si="6">+E12</f>
        <v>30000000</v>
      </c>
      <c r="F11" s="505">
        <f t="shared" si="6"/>
        <v>102000000</v>
      </c>
      <c r="G11" s="505">
        <f t="shared" ref="G11:U11" si="7">+G12</f>
        <v>23904000.000000015</v>
      </c>
      <c r="H11" s="505">
        <f t="shared" si="7"/>
        <v>9959999.9999999851</v>
      </c>
      <c r="I11" s="505">
        <f t="shared" si="7"/>
        <v>33864000</v>
      </c>
      <c r="J11" s="505">
        <f t="shared" si="7"/>
        <v>39456000.00000003</v>
      </c>
      <c r="K11" s="505">
        <f t="shared" si="7"/>
        <v>16439999.99999997</v>
      </c>
      <c r="L11" s="505">
        <f t="shared" si="7"/>
        <v>55896000</v>
      </c>
      <c r="M11" s="505">
        <f t="shared" si="7"/>
        <v>8640000.0000000056</v>
      </c>
      <c r="N11" s="505">
        <f t="shared" si="7"/>
        <v>3599999.9999999944</v>
      </c>
      <c r="O11" s="505">
        <f t="shared" si="7"/>
        <v>12240000</v>
      </c>
      <c r="P11" s="505">
        <f t="shared" si="7"/>
        <v>0</v>
      </c>
      <c r="Q11" s="505">
        <f t="shared" si="7"/>
        <v>0</v>
      </c>
      <c r="R11" s="505">
        <f t="shared" si="7"/>
        <v>0</v>
      </c>
      <c r="S11" s="505">
        <f t="shared" si="7"/>
        <v>0</v>
      </c>
      <c r="T11" s="505">
        <f t="shared" si="7"/>
        <v>0</v>
      </c>
      <c r="U11" s="505">
        <f t="shared" si="7"/>
        <v>0</v>
      </c>
    </row>
    <row r="12" spans="1:21" ht="27.6" x14ac:dyDescent="0.3">
      <c r="A12" s="512" t="str">
        <f>+'PF M BID'!A14</f>
        <v>1.1.1</v>
      </c>
      <c r="B12" s="513" t="str">
        <f>+'PF M BID'!B14</f>
        <v>Contratación de Firma Constructora para las Obras de Mejoramiento de la Ruta Nº 41</v>
      </c>
      <c r="C12" s="513" t="str">
        <f>+'CC D'!C11</f>
        <v>Km de carreteras de la RP Nº41 mejoradas por el programa</v>
      </c>
      <c r="D12" s="514">
        <f>+PEP!H28</f>
        <v>72000000</v>
      </c>
      <c r="E12" s="514">
        <f>+PEP!I28</f>
        <v>30000000</v>
      </c>
      <c r="F12" s="514">
        <f>+PEP!J28</f>
        <v>102000000</v>
      </c>
      <c r="G12" s="506">
        <f>+I12*(0.705882352941177)</f>
        <v>23904000.000000015</v>
      </c>
      <c r="H12" s="506">
        <f>+I12-G12</f>
        <v>9959999.9999999851</v>
      </c>
      <c r="I12" s="519">
        <f>+SUM('PF M BID'!G14:R14)</f>
        <v>33864000</v>
      </c>
      <c r="J12" s="506">
        <f>+L12*(0.705882352941177)</f>
        <v>39456000.00000003</v>
      </c>
      <c r="K12" s="506">
        <f>+L12-J12</f>
        <v>16439999.99999997</v>
      </c>
      <c r="L12" s="519">
        <f>+SUM('PF M BID'!V14:AG14)</f>
        <v>55896000</v>
      </c>
      <c r="M12" s="506">
        <f>+O12*(0.705882352941177)</f>
        <v>8640000.0000000056</v>
      </c>
      <c r="N12" s="506">
        <f>+O12-M12</f>
        <v>3599999.9999999944</v>
      </c>
      <c r="O12" s="519">
        <f>+SUM('PF M BID'!AH14:AS14)</f>
        <v>12240000</v>
      </c>
      <c r="P12" s="506">
        <f>+R12*(0.705882352941177)</f>
        <v>0</v>
      </c>
      <c r="Q12" s="506">
        <f>+R12-P12</f>
        <v>0</v>
      </c>
      <c r="R12" s="519">
        <f>SUM('PF M BID'!AT14:BE14)</f>
        <v>0</v>
      </c>
      <c r="S12" s="506">
        <f>+U12*(0.705882352941177)</f>
        <v>0</v>
      </c>
      <c r="T12" s="506">
        <f>+U12-S12</f>
        <v>0</v>
      </c>
      <c r="U12" s="519">
        <f>SUM('PF M BID'!BF14:BQ14)</f>
        <v>0</v>
      </c>
    </row>
    <row r="13" spans="1:21" x14ac:dyDescent="0.3">
      <c r="A13" s="510">
        <f>+'PF M BID'!A15</f>
        <v>1.2</v>
      </c>
      <c r="B13" s="511" t="str">
        <f>+'PF M BID'!B15</f>
        <v>Otras Obras de mejoramiento</v>
      </c>
      <c r="C13" s="511"/>
      <c r="D13" s="505">
        <f>+PEP!H29</f>
        <v>110000000</v>
      </c>
      <c r="E13" s="505">
        <f>+PEP!I29</f>
        <v>50000000</v>
      </c>
      <c r="F13" s="505">
        <f>+PEP!J29</f>
        <v>160000000</v>
      </c>
      <c r="G13" s="505">
        <f t="shared" ref="G13:U13" si="8">+G14</f>
        <v>0</v>
      </c>
      <c r="H13" s="505">
        <f t="shared" si="8"/>
        <v>0</v>
      </c>
      <c r="I13" s="505">
        <f t="shared" si="8"/>
        <v>0</v>
      </c>
      <c r="J13" s="505">
        <f t="shared" si="8"/>
        <v>22000000</v>
      </c>
      <c r="K13" s="505">
        <f t="shared" si="8"/>
        <v>10000000</v>
      </c>
      <c r="L13" s="505">
        <f t="shared" si="8"/>
        <v>32000000</v>
      </c>
      <c r="M13" s="505">
        <f t="shared" si="8"/>
        <v>46640000</v>
      </c>
      <c r="N13" s="505">
        <f t="shared" si="8"/>
        <v>21200000</v>
      </c>
      <c r="O13" s="505">
        <f t="shared" si="8"/>
        <v>67840000</v>
      </c>
      <c r="P13" s="505">
        <f t="shared" si="8"/>
        <v>41360000</v>
      </c>
      <c r="Q13" s="505">
        <f t="shared" si="8"/>
        <v>18800000</v>
      </c>
      <c r="R13" s="505">
        <f t="shared" si="8"/>
        <v>60160000</v>
      </c>
      <c r="S13" s="505">
        <f t="shared" si="8"/>
        <v>0</v>
      </c>
      <c r="T13" s="505">
        <f t="shared" si="8"/>
        <v>0</v>
      </c>
      <c r="U13" s="505">
        <f t="shared" si="8"/>
        <v>0</v>
      </c>
    </row>
    <row r="14" spans="1:21" ht="27.6" x14ac:dyDescent="0.3">
      <c r="A14" s="512" t="str">
        <f>+'PF M BID'!A16</f>
        <v>1.2.1</v>
      </c>
      <c r="B14" s="513" t="str">
        <f>+'PF M BID'!B16</f>
        <v>Contratación de Firma Constructora para las Obras de Mejoramiento de la red vial principal de la PBA (Tramo según criterio de elegibilidad)</v>
      </c>
      <c r="C14" s="513" t="str">
        <f>+'CC D'!C13</f>
        <v>Km de carreteras de la red vial primaria provincial mejoradas por el programa (otras obras)</v>
      </c>
      <c r="D14" s="514">
        <f>+PEP!H30</f>
        <v>110000000</v>
      </c>
      <c r="E14" s="514">
        <f>+PEP!I30</f>
        <v>50000000</v>
      </c>
      <c r="F14" s="514">
        <f>+PEP!J30</f>
        <v>160000000</v>
      </c>
      <c r="G14" s="506">
        <f>+I14*(0.6875)</f>
        <v>0</v>
      </c>
      <c r="H14" s="506">
        <f>+I14-G14</f>
        <v>0</v>
      </c>
      <c r="I14" s="519">
        <f>+SUM('PF M BID'!G16:R16)</f>
        <v>0</v>
      </c>
      <c r="J14" s="506">
        <f>+L14*(0.6875)</f>
        <v>22000000</v>
      </c>
      <c r="K14" s="506">
        <f>+L14-J14</f>
        <v>10000000</v>
      </c>
      <c r="L14" s="519">
        <f>+SUM('PF M BID'!V16:AG16)</f>
        <v>32000000</v>
      </c>
      <c r="M14" s="506">
        <f>+O14*(0.6875)</f>
        <v>46640000</v>
      </c>
      <c r="N14" s="506">
        <f>+O14-M14</f>
        <v>21200000</v>
      </c>
      <c r="O14" s="519">
        <f>+SUM('PF M BID'!AH16:AS16)</f>
        <v>67840000</v>
      </c>
      <c r="P14" s="506">
        <f>+R14*(0.6875)</f>
        <v>41360000</v>
      </c>
      <c r="Q14" s="506">
        <f>+R14-P14</f>
        <v>18800000</v>
      </c>
      <c r="R14" s="519">
        <f>SUM('PF M BID'!AT16:BE16)</f>
        <v>60160000</v>
      </c>
      <c r="S14" s="506">
        <f>+U14*(0.6875)</f>
        <v>0</v>
      </c>
      <c r="T14" s="506">
        <f>+U14-S14</f>
        <v>0</v>
      </c>
      <c r="U14" s="519">
        <f>SUM('PF M BID'!BF16:BQ16)</f>
        <v>0</v>
      </c>
    </row>
    <row r="15" spans="1:21" x14ac:dyDescent="0.3">
      <c r="A15" s="510">
        <f>+'PF M BID'!A17</f>
        <v>1.3</v>
      </c>
      <c r="B15" s="511" t="str">
        <f>+'PF M BID'!B17</f>
        <v>Inspección de Obras</v>
      </c>
      <c r="C15" s="511"/>
      <c r="D15" s="505">
        <f>+PEP!H31</f>
        <v>5700000</v>
      </c>
      <c r="E15" s="505">
        <f>+PEP!I31</f>
        <v>0</v>
      </c>
      <c r="F15" s="505">
        <f>+PEP!J31</f>
        <v>5700000</v>
      </c>
      <c r="G15" s="505">
        <f t="shared" ref="G15:U15" si="9">+G16+G17</f>
        <v>805534.61538461549</v>
      </c>
      <c r="H15" s="505">
        <f t="shared" si="9"/>
        <v>0</v>
      </c>
      <c r="I15" s="505">
        <f t="shared" si="9"/>
        <v>805534.61538461549</v>
      </c>
      <c r="J15" s="505">
        <f t="shared" si="9"/>
        <v>1784792.3076923077</v>
      </c>
      <c r="K15" s="505">
        <f t="shared" si="9"/>
        <v>0</v>
      </c>
      <c r="L15" s="505">
        <f t="shared" si="9"/>
        <v>1784792.3076923077</v>
      </c>
      <c r="M15" s="505">
        <f t="shared" si="9"/>
        <v>1894673.076923077</v>
      </c>
      <c r="N15" s="505">
        <f t="shared" si="9"/>
        <v>0</v>
      </c>
      <c r="O15" s="505">
        <f t="shared" si="9"/>
        <v>1894673.076923077</v>
      </c>
      <c r="P15" s="505">
        <f t="shared" si="9"/>
        <v>1156326.923076923</v>
      </c>
      <c r="Q15" s="505">
        <f t="shared" si="9"/>
        <v>0</v>
      </c>
      <c r="R15" s="505">
        <f t="shared" si="9"/>
        <v>1156326.923076923</v>
      </c>
      <c r="S15" s="505">
        <f t="shared" si="9"/>
        <v>58673.076923076922</v>
      </c>
      <c r="T15" s="505">
        <f t="shared" si="9"/>
        <v>0</v>
      </c>
      <c r="U15" s="505">
        <f t="shared" si="9"/>
        <v>58673.076923076922</v>
      </c>
    </row>
    <row r="16" spans="1:21" ht="27.6" x14ac:dyDescent="0.3">
      <c r="A16" s="512" t="str">
        <f>+'PF M BID'!A18</f>
        <v>1.3.1</v>
      </c>
      <c r="B16" s="513" t="str">
        <f>+'PF M BID'!B18</f>
        <v>Contratación de Firmas Consultoras para la inspección de las Obras de la muestra del programa</v>
      </c>
      <c r="C16" s="513" t="str">
        <f>+'CC D'!C15</f>
        <v>Km de carreteras de la RP Nº41 mejoradas por el programa</v>
      </c>
      <c r="D16" s="514">
        <f>+PEP!H32</f>
        <v>2700000</v>
      </c>
      <c r="E16" s="514">
        <f>+PEP!I32</f>
        <v>0</v>
      </c>
      <c r="F16" s="514">
        <f>+PEP!J32</f>
        <v>2700000</v>
      </c>
      <c r="G16" s="506">
        <f>+I16</f>
        <v>805534.61538461549</v>
      </c>
      <c r="H16" s="506">
        <v>0</v>
      </c>
      <c r="I16" s="519">
        <f>+SUM('PF M BID'!G18:R18)</f>
        <v>805534.61538461549</v>
      </c>
      <c r="J16" s="506">
        <f>+L16</f>
        <v>1399119.2307692308</v>
      </c>
      <c r="K16" s="506">
        <v>0</v>
      </c>
      <c r="L16" s="519">
        <f>+SUM('PF M BID'!V18:AG18)</f>
        <v>1399119.2307692308</v>
      </c>
      <c r="M16" s="506">
        <f>+O16</f>
        <v>495346.15384615393</v>
      </c>
      <c r="N16" s="506">
        <v>0</v>
      </c>
      <c r="O16" s="519">
        <f>+SUM('PF M BID'!AH18:AS18)</f>
        <v>495346.15384615393</v>
      </c>
      <c r="P16" s="506">
        <f>+R16</f>
        <v>0</v>
      </c>
      <c r="Q16" s="506">
        <v>0</v>
      </c>
      <c r="R16" s="519">
        <f>SUM('PF M BID'!AT18:BE18)</f>
        <v>0</v>
      </c>
      <c r="S16" s="506">
        <f>+U16</f>
        <v>0</v>
      </c>
      <c r="T16" s="506">
        <v>0</v>
      </c>
      <c r="U16" s="519">
        <f>SUM('PF M BID'!BF18:BQ18)</f>
        <v>0</v>
      </c>
    </row>
    <row r="17" spans="1:21" ht="27.6" x14ac:dyDescent="0.3">
      <c r="A17" s="512" t="str">
        <f>+'PF M BID'!A19</f>
        <v>1.3.2</v>
      </c>
      <c r="B17" s="513" t="str">
        <f>+'PF M BID'!B19</f>
        <v>Contratación de Firmas Consultoras para la inspección de otras Obras de mejoramieto</v>
      </c>
      <c r="C17" s="513" t="str">
        <f>+'CC D'!C16</f>
        <v>Km de carreteras de la red vial primaria provincial mejoradas por el programa (otras obras)</v>
      </c>
      <c r="D17" s="514">
        <f>+PEP!H33</f>
        <v>3000000</v>
      </c>
      <c r="E17" s="514">
        <f>+PEP!I33</f>
        <v>0</v>
      </c>
      <c r="F17" s="514">
        <f>+PEP!J33</f>
        <v>3000000</v>
      </c>
      <c r="G17" s="506">
        <f>+I17</f>
        <v>0</v>
      </c>
      <c r="H17" s="506">
        <v>0</v>
      </c>
      <c r="I17" s="519">
        <f>+SUM('PF M BID'!G19:R19)</f>
        <v>0</v>
      </c>
      <c r="J17" s="506">
        <f>+L17</f>
        <v>385673.07692307694</v>
      </c>
      <c r="K17" s="506">
        <v>0</v>
      </c>
      <c r="L17" s="519">
        <f>+SUM('PF M BID'!V19:AG19)</f>
        <v>385673.07692307694</v>
      </c>
      <c r="M17" s="506">
        <f>+O17</f>
        <v>1399326.923076923</v>
      </c>
      <c r="N17" s="506">
        <v>0</v>
      </c>
      <c r="O17" s="519">
        <f>+SUM('PF M BID'!AH19:AS19)</f>
        <v>1399326.923076923</v>
      </c>
      <c r="P17" s="506">
        <f>+R17</f>
        <v>1156326.923076923</v>
      </c>
      <c r="Q17" s="506">
        <v>0</v>
      </c>
      <c r="R17" s="519">
        <f>SUM('PF M BID'!AT19:BE19)</f>
        <v>1156326.923076923</v>
      </c>
      <c r="S17" s="506">
        <f>+U17</f>
        <v>58673.076923076922</v>
      </c>
      <c r="T17" s="506">
        <v>0</v>
      </c>
      <c r="U17" s="519">
        <f>SUM('PF M BID'!BF19:BQ19)</f>
        <v>58673.076923076922</v>
      </c>
    </row>
    <row r="18" spans="1:21" x14ac:dyDescent="0.3">
      <c r="A18" s="508">
        <f>+'PF M BID'!A20</f>
        <v>2</v>
      </c>
      <c r="B18" s="509" t="str">
        <f>+'PF M BID'!B20</f>
        <v>Componente 2. Fortalecimiento Institucional</v>
      </c>
      <c r="C18" s="509"/>
      <c r="D18" s="504">
        <f>+PEP!H34</f>
        <v>11200000</v>
      </c>
      <c r="E18" s="504">
        <f>+PEP!I34</f>
        <v>0</v>
      </c>
      <c r="F18" s="504">
        <f>+PEP!J34</f>
        <v>11200000</v>
      </c>
      <c r="G18" s="504">
        <f t="shared" ref="G18:U18" si="10">+G19+G21+G24+G28</f>
        <v>2080000</v>
      </c>
      <c r="H18" s="504">
        <f t="shared" si="10"/>
        <v>0</v>
      </c>
      <c r="I18" s="504">
        <f t="shared" si="10"/>
        <v>2080000</v>
      </c>
      <c r="J18" s="504">
        <f t="shared" si="10"/>
        <v>8120000</v>
      </c>
      <c r="K18" s="504">
        <f t="shared" si="10"/>
        <v>0</v>
      </c>
      <c r="L18" s="504">
        <f t="shared" si="10"/>
        <v>8120000</v>
      </c>
      <c r="M18" s="504">
        <f t="shared" si="10"/>
        <v>1000000</v>
      </c>
      <c r="N18" s="504">
        <f t="shared" si="10"/>
        <v>0</v>
      </c>
      <c r="O18" s="504">
        <f t="shared" si="10"/>
        <v>1000000</v>
      </c>
      <c r="P18" s="504">
        <f t="shared" si="10"/>
        <v>0</v>
      </c>
      <c r="Q18" s="504">
        <f t="shared" si="10"/>
        <v>0</v>
      </c>
      <c r="R18" s="504">
        <f t="shared" si="10"/>
        <v>0</v>
      </c>
      <c r="S18" s="504">
        <f t="shared" si="10"/>
        <v>0</v>
      </c>
      <c r="T18" s="504">
        <f t="shared" si="10"/>
        <v>0</v>
      </c>
      <c r="U18" s="504">
        <f t="shared" si="10"/>
        <v>0</v>
      </c>
    </row>
    <row r="19" spans="1:21" x14ac:dyDescent="0.3">
      <c r="A19" s="510">
        <f>+'PF M BID'!A21</f>
        <v>2.1</v>
      </c>
      <c r="B19" s="511" t="str">
        <f>+'PF M BID'!B21</f>
        <v>Estudios de Pre inversión</v>
      </c>
      <c r="C19" s="511"/>
      <c r="D19" s="505">
        <f>+PEP!H35</f>
        <v>6200000</v>
      </c>
      <c r="E19" s="505">
        <f>+PEP!I35</f>
        <v>0</v>
      </c>
      <c r="F19" s="505">
        <f>+PEP!J35</f>
        <v>6200000</v>
      </c>
      <c r="G19" s="505">
        <f t="shared" ref="G19:U19" si="11">+G20</f>
        <v>1860000</v>
      </c>
      <c r="H19" s="505">
        <f t="shared" si="11"/>
        <v>0</v>
      </c>
      <c r="I19" s="505">
        <f t="shared" si="11"/>
        <v>1860000</v>
      </c>
      <c r="J19" s="505">
        <f t="shared" si="11"/>
        <v>4340000</v>
      </c>
      <c r="K19" s="505">
        <f t="shared" si="11"/>
        <v>0</v>
      </c>
      <c r="L19" s="505">
        <f t="shared" si="11"/>
        <v>4340000</v>
      </c>
      <c r="M19" s="505">
        <f t="shared" si="11"/>
        <v>0</v>
      </c>
      <c r="N19" s="505">
        <f t="shared" si="11"/>
        <v>0</v>
      </c>
      <c r="O19" s="505">
        <f t="shared" si="11"/>
        <v>0</v>
      </c>
      <c r="P19" s="505">
        <f t="shared" si="11"/>
        <v>0</v>
      </c>
      <c r="Q19" s="505">
        <f t="shared" si="11"/>
        <v>0</v>
      </c>
      <c r="R19" s="505">
        <f t="shared" si="11"/>
        <v>0</v>
      </c>
      <c r="S19" s="505">
        <f t="shared" si="11"/>
        <v>0</v>
      </c>
      <c r="T19" s="505">
        <f t="shared" si="11"/>
        <v>0</v>
      </c>
      <c r="U19" s="505">
        <f t="shared" si="11"/>
        <v>0</v>
      </c>
    </row>
    <row r="20" spans="1:21" s="237" customFormat="1" ht="26.25" customHeight="1" x14ac:dyDescent="0.3">
      <c r="A20" s="512" t="str">
        <f>+'PF M BID'!A22</f>
        <v>2.1.1</v>
      </c>
      <c r="B20" s="513" t="str">
        <f>+'PF M BID'!B22</f>
        <v>Contratación de Firma Consultora para la elaboración de proyectos ejecutivos del programa de inversión de la DVBA</v>
      </c>
      <c r="C20" s="513" t="str">
        <f>+'CC D'!C19</f>
        <v>Km de carreteras con proyectos en condiciones de ser licitados</v>
      </c>
      <c r="D20" s="514">
        <f>+PEP!H36</f>
        <v>6200000</v>
      </c>
      <c r="E20" s="514">
        <f>+PEP!I36</f>
        <v>0</v>
      </c>
      <c r="F20" s="514">
        <f>+PEP!J36</f>
        <v>6200000</v>
      </c>
      <c r="G20" s="506">
        <f>+I20</f>
        <v>1860000</v>
      </c>
      <c r="H20" s="506">
        <v>0</v>
      </c>
      <c r="I20" s="519">
        <f>+SUM('PF M BID'!G22:R22)</f>
        <v>1860000</v>
      </c>
      <c r="J20" s="506">
        <f>+L20</f>
        <v>4340000</v>
      </c>
      <c r="K20" s="506">
        <v>0</v>
      </c>
      <c r="L20" s="519">
        <f>+SUM('PF M BID'!V22:AG22)</f>
        <v>4340000</v>
      </c>
      <c r="M20" s="506">
        <f>+O20</f>
        <v>0</v>
      </c>
      <c r="N20" s="506">
        <v>0</v>
      </c>
      <c r="O20" s="519">
        <f>+SUM('PF M BID'!AH22:AS22)</f>
        <v>0</v>
      </c>
      <c r="P20" s="506">
        <f>+R20</f>
        <v>0</v>
      </c>
      <c r="Q20" s="506">
        <v>0</v>
      </c>
      <c r="R20" s="519">
        <f>SUM('PF M BID'!AT22:BE22)</f>
        <v>0</v>
      </c>
      <c r="S20" s="506">
        <f>+U20</f>
        <v>0</v>
      </c>
      <c r="T20" s="506">
        <v>0</v>
      </c>
      <c r="U20" s="519">
        <f>SUM('PF M BID'!BF22:BQ22)</f>
        <v>0</v>
      </c>
    </row>
    <row r="21" spans="1:21" x14ac:dyDescent="0.3">
      <c r="A21" s="510">
        <f>+'PF M BID'!A23</f>
        <v>2.2000000000000002</v>
      </c>
      <c r="B21" s="511" t="str">
        <f>+'PF M BID'!B23</f>
        <v>Seguridad Vial</v>
      </c>
      <c r="C21" s="511"/>
      <c r="D21" s="505">
        <f>+PEP!H37</f>
        <v>500000</v>
      </c>
      <c r="E21" s="505">
        <f>+PEP!I37</f>
        <v>0</v>
      </c>
      <c r="F21" s="505">
        <f>+PEP!J37</f>
        <v>500000</v>
      </c>
      <c r="G21" s="505">
        <f t="shared" ref="G21:U21" si="12">+G22+G23</f>
        <v>120000</v>
      </c>
      <c r="H21" s="505">
        <f t="shared" si="12"/>
        <v>0</v>
      </c>
      <c r="I21" s="505">
        <f t="shared" si="12"/>
        <v>120000</v>
      </c>
      <c r="J21" s="505">
        <f t="shared" si="12"/>
        <v>380000</v>
      </c>
      <c r="K21" s="505">
        <f t="shared" si="12"/>
        <v>0</v>
      </c>
      <c r="L21" s="505">
        <f t="shared" si="12"/>
        <v>380000</v>
      </c>
      <c r="M21" s="505">
        <f t="shared" si="12"/>
        <v>0</v>
      </c>
      <c r="N21" s="505">
        <f t="shared" si="12"/>
        <v>0</v>
      </c>
      <c r="O21" s="505">
        <f t="shared" si="12"/>
        <v>0</v>
      </c>
      <c r="P21" s="505">
        <f t="shared" si="12"/>
        <v>0</v>
      </c>
      <c r="Q21" s="505">
        <f t="shared" si="12"/>
        <v>0</v>
      </c>
      <c r="R21" s="505">
        <f t="shared" si="12"/>
        <v>0</v>
      </c>
      <c r="S21" s="505">
        <f t="shared" si="12"/>
        <v>0</v>
      </c>
      <c r="T21" s="505">
        <f t="shared" si="12"/>
        <v>0</v>
      </c>
      <c r="U21" s="505">
        <f t="shared" si="12"/>
        <v>0</v>
      </c>
    </row>
    <row r="22" spans="1:21" s="237" customFormat="1" ht="27.6" x14ac:dyDescent="0.3">
      <c r="A22" s="512" t="str">
        <f>+'PF M BID'!A24</f>
        <v>2.2.1</v>
      </c>
      <c r="B22" s="513" t="str">
        <f>+'PF M BID'!B24</f>
        <v>Contratación de Firmas Consultoras para  Auditorías de Seguridad Vial en Corredores</v>
      </c>
      <c r="C22" s="513" t="str">
        <f>+'CC D'!C21</f>
        <v>Nº de corredores de la RVP de la PBA con auditorías de seguridad vial</v>
      </c>
      <c r="D22" s="514">
        <f>+PEP!H38</f>
        <v>300000</v>
      </c>
      <c r="E22" s="514">
        <f>+PEP!I38</f>
        <v>0</v>
      </c>
      <c r="F22" s="514">
        <f>+PEP!J38</f>
        <v>300000</v>
      </c>
      <c r="G22" s="506">
        <f>+I22</f>
        <v>120000</v>
      </c>
      <c r="H22" s="506">
        <v>0</v>
      </c>
      <c r="I22" s="519">
        <f>+SUM('PF M BID'!G24:R24)</f>
        <v>120000</v>
      </c>
      <c r="J22" s="506">
        <f>+L22</f>
        <v>180000</v>
      </c>
      <c r="K22" s="506">
        <v>0</v>
      </c>
      <c r="L22" s="519">
        <f>+SUM('PF M BID'!V24:AG24)</f>
        <v>180000</v>
      </c>
      <c r="M22" s="506">
        <f>+O22</f>
        <v>0</v>
      </c>
      <c r="N22" s="506">
        <v>0</v>
      </c>
      <c r="O22" s="519">
        <f>+SUM('PF M BID'!AH24:AS24)</f>
        <v>0</v>
      </c>
      <c r="P22" s="506">
        <f>+R22</f>
        <v>0</v>
      </c>
      <c r="Q22" s="506">
        <v>0</v>
      </c>
      <c r="R22" s="519">
        <f>SUM('PF M BID'!AT24:BE24)</f>
        <v>0</v>
      </c>
      <c r="S22" s="506">
        <f>+U22</f>
        <v>0</v>
      </c>
      <c r="T22" s="506">
        <v>0</v>
      </c>
      <c r="U22" s="519">
        <f>SUM('PF M BID'!BF24:BQ24)</f>
        <v>0</v>
      </c>
    </row>
    <row r="23" spans="1:21" s="237" customFormat="1" ht="27.6" x14ac:dyDescent="0.3">
      <c r="A23" s="512" t="str">
        <f>+'PF M BID'!A25</f>
        <v>2.2.2</v>
      </c>
      <c r="B23" s="513" t="str">
        <f>+'PF M BID'!B25</f>
        <v>Contratación de Firma Consultora la elaboración del Plan fortalecimiento del área  de seguridad vial de la DVBA</v>
      </c>
      <c r="C23" s="513" t="str">
        <f>+'CC D'!C22</f>
        <v>Plan de fortalecimiento del área de seguridad vial de la PBA</v>
      </c>
      <c r="D23" s="514">
        <f>+PEP!H39</f>
        <v>200000</v>
      </c>
      <c r="E23" s="514">
        <f>+PEP!I39</f>
        <v>0</v>
      </c>
      <c r="F23" s="514">
        <f>+PEP!J39</f>
        <v>200000</v>
      </c>
      <c r="G23" s="519">
        <f>+I23</f>
        <v>0</v>
      </c>
      <c r="H23" s="506">
        <v>0</v>
      </c>
      <c r="I23" s="519">
        <f>+SUM('PF M BID'!G25:R25)</f>
        <v>0</v>
      </c>
      <c r="J23" s="519">
        <f>+L23</f>
        <v>200000</v>
      </c>
      <c r="K23" s="506">
        <v>0</v>
      </c>
      <c r="L23" s="519">
        <f>+SUM('PF M BID'!V25:AG25)</f>
        <v>200000</v>
      </c>
      <c r="M23" s="519">
        <f>+O23</f>
        <v>0</v>
      </c>
      <c r="N23" s="506">
        <v>0</v>
      </c>
      <c r="O23" s="519">
        <f>+SUM('PF M BID'!AH25:AS25)</f>
        <v>0</v>
      </c>
      <c r="P23" s="519">
        <f>+R23</f>
        <v>0</v>
      </c>
      <c r="Q23" s="506">
        <v>0</v>
      </c>
      <c r="R23" s="519">
        <f>SUM('PF M BID'!AT25:BE25)</f>
        <v>0</v>
      </c>
      <c r="S23" s="519">
        <f>+U23</f>
        <v>0</v>
      </c>
      <c r="T23" s="506">
        <v>0</v>
      </c>
      <c r="U23" s="519">
        <f>SUM('PF M BID'!BF25:BQ25)</f>
        <v>0</v>
      </c>
    </row>
    <row r="24" spans="1:21" x14ac:dyDescent="0.3">
      <c r="A24" s="510">
        <f>+'PF M BID'!A26</f>
        <v>2.2999999999999998</v>
      </c>
      <c r="B24" s="511" t="str">
        <f>+'PF M BID'!B26</f>
        <v>Fortalecimiento de la DVBA</v>
      </c>
      <c r="C24" s="511"/>
      <c r="D24" s="505">
        <f>+PEP!H40</f>
        <v>4000000</v>
      </c>
      <c r="E24" s="505">
        <f>+PEP!I40</f>
        <v>0</v>
      </c>
      <c r="F24" s="505">
        <f>+PEP!J40</f>
        <v>4000000</v>
      </c>
      <c r="G24" s="505">
        <f t="shared" ref="G24:U24" si="13">+G25+G26+G27</f>
        <v>100000</v>
      </c>
      <c r="H24" s="505">
        <f t="shared" si="13"/>
        <v>0</v>
      </c>
      <c r="I24" s="505">
        <f t="shared" si="13"/>
        <v>100000</v>
      </c>
      <c r="J24" s="505">
        <f t="shared" si="13"/>
        <v>2900000</v>
      </c>
      <c r="K24" s="505">
        <f t="shared" si="13"/>
        <v>0</v>
      </c>
      <c r="L24" s="505">
        <f t="shared" si="13"/>
        <v>2900000</v>
      </c>
      <c r="M24" s="505">
        <f t="shared" si="13"/>
        <v>1000000</v>
      </c>
      <c r="N24" s="505">
        <f t="shared" si="13"/>
        <v>0</v>
      </c>
      <c r="O24" s="505">
        <f t="shared" si="13"/>
        <v>1000000</v>
      </c>
      <c r="P24" s="505">
        <f t="shared" si="13"/>
        <v>0</v>
      </c>
      <c r="Q24" s="505">
        <f t="shared" si="13"/>
        <v>0</v>
      </c>
      <c r="R24" s="505">
        <f t="shared" si="13"/>
        <v>0</v>
      </c>
      <c r="S24" s="505">
        <f t="shared" si="13"/>
        <v>0</v>
      </c>
      <c r="T24" s="505">
        <f t="shared" si="13"/>
        <v>0</v>
      </c>
      <c r="U24" s="505">
        <f t="shared" si="13"/>
        <v>0</v>
      </c>
    </row>
    <row r="25" spans="1:21" s="237" customFormat="1" ht="27.6" x14ac:dyDescent="0.3">
      <c r="A25" s="512" t="str">
        <f>+'PF M BID'!A27</f>
        <v>2.3.1</v>
      </c>
      <c r="B25" s="513" t="str">
        <f>+'PF M BID'!B27</f>
        <v>Contratación de Firma Consultora para la elaboración del Plan Maestro de inversión vial de la PBA</v>
      </c>
      <c r="C25" s="513" t="str">
        <f>+'CC D'!C24</f>
        <v>Plan de inversión vial de la PBA</v>
      </c>
      <c r="D25" s="514">
        <f>+PEP!H41</f>
        <v>1000000</v>
      </c>
      <c r="E25" s="514">
        <f>+PEP!I41</f>
        <v>0</v>
      </c>
      <c r="F25" s="514">
        <f>+PEP!J41</f>
        <v>1000000</v>
      </c>
      <c r="G25" s="506">
        <f>+I25</f>
        <v>100000</v>
      </c>
      <c r="H25" s="506">
        <v>0</v>
      </c>
      <c r="I25" s="519">
        <f>+SUM('PF M BID'!G27:R27)</f>
        <v>100000</v>
      </c>
      <c r="J25" s="506">
        <f>+L25</f>
        <v>400000</v>
      </c>
      <c r="K25" s="506">
        <v>0</v>
      </c>
      <c r="L25" s="519">
        <f>+SUM('PF M BID'!V27:AG27)</f>
        <v>400000</v>
      </c>
      <c r="M25" s="506">
        <f>+O25</f>
        <v>500000</v>
      </c>
      <c r="N25" s="506">
        <v>0</v>
      </c>
      <c r="O25" s="519">
        <f>+SUM('PF M BID'!AH27:AS27)</f>
        <v>500000</v>
      </c>
      <c r="P25" s="506">
        <f>+R25</f>
        <v>0</v>
      </c>
      <c r="Q25" s="506">
        <v>0</v>
      </c>
      <c r="R25" s="519">
        <f>SUM('PF M BID'!AT27:BE27)</f>
        <v>0</v>
      </c>
      <c r="S25" s="506">
        <f>+U25</f>
        <v>0</v>
      </c>
      <c r="T25" s="506">
        <v>0</v>
      </c>
      <c r="U25" s="519">
        <f>SUM('PF M BID'!BF27:BQ27)</f>
        <v>0</v>
      </c>
    </row>
    <row r="26" spans="1:21" s="237" customFormat="1" ht="27.6" x14ac:dyDescent="0.3">
      <c r="A26" s="512" t="str">
        <f>+'PF M BID'!A28</f>
        <v>2.3.2</v>
      </c>
      <c r="B26" s="513" t="str">
        <f>+'PF M BID'!B28</f>
        <v>Contratación de Firma Consultora para la mejora de procesos de gestión de Activos Viales</v>
      </c>
      <c r="C26" s="513" t="str">
        <f>+'CC D'!C25</f>
        <v>Sistema de gestión de activos viales de la PBA</v>
      </c>
      <c r="D26" s="514">
        <f>+PEP!H42</f>
        <v>2500000</v>
      </c>
      <c r="E26" s="514">
        <f>+PEP!I42</f>
        <v>0</v>
      </c>
      <c r="F26" s="514">
        <f>+PEP!J42</f>
        <v>2500000</v>
      </c>
      <c r="G26" s="519">
        <f>+I26</f>
        <v>0</v>
      </c>
      <c r="H26" s="506">
        <v>0</v>
      </c>
      <c r="I26" s="519">
        <f>+SUM('PF M BID'!G28:R28)</f>
        <v>0</v>
      </c>
      <c r="J26" s="519">
        <f>+L26</f>
        <v>2500000</v>
      </c>
      <c r="K26" s="506">
        <v>0</v>
      </c>
      <c r="L26" s="519">
        <f>+SUM('PF M BID'!V28:AG28)</f>
        <v>2500000</v>
      </c>
      <c r="M26" s="519">
        <f>+O26</f>
        <v>0</v>
      </c>
      <c r="N26" s="506">
        <v>0</v>
      </c>
      <c r="O26" s="519">
        <f>+SUM('PF M BID'!AH28:AS28)</f>
        <v>0</v>
      </c>
      <c r="P26" s="519">
        <f>+R26</f>
        <v>0</v>
      </c>
      <c r="Q26" s="506">
        <v>0</v>
      </c>
      <c r="R26" s="519">
        <f>SUM('PF M BID'!AT28:BE28)</f>
        <v>0</v>
      </c>
      <c r="S26" s="519">
        <f>+U26</f>
        <v>0</v>
      </c>
      <c r="T26" s="506">
        <v>0</v>
      </c>
      <c r="U26" s="519">
        <f>SUM('PF M BID'!BF28:BQ28)</f>
        <v>0</v>
      </c>
    </row>
    <row r="27" spans="1:21" s="237" customFormat="1" x14ac:dyDescent="0.3">
      <c r="A27" s="512" t="str">
        <f>+'PF M BID'!A29</f>
        <v>2.3.4</v>
      </c>
      <c r="B27" s="513" t="str">
        <f>+'PF M BID'!B29</f>
        <v>Adquisición de Software para gestión de activos viales DVBA</v>
      </c>
      <c r="C27" s="513" t="str">
        <f>+'CC D'!C26</f>
        <v>Sistema de gestión de activos viales de la PBA</v>
      </c>
      <c r="D27" s="514">
        <f>+PEP!H43</f>
        <v>500000</v>
      </c>
      <c r="E27" s="514">
        <f>+PEP!I43</f>
        <v>0</v>
      </c>
      <c r="F27" s="514">
        <f>+PEP!J43</f>
        <v>500000</v>
      </c>
      <c r="G27" s="519">
        <f>+I27</f>
        <v>0</v>
      </c>
      <c r="H27" s="506">
        <v>0</v>
      </c>
      <c r="I27" s="519">
        <f>+SUM('PF M BID'!G29:R29)</f>
        <v>0</v>
      </c>
      <c r="J27" s="519">
        <f>+L27</f>
        <v>0</v>
      </c>
      <c r="K27" s="506">
        <v>0</v>
      </c>
      <c r="L27" s="519">
        <f>+SUM('PF M BID'!V29:AG29)</f>
        <v>0</v>
      </c>
      <c r="M27" s="519">
        <f>+O27</f>
        <v>500000</v>
      </c>
      <c r="N27" s="506">
        <v>0</v>
      </c>
      <c r="O27" s="519">
        <f>+SUM('PF M BID'!AH29:AS29)</f>
        <v>500000</v>
      </c>
      <c r="P27" s="519">
        <f>+R27</f>
        <v>0</v>
      </c>
      <c r="Q27" s="506">
        <v>0</v>
      </c>
      <c r="R27" s="519">
        <f>SUM('PF M BID'!AT29:BE29)</f>
        <v>0</v>
      </c>
      <c r="S27" s="519">
        <f>+U27</f>
        <v>0</v>
      </c>
      <c r="T27" s="506">
        <v>0</v>
      </c>
      <c r="U27" s="519">
        <f>SUM('PF M BID'!BF29:BQ29)</f>
        <v>0</v>
      </c>
    </row>
    <row r="28" spans="1:21" x14ac:dyDescent="0.3">
      <c r="A28" s="510">
        <f>+'PF M BID'!A30</f>
        <v>2.4</v>
      </c>
      <c r="B28" s="511" t="str">
        <f>+'PF M BID'!B30</f>
        <v>Fortalecimiento de la AUBASA</v>
      </c>
      <c r="C28" s="511"/>
      <c r="D28" s="505">
        <f>+PEP!H44</f>
        <v>500000</v>
      </c>
      <c r="E28" s="505">
        <f>+PEP!I44</f>
        <v>0</v>
      </c>
      <c r="F28" s="505">
        <f>+PEP!J44</f>
        <v>500000</v>
      </c>
      <c r="G28" s="505">
        <f t="shared" ref="G28:U28" si="14">+G29+G30</f>
        <v>0</v>
      </c>
      <c r="H28" s="505">
        <f t="shared" si="14"/>
        <v>0</v>
      </c>
      <c r="I28" s="505">
        <f t="shared" si="14"/>
        <v>0</v>
      </c>
      <c r="J28" s="505">
        <f t="shared" si="14"/>
        <v>500000</v>
      </c>
      <c r="K28" s="505">
        <f t="shared" si="14"/>
        <v>0</v>
      </c>
      <c r="L28" s="505">
        <f t="shared" si="14"/>
        <v>500000</v>
      </c>
      <c r="M28" s="505">
        <f t="shared" si="14"/>
        <v>0</v>
      </c>
      <c r="N28" s="505">
        <f t="shared" si="14"/>
        <v>0</v>
      </c>
      <c r="O28" s="505">
        <f t="shared" si="14"/>
        <v>0</v>
      </c>
      <c r="P28" s="505">
        <f t="shared" si="14"/>
        <v>0</v>
      </c>
      <c r="Q28" s="505">
        <f t="shared" si="14"/>
        <v>0</v>
      </c>
      <c r="R28" s="505">
        <f t="shared" si="14"/>
        <v>0</v>
      </c>
      <c r="S28" s="505">
        <f t="shared" si="14"/>
        <v>0</v>
      </c>
      <c r="T28" s="505">
        <f t="shared" si="14"/>
        <v>0</v>
      </c>
      <c r="U28" s="505">
        <f t="shared" si="14"/>
        <v>0</v>
      </c>
    </row>
    <row r="29" spans="1:21" s="237" customFormat="1" ht="27.6" x14ac:dyDescent="0.3">
      <c r="A29" s="512" t="str">
        <f>+'PF M BID'!A31</f>
        <v>2.4.1</v>
      </c>
      <c r="B29" s="513" t="str">
        <f>+'PF M BID'!B31</f>
        <v>Contratación de Firma Consultora para el mejoramiento del sistema de gobernanza de AUBASA</v>
      </c>
      <c r="C29" s="513" t="str">
        <f>+'CC D'!C28</f>
        <v>Plan de mejora de gobernanza corporativa de AUBASA</v>
      </c>
      <c r="D29" s="514">
        <f>+PEP!H45</f>
        <v>200000</v>
      </c>
      <c r="E29" s="514">
        <f>+PEP!I45</f>
        <v>0</v>
      </c>
      <c r="F29" s="514">
        <f>+PEP!J45</f>
        <v>200000</v>
      </c>
      <c r="G29" s="519">
        <f>+I29</f>
        <v>0</v>
      </c>
      <c r="H29" s="506">
        <v>0</v>
      </c>
      <c r="I29" s="519">
        <f>+SUM('PF M BID'!G31:R31)</f>
        <v>0</v>
      </c>
      <c r="J29" s="519">
        <f>+L29</f>
        <v>200000</v>
      </c>
      <c r="K29" s="506">
        <v>0</v>
      </c>
      <c r="L29" s="519">
        <f>+SUM('PF M BID'!V31:AG31)</f>
        <v>200000</v>
      </c>
      <c r="M29" s="519">
        <f>+O29</f>
        <v>0</v>
      </c>
      <c r="N29" s="506">
        <v>0</v>
      </c>
      <c r="O29" s="519">
        <f>+SUM('PF M BID'!AH31:AS31)</f>
        <v>0</v>
      </c>
      <c r="P29" s="519">
        <f>+R29</f>
        <v>0</v>
      </c>
      <c r="Q29" s="506">
        <v>0</v>
      </c>
      <c r="R29" s="519">
        <f>SUM('PF M BID'!AT31:BE31)</f>
        <v>0</v>
      </c>
      <c r="S29" s="519">
        <f>+U29</f>
        <v>0</v>
      </c>
      <c r="T29" s="506">
        <v>0</v>
      </c>
      <c r="U29" s="519">
        <f>SUM('PF M BID'!BF31:BQ31)</f>
        <v>0</v>
      </c>
    </row>
    <row r="30" spans="1:21" s="237" customFormat="1" ht="27.6" x14ac:dyDescent="0.3">
      <c r="A30" s="512" t="str">
        <f>+'PF M BID'!A32</f>
        <v>2.4.2</v>
      </c>
      <c r="B30" s="513" t="str">
        <f>+'PF M BID'!B32</f>
        <v>Contratacción de Firma Consultora para la incorporación de ITS en sistema de recaudo de peaje</v>
      </c>
      <c r="C30" s="513" t="str">
        <f>+'CC D'!C29</f>
        <v>Plan de incorporación de ITS para recaudación de peajes en AUBASA</v>
      </c>
      <c r="D30" s="514">
        <f>+PEP!H46</f>
        <v>300000</v>
      </c>
      <c r="E30" s="514">
        <f>+PEP!I46</f>
        <v>0</v>
      </c>
      <c r="F30" s="514">
        <f>+PEP!J46</f>
        <v>300000</v>
      </c>
      <c r="G30" s="519">
        <f>+I30</f>
        <v>0</v>
      </c>
      <c r="H30" s="506">
        <v>0</v>
      </c>
      <c r="I30" s="519">
        <f>+SUM('PF M BID'!G32:R32)</f>
        <v>0</v>
      </c>
      <c r="J30" s="519">
        <f>+L30</f>
        <v>300000</v>
      </c>
      <c r="K30" s="506">
        <v>0</v>
      </c>
      <c r="L30" s="519">
        <f>+SUM('PF M BID'!V32:AG32)</f>
        <v>300000</v>
      </c>
      <c r="M30" s="519">
        <f>+O30</f>
        <v>0</v>
      </c>
      <c r="N30" s="506">
        <v>0</v>
      </c>
      <c r="O30" s="519">
        <f>+SUM('PF M BID'!AH32:AS32)</f>
        <v>0</v>
      </c>
      <c r="P30" s="519">
        <f>+R30</f>
        <v>0</v>
      </c>
      <c r="Q30" s="506">
        <v>0</v>
      </c>
      <c r="R30" s="519">
        <f>SUM('PF M BID'!AT32:BE32)</f>
        <v>0</v>
      </c>
      <c r="S30" s="519">
        <f>+U30</f>
        <v>0</v>
      </c>
      <c r="T30" s="506">
        <v>0</v>
      </c>
      <c r="U30" s="519">
        <f>SUM('PF M BID'!BF32:BQ32)</f>
        <v>0</v>
      </c>
    </row>
    <row r="31" spans="1:21" x14ac:dyDescent="0.3">
      <c r="A31" s="508">
        <f>+'PF M BID'!A33</f>
        <v>3</v>
      </c>
      <c r="B31" s="509" t="str">
        <f>+'PF M BID'!B33</f>
        <v>Otros Costos</v>
      </c>
      <c r="C31" s="509"/>
      <c r="D31" s="504">
        <f>+PEP!H47</f>
        <v>1100000</v>
      </c>
      <c r="E31" s="504">
        <f>+PEP!I47</f>
        <v>0</v>
      </c>
      <c r="F31" s="504">
        <f>+PEP!J47</f>
        <v>1100000</v>
      </c>
      <c r="G31" s="504">
        <f>+G32+G34</f>
        <v>199999.99999999997</v>
      </c>
      <c r="H31" s="504">
        <v>0</v>
      </c>
      <c r="I31" s="504">
        <f>+I32+I34</f>
        <v>199999.99999999997</v>
      </c>
      <c r="J31" s="504">
        <f>+J32+J34</f>
        <v>219999.99999999997</v>
      </c>
      <c r="K31" s="504">
        <v>0</v>
      </c>
      <c r="L31" s="504">
        <f>+L32+L34</f>
        <v>219999.99999999997</v>
      </c>
      <c r="M31" s="504">
        <f>+M32+M34</f>
        <v>219999.99999999997</v>
      </c>
      <c r="N31" s="504">
        <v>0</v>
      </c>
      <c r="O31" s="504">
        <f>+O32+O34</f>
        <v>219999.99999999997</v>
      </c>
      <c r="P31" s="504">
        <f>+P32+P34</f>
        <v>219999.99999999997</v>
      </c>
      <c r="Q31" s="504">
        <v>0</v>
      </c>
      <c r="R31" s="504">
        <f>+R32+R34</f>
        <v>219999.99999999997</v>
      </c>
      <c r="S31" s="504">
        <f>+S32+S34</f>
        <v>239999.99999999997</v>
      </c>
      <c r="T31" s="504">
        <v>0</v>
      </c>
      <c r="U31" s="504">
        <f>+U32+U34</f>
        <v>239999.99999999997</v>
      </c>
    </row>
    <row r="32" spans="1:21" x14ac:dyDescent="0.3">
      <c r="A32" s="510">
        <f>+'PF M BID'!A34</f>
        <v>3.1</v>
      </c>
      <c r="B32" s="511" t="str">
        <f>+'PF M BID'!B34</f>
        <v>Administración del Programa</v>
      </c>
      <c r="C32" s="511"/>
      <c r="D32" s="505">
        <f>+PEP!H48</f>
        <v>1000000</v>
      </c>
      <c r="E32" s="505">
        <f>+PEP!I48</f>
        <v>0</v>
      </c>
      <c r="F32" s="505">
        <f>+PEP!J48</f>
        <v>1000000</v>
      </c>
      <c r="G32" s="505">
        <f t="shared" ref="G32:U32" si="15">+G33</f>
        <v>199999.99999999997</v>
      </c>
      <c r="H32" s="505">
        <f t="shared" si="15"/>
        <v>0</v>
      </c>
      <c r="I32" s="505">
        <f t="shared" si="15"/>
        <v>199999.99999999997</v>
      </c>
      <c r="J32" s="505">
        <f t="shared" si="15"/>
        <v>199999.99999999997</v>
      </c>
      <c r="K32" s="505">
        <f t="shared" si="15"/>
        <v>0</v>
      </c>
      <c r="L32" s="505">
        <f t="shared" si="15"/>
        <v>199999.99999999997</v>
      </c>
      <c r="M32" s="505">
        <f t="shared" si="15"/>
        <v>199999.99999999997</v>
      </c>
      <c r="N32" s="505">
        <f t="shared" si="15"/>
        <v>0</v>
      </c>
      <c r="O32" s="505">
        <f t="shared" si="15"/>
        <v>199999.99999999997</v>
      </c>
      <c r="P32" s="505">
        <f t="shared" si="15"/>
        <v>199999.99999999997</v>
      </c>
      <c r="Q32" s="505">
        <f t="shared" si="15"/>
        <v>0</v>
      </c>
      <c r="R32" s="505">
        <f t="shared" si="15"/>
        <v>199999.99999999997</v>
      </c>
      <c r="S32" s="505">
        <f t="shared" si="15"/>
        <v>199999.99999999997</v>
      </c>
      <c r="T32" s="505">
        <f t="shared" si="15"/>
        <v>0</v>
      </c>
      <c r="U32" s="505">
        <f t="shared" si="15"/>
        <v>199999.99999999997</v>
      </c>
    </row>
    <row r="33" spans="1:21" s="237" customFormat="1" ht="27.6" x14ac:dyDescent="0.3">
      <c r="A33" s="512" t="str">
        <f>+'PF M BID'!A35</f>
        <v>3.1.1</v>
      </c>
      <c r="B33" s="513" t="str">
        <f>+'PF M BID'!B35</f>
        <v>Contratación de consultores individuales para conformación de UEP dentro de la DVBA</v>
      </c>
      <c r="C33" s="513"/>
      <c r="D33" s="514">
        <f>+PEP!H49</f>
        <v>1000000</v>
      </c>
      <c r="E33" s="514">
        <f>+PEP!I49</f>
        <v>0</v>
      </c>
      <c r="F33" s="514">
        <f>+PEP!J49</f>
        <v>1000000</v>
      </c>
      <c r="G33" s="506">
        <f>+I33</f>
        <v>199999.99999999997</v>
      </c>
      <c r="H33" s="506">
        <v>0</v>
      </c>
      <c r="I33" s="519">
        <f>+SUM('PF M BID'!G35:R35)</f>
        <v>199999.99999999997</v>
      </c>
      <c r="J33" s="506">
        <f>+L33</f>
        <v>199999.99999999997</v>
      </c>
      <c r="K33" s="506">
        <v>0</v>
      </c>
      <c r="L33" s="519">
        <f>+SUM('PF M BID'!V35:AG35)</f>
        <v>199999.99999999997</v>
      </c>
      <c r="M33" s="506">
        <f>+O33</f>
        <v>199999.99999999997</v>
      </c>
      <c r="N33" s="506">
        <v>0</v>
      </c>
      <c r="O33" s="519">
        <f>+SUM('PF M BID'!AH35:AS35)</f>
        <v>199999.99999999997</v>
      </c>
      <c r="P33" s="506">
        <f>+R33</f>
        <v>199999.99999999997</v>
      </c>
      <c r="Q33" s="506">
        <v>0</v>
      </c>
      <c r="R33" s="519">
        <f>SUM('PF M BID'!AT35:BE35)</f>
        <v>199999.99999999997</v>
      </c>
      <c r="S33" s="506">
        <f>+U33</f>
        <v>199999.99999999997</v>
      </c>
      <c r="T33" s="506">
        <v>0</v>
      </c>
      <c r="U33" s="519">
        <f>SUM('PF M BID'!BF35:BQ35)</f>
        <v>199999.99999999997</v>
      </c>
    </row>
    <row r="34" spans="1:21" x14ac:dyDescent="0.3">
      <c r="A34" s="510">
        <f>+'PF M BID'!A36</f>
        <v>3.2</v>
      </c>
      <c r="B34" s="511" t="str">
        <f>+'PF M BID'!B36</f>
        <v>Auditoria, Monitoreo y Evaluación desarrollados</v>
      </c>
      <c r="C34" s="511"/>
      <c r="D34" s="505">
        <f>+PEP!H50</f>
        <v>100000</v>
      </c>
      <c r="E34" s="505">
        <f>+PEP!I50</f>
        <v>0</v>
      </c>
      <c r="F34" s="505">
        <f>+PEP!J50</f>
        <v>100000</v>
      </c>
      <c r="G34" s="505">
        <f t="shared" ref="G34:U34" si="16">+G35</f>
        <v>0</v>
      </c>
      <c r="H34" s="505">
        <f t="shared" si="16"/>
        <v>0</v>
      </c>
      <c r="I34" s="505">
        <f t="shared" si="16"/>
        <v>0</v>
      </c>
      <c r="J34" s="505">
        <f t="shared" si="16"/>
        <v>20000</v>
      </c>
      <c r="K34" s="505">
        <f t="shared" si="16"/>
        <v>0</v>
      </c>
      <c r="L34" s="505">
        <f t="shared" si="16"/>
        <v>20000</v>
      </c>
      <c r="M34" s="505">
        <f t="shared" si="16"/>
        <v>20000</v>
      </c>
      <c r="N34" s="505">
        <f t="shared" si="16"/>
        <v>0</v>
      </c>
      <c r="O34" s="505">
        <f t="shared" si="16"/>
        <v>20000</v>
      </c>
      <c r="P34" s="505">
        <f t="shared" si="16"/>
        <v>20000</v>
      </c>
      <c r="Q34" s="505">
        <f t="shared" si="16"/>
        <v>0</v>
      </c>
      <c r="R34" s="505">
        <f t="shared" si="16"/>
        <v>20000</v>
      </c>
      <c r="S34" s="505">
        <f t="shared" si="16"/>
        <v>40000</v>
      </c>
      <c r="T34" s="505">
        <f t="shared" si="16"/>
        <v>0</v>
      </c>
      <c r="U34" s="505">
        <f t="shared" si="16"/>
        <v>40000</v>
      </c>
    </row>
    <row r="35" spans="1:21" s="237" customFormat="1" ht="27.6" x14ac:dyDescent="0.3">
      <c r="A35" s="512" t="str">
        <f>+'PF M BID'!A37</f>
        <v>3.2.1</v>
      </c>
      <c r="B35" s="513" t="str">
        <f>+'PF M BID'!B37</f>
        <v>Contratación de Firma Consultora para la Auditoria Externa del Programa</v>
      </c>
      <c r="C35" s="513"/>
      <c r="D35" s="514">
        <f>+PEP!H51</f>
        <v>100000</v>
      </c>
      <c r="E35" s="514">
        <f>+PEP!I51</f>
        <v>0</v>
      </c>
      <c r="F35" s="514">
        <f>+PEP!J51</f>
        <v>100000</v>
      </c>
      <c r="G35" s="519">
        <f>+I35</f>
        <v>0</v>
      </c>
      <c r="H35" s="506">
        <v>0</v>
      </c>
      <c r="I35" s="519">
        <f>+SUM('PF M BID'!G37:R37)</f>
        <v>0</v>
      </c>
      <c r="J35" s="519">
        <f>+L35</f>
        <v>20000</v>
      </c>
      <c r="K35" s="506">
        <v>0</v>
      </c>
      <c r="L35" s="519">
        <f>+SUM('PF M BID'!V37:AG37)</f>
        <v>20000</v>
      </c>
      <c r="M35" s="519">
        <f>+O35</f>
        <v>20000</v>
      </c>
      <c r="N35" s="506">
        <v>0</v>
      </c>
      <c r="O35" s="519">
        <f>+SUM('PF M BID'!AH37:AS37)</f>
        <v>20000</v>
      </c>
      <c r="P35" s="519">
        <f>+R35</f>
        <v>20000</v>
      </c>
      <c r="Q35" s="506">
        <v>0</v>
      </c>
      <c r="R35" s="519">
        <f>SUM('PF M BID'!AT37:BE37)</f>
        <v>20000</v>
      </c>
      <c r="S35" s="519">
        <f>+U35</f>
        <v>40000</v>
      </c>
      <c r="T35" s="506">
        <v>0</v>
      </c>
      <c r="U35" s="519">
        <f>SUM('PF M BID'!BF37:BQ37)</f>
        <v>40000</v>
      </c>
    </row>
    <row r="36" spans="1:21" s="135" customFormat="1" x14ac:dyDescent="0.3">
      <c r="A36" s="515"/>
      <c r="B36" s="516" t="s">
        <v>92</v>
      </c>
      <c r="C36" s="516"/>
      <c r="D36" s="507">
        <f>+D10+D18+D31</f>
        <v>200000000</v>
      </c>
      <c r="E36" s="507">
        <f t="shared" ref="E36:F36" si="17">+E10+E18+E31</f>
        <v>80000000</v>
      </c>
      <c r="F36" s="507">
        <f t="shared" si="17"/>
        <v>280000000</v>
      </c>
      <c r="G36" s="507">
        <f>+G31+G18+G10</f>
        <v>26989534.615384631</v>
      </c>
      <c r="H36" s="507">
        <f>+H31+H18+H10</f>
        <v>9959999.9999999851</v>
      </c>
      <c r="I36" s="507">
        <f>+I10+I18+I31</f>
        <v>36949534.615384616</v>
      </c>
      <c r="J36" s="507">
        <f>+J31+J18+J10</f>
        <v>71580792.307692334</v>
      </c>
      <c r="K36" s="507">
        <f>+K31+K18+K10</f>
        <v>26439999.99999997</v>
      </c>
      <c r="L36" s="507">
        <f>+L10+L18+L31</f>
        <v>98020792.307692304</v>
      </c>
      <c r="M36" s="507">
        <f>+M31+M18+M10</f>
        <v>58394673.076923087</v>
      </c>
      <c r="N36" s="507">
        <f>+N31+N18+N10</f>
        <v>24799999.999999993</v>
      </c>
      <c r="O36" s="507">
        <f>+O10+O18+O31</f>
        <v>83194673.076923072</v>
      </c>
      <c r="P36" s="507">
        <f>+P31+P18+P10</f>
        <v>42736326.92307692</v>
      </c>
      <c r="Q36" s="507">
        <f>+Q31+Q18+Q10</f>
        <v>18800000</v>
      </c>
      <c r="R36" s="507">
        <f>+R10+R18+R31</f>
        <v>61536326.92307692</v>
      </c>
      <c r="S36" s="507">
        <f>+S31+S18+S10</f>
        <v>298673.07692307688</v>
      </c>
      <c r="T36" s="507">
        <f>+T31+T18+T10</f>
        <v>0</v>
      </c>
      <c r="U36" s="507">
        <f>+U10+U18+U31</f>
        <v>298673.07692307688</v>
      </c>
    </row>
    <row r="37" spans="1:21" s="135" customFormat="1" x14ac:dyDescent="0.3">
      <c r="A37" s="238"/>
      <c r="B37" s="239" t="s">
        <v>261</v>
      </c>
      <c r="C37" s="239"/>
      <c r="D37" s="240"/>
      <c r="E37" s="240"/>
      <c r="F37" s="240"/>
      <c r="G37" s="240"/>
      <c r="H37" s="240"/>
      <c r="I37" s="240">
        <f>I36</f>
        <v>36949534.615384616</v>
      </c>
      <c r="J37" s="240"/>
      <c r="K37" s="240"/>
      <c r="L37" s="240">
        <f>I37+L36</f>
        <v>134970326.92307693</v>
      </c>
      <c r="M37" s="240"/>
      <c r="N37" s="240"/>
      <c r="O37" s="240">
        <f>L37+O36</f>
        <v>218165000</v>
      </c>
      <c r="P37" s="240"/>
      <c r="Q37" s="240"/>
      <c r="R37" s="240">
        <f>O37+R36</f>
        <v>279701326.92307693</v>
      </c>
      <c r="S37" s="240"/>
      <c r="T37" s="240"/>
      <c r="U37" s="240">
        <f>R37+U36</f>
        <v>280000000</v>
      </c>
    </row>
    <row r="38" spans="1:21" x14ac:dyDescent="0.3">
      <c r="G38" s="130"/>
      <c r="H38" s="241"/>
      <c r="I38" s="241">
        <f>I36/$D$36</f>
        <v>0.18474767307692308</v>
      </c>
      <c r="J38" s="130"/>
      <c r="K38" s="241"/>
      <c r="L38" s="241">
        <f>L36/$D$36</f>
        <v>0.49010396153846153</v>
      </c>
      <c r="M38" s="130"/>
      <c r="N38" s="241"/>
      <c r="O38" s="241">
        <f>O36/$D$36</f>
        <v>0.41597336538461538</v>
      </c>
      <c r="P38" s="130"/>
      <c r="Q38" s="241"/>
      <c r="R38" s="241">
        <f>R36/$D$36</f>
        <v>0.30768163461538461</v>
      </c>
      <c r="S38" s="130"/>
      <c r="T38" s="241"/>
      <c r="U38" s="241">
        <f>U36/$D$36</f>
        <v>1.4933653846153844E-3</v>
      </c>
    </row>
  </sheetData>
  <mergeCells count="8">
    <mergeCell ref="S8:U8"/>
    <mergeCell ref="D8:F8"/>
    <mergeCell ref="A8:B8"/>
    <mergeCell ref="G8:I8"/>
    <mergeCell ref="J8:L8"/>
    <mergeCell ref="M8:O8"/>
    <mergeCell ref="P8:R8"/>
    <mergeCell ref="C8:C9"/>
  </mergeCells>
  <printOptions horizontalCentered="1"/>
  <pageMargins left="0.70866141732283472" right="0.70866141732283472" top="0.51181102362204722" bottom="0.27559055118110237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37"/>
  <sheetViews>
    <sheetView showGridLines="0" tabSelected="1" zoomScale="85" zoomScaleNormal="85" zoomScaleSheetLayoutView="70" workbookViewId="0">
      <selection activeCell="N11" sqref="N11:N12"/>
    </sheetView>
  </sheetViews>
  <sheetFormatPr defaultColWidth="11.44140625" defaultRowHeight="13.8" x14ac:dyDescent="0.25"/>
  <cols>
    <col min="1" max="1" width="10.109375" style="98" customWidth="1"/>
    <col min="2" max="2" width="55.6640625" style="29" customWidth="1"/>
    <col min="3" max="3" width="14" style="97" customWidth="1"/>
    <col min="4" max="4" width="12.109375" style="520" customWidth="1"/>
    <col min="5" max="5" width="14.5546875" style="95" customWidth="1"/>
    <col min="6" max="6" width="16" style="94" customWidth="1"/>
    <col min="7" max="7" width="12.21875" style="94" bestFit="1" customWidth="1"/>
    <col min="8" max="8" width="16" style="94" customWidth="1"/>
    <col min="9" max="9" width="15.109375" style="23" customWidth="1"/>
    <col min="10" max="10" width="11.44140625" style="23"/>
    <col min="11" max="11" width="0" style="23" hidden="1" customWidth="1"/>
    <col min="12" max="12" width="11.44140625" style="23"/>
    <col min="13" max="13" width="12.44140625" style="23" customWidth="1"/>
    <col min="14" max="221" width="11.44140625" style="23"/>
    <col min="222" max="222" width="44.44140625" style="23" customWidth="1"/>
    <col min="223" max="223" width="13" style="23" customWidth="1"/>
    <col min="224" max="229" width="2" style="23" customWidth="1"/>
    <col min="230" max="230" width="2.44140625" style="23" customWidth="1"/>
    <col min="231" max="231" width="3" style="23" customWidth="1"/>
    <col min="232" max="234" width="2" style="23" customWidth="1"/>
    <col min="235" max="235" width="2.88671875" style="23" customWidth="1"/>
    <col min="236" max="236" width="3" style="23" customWidth="1"/>
    <col min="237" max="237" width="2.6640625" style="23" customWidth="1"/>
    <col min="238" max="238" width="2.44140625" style="23" customWidth="1"/>
    <col min="239" max="239" width="3.33203125" style="23" customWidth="1"/>
    <col min="240" max="240" width="3.5546875" style="23" customWidth="1"/>
    <col min="241" max="241" width="4" style="23" customWidth="1"/>
    <col min="242" max="242" width="3.44140625" style="23" customWidth="1"/>
    <col min="243" max="243" width="3" style="23" customWidth="1"/>
    <col min="244" max="477" width="11.44140625" style="23"/>
    <col min="478" max="478" width="44.44140625" style="23" customWidth="1"/>
    <col min="479" max="479" width="13" style="23" customWidth="1"/>
    <col min="480" max="485" width="2" style="23" customWidth="1"/>
    <col min="486" max="486" width="2.44140625" style="23" customWidth="1"/>
    <col min="487" max="487" width="3" style="23" customWidth="1"/>
    <col min="488" max="490" width="2" style="23" customWidth="1"/>
    <col min="491" max="491" width="2.88671875" style="23" customWidth="1"/>
    <col min="492" max="492" width="3" style="23" customWidth="1"/>
    <col min="493" max="493" width="2.6640625" style="23" customWidth="1"/>
    <col min="494" max="494" width="2.44140625" style="23" customWidth="1"/>
    <col min="495" max="495" width="3.33203125" style="23" customWidth="1"/>
    <col min="496" max="496" width="3.5546875" style="23" customWidth="1"/>
    <col min="497" max="497" width="4" style="23" customWidth="1"/>
    <col min="498" max="498" width="3.44140625" style="23" customWidth="1"/>
    <col min="499" max="499" width="3" style="23" customWidth="1"/>
    <col min="500" max="733" width="11.44140625" style="23"/>
    <col min="734" max="734" width="44.44140625" style="23" customWidth="1"/>
    <col min="735" max="735" width="13" style="23" customWidth="1"/>
    <col min="736" max="741" width="2" style="23" customWidth="1"/>
    <col min="742" max="742" width="2.44140625" style="23" customWidth="1"/>
    <col min="743" max="743" width="3" style="23" customWidth="1"/>
    <col min="744" max="746" width="2" style="23" customWidth="1"/>
    <col min="747" max="747" width="2.88671875" style="23" customWidth="1"/>
    <col min="748" max="748" width="3" style="23" customWidth="1"/>
    <col min="749" max="749" width="2.6640625" style="23" customWidth="1"/>
    <col min="750" max="750" width="2.44140625" style="23" customWidth="1"/>
    <col min="751" max="751" width="3.33203125" style="23" customWidth="1"/>
    <col min="752" max="752" width="3.5546875" style="23" customWidth="1"/>
    <col min="753" max="753" width="4" style="23" customWidth="1"/>
    <col min="754" max="754" width="3.44140625" style="23" customWidth="1"/>
    <col min="755" max="755" width="3" style="23" customWidth="1"/>
    <col min="756" max="989" width="11.44140625" style="23"/>
    <col min="990" max="990" width="44.44140625" style="23" customWidth="1"/>
    <col min="991" max="991" width="13" style="23" customWidth="1"/>
    <col min="992" max="997" width="2" style="23" customWidth="1"/>
    <col min="998" max="998" width="2.44140625" style="23" customWidth="1"/>
    <col min="999" max="999" width="3" style="23" customWidth="1"/>
    <col min="1000" max="1002" width="2" style="23" customWidth="1"/>
    <col min="1003" max="1003" width="2.88671875" style="23" customWidth="1"/>
    <col min="1004" max="1004" width="3" style="23" customWidth="1"/>
    <col min="1005" max="1005" width="2.6640625" style="23" customWidth="1"/>
    <col min="1006" max="1006" width="2.44140625" style="23" customWidth="1"/>
    <col min="1007" max="1007" width="3.33203125" style="23" customWidth="1"/>
    <col min="1008" max="1008" width="3.5546875" style="23" customWidth="1"/>
    <col min="1009" max="1009" width="4" style="23" customWidth="1"/>
    <col min="1010" max="1010" width="3.44140625" style="23" customWidth="1"/>
    <col min="1011" max="1011" width="3" style="23" customWidth="1"/>
    <col min="1012" max="1245" width="11.44140625" style="23"/>
    <col min="1246" max="1246" width="44.44140625" style="23" customWidth="1"/>
    <col min="1247" max="1247" width="13" style="23" customWidth="1"/>
    <col min="1248" max="1253" width="2" style="23" customWidth="1"/>
    <col min="1254" max="1254" width="2.44140625" style="23" customWidth="1"/>
    <col min="1255" max="1255" width="3" style="23" customWidth="1"/>
    <col min="1256" max="1258" width="2" style="23" customWidth="1"/>
    <col min="1259" max="1259" width="2.88671875" style="23" customWidth="1"/>
    <col min="1260" max="1260" width="3" style="23" customWidth="1"/>
    <col min="1261" max="1261" width="2.6640625" style="23" customWidth="1"/>
    <col min="1262" max="1262" width="2.44140625" style="23" customWidth="1"/>
    <col min="1263" max="1263" width="3.33203125" style="23" customWidth="1"/>
    <col min="1264" max="1264" width="3.5546875" style="23" customWidth="1"/>
    <col min="1265" max="1265" width="4" style="23" customWidth="1"/>
    <col min="1266" max="1266" width="3.44140625" style="23" customWidth="1"/>
    <col min="1267" max="1267" width="3" style="23" customWidth="1"/>
    <col min="1268" max="1501" width="11.44140625" style="23"/>
    <col min="1502" max="1502" width="44.44140625" style="23" customWidth="1"/>
    <col min="1503" max="1503" width="13" style="23" customWidth="1"/>
    <col min="1504" max="1509" width="2" style="23" customWidth="1"/>
    <col min="1510" max="1510" width="2.44140625" style="23" customWidth="1"/>
    <col min="1511" max="1511" width="3" style="23" customWidth="1"/>
    <col min="1512" max="1514" width="2" style="23" customWidth="1"/>
    <col min="1515" max="1515" width="2.88671875" style="23" customWidth="1"/>
    <col min="1516" max="1516" width="3" style="23" customWidth="1"/>
    <col min="1517" max="1517" width="2.6640625" style="23" customWidth="1"/>
    <col min="1518" max="1518" width="2.44140625" style="23" customWidth="1"/>
    <col min="1519" max="1519" width="3.33203125" style="23" customWidth="1"/>
    <col min="1520" max="1520" width="3.5546875" style="23" customWidth="1"/>
    <col min="1521" max="1521" width="4" style="23" customWidth="1"/>
    <col min="1522" max="1522" width="3.44140625" style="23" customWidth="1"/>
    <col min="1523" max="1523" width="3" style="23" customWidth="1"/>
    <col min="1524" max="1757" width="11.44140625" style="23"/>
    <col min="1758" max="1758" width="44.44140625" style="23" customWidth="1"/>
    <col min="1759" max="1759" width="13" style="23" customWidth="1"/>
    <col min="1760" max="1765" width="2" style="23" customWidth="1"/>
    <col min="1766" max="1766" width="2.44140625" style="23" customWidth="1"/>
    <col min="1767" max="1767" width="3" style="23" customWidth="1"/>
    <col min="1768" max="1770" width="2" style="23" customWidth="1"/>
    <col min="1771" max="1771" width="2.88671875" style="23" customWidth="1"/>
    <col min="1772" max="1772" width="3" style="23" customWidth="1"/>
    <col min="1773" max="1773" width="2.6640625" style="23" customWidth="1"/>
    <col min="1774" max="1774" width="2.44140625" style="23" customWidth="1"/>
    <col min="1775" max="1775" width="3.33203125" style="23" customWidth="1"/>
    <col min="1776" max="1776" width="3.5546875" style="23" customWidth="1"/>
    <col min="1777" max="1777" width="4" style="23" customWidth="1"/>
    <col min="1778" max="1778" width="3.44140625" style="23" customWidth="1"/>
    <col min="1779" max="1779" width="3" style="23" customWidth="1"/>
    <col min="1780" max="2013" width="11.44140625" style="23"/>
    <col min="2014" max="2014" width="44.44140625" style="23" customWidth="1"/>
    <col min="2015" max="2015" width="13" style="23" customWidth="1"/>
    <col min="2016" max="2021" width="2" style="23" customWidth="1"/>
    <col min="2022" max="2022" width="2.44140625" style="23" customWidth="1"/>
    <col min="2023" max="2023" width="3" style="23" customWidth="1"/>
    <col min="2024" max="2026" width="2" style="23" customWidth="1"/>
    <col min="2027" max="2027" width="2.88671875" style="23" customWidth="1"/>
    <col min="2028" max="2028" width="3" style="23" customWidth="1"/>
    <col min="2029" max="2029" width="2.6640625" style="23" customWidth="1"/>
    <col min="2030" max="2030" width="2.44140625" style="23" customWidth="1"/>
    <col min="2031" max="2031" width="3.33203125" style="23" customWidth="1"/>
    <col min="2032" max="2032" width="3.5546875" style="23" customWidth="1"/>
    <col min="2033" max="2033" width="4" style="23" customWidth="1"/>
    <col min="2034" max="2034" width="3.44140625" style="23" customWidth="1"/>
    <col min="2035" max="2035" width="3" style="23" customWidth="1"/>
    <col min="2036" max="2269" width="11.44140625" style="23"/>
    <col min="2270" max="2270" width="44.44140625" style="23" customWidth="1"/>
    <col min="2271" max="2271" width="13" style="23" customWidth="1"/>
    <col min="2272" max="2277" width="2" style="23" customWidth="1"/>
    <col min="2278" max="2278" width="2.44140625" style="23" customWidth="1"/>
    <col min="2279" max="2279" width="3" style="23" customWidth="1"/>
    <col min="2280" max="2282" width="2" style="23" customWidth="1"/>
    <col min="2283" max="2283" width="2.88671875" style="23" customWidth="1"/>
    <col min="2284" max="2284" width="3" style="23" customWidth="1"/>
    <col min="2285" max="2285" width="2.6640625" style="23" customWidth="1"/>
    <col min="2286" max="2286" width="2.44140625" style="23" customWidth="1"/>
    <col min="2287" max="2287" width="3.33203125" style="23" customWidth="1"/>
    <col min="2288" max="2288" width="3.5546875" style="23" customWidth="1"/>
    <col min="2289" max="2289" width="4" style="23" customWidth="1"/>
    <col min="2290" max="2290" width="3.44140625" style="23" customWidth="1"/>
    <col min="2291" max="2291" width="3" style="23" customWidth="1"/>
    <col min="2292" max="2525" width="11.44140625" style="23"/>
    <col min="2526" max="2526" width="44.44140625" style="23" customWidth="1"/>
    <col min="2527" max="2527" width="13" style="23" customWidth="1"/>
    <col min="2528" max="2533" width="2" style="23" customWidth="1"/>
    <col min="2534" max="2534" width="2.44140625" style="23" customWidth="1"/>
    <col min="2535" max="2535" width="3" style="23" customWidth="1"/>
    <col min="2536" max="2538" width="2" style="23" customWidth="1"/>
    <col min="2539" max="2539" width="2.88671875" style="23" customWidth="1"/>
    <col min="2540" max="2540" width="3" style="23" customWidth="1"/>
    <col min="2541" max="2541" width="2.6640625" style="23" customWidth="1"/>
    <col min="2542" max="2542" width="2.44140625" style="23" customWidth="1"/>
    <col min="2543" max="2543" width="3.33203125" style="23" customWidth="1"/>
    <col min="2544" max="2544" width="3.5546875" style="23" customWidth="1"/>
    <col min="2545" max="2545" width="4" style="23" customWidth="1"/>
    <col min="2546" max="2546" width="3.44140625" style="23" customWidth="1"/>
    <col min="2547" max="2547" width="3" style="23" customWidth="1"/>
    <col min="2548" max="2781" width="11.44140625" style="23"/>
    <col min="2782" max="2782" width="44.44140625" style="23" customWidth="1"/>
    <col min="2783" max="2783" width="13" style="23" customWidth="1"/>
    <col min="2784" max="2789" width="2" style="23" customWidth="1"/>
    <col min="2790" max="2790" width="2.44140625" style="23" customWidth="1"/>
    <col min="2791" max="2791" width="3" style="23" customWidth="1"/>
    <col min="2792" max="2794" width="2" style="23" customWidth="1"/>
    <col min="2795" max="2795" width="2.88671875" style="23" customWidth="1"/>
    <col min="2796" max="2796" width="3" style="23" customWidth="1"/>
    <col min="2797" max="2797" width="2.6640625" style="23" customWidth="1"/>
    <col min="2798" max="2798" width="2.44140625" style="23" customWidth="1"/>
    <col min="2799" max="2799" width="3.33203125" style="23" customWidth="1"/>
    <col min="2800" max="2800" width="3.5546875" style="23" customWidth="1"/>
    <col min="2801" max="2801" width="4" style="23" customWidth="1"/>
    <col min="2802" max="2802" width="3.44140625" style="23" customWidth="1"/>
    <col min="2803" max="2803" width="3" style="23" customWidth="1"/>
    <col min="2804" max="3037" width="11.44140625" style="23"/>
    <col min="3038" max="3038" width="44.44140625" style="23" customWidth="1"/>
    <col min="3039" max="3039" width="13" style="23" customWidth="1"/>
    <col min="3040" max="3045" width="2" style="23" customWidth="1"/>
    <col min="3046" max="3046" width="2.44140625" style="23" customWidth="1"/>
    <col min="3047" max="3047" width="3" style="23" customWidth="1"/>
    <col min="3048" max="3050" width="2" style="23" customWidth="1"/>
    <col min="3051" max="3051" width="2.88671875" style="23" customWidth="1"/>
    <col min="3052" max="3052" width="3" style="23" customWidth="1"/>
    <col min="3053" max="3053" width="2.6640625" style="23" customWidth="1"/>
    <col min="3054" max="3054" width="2.44140625" style="23" customWidth="1"/>
    <col min="3055" max="3055" width="3.33203125" style="23" customWidth="1"/>
    <col min="3056" max="3056" width="3.5546875" style="23" customWidth="1"/>
    <col min="3057" max="3057" width="4" style="23" customWidth="1"/>
    <col min="3058" max="3058" width="3.44140625" style="23" customWidth="1"/>
    <col min="3059" max="3059" width="3" style="23" customWidth="1"/>
    <col min="3060" max="3293" width="11.44140625" style="23"/>
    <col min="3294" max="3294" width="44.44140625" style="23" customWidth="1"/>
    <col min="3295" max="3295" width="13" style="23" customWidth="1"/>
    <col min="3296" max="3301" width="2" style="23" customWidth="1"/>
    <col min="3302" max="3302" width="2.44140625" style="23" customWidth="1"/>
    <col min="3303" max="3303" width="3" style="23" customWidth="1"/>
    <col min="3304" max="3306" width="2" style="23" customWidth="1"/>
    <col min="3307" max="3307" width="2.88671875" style="23" customWidth="1"/>
    <col min="3308" max="3308" width="3" style="23" customWidth="1"/>
    <col min="3309" max="3309" width="2.6640625" style="23" customWidth="1"/>
    <col min="3310" max="3310" width="2.44140625" style="23" customWidth="1"/>
    <col min="3311" max="3311" width="3.33203125" style="23" customWidth="1"/>
    <col min="3312" max="3312" width="3.5546875" style="23" customWidth="1"/>
    <col min="3313" max="3313" width="4" style="23" customWidth="1"/>
    <col min="3314" max="3314" width="3.44140625" style="23" customWidth="1"/>
    <col min="3315" max="3315" width="3" style="23" customWidth="1"/>
    <col min="3316" max="3549" width="11.44140625" style="23"/>
    <col min="3550" max="3550" width="44.44140625" style="23" customWidth="1"/>
    <col min="3551" max="3551" width="13" style="23" customWidth="1"/>
    <col min="3552" max="3557" width="2" style="23" customWidth="1"/>
    <col min="3558" max="3558" width="2.44140625" style="23" customWidth="1"/>
    <col min="3559" max="3559" width="3" style="23" customWidth="1"/>
    <col min="3560" max="3562" width="2" style="23" customWidth="1"/>
    <col min="3563" max="3563" width="2.88671875" style="23" customWidth="1"/>
    <col min="3564" max="3564" width="3" style="23" customWidth="1"/>
    <col min="3565" max="3565" width="2.6640625" style="23" customWidth="1"/>
    <col min="3566" max="3566" width="2.44140625" style="23" customWidth="1"/>
    <col min="3567" max="3567" width="3.33203125" style="23" customWidth="1"/>
    <col min="3568" max="3568" width="3.5546875" style="23" customWidth="1"/>
    <col min="3569" max="3569" width="4" style="23" customWidth="1"/>
    <col min="3570" max="3570" width="3.44140625" style="23" customWidth="1"/>
    <col min="3571" max="3571" width="3" style="23" customWidth="1"/>
    <col min="3572" max="3805" width="11.44140625" style="23"/>
    <col min="3806" max="3806" width="44.44140625" style="23" customWidth="1"/>
    <col min="3807" max="3807" width="13" style="23" customWidth="1"/>
    <col min="3808" max="3813" width="2" style="23" customWidth="1"/>
    <col min="3814" max="3814" width="2.44140625" style="23" customWidth="1"/>
    <col min="3815" max="3815" width="3" style="23" customWidth="1"/>
    <col min="3816" max="3818" width="2" style="23" customWidth="1"/>
    <col min="3819" max="3819" width="2.88671875" style="23" customWidth="1"/>
    <col min="3820" max="3820" width="3" style="23" customWidth="1"/>
    <col min="3821" max="3821" width="2.6640625" style="23" customWidth="1"/>
    <col min="3822" max="3822" width="2.44140625" style="23" customWidth="1"/>
    <col min="3823" max="3823" width="3.33203125" style="23" customWidth="1"/>
    <col min="3824" max="3824" width="3.5546875" style="23" customWidth="1"/>
    <col min="3825" max="3825" width="4" style="23" customWidth="1"/>
    <col min="3826" max="3826" width="3.44140625" style="23" customWidth="1"/>
    <col min="3827" max="3827" width="3" style="23" customWidth="1"/>
    <col min="3828" max="4061" width="11.44140625" style="23"/>
    <col min="4062" max="4062" width="44.44140625" style="23" customWidth="1"/>
    <col min="4063" max="4063" width="13" style="23" customWidth="1"/>
    <col min="4064" max="4069" width="2" style="23" customWidth="1"/>
    <col min="4070" max="4070" width="2.44140625" style="23" customWidth="1"/>
    <col min="4071" max="4071" width="3" style="23" customWidth="1"/>
    <col min="4072" max="4074" width="2" style="23" customWidth="1"/>
    <col min="4075" max="4075" width="2.88671875" style="23" customWidth="1"/>
    <col min="4076" max="4076" width="3" style="23" customWidth="1"/>
    <col min="4077" max="4077" width="2.6640625" style="23" customWidth="1"/>
    <col min="4078" max="4078" width="2.44140625" style="23" customWidth="1"/>
    <col min="4079" max="4079" width="3.33203125" style="23" customWidth="1"/>
    <col min="4080" max="4080" width="3.5546875" style="23" customWidth="1"/>
    <col min="4081" max="4081" width="4" style="23" customWidth="1"/>
    <col min="4082" max="4082" width="3.44140625" style="23" customWidth="1"/>
    <col min="4083" max="4083" width="3" style="23" customWidth="1"/>
    <col min="4084" max="4317" width="11.44140625" style="23"/>
    <col min="4318" max="4318" width="44.44140625" style="23" customWidth="1"/>
    <col min="4319" max="4319" width="13" style="23" customWidth="1"/>
    <col min="4320" max="4325" width="2" style="23" customWidth="1"/>
    <col min="4326" max="4326" width="2.44140625" style="23" customWidth="1"/>
    <col min="4327" max="4327" width="3" style="23" customWidth="1"/>
    <col min="4328" max="4330" width="2" style="23" customWidth="1"/>
    <col min="4331" max="4331" width="2.88671875" style="23" customWidth="1"/>
    <col min="4332" max="4332" width="3" style="23" customWidth="1"/>
    <col min="4333" max="4333" width="2.6640625" style="23" customWidth="1"/>
    <col min="4334" max="4334" width="2.44140625" style="23" customWidth="1"/>
    <col min="4335" max="4335" width="3.33203125" style="23" customWidth="1"/>
    <col min="4336" max="4336" width="3.5546875" style="23" customWidth="1"/>
    <col min="4337" max="4337" width="4" style="23" customWidth="1"/>
    <col min="4338" max="4338" width="3.44140625" style="23" customWidth="1"/>
    <col min="4339" max="4339" width="3" style="23" customWidth="1"/>
    <col min="4340" max="4573" width="11.44140625" style="23"/>
    <col min="4574" max="4574" width="44.44140625" style="23" customWidth="1"/>
    <col min="4575" max="4575" width="13" style="23" customWidth="1"/>
    <col min="4576" max="4581" width="2" style="23" customWidth="1"/>
    <col min="4582" max="4582" width="2.44140625" style="23" customWidth="1"/>
    <col min="4583" max="4583" width="3" style="23" customWidth="1"/>
    <col min="4584" max="4586" width="2" style="23" customWidth="1"/>
    <col min="4587" max="4587" width="2.88671875" style="23" customWidth="1"/>
    <col min="4588" max="4588" width="3" style="23" customWidth="1"/>
    <col min="4589" max="4589" width="2.6640625" style="23" customWidth="1"/>
    <col min="4590" max="4590" width="2.44140625" style="23" customWidth="1"/>
    <col min="4591" max="4591" width="3.33203125" style="23" customWidth="1"/>
    <col min="4592" max="4592" width="3.5546875" style="23" customWidth="1"/>
    <col min="4593" max="4593" width="4" style="23" customWidth="1"/>
    <col min="4594" max="4594" width="3.44140625" style="23" customWidth="1"/>
    <col min="4595" max="4595" width="3" style="23" customWidth="1"/>
    <col min="4596" max="4829" width="11.44140625" style="23"/>
    <col min="4830" max="4830" width="44.44140625" style="23" customWidth="1"/>
    <col min="4831" max="4831" width="13" style="23" customWidth="1"/>
    <col min="4832" max="4837" width="2" style="23" customWidth="1"/>
    <col min="4838" max="4838" width="2.44140625" style="23" customWidth="1"/>
    <col min="4839" max="4839" width="3" style="23" customWidth="1"/>
    <col min="4840" max="4842" width="2" style="23" customWidth="1"/>
    <col min="4843" max="4843" width="2.88671875" style="23" customWidth="1"/>
    <col min="4844" max="4844" width="3" style="23" customWidth="1"/>
    <col min="4845" max="4845" width="2.6640625" style="23" customWidth="1"/>
    <col min="4846" max="4846" width="2.44140625" style="23" customWidth="1"/>
    <col min="4847" max="4847" width="3.33203125" style="23" customWidth="1"/>
    <col min="4848" max="4848" width="3.5546875" style="23" customWidth="1"/>
    <col min="4849" max="4849" width="4" style="23" customWidth="1"/>
    <col min="4850" max="4850" width="3.44140625" style="23" customWidth="1"/>
    <col min="4851" max="4851" width="3" style="23" customWidth="1"/>
    <col min="4852" max="5085" width="11.44140625" style="23"/>
    <col min="5086" max="5086" width="44.44140625" style="23" customWidth="1"/>
    <col min="5087" max="5087" width="13" style="23" customWidth="1"/>
    <col min="5088" max="5093" width="2" style="23" customWidth="1"/>
    <col min="5094" max="5094" width="2.44140625" style="23" customWidth="1"/>
    <col min="5095" max="5095" width="3" style="23" customWidth="1"/>
    <col min="5096" max="5098" width="2" style="23" customWidth="1"/>
    <col min="5099" max="5099" width="2.88671875" style="23" customWidth="1"/>
    <col min="5100" max="5100" width="3" style="23" customWidth="1"/>
    <col min="5101" max="5101" width="2.6640625" style="23" customWidth="1"/>
    <col min="5102" max="5102" width="2.44140625" style="23" customWidth="1"/>
    <col min="5103" max="5103" width="3.33203125" style="23" customWidth="1"/>
    <col min="5104" max="5104" width="3.5546875" style="23" customWidth="1"/>
    <col min="5105" max="5105" width="4" style="23" customWidth="1"/>
    <col min="5106" max="5106" width="3.44140625" style="23" customWidth="1"/>
    <col min="5107" max="5107" width="3" style="23" customWidth="1"/>
    <col min="5108" max="5341" width="11.44140625" style="23"/>
    <col min="5342" max="5342" width="44.44140625" style="23" customWidth="1"/>
    <col min="5343" max="5343" width="13" style="23" customWidth="1"/>
    <col min="5344" max="5349" width="2" style="23" customWidth="1"/>
    <col min="5350" max="5350" width="2.44140625" style="23" customWidth="1"/>
    <col min="5351" max="5351" width="3" style="23" customWidth="1"/>
    <col min="5352" max="5354" width="2" style="23" customWidth="1"/>
    <col min="5355" max="5355" width="2.88671875" style="23" customWidth="1"/>
    <col min="5356" max="5356" width="3" style="23" customWidth="1"/>
    <col min="5357" max="5357" width="2.6640625" style="23" customWidth="1"/>
    <col min="5358" max="5358" width="2.44140625" style="23" customWidth="1"/>
    <col min="5359" max="5359" width="3.33203125" style="23" customWidth="1"/>
    <col min="5360" max="5360" width="3.5546875" style="23" customWidth="1"/>
    <col min="5361" max="5361" width="4" style="23" customWidth="1"/>
    <col min="5362" max="5362" width="3.44140625" style="23" customWidth="1"/>
    <col min="5363" max="5363" width="3" style="23" customWidth="1"/>
    <col min="5364" max="5597" width="11.44140625" style="23"/>
    <col min="5598" max="5598" width="44.44140625" style="23" customWidth="1"/>
    <col min="5599" max="5599" width="13" style="23" customWidth="1"/>
    <col min="5600" max="5605" width="2" style="23" customWidth="1"/>
    <col min="5606" max="5606" width="2.44140625" style="23" customWidth="1"/>
    <col min="5607" max="5607" width="3" style="23" customWidth="1"/>
    <col min="5608" max="5610" width="2" style="23" customWidth="1"/>
    <col min="5611" max="5611" width="2.88671875" style="23" customWidth="1"/>
    <col min="5612" max="5612" width="3" style="23" customWidth="1"/>
    <col min="5613" max="5613" width="2.6640625" style="23" customWidth="1"/>
    <col min="5614" max="5614" width="2.44140625" style="23" customWidth="1"/>
    <col min="5615" max="5615" width="3.33203125" style="23" customWidth="1"/>
    <col min="5616" max="5616" width="3.5546875" style="23" customWidth="1"/>
    <col min="5617" max="5617" width="4" style="23" customWidth="1"/>
    <col min="5618" max="5618" width="3.44140625" style="23" customWidth="1"/>
    <col min="5619" max="5619" width="3" style="23" customWidth="1"/>
    <col min="5620" max="5853" width="11.44140625" style="23"/>
    <col min="5854" max="5854" width="44.44140625" style="23" customWidth="1"/>
    <col min="5855" max="5855" width="13" style="23" customWidth="1"/>
    <col min="5856" max="5861" width="2" style="23" customWidth="1"/>
    <col min="5862" max="5862" width="2.44140625" style="23" customWidth="1"/>
    <col min="5863" max="5863" width="3" style="23" customWidth="1"/>
    <col min="5864" max="5866" width="2" style="23" customWidth="1"/>
    <col min="5867" max="5867" width="2.88671875" style="23" customWidth="1"/>
    <col min="5868" max="5868" width="3" style="23" customWidth="1"/>
    <col min="5869" max="5869" width="2.6640625" style="23" customWidth="1"/>
    <col min="5870" max="5870" width="2.44140625" style="23" customWidth="1"/>
    <col min="5871" max="5871" width="3.33203125" style="23" customWidth="1"/>
    <col min="5872" max="5872" width="3.5546875" style="23" customWidth="1"/>
    <col min="5873" max="5873" width="4" style="23" customWidth="1"/>
    <col min="5874" max="5874" width="3.44140625" style="23" customWidth="1"/>
    <col min="5875" max="5875" width="3" style="23" customWidth="1"/>
    <col min="5876" max="6109" width="11.44140625" style="23"/>
    <col min="6110" max="6110" width="44.44140625" style="23" customWidth="1"/>
    <col min="6111" max="6111" width="13" style="23" customWidth="1"/>
    <col min="6112" max="6117" width="2" style="23" customWidth="1"/>
    <col min="6118" max="6118" width="2.44140625" style="23" customWidth="1"/>
    <col min="6119" max="6119" width="3" style="23" customWidth="1"/>
    <col min="6120" max="6122" width="2" style="23" customWidth="1"/>
    <col min="6123" max="6123" width="2.88671875" style="23" customWidth="1"/>
    <col min="6124" max="6124" width="3" style="23" customWidth="1"/>
    <col min="6125" max="6125" width="2.6640625" style="23" customWidth="1"/>
    <col min="6126" max="6126" width="2.44140625" style="23" customWidth="1"/>
    <col min="6127" max="6127" width="3.33203125" style="23" customWidth="1"/>
    <col min="6128" max="6128" width="3.5546875" style="23" customWidth="1"/>
    <col min="6129" max="6129" width="4" style="23" customWidth="1"/>
    <col min="6130" max="6130" width="3.44140625" style="23" customWidth="1"/>
    <col min="6131" max="6131" width="3" style="23" customWidth="1"/>
    <col min="6132" max="6365" width="11.44140625" style="23"/>
    <col min="6366" max="6366" width="44.44140625" style="23" customWidth="1"/>
    <col min="6367" max="6367" width="13" style="23" customWidth="1"/>
    <col min="6368" max="6373" width="2" style="23" customWidth="1"/>
    <col min="6374" max="6374" width="2.44140625" style="23" customWidth="1"/>
    <col min="6375" max="6375" width="3" style="23" customWidth="1"/>
    <col min="6376" max="6378" width="2" style="23" customWidth="1"/>
    <col min="6379" max="6379" width="2.88671875" style="23" customWidth="1"/>
    <col min="6380" max="6380" width="3" style="23" customWidth="1"/>
    <col min="6381" max="6381" width="2.6640625" style="23" customWidth="1"/>
    <col min="6382" max="6382" width="2.44140625" style="23" customWidth="1"/>
    <col min="6383" max="6383" width="3.33203125" style="23" customWidth="1"/>
    <col min="6384" max="6384" width="3.5546875" style="23" customWidth="1"/>
    <col min="6385" max="6385" width="4" style="23" customWidth="1"/>
    <col min="6386" max="6386" width="3.44140625" style="23" customWidth="1"/>
    <col min="6387" max="6387" width="3" style="23" customWidth="1"/>
    <col min="6388" max="6621" width="11.44140625" style="23"/>
    <col min="6622" max="6622" width="44.44140625" style="23" customWidth="1"/>
    <col min="6623" max="6623" width="13" style="23" customWidth="1"/>
    <col min="6624" max="6629" width="2" style="23" customWidth="1"/>
    <col min="6630" max="6630" width="2.44140625" style="23" customWidth="1"/>
    <col min="6631" max="6631" width="3" style="23" customWidth="1"/>
    <col min="6632" max="6634" width="2" style="23" customWidth="1"/>
    <col min="6635" max="6635" width="2.88671875" style="23" customWidth="1"/>
    <col min="6636" max="6636" width="3" style="23" customWidth="1"/>
    <col min="6637" max="6637" width="2.6640625" style="23" customWidth="1"/>
    <col min="6638" max="6638" width="2.44140625" style="23" customWidth="1"/>
    <col min="6639" max="6639" width="3.33203125" style="23" customWidth="1"/>
    <col min="6640" max="6640" width="3.5546875" style="23" customWidth="1"/>
    <col min="6641" max="6641" width="4" style="23" customWidth="1"/>
    <col min="6642" max="6642" width="3.44140625" style="23" customWidth="1"/>
    <col min="6643" max="6643" width="3" style="23" customWidth="1"/>
    <col min="6644" max="6877" width="11.44140625" style="23"/>
    <col min="6878" max="6878" width="44.44140625" style="23" customWidth="1"/>
    <col min="6879" max="6879" width="13" style="23" customWidth="1"/>
    <col min="6880" max="6885" width="2" style="23" customWidth="1"/>
    <col min="6886" max="6886" width="2.44140625" style="23" customWidth="1"/>
    <col min="6887" max="6887" width="3" style="23" customWidth="1"/>
    <col min="6888" max="6890" width="2" style="23" customWidth="1"/>
    <col min="6891" max="6891" width="2.88671875" style="23" customWidth="1"/>
    <col min="6892" max="6892" width="3" style="23" customWidth="1"/>
    <col min="6893" max="6893" width="2.6640625" style="23" customWidth="1"/>
    <col min="6894" max="6894" width="2.44140625" style="23" customWidth="1"/>
    <col min="6895" max="6895" width="3.33203125" style="23" customWidth="1"/>
    <col min="6896" max="6896" width="3.5546875" style="23" customWidth="1"/>
    <col min="6897" max="6897" width="4" style="23" customWidth="1"/>
    <col min="6898" max="6898" width="3.44140625" style="23" customWidth="1"/>
    <col min="6899" max="6899" width="3" style="23" customWidth="1"/>
    <col min="6900" max="7133" width="11.44140625" style="23"/>
    <col min="7134" max="7134" width="44.44140625" style="23" customWidth="1"/>
    <col min="7135" max="7135" width="13" style="23" customWidth="1"/>
    <col min="7136" max="7141" width="2" style="23" customWidth="1"/>
    <col min="7142" max="7142" width="2.44140625" style="23" customWidth="1"/>
    <col min="7143" max="7143" width="3" style="23" customWidth="1"/>
    <col min="7144" max="7146" width="2" style="23" customWidth="1"/>
    <col min="7147" max="7147" width="2.88671875" style="23" customWidth="1"/>
    <col min="7148" max="7148" width="3" style="23" customWidth="1"/>
    <col min="7149" max="7149" width="2.6640625" style="23" customWidth="1"/>
    <col min="7150" max="7150" width="2.44140625" style="23" customWidth="1"/>
    <col min="7151" max="7151" width="3.33203125" style="23" customWidth="1"/>
    <col min="7152" max="7152" width="3.5546875" style="23" customWidth="1"/>
    <col min="7153" max="7153" width="4" style="23" customWidth="1"/>
    <col min="7154" max="7154" width="3.44140625" style="23" customWidth="1"/>
    <col min="7155" max="7155" width="3" style="23" customWidth="1"/>
    <col min="7156" max="7389" width="11.44140625" style="23"/>
    <col min="7390" max="7390" width="44.44140625" style="23" customWidth="1"/>
    <col min="7391" max="7391" width="13" style="23" customWidth="1"/>
    <col min="7392" max="7397" width="2" style="23" customWidth="1"/>
    <col min="7398" max="7398" width="2.44140625" style="23" customWidth="1"/>
    <col min="7399" max="7399" width="3" style="23" customWidth="1"/>
    <col min="7400" max="7402" width="2" style="23" customWidth="1"/>
    <col min="7403" max="7403" width="2.88671875" style="23" customWidth="1"/>
    <col min="7404" max="7404" width="3" style="23" customWidth="1"/>
    <col min="7405" max="7405" width="2.6640625" style="23" customWidth="1"/>
    <col min="7406" max="7406" width="2.44140625" style="23" customWidth="1"/>
    <col min="7407" max="7407" width="3.33203125" style="23" customWidth="1"/>
    <col min="7408" max="7408" width="3.5546875" style="23" customWidth="1"/>
    <col min="7409" max="7409" width="4" style="23" customWidth="1"/>
    <col min="7410" max="7410" width="3.44140625" style="23" customWidth="1"/>
    <col min="7411" max="7411" width="3" style="23" customWidth="1"/>
    <col min="7412" max="7645" width="11.44140625" style="23"/>
    <col min="7646" max="7646" width="44.44140625" style="23" customWidth="1"/>
    <col min="7647" max="7647" width="13" style="23" customWidth="1"/>
    <col min="7648" max="7653" width="2" style="23" customWidth="1"/>
    <col min="7654" max="7654" width="2.44140625" style="23" customWidth="1"/>
    <col min="7655" max="7655" width="3" style="23" customWidth="1"/>
    <col min="7656" max="7658" width="2" style="23" customWidth="1"/>
    <col min="7659" max="7659" width="2.88671875" style="23" customWidth="1"/>
    <col min="7660" max="7660" width="3" style="23" customWidth="1"/>
    <col min="7661" max="7661" width="2.6640625" style="23" customWidth="1"/>
    <col min="7662" max="7662" width="2.44140625" style="23" customWidth="1"/>
    <col min="7663" max="7663" width="3.33203125" style="23" customWidth="1"/>
    <col min="7664" max="7664" width="3.5546875" style="23" customWidth="1"/>
    <col min="7665" max="7665" width="4" style="23" customWidth="1"/>
    <col min="7666" max="7666" width="3.44140625" style="23" customWidth="1"/>
    <col min="7667" max="7667" width="3" style="23" customWidth="1"/>
    <col min="7668" max="7901" width="11.44140625" style="23"/>
    <col min="7902" max="7902" width="44.44140625" style="23" customWidth="1"/>
    <col min="7903" max="7903" width="13" style="23" customWidth="1"/>
    <col min="7904" max="7909" width="2" style="23" customWidth="1"/>
    <col min="7910" max="7910" width="2.44140625" style="23" customWidth="1"/>
    <col min="7911" max="7911" width="3" style="23" customWidth="1"/>
    <col min="7912" max="7914" width="2" style="23" customWidth="1"/>
    <col min="7915" max="7915" width="2.88671875" style="23" customWidth="1"/>
    <col min="7916" max="7916" width="3" style="23" customWidth="1"/>
    <col min="7917" max="7917" width="2.6640625" style="23" customWidth="1"/>
    <col min="7918" max="7918" width="2.44140625" style="23" customWidth="1"/>
    <col min="7919" max="7919" width="3.33203125" style="23" customWidth="1"/>
    <col min="7920" max="7920" width="3.5546875" style="23" customWidth="1"/>
    <col min="7921" max="7921" width="4" style="23" customWidth="1"/>
    <col min="7922" max="7922" width="3.44140625" style="23" customWidth="1"/>
    <col min="7923" max="7923" width="3" style="23" customWidth="1"/>
    <col min="7924" max="8157" width="11.44140625" style="23"/>
    <col min="8158" max="8158" width="44.44140625" style="23" customWidth="1"/>
    <col min="8159" max="8159" width="13" style="23" customWidth="1"/>
    <col min="8160" max="8165" width="2" style="23" customWidth="1"/>
    <col min="8166" max="8166" width="2.44140625" style="23" customWidth="1"/>
    <col min="8167" max="8167" width="3" style="23" customWidth="1"/>
    <col min="8168" max="8170" width="2" style="23" customWidth="1"/>
    <col min="8171" max="8171" width="2.88671875" style="23" customWidth="1"/>
    <col min="8172" max="8172" width="3" style="23" customWidth="1"/>
    <col min="8173" max="8173" width="2.6640625" style="23" customWidth="1"/>
    <col min="8174" max="8174" width="2.44140625" style="23" customWidth="1"/>
    <col min="8175" max="8175" width="3.33203125" style="23" customWidth="1"/>
    <col min="8176" max="8176" width="3.5546875" style="23" customWidth="1"/>
    <col min="8177" max="8177" width="4" style="23" customWidth="1"/>
    <col min="8178" max="8178" width="3.44140625" style="23" customWidth="1"/>
    <col min="8179" max="8179" width="3" style="23" customWidth="1"/>
    <col min="8180" max="8413" width="11.44140625" style="23"/>
    <col min="8414" max="8414" width="44.44140625" style="23" customWidth="1"/>
    <col min="8415" max="8415" width="13" style="23" customWidth="1"/>
    <col min="8416" max="8421" width="2" style="23" customWidth="1"/>
    <col min="8422" max="8422" width="2.44140625" style="23" customWidth="1"/>
    <col min="8423" max="8423" width="3" style="23" customWidth="1"/>
    <col min="8424" max="8426" width="2" style="23" customWidth="1"/>
    <col min="8427" max="8427" width="2.88671875" style="23" customWidth="1"/>
    <col min="8428" max="8428" width="3" style="23" customWidth="1"/>
    <col min="8429" max="8429" width="2.6640625" style="23" customWidth="1"/>
    <col min="8430" max="8430" width="2.44140625" style="23" customWidth="1"/>
    <col min="8431" max="8431" width="3.33203125" style="23" customWidth="1"/>
    <col min="8432" max="8432" width="3.5546875" style="23" customWidth="1"/>
    <col min="8433" max="8433" width="4" style="23" customWidth="1"/>
    <col min="8434" max="8434" width="3.44140625" style="23" customWidth="1"/>
    <col min="8435" max="8435" width="3" style="23" customWidth="1"/>
    <col min="8436" max="8669" width="11.44140625" style="23"/>
    <col min="8670" max="8670" width="44.44140625" style="23" customWidth="1"/>
    <col min="8671" max="8671" width="13" style="23" customWidth="1"/>
    <col min="8672" max="8677" width="2" style="23" customWidth="1"/>
    <col min="8678" max="8678" width="2.44140625" style="23" customWidth="1"/>
    <col min="8679" max="8679" width="3" style="23" customWidth="1"/>
    <col min="8680" max="8682" width="2" style="23" customWidth="1"/>
    <col min="8683" max="8683" width="2.88671875" style="23" customWidth="1"/>
    <col min="8684" max="8684" width="3" style="23" customWidth="1"/>
    <col min="8685" max="8685" width="2.6640625" style="23" customWidth="1"/>
    <col min="8686" max="8686" width="2.44140625" style="23" customWidth="1"/>
    <col min="8687" max="8687" width="3.33203125" style="23" customWidth="1"/>
    <col min="8688" max="8688" width="3.5546875" style="23" customWidth="1"/>
    <col min="8689" max="8689" width="4" style="23" customWidth="1"/>
    <col min="8690" max="8690" width="3.44140625" style="23" customWidth="1"/>
    <col min="8691" max="8691" width="3" style="23" customWidth="1"/>
    <col min="8692" max="8925" width="11.44140625" style="23"/>
    <col min="8926" max="8926" width="44.44140625" style="23" customWidth="1"/>
    <col min="8927" max="8927" width="13" style="23" customWidth="1"/>
    <col min="8928" max="8933" width="2" style="23" customWidth="1"/>
    <col min="8934" max="8934" width="2.44140625" style="23" customWidth="1"/>
    <col min="8935" max="8935" width="3" style="23" customWidth="1"/>
    <col min="8936" max="8938" width="2" style="23" customWidth="1"/>
    <col min="8939" max="8939" width="2.88671875" style="23" customWidth="1"/>
    <col min="8940" max="8940" width="3" style="23" customWidth="1"/>
    <col min="8941" max="8941" width="2.6640625" style="23" customWidth="1"/>
    <col min="8942" max="8942" width="2.44140625" style="23" customWidth="1"/>
    <col min="8943" max="8943" width="3.33203125" style="23" customWidth="1"/>
    <col min="8944" max="8944" width="3.5546875" style="23" customWidth="1"/>
    <col min="8945" max="8945" width="4" style="23" customWidth="1"/>
    <col min="8946" max="8946" width="3.44140625" style="23" customWidth="1"/>
    <col min="8947" max="8947" width="3" style="23" customWidth="1"/>
    <col min="8948" max="9181" width="11.44140625" style="23"/>
    <col min="9182" max="9182" width="44.44140625" style="23" customWidth="1"/>
    <col min="9183" max="9183" width="13" style="23" customWidth="1"/>
    <col min="9184" max="9189" width="2" style="23" customWidth="1"/>
    <col min="9190" max="9190" width="2.44140625" style="23" customWidth="1"/>
    <col min="9191" max="9191" width="3" style="23" customWidth="1"/>
    <col min="9192" max="9194" width="2" style="23" customWidth="1"/>
    <col min="9195" max="9195" width="2.88671875" style="23" customWidth="1"/>
    <col min="9196" max="9196" width="3" style="23" customWidth="1"/>
    <col min="9197" max="9197" width="2.6640625" style="23" customWidth="1"/>
    <col min="9198" max="9198" width="2.44140625" style="23" customWidth="1"/>
    <col min="9199" max="9199" width="3.33203125" style="23" customWidth="1"/>
    <col min="9200" max="9200" width="3.5546875" style="23" customWidth="1"/>
    <col min="9201" max="9201" width="4" style="23" customWidth="1"/>
    <col min="9202" max="9202" width="3.44140625" style="23" customWidth="1"/>
    <col min="9203" max="9203" width="3" style="23" customWidth="1"/>
    <col min="9204" max="9437" width="11.44140625" style="23"/>
    <col min="9438" max="9438" width="44.44140625" style="23" customWidth="1"/>
    <col min="9439" max="9439" width="13" style="23" customWidth="1"/>
    <col min="9440" max="9445" width="2" style="23" customWidth="1"/>
    <col min="9446" max="9446" width="2.44140625" style="23" customWidth="1"/>
    <col min="9447" max="9447" width="3" style="23" customWidth="1"/>
    <col min="9448" max="9450" width="2" style="23" customWidth="1"/>
    <col min="9451" max="9451" width="2.88671875" style="23" customWidth="1"/>
    <col min="9452" max="9452" width="3" style="23" customWidth="1"/>
    <col min="9453" max="9453" width="2.6640625" style="23" customWidth="1"/>
    <col min="9454" max="9454" width="2.44140625" style="23" customWidth="1"/>
    <col min="9455" max="9455" width="3.33203125" style="23" customWidth="1"/>
    <col min="9456" max="9456" width="3.5546875" style="23" customWidth="1"/>
    <col min="9457" max="9457" width="4" style="23" customWidth="1"/>
    <col min="9458" max="9458" width="3.44140625" style="23" customWidth="1"/>
    <col min="9459" max="9459" width="3" style="23" customWidth="1"/>
    <col min="9460" max="9693" width="11.44140625" style="23"/>
    <col min="9694" max="9694" width="44.44140625" style="23" customWidth="1"/>
    <col min="9695" max="9695" width="13" style="23" customWidth="1"/>
    <col min="9696" max="9701" width="2" style="23" customWidth="1"/>
    <col min="9702" max="9702" width="2.44140625" style="23" customWidth="1"/>
    <col min="9703" max="9703" width="3" style="23" customWidth="1"/>
    <col min="9704" max="9706" width="2" style="23" customWidth="1"/>
    <col min="9707" max="9707" width="2.88671875" style="23" customWidth="1"/>
    <col min="9708" max="9708" width="3" style="23" customWidth="1"/>
    <col min="9709" max="9709" width="2.6640625" style="23" customWidth="1"/>
    <col min="9710" max="9710" width="2.44140625" style="23" customWidth="1"/>
    <col min="9711" max="9711" width="3.33203125" style="23" customWidth="1"/>
    <col min="9712" max="9712" width="3.5546875" style="23" customWidth="1"/>
    <col min="9713" max="9713" width="4" style="23" customWidth="1"/>
    <col min="9714" max="9714" width="3.44140625" style="23" customWidth="1"/>
    <col min="9715" max="9715" width="3" style="23" customWidth="1"/>
    <col min="9716" max="9949" width="11.44140625" style="23"/>
    <col min="9950" max="9950" width="44.44140625" style="23" customWidth="1"/>
    <col min="9951" max="9951" width="13" style="23" customWidth="1"/>
    <col min="9952" max="9957" width="2" style="23" customWidth="1"/>
    <col min="9958" max="9958" width="2.44140625" style="23" customWidth="1"/>
    <col min="9959" max="9959" width="3" style="23" customWidth="1"/>
    <col min="9960" max="9962" width="2" style="23" customWidth="1"/>
    <col min="9963" max="9963" width="2.88671875" style="23" customWidth="1"/>
    <col min="9964" max="9964" width="3" style="23" customWidth="1"/>
    <col min="9965" max="9965" width="2.6640625" style="23" customWidth="1"/>
    <col min="9966" max="9966" width="2.44140625" style="23" customWidth="1"/>
    <col min="9967" max="9967" width="3.33203125" style="23" customWidth="1"/>
    <col min="9968" max="9968" width="3.5546875" style="23" customWidth="1"/>
    <col min="9969" max="9969" width="4" style="23" customWidth="1"/>
    <col min="9970" max="9970" width="3.44140625" style="23" customWidth="1"/>
    <col min="9971" max="9971" width="3" style="23" customWidth="1"/>
    <col min="9972" max="10205" width="11.44140625" style="23"/>
    <col min="10206" max="10206" width="44.44140625" style="23" customWidth="1"/>
    <col min="10207" max="10207" width="13" style="23" customWidth="1"/>
    <col min="10208" max="10213" width="2" style="23" customWidth="1"/>
    <col min="10214" max="10214" width="2.44140625" style="23" customWidth="1"/>
    <col min="10215" max="10215" width="3" style="23" customWidth="1"/>
    <col min="10216" max="10218" width="2" style="23" customWidth="1"/>
    <col min="10219" max="10219" width="2.88671875" style="23" customWidth="1"/>
    <col min="10220" max="10220" width="3" style="23" customWidth="1"/>
    <col min="10221" max="10221" width="2.6640625" style="23" customWidth="1"/>
    <col min="10222" max="10222" width="2.44140625" style="23" customWidth="1"/>
    <col min="10223" max="10223" width="3.33203125" style="23" customWidth="1"/>
    <col min="10224" max="10224" width="3.5546875" style="23" customWidth="1"/>
    <col min="10225" max="10225" width="4" style="23" customWidth="1"/>
    <col min="10226" max="10226" width="3.44140625" style="23" customWidth="1"/>
    <col min="10227" max="10227" width="3" style="23" customWidth="1"/>
    <col min="10228" max="10461" width="11.44140625" style="23"/>
    <col min="10462" max="10462" width="44.44140625" style="23" customWidth="1"/>
    <col min="10463" max="10463" width="13" style="23" customWidth="1"/>
    <col min="10464" max="10469" width="2" style="23" customWidth="1"/>
    <col min="10470" max="10470" width="2.44140625" style="23" customWidth="1"/>
    <col min="10471" max="10471" width="3" style="23" customWidth="1"/>
    <col min="10472" max="10474" width="2" style="23" customWidth="1"/>
    <col min="10475" max="10475" width="2.88671875" style="23" customWidth="1"/>
    <col min="10476" max="10476" width="3" style="23" customWidth="1"/>
    <col min="10477" max="10477" width="2.6640625" style="23" customWidth="1"/>
    <col min="10478" max="10478" width="2.44140625" style="23" customWidth="1"/>
    <col min="10479" max="10479" width="3.33203125" style="23" customWidth="1"/>
    <col min="10480" max="10480" width="3.5546875" style="23" customWidth="1"/>
    <col min="10481" max="10481" width="4" style="23" customWidth="1"/>
    <col min="10482" max="10482" width="3.44140625" style="23" customWidth="1"/>
    <col min="10483" max="10483" width="3" style="23" customWidth="1"/>
    <col min="10484" max="10717" width="11.44140625" style="23"/>
    <col min="10718" max="10718" width="44.44140625" style="23" customWidth="1"/>
    <col min="10719" max="10719" width="13" style="23" customWidth="1"/>
    <col min="10720" max="10725" width="2" style="23" customWidth="1"/>
    <col min="10726" max="10726" width="2.44140625" style="23" customWidth="1"/>
    <col min="10727" max="10727" width="3" style="23" customWidth="1"/>
    <col min="10728" max="10730" width="2" style="23" customWidth="1"/>
    <col min="10731" max="10731" width="2.88671875" style="23" customWidth="1"/>
    <col min="10732" max="10732" width="3" style="23" customWidth="1"/>
    <col min="10733" max="10733" width="2.6640625" style="23" customWidth="1"/>
    <col min="10734" max="10734" width="2.44140625" style="23" customWidth="1"/>
    <col min="10735" max="10735" width="3.33203125" style="23" customWidth="1"/>
    <col min="10736" max="10736" width="3.5546875" style="23" customWidth="1"/>
    <col min="10737" max="10737" width="4" style="23" customWidth="1"/>
    <col min="10738" max="10738" width="3.44140625" style="23" customWidth="1"/>
    <col min="10739" max="10739" width="3" style="23" customWidth="1"/>
    <col min="10740" max="10973" width="11.44140625" style="23"/>
    <col min="10974" max="10974" width="44.44140625" style="23" customWidth="1"/>
    <col min="10975" max="10975" width="13" style="23" customWidth="1"/>
    <col min="10976" max="10981" width="2" style="23" customWidth="1"/>
    <col min="10982" max="10982" width="2.44140625" style="23" customWidth="1"/>
    <col min="10983" max="10983" width="3" style="23" customWidth="1"/>
    <col min="10984" max="10986" width="2" style="23" customWidth="1"/>
    <col min="10987" max="10987" width="2.88671875" style="23" customWidth="1"/>
    <col min="10988" max="10988" width="3" style="23" customWidth="1"/>
    <col min="10989" max="10989" width="2.6640625" style="23" customWidth="1"/>
    <col min="10990" max="10990" width="2.44140625" style="23" customWidth="1"/>
    <col min="10991" max="10991" width="3.33203125" style="23" customWidth="1"/>
    <col min="10992" max="10992" width="3.5546875" style="23" customWidth="1"/>
    <col min="10993" max="10993" width="4" style="23" customWidth="1"/>
    <col min="10994" max="10994" width="3.44140625" style="23" customWidth="1"/>
    <col min="10995" max="10995" width="3" style="23" customWidth="1"/>
    <col min="10996" max="11229" width="11.44140625" style="23"/>
    <col min="11230" max="11230" width="44.44140625" style="23" customWidth="1"/>
    <col min="11231" max="11231" width="13" style="23" customWidth="1"/>
    <col min="11232" max="11237" width="2" style="23" customWidth="1"/>
    <col min="11238" max="11238" width="2.44140625" style="23" customWidth="1"/>
    <col min="11239" max="11239" width="3" style="23" customWidth="1"/>
    <col min="11240" max="11242" width="2" style="23" customWidth="1"/>
    <col min="11243" max="11243" width="2.88671875" style="23" customWidth="1"/>
    <col min="11244" max="11244" width="3" style="23" customWidth="1"/>
    <col min="11245" max="11245" width="2.6640625" style="23" customWidth="1"/>
    <col min="11246" max="11246" width="2.44140625" style="23" customWidth="1"/>
    <col min="11247" max="11247" width="3.33203125" style="23" customWidth="1"/>
    <col min="11248" max="11248" width="3.5546875" style="23" customWidth="1"/>
    <col min="11249" max="11249" width="4" style="23" customWidth="1"/>
    <col min="11250" max="11250" width="3.44140625" style="23" customWidth="1"/>
    <col min="11251" max="11251" width="3" style="23" customWidth="1"/>
    <col min="11252" max="11485" width="11.44140625" style="23"/>
    <col min="11486" max="11486" width="44.44140625" style="23" customWidth="1"/>
    <col min="11487" max="11487" width="13" style="23" customWidth="1"/>
    <col min="11488" max="11493" width="2" style="23" customWidth="1"/>
    <col min="11494" max="11494" width="2.44140625" style="23" customWidth="1"/>
    <col min="11495" max="11495" width="3" style="23" customWidth="1"/>
    <col min="11496" max="11498" width="2" style="23" customWidth="1"/>
    <col min="11499" max="11499" width="2.88671875" style="23" customWidth="1"/>
    <col min="11500" max="11500" width="3" style="23" customWidth="1"/>
    <col min="11501" max="11501" width="2.6640625" style="23" customWidth="1"/>
    <col min="11502" max="11502" width="2.44140625" style="23" customWidth="1"/>
    <col min="11503" max="11503" width="3.33203125" style="23" customWidth="1"/>
    <col min="11504" max="11504" width="3.5546875" style="23" customWidth="1"/>
    <col min="11505" max="11505" width="4" style="23" customWidth="1"/>
    <col min="11506" max="11506" width="3.44140625" style="23" customWidth="1"/>
    <col min="11507" max="11507" width="3" style="23" customWidth="1"/>
    <col min="11508" max="11741" width="11.44140625" style="23"/>
    <col min="11742" max="11742" width="44.44140625" style="23" customWidth="1"/>
    <col min="11743" max="11743" width="13" style="23" customWidth="1"/>
    <col min="11744" max="11749" width="2" style="23" customWidth="1"/>
    <col min="11750" max="11750" width="2.44140625" style="23" customWidth="1"/>
    <col min="11751" max="11751" width="3" style="23" customWidth="1"/>
    <col min="11752" max="11754" width="2" style="23" customWidth="1"/>
    <col min="11755" max="11755" width="2.88671875" style="23" customWidth="1"/>
    <col min="11756" max="11756" width="3" style="23" customWidth="1"/>
    <col min="11757" max="11757" width="2.6640625" style="23" customWidth="1"/>
    <col min="11758" max="11758" width="2.44140625" style="23" customWidth="1"/>
    <col min="11759" max="11759" width="3.33203125" style="23" customWidth="1"/>
    <col min="11760" max="11760" width="3.5546875" style="23" customWidth="1"/>
    <col min="11761" max="11761" width="4" style="23" customWidth="1"/>
    <col min="11762" max="11762" width="3.44140625" style="23" customWidth="1"/>
    <col min="11763" max="11763" width="3" style="23" customWidth="1"/>
    <col min="11764" max="11997" width="11.44140625" style="23"/>
    <col min="11998" max="11998" width="44.44140625" style="23" customWidth="1"/>
    <col min="11999" max="11999" width="13" style="23" customWidth="1"/>
    <col min="12000" max="12005" width="2" style="23" customWidth="1"/>
    <col min="12006" max="12006" width="2.44140625" style="23" customWidth="1"/>
    <col min="12007" max="12007" width="3" style="23" customWidth="1"/>
    <col min="12008" max="12010" width="2" style="23" customWidth="1"/>
    <col min="12011" max="12011" width="2.88671875" style="23" customWidth="1"/>
    <col min="12012" max="12012" width="3" style="23" customWidth="1"/>
    <col min="12013" max="12013" width="2.6640625" style="23" customWidth="1"/>
    <col min="12014" max="12014" width="2.44140625" style="23" customWidth="1"/>
    <col min="12015" max="12015" width="3.33203125" style="23" customWidth="1"/>
    <col min="12016" max="12016" width="3.5546875" style="23" customWidth="1"/>
    <col min="12017" max="12017" width="4" style="23" customWidth="1"/>
    <col min="12018" max="12018" width="3.44140625" style="23" customWidth="1"/>
    <col min="12019" max="12019" width="3" style="23" customWidth="1"/>
    <col min="12020" max="12253" width="11.44140625" style="23"/>
    <col min="12254" max="12254" width="44.44140625" style="23" customWidth="1"/>
    <col min="12255" max="12255" width="13" style="23" customWidth="1"/>
    <col min="12256" max="12261" width="2" style="23" customWidth="1"/>
    <col min="12262" max="12262" width="2.44140625" style="23" customWidth="1"/>
    <col min="12263" max="12263" width="3" style="23" customWidth="1"/>
    <col min="12264" max="12266" width="2" style="23" customWidth="1"/>
    <col min="12267" max="12267" width="2.88671875" style="23" customWidth="1"/>
    <col min="12268" max="12268" width="3" style="23" customWidth="1"/>
    <col min="12269" max="12269" width="2.6640625" style="23" customWidth="1"/>
    <col min="12270" max="12270" width="2.44140625" style="23" customWidth="1"/>
    <col min="12271" max="12271" width="3.33203125" style="23" customWidth="1"/>
    <col min="12272" max="12272" width="3.5546875" style="23" customWidth="1"/>
    <col min="12273" max="12273" width="4" style="23" customWidth="1"/>
    <col min="12274" max="12274" width="3.44140625" style="23" customWidth="1"/>
    <col min="12275" max="12275" width="3" style="23" customWidth="1"/>
    <col min="12276" max="12509" width="11.44140625" style="23"/>
    <col min="12510" max="12510" width="44.44140625" style="23" customWidth="1"/>
    <col min="12511" max="12511" width="13" style="23" customWidth="1"/>
    <col min="12512" max="12517" width="2" style="23" customWidth="1"/>
    <col min="12518" max="12518" width="2.44140625" style="23" customWidth="1"/>
    <col min="12519" max="12519" width="3" style="23" customWidth="1"/>
    <col min="12520" max="12522" width="2" style="23" customWidth="1"/>
    <col min="12523" max="12523" width="2.88671875" style="23" customWidth="1"/>
    <col min="12524" max="12524" width="3" style="23" customWidth="1"/>
    <col min="12525" max="12525" width="2.6640625" style="23" customWidth="1"/>
    <col min="12526" max="12526" width="2.44140625" style="23" customWidth="1"/>
    <col min="12527" max="12527" width="3.33203125" style="23" customWidth="1"/>
    <col min="12528" max="12528" width="3.5546875" style="23" customWidth="1"/>
    <col min="12529" max="12529" width="4" style="23" customWidth="1"/>
    <col min="12530" max="12530" width="3.44140625" style="23" customWidth="1"/>
    <col min="12531" max="12531" width="3" style="23" customWidth="1"/>
    <col min="12532" max="12765" width="11.44140625" style="23"/>
    <col min="12766" max="12766" width="44.44140625" style="23" customWidth="1"/>
    <col min="12767" max="12767" width="13" style="23" customWidth="1"/>
    <col min="12768" max="12773" width="2" style="23" customWidth="1"/>
    <col min="12774" max="12774" width="2.44140625" style="23" customWidth="1"/>
    <col min="12775" max="12775" width="3" style="23" customWidth="1"/>
    <col min="12776" max="12778" width="2" style="23" customWidth="1"/>
    <col min="12779" max="12779" width="2.88671875" style="23" customWidth="1"/>
    <col min="12780" max="12780" width="3" style="23" customWidth="1"/>
    <col min="12781" max="12781" width="2.6640625" style="23" customWidth="1"/>
    <col min="12782" max="12782" width="2.44140625" style="23" customWidth="1"/>
    <col min="12783" max="12783" width="3.33203125" style="23" customWidth="1"/>
    <col min="12784" max="12784" width="3.5546875" style="23" customWidth="1"/>
    <col min="12785" max="12785" width="4" style="23" customWidth="1"/>
    <col min="12786" max="12786" width="3.44140625" style="23" customWidth="1"/>
    <col min="12787" max="12787" width="3" style="23" customWidth="1"/>
    <col min="12788" max="13021" width="11.44140625" style="23"/>
    <col min="13022" max="13022" width="44.44140625" style="23" customWidth="1"/>
    <col min="13023" max="13023" width="13" style="23" customWidth="1"/>
    <col min="13024" max="13029" width="2" style="23" customWidth="1"/>
    <col min="13030" max="13030" width="2.44140625" style="23" customWidth="1"/>
    <col min="13031" max="13031" width="3" style="23" customWidth="1"/>
    <col min="13032" max="13034" width="2" style="23" customWidth="1"/>
    <col min="13035" max="13035" width="2.88671875" style="23" customWidth="1"/>
    <col min="13036" max="13036" width="3" style="23" customWidth="1"/>
    <col min="13037" max="13037" width="2.6640625" style="23" customWidth="1"/>
    <col min="13038" max="13038" width="2.44140625" style="23" customWidth="1"/>
    <col min="13039" max="13039" width="3.33203125" style="23" customWidth="1"/>
    <col min="13040" max="13040" width="3.5546875" style="23" customWidth="1"/>
    <col min="13041" max="13041" width="4" style="23" customWidth="1"/>
    <col min="13042" max="13042" width="3.44140625" style="23" customWidth="1"/>
    <col min="13043" max="13043" width="3" style="23" customWidth="1"/>
    <col min="13044" max="13277" width="11.44140625" style="23"/>
    <col min="13278" max="13278" width="44.44140625" style="23" customWidth="1"/>
    <col min="13279" max="13279" width="13" style="23" customWidth="1"/>
    <col min="13280" max="13285" width="2" style="23" customWidth="1"/>
    <col min="13286" max="13286" width="2.44140625" style="23" customWidth="1"/>
    <col min="13287" max="13287" width="3" style="23" customWidth="1"/>
    <col min="13288" max="13290" width="2" style="23" customWidth="1"/>
    <col min="13291" max="13291" width="2.88671875" style="23" customWidth="1"/>
    <col min="13292" max="13292" width="3" style="23" customWidth="1"/>
    <col min="13293" max="13293" width="2.6640625" style="23" customWidth="1"/>
    <col min="13294" max="13294" width="2.44140625" style="23" customWidth="1"/>
    <col min="13295" max="13295" width="3.33203125" style="23" customWidth="1"/>
    <col min="13296" max="13296" width="3.5546875" style="23" customWidth="1"/>
    <col min="13297" max="13297" width="4" style="23" customWidth="1"/>
    <col min="13298" max="13298" width="3.44140625" style="23" customWidth="1"/>
    <col min="13299" max="13299" width="3" style="23" customWidth="1"/>
    <col min="13300" max="13533" width="11.44140625" style="23"/>
    <col min="13534" max="13534" width="44.44140625" style="23" customWidth="1"/>
    <col min="13535" max="13535" width="13" style="23" customWidth="1"/>
    <col min="13536" max="13541" width="2" style="23" customWidth="1"/>
    <col min="13542" max="13542" width="2.44140625" style="23" customWidth="1"/>
    <col min="13543" max="13543" width="3" style="23" customWidth="1"/>
    <col min="13544" max="13546" width="2" style="23" customWidth="1"/>
    <col min="13547" max="13547" width="2.88671875" style="23" customWidth="1"/>
    <col min="13548" max="13548" width="3" style="23" customWidth="1"/>
    <col min="13549" max="13549" width="2.6640625" style="23" customWidth="1"/>
    <col min="13550" max="13550" width="2.44140625" style="23" customWidth="1"/>
    <col min="13551" max="13551" width="3.33203125" style="23" customWidth="1"/>
    <col min="13552" max="13552" width="3.5546875" style="23" customWidth="1"/>
    <col min="13553" max="13553" width="4" style="23" customWidth="1"/>
    <col min="13554" max="13554" width="3.44140625" style="23" customWidth="1"/>
    <col min="13555" max="13555" width="3" style="23" customWidth="1"/>
    <col min="13556" max="13789" width="11.44140625" style="23"/>
    <col min="13790" max="13790" width="44.44140625" style="23" customWidth="1"/>
    <col min="13791" max="13791" width="13" style="23" customWidth="1"/>
    <col min="13792" max="13797" width="2" style="23" customWidth="1"/>
    <col min="13798" max="13798" width="2.44140625" style="23" customWidth="1"/>
    <col min="13799" max="13799" width="3" style="23" customWidth="1"/>
    <col min="13800" max="13802" width="2" style="23" customWidth="1"/>
    <col min="13803" max="13803" width="2.88671875" style="23" customWidth="1"/>
    <col min="13804" max="13804" width="3" style="23" customWidth="1"/>
    <col min="13805" max="13805" width="2.6640625" style="23" customWidth="1"/>
    <col min="13806" max="13806" width="2.44140625" style="23" customWidth="1"/>
    <col min="13807" max="13807" width="3.33203125" style="23" customWidth="1"/>
    <col min="13808" max="13808" width="3.5546875" style="23" customWidth="1"/>
    <col min="13809" max="13809" width="4" style="23" customWidth="1"/>
    <col min="13810" max="13810" width="3.44140625" style="23" customWidth="1"/>
    <col min="13811" max="13811" width="3" style="23" customWidth="1"/>
    <col min="13812" max="14045" width="11.44140625" style="23"/>
    <col min="14046" max="14046" width="44.44140625" style="23" customWidth="1"/>
    <col min="14047" max="14047" width="13" style="23" customWidth="1"/>
    <col min="14048" max="14053" width="2" style="23" customWidth="1"/>
    <col min="14054" max="14054" width="2.44140625" style="23" customWidth="1"/>
    <col min="14055" max="14055" width="3" style="23" customWidth="1"/>
    <col min="14056" max="14058" width="2" style="23" customWidth="1"/>
    <col min="14059" max="14059" width="2.88671875" style="23" customWidth="1"/>
    <col min="14060" max="14060" width="3" style="23" customWidth="1"/>
    <col min="14061" max="14061" width="2.6640625" style="23" customWidth="1"/>
    <col min="14062" max="14062" width="2.44140625" style="23" customWidth="1"/>
    <col min="14063" max="14063" width="3.33203125" style="23" customWidth="1"/>
    <col min="14064" max="14064" width="3.5546875" style="23" customWidth="1"/>
    <col min="14065" max="14065" width="4" style="23" customWidth="1"/>
    <col min="14066" max="14066" width="3.44140625" style="23" customWidth="1"/>
    <col min="14067" max="14067" width="3" style="23" customWidth="1"/>
    <col min="14068" max="14301" width="11.44140625" style="23"/>
    <col min="14302" max="14302" width="44.44140625" style="23" customWidth="1"/>
    <col min="14303" max="14303" width="13" style="23" customWidth="1"/>
    <col min="14304" max="14309" width="2" style="23" customWidth="1"/>
    <col min="14310" max="14310" width="2.44140625" style="23" customWidth="1"/>
    <col min="14311" max="14311" width="3" style="23" customWidth="1"/>
    <col min="14312" max="14314" width="2" style="23" customWidth="1"/>
    <col min="14315" max="14315" width="2.88671875" style="23" customWidth="1"/>
    <col min="14316" max="14316" width="3" style="23" customWidth="1"/>
    <col min="14317" max="14317" width="2.6640625" style="23" customWidth="1"/>
    <col min="14318" max="14318" width="2.44140625" style="23" customWidth="1"/>
    <col min="14319" max="14319" width="3.33203125" style="23" customWidth="1"/>
    <col min="14320" max="14320" width="3.5546875" style="23" customWidth="1"/>
    <col min="14321" max="14321" width="4" style="23" customWidth="1"/>
    <col min="14322" max="14322" width="3.44140625" style="23" customWidth="1"/>
    <col min="14323" max="14323" width="3" style="23" customWidth="1"/>
    <col min="14324" max="14557" width="11.44140625" style="23"/>
    <col min="14558" max="14558" width="44.44140625" style="23" customWidth="1"/>
    <col min="14559" max="14559" width="13" style="23" customWidth="1"/>
    <col min="14560" max="14565" width="2" style="23" customWidth="1"/>
    <col min="14566" max="14566" width="2.44140625" style="23" customWidth="1"/>
    <col min="14567" max="14567" width="3" style="23" customWidth="1"/>
    <col min="14568" max="14570" width="2" style="23" customWidth="1"/>
    <col min="14571" max="14571" width="2.88671875" style="23" customWidth="1"/>
    <col min="14572" max="14572" width="3" style="23" customWidth="1"/>
    <col min="14573" max="14573" width="2.6640625" style="23" customWidth="1"/>
    <col min="14574" max="14574" width="2.44140625" style="23" customWidth="1"/>
    <col min="14575" max="14575" width="3.33203125" style="23" customWidth="1"/>
    <col min="14576" max="14576" width="3.5546875" style="23" customWidth="1"/>
    <col min="14577" max="14577" width="4" style="23" customWidth="1"/>
    <col min="14578" max="14578" width="3.44140625" style="23" customWidth="1"/>
    <col min="14579" max="14579" width="3" style="23" customWidth="1"/>
    <col min="14580" max="14813" width="11.44140625" style="23"/>
    <col min="14814" max="14814" width="44.44140625" style="23" customWidth="1"/>
    <col min="14815" max="14815" width="13" style="23" customWidth="1"/>
    <col min="14816" max="14821" width="2" style="23" customWidth="1"/>
    <col min="14822" max="14822" width="2.44140625" style="23" customWidth="1"/>
    <col min="14823" max="14823" width="3" style="23" customWidth="1"/>
    <col min="14824" max="14826" width="2" style="23" customWidth="1"/>
    <col min="14827" max="14827" width="2.88671875" style="23" customWidth="1"/>
    <col min="14828" max="14828" width="3" style="23" customWidth="1"/>
    <col min="14829" max="14829" width="2.6640625" style="23" customWidth="1"/>
    <col min="14830" max="14830" width="2.44140625" style="23" customWidth="1"/>
    <col min="14831" max="14831" width="3.33203125" style="23" customWidth="1"/>
    <col min="14832" max="14832" width="3.5546875" style="23" customWidth="1"/>
    <col min="14833" max="14833" width="4" style="23" customWidth="1"/>
    <col min="14834" max="14834" width="3.44140625" style="23" customWidth="1"/>
    <col min="14835" max="14835" width="3" style="23" customWidth="1"/>
    <col min="14836" max="15069" width="11.44140625" style="23"/>
    <col min="15070" max="15070" width="44.44140625" style="23" customWidth="1"/>
    <col min="15071" max="15071" width="13" style="23" customWidth="1"/>
    <col min="15072" max="15077" width="2" style="23" customWidth="1"/>
    <col min="15078" max="15078" width="2.44140625" style="23" customWidth="1"/>
    <col min="15079" max="15079" width="3" style="23" customWidth="1"/>
    <col min="15080" max="15082" width="2" style="23" customWidth="1"/>
    <col min="15083" max="15083" width="2.88671875" style="23" customWidth="1"/>
    <col min="15084" max="15084" width="3" style="23" customWidth="1"/>
    <col min="15085" max="15085" width="2.6640625" style="23" customWidth="1"/>
    <col min="15086" max="15086" width="2.44140625" style="23" customWidth="1"/>
    <col min="15087" max="15087" width="3.33203125" style="23" customWidth="1"/>
    <col min="15088" max="15088" width="3.5546875" style="23" customWidth="1"/>
    <col min="15089" max="15089" width="4" style="23" customWidth="1"/>
    <col min="15090" max="15090" width="3.44140625" style="23" customWidth="1"/>
    <col min="15091" max="15091" width="3" style="23" customWidth="1"/>
    <col min="15092" max="15325" width="11.44140625" style="23"/>
    <col min="15326" max="15326" width="44.44140625" style="23" customWidth="1"/>
    <col min="15327" max="15327" width="13" style="23" customWidth="1"/>
    <col min="15328" max="15333" width="2" style="23" customWidth="1"/>
    <col min="15334" max="15334" width="2.44140625" style="23" customWidth="1"/>
    <col min="15335" max="15335" width="3" style="23" customWidth="1"/>
    <col min="15336" max="15338" width="2" style="23" customWidth="1"/>
    <col min="15339" max="15339" width="2.88671875" style="23" customWidth="1"/>
    <col min="15340" max="15340" width="3" style="23" customWidth="1"/>
    <col min="15341" max="15341" width="2.6640625" style="23" customWidth="1"/>
    <col min="15342" max="15342" width="2.44140625" style="23" customWidth="1"/>
    <col min="15343" max="15343" width="3.33203125" style="23" customWidth="1"/>
    <col min="15344" max="15344" width="3.5546875" style="23" customWidth="1"/>
    <col min="15345" max="15345" width="4" style="23" customWidth="1"/>
    <col min="15346" max="15346" width="3.44140625" style="23" customWidth="1"/>
    <col min="15347" max="15347" width="3" style="23" customWidth="1"/>
    <col min="15348" max="15581" width="11.44140625" style="23"/>
    <col min="15582" max="15582" width="44.44140625" style="23" customWidth="1"/>
    <col min="15583" max="15583" width="13" style="23" customWidth="1"/>
    <col min="15584" max="15589" width="2" style="23" customWidth="1"/>
    <col min="15590" max="15590" width="2.44140625" style="23" customWidth="1"/>
    <col min="15591" max="15591" width="3" style="23" customWidth="1"/>
    <col min="15592" max="15594" width="2" style="23" customWidth="1"/>
    <col min="15595" max="15595" width="2.88671875" style="23" customWidth="1"/>
    <col min="15596" max="15596" width="3" style="23" customWidth="1"/>
    <col min="15597" max="15597" width="2.6640625" style="23" customWidth="1"/>
    <col min="15598" max="15598" width="2.44140625" style="23" customWidth="1"/>
    <col min="15599" max="15599" width="3.33203125" style="23" customWidth="1"/>
    <col min="15600" max="15600" width="3.5546875" style="23" customWidth="1"/>
    <col min="15601" max="15601" width="4" style="23" customWidth="1"/>
    <col min="15602" max="15602" width="3.44140625" style="23" customWidth="1"/>
    <col min="15603" max="15603" width="3" style="23" customWidth="1"/>
    <col min="15604" max="15837" width="11.44140625" style="23"/>
    <col min="15838" max="15838" width="44.44140625" style="23" customWidth="1"/>
    <col min="15839" max="15839" width="13" style="23" customWidth="1"/>
    <col min="15840" max="15845" width="2" style="23" customWidth="1"/>
    <col min="15846" max="15846" width="2.44140625" style="23" customWidth="1"/>
    <col min="15847" max="15847" width="3" style="23" customWidth="1"/>
    <col min="15848" max="15850" width="2" style="23" customWidth="1"/>
    <col min="15851" max="15851" width="2.88671875" style="23" customWidth="1"/>
    <col min="15852" max="15852" width="3" style="23" customWidth="1"/>
    <col min="15853" max="15853" width="2.6640625" style="23" customWidth="1"/>
    <col min="15854" max="15854" width="2.44140625" style="23" customWidth="1"/>
    <col min="15855" max="15855" width="3.33203125" style="23" customWidth="1"/>
    <col min="15856" max="15856" width="3.5546875" style="23" customWidth="1"/>
    <col min="15857" max="15857" width="4" style="23" customWidth="1"/>
    <col min="15858" max="15858" width="3.44140625" style="23" customWidth="1"/>
    <col min="15859" max="15859" width="3" style="23" customWidth="1"/>
    <col min="15860" max="16093" width="11.44140625" style="23"/>
    <col min="16094" max="16094" width="44.44140625" style="23" customWidth="1"/>
    <col min="16095" max="16095" width="13" style="23" customWidth="1"/>
    <col min="16096" max="16101" width="2" style="23" customWidth="1"/>
    <col min="16102" max="16102" width="2.44140625" style="23" customWidth="1"/>
    <col min="16103" max="16103" width="3" style="23" customWidth="1"/>
    <col min="16104" max="16106" width="2" style="23" customWidth="1"/>
    <col min="16107" max="16107" width="2.88671875" style="23" customWidth="1"/>
    <col min="16108" max="16108" width="3" style="23" customWidth="1"/>
    <col min="16109" max="16109" width="2.6640625" style="23" customWidth="1"/>
    <col min="16110" max="16110" width="2.44140625" style="23" customWidth="1"/>
    <col min="16111" max="16111" width="3.33203125" style="23" customWidth="1"/>
    <col min="16112" max="16112" width="3.5546875" style="23" customWidth="1"/>
    <col min="16113" max="16113" width="4" style="23" customWidth="1"/>
    <col min="16114" max="16114" width="3.44140625" style="23" customWidth="1"/>
    <col min="16115" max="16115" width="3" style="23" customWidth="1"/>
    <col min="16116" max="16384" width="11.44140625" style="23"/>
  </cols>
  <sheetData>
    <row r="1" spans="1:11" x14ac:dyDescent="0.25">
      <c r="A1" s="119" t="s">
        <v>456</v>
      </c>
      <c r="B1" s="23"/>
    </row>
    <row r="2" spans="1:11" x14ac:dyDescent="0.25">
      <c r="A2" s="119" t="s">
        <v>1</v>
      </c>
      <c r="B2" s="23"/>
    </row>
    <row r="3" spans="1:11" x14ac:dyDescent="0.25">
      <c r="A3" s="119"/>
      <c r="B3" s="23"/>
    </row>
    <row r="4" spans="1:11" x14ac:dyDescent="0.3">
      <c r="A4" s="119" t="s">
        <v>131</v>
      </c>
      <c r="B4" s="476" t="str">
        <f>+CC!A1</f>
        <v>Programa de Conectividad y Seguridad en Corredores Viales de la Provincia de Buenos Aires</v>
      </c>
    </row>
    <row r="5" spans="1:11" x14ac:dyDescent="0.25">
      <c r="A5" s="119"/>
      <c r="B5" s="23"/>
    </row>
    <row r="6" spans="1:11" x14ac:dyDescent="0.25">
      <c r="A6" s="119" t="s">
        <v>2</v>
      </c>
      <c r="B6" s="23"/>
    </row>
    <row r="7" spans="1:11" ht="27.6" x14ac:dyDescent="0.25">
      <c r="A7" s="118"/>
      <c r="B7" s="117" t="s">
        <v>453</v>
      </c>
      <c r="C7" s="117" t="s">
        <v>133</v>
      </c>
      <c r="D7" s="117" t="s">
        <v>136</v>
      </c>
      <c r="E7" s="117" t="s">
        <v>137</v>
      </c>
      <c r="F7" s="116" t="s">
        <v>138</v>
      </c>
      <c r="G7" s="116" t="s">
        <v>17</v>
      </c>
      <c r="H7" s="116" t="s">
        <v>18</v>
      </c>
    </row>
    <row r="8" spans="1:11" ht="27.6" x14ac:dyDescent="0.25">
      <c r="A8" s="114"/>
      <c r="B8" s="381" t="str">
        <f>+B4</f>
        <v>Programa de Conectividad y Seguridad en Corredores Viales de la Provincia de Buenos Aires</v>
      </c>
      <c r="C8" s="115"/>
      <c r="D8" s="71"/>
      <c r="E8" s="115"/>
      <c r="F8" s="114">
        <f>+F9+F32+F16</f>
        <v>200000000</v>
      </c>
      <c r="G8" s="114">
        <f>+G9+G32+G16</f>
        <v>80000000</v>
      </c>
      <c r="H8" s="114">
        <f>+H9+H32+H16</f>
        <v>280000000</v>
      </c>
    </row>
    <row r="9" spans="1:11" s="69" customFormat="1" x14ac:dyDescent="0.25">
      <c r="A9" s="110">
        <v>1</v>
      </c>
      <c r="B9" s="120" t="str">
        <f>+CC!B28</f>
        <v>Componente 1. Obras Civiles e Inspección</v>
      </c>
      <c r="C9" s="121" t="s">
        <v>442</v>
      </c>
      <c r="D9" s="122"/>
      <c r="E9" s="123"/>
      <c r="F9" s="113">
        <f t="shared" ref="F9:G9" si="0">+F10+F13</f>
        <v>187700000</v>
      </c>
      <c r="G9" s="113">
        <f t="shared" si="0"/>
        <v>80000000</v>
      </c>
      <c r="H9" s="113">
        <f>+H10+H13</f>
        <v>267700000</v>
      </c>
    </row>
    <row r="10" spans="1:11" s="69" customFormat="1" x14ac:dyDescent="0.25">
      <c r="A10" s="103">
        <f>+CC!A29</f>
        <v>1.1000000000000001</v>
      </c>
      <c r="B10" s="79" t="s">
        <v>445</v>
      </c>
      <c r="C10" s="124" t="s">
        <v>139</v>
      </c>
      <c r="D10" s="124" t="s">
        <v>140</v>
      </c>
      <c r="E10" s="125"/>
      <c r="F10" s="102">
        <f>+F11+F12</f>
        <v>74700000</v>
      </c>
      <c r="G10" s="102">
        <f t="shared" ref="G10" si="1">+G11</f>
        <v>30000000</v>
      </c>
      <c r="H10" s="102">
        <f>+H11+H12</f>
        <v>104700000</v>
      </c>
    </row>
    <row r="11" spans="1:11" s="108" customFormat="1" ht="27.6" x14ac:dyDescent="0.25">
      <c r="A11" s="101" t="s">
        <v>104</v>
      </c>
      <c r="B11" s="84" t="s">
        <v>141</v>
      </c>
      <c r="C11" s="126" t="s">
        <v>142</v>
      </c>
      <c r="D11" s="85"/>
      <c r="E11" s="400" t="s">
        <v>145</v>
      </c>
      <c r="F11" s="99">
        <v>72000000</v>
      </c>
      <c r="G11" s="99">
        <v>30000000</v>
      </c>
      <c r="H11" s="99">
        <f>+G11+F11</f>
        <v>102000000</v>
      </c>
    </row>
    <row r="12" spans="1:11" s="108" customFormat="1" ht="27.6" x14ac:dyDescent="0.25">
      <c r="A12" s="101" t="s">
        <v>106</v>
      </c>
      <c r="B12" s="84" t="s">
        <v>149</v>
      </c>
      <c r="C12" s="126" t="s">
        <v>142</v>
      </c>
      <c r="D12" s="85"/>
      <c r="E12" s="400" t="s">
        <v>152</v>
      </c>
      <c r="F12" s="99">
        <v>2700000</v>
      </c>
      <c r="G12" s="99">
        <v>0</v>
      </c>
      <c r="H12" s="99">
        <f>+G12+F12</f>
        <v>2700000</v>
      </c>
      <c r="I12" s="403"/>
    </row>
    <row r="13" spans="1:11" s="108" customFormat="1" ht="27.6" x14ac:dyDescent="0.25">
      <c r="A13" s="103">
        <f>+CC!A30</f>
        <v>1.2</v>
      </c>
      <c r="B13" s="79" t="s">
        <v>441</v>
      </c>
      <c r="C13" s="124" t="s">
        <v>139</v>
      </c>
      <c r="D13" s="124" t="s">
        <v>140</v>
      </c>
      <c r="E13" s="125"/>
      <c r="F13" s="102">
        <f>+F14+F15</f>
        <v>113000000</v>
      </c>
      <c r="G13" s="102">
        <f>+G14</f>
        <v>50000000</v>
      </c>
      <c r="H13" s="102">
        <f>+H14+H15</f>
        <v>163000000</v>
      </c>
    </row>
    <row r="14" spans="1:11" s="108" customFormat="1" ht="32.4" customHeight="1" x14ac:dyDescent="0.25">
      <c r="A14" s="101" t="s">
        <v>146</v>
      </c>
      <c r="B14" s="84" t="s">
        <v>147</v>
      </c>
      <c r="C14" s="126" t="s">
        <v>142</v>
      </c>
      <c r="D14" s="85"/>
      <c r="E14" s="400" t="s">
        <v>145</v>
      </c>
      <c r="F14" s="99">
        <v>110000000</v>
      </c>
      <c r="G14" s="99">
        <v>50000000</v>
      </c>
      <c r="H14" s="99">
        <f>+G14+F14</f>
        <v>160000000</v>
      </c>
    </row>
    <row r="15" spans="1:11" s="108" customFormat="1" ht="26.4" customHeight="1" x14ac:dyDescent="0.25">
      <c r="A15" s="101" t="s">
        <v>153</v>
      </c>
      <c r="B15" s="84" t="s">
        <v>154</v>
      </c>
      <c r="C15" s="126" t="s">
        <v>142</v>
      </c>
      <c r="D15" s="85"/>
      <c r="E15" s="400" t="s">
        <v>152</v>
      </c>
      <c r="F15" s="99">
        <v>3000000</v>
      </c>
      <c r="G15" s="99">
        <v>0</v>
      </c>
      <c r="H15" s="99">
        <f>+G15+F15</f>
        <v>3000000</v>
      </c>
    </row>
    <row r="16" spans="1:11" s="108" customFormat="1" x14ac:dyDescent="0.25">
      <c r="A16" s="110">
        <v>2</v>
      </c>
      <c r="B16" s="120" t="str">
        <f>+CC!B32</f>
        <v>Componente 2. Fortalecimiento Institucional</v>
      </c>
      <c r="C16" s="121"/>
      <c r="D16" s="122"/>
      <c r="E16" s="123"/>
      <c r="F16" s="110">
        <f>+F17+F19+F22+F24+F26+F28+F30</f>
        <v>11200000</v>
      </c>
      <c r="G16" s="110">
        <f>+G31+G18</f>
        <v>0</v>
      </c>
      <c r="H16" s="110">
        <f>+H28+H30+H17+H24+H19+H26+H22</f>
        <v>11200000</v>
      </c>
      <c r="K16" s="109"/>
    </row>
    <row r="17" spans="1:11" s="108" customFormat="1" x14ac:dyDescent="0.25">
      <c r="A17" s="103">
        <v>2.1</v>
      </c>
      <c r="B17" s="79" t="s">
        <v>446</v>
      </c>
      <c r="C17" s="124" t="s">
        <v>139</v>
      </c>
      <c r="D17" s="124" t="s">
        <v>140</v>
      </c>
      <c r="E17" s="125"/>
      <c r="F17" s="102">
        <f>+F18</f>
        <v>1000000</v>
      </c>
      <c r="G17" s="102">
        <f>+G18</f>
        <v>0</v>
      </c>
      <c r="H17" s="102">
        <f>+H18</f>
        <v>1000000</v>
      </c>
    </row>
    <row r="18" spans="1:11" ht="27.6" x14ac:dyDescent="0.25">
      <c r="A18" s="105" t="s">
        <v>155</v>
      </c>
      <c r="B18" s="92" t="s">
        <v>165</v>
      </c>
      <c r="C18" s="100" t="s">
        <v>142</v>
      </c>
      <c r="D18" s="85"/>
      <c r="E18" s="401" t="s">
        <v>166</v>
      </c>
      <c r="F18" s="111">
        <v>1000000</v>
      </c>
      <c r="G18" s="111">
        <v>0</v>
      </c>
      <c r="H18" s="111">
        <f>+G18+F18</f>
        <v>1000000</v>
      </c>
    </row>
    <row r="19" spans="1:11" s="108" customFormat="1" x14ac:dyDescent="0.25">
      <c r="A19" s="103">
        <v>2.2000000000000002</v>
      </c>
      <c r="B19" s="79" t="s">
        <v>449</v>
      </c>
      <c r="C19" s="124" t="s">
        <v>139</v>
      </c>
      <c r="D19" s="124" t="s">
        <v>140</v>
      </c>
      <c r="E19" s="125"/>
      <c r="F19" s="102">
        <f>+F20+F21</f>
        <v>3000000</v>
      </c>
      <c r="G19" s="102">
        <f>+G20</f>
        <v>0</v>
      </c>
      <c r="H19" s="102">
        <f>+H20+H21</f>
        <v>3000000</v>
      </c>
    </row>
    <row r="20" spans="1:11" ht="27.6" x14ac:dyDescent="0.25">
      <c r="A20" s="105" t="s">
        <v>157</v>
      </c>
      <c r="B20" s="92" t="s">
        <v>168</v>
      </c>
      <c r="C20" s="100" t="s">
        <v>142</v>
      </c>
      <c r="D20" s="85"/>
      <c r="E20" s="401" t="s">
        <v>163</v>
      </c>
      <c r="F20" s="111">
        <v>2500000</v>
      </c>
      <c r="G20" s="111">
        <v>0</v>
      </c>
      <c r="H20" s="111">
        <f>+G20+F20</f>
        <v>2500000</v>
      </c>
    </row>
    <row r="21" spans="1:11" x14ac:dyDescent="0.25">
      <c r="A21" s="105" t="s">
        <v>161</v>
      </c>
      <c r="B21" s="92" t="s">
        <v>170</v>
      </c>
      <c r="C21" s="100" t="s">
        <v>142</v>
      </c>
      <c r="D21" s="85"/>
      <c r="E21" s="401" t="s">
        <v>66</v>
      </c>
      <c r="F21" s="111">
        <v>500000</v>
      </c>
      <c r="G21" s="111"/>
      <c r="H21" s="111">
        <f>+G21+F21</f>
        <v>500000</v>
      </c>
    </row>
    <row r="22" spans="1:11" s="108" customFormat="1" x14ac:dyDescent="0.25">
      <c r="A22" s="103">
        <v>2.2999999999999998</v>
      </c>
      <c r="B22" s="79" t="s">
        <v>457</v>
      </c>
      <c r="C22" s="124" t="s">
        <v>139</v>
      </c>
      <c r="D22" s="124" t="s">
        <v>140</v>
      </c>
      <c r="E22" s="125"/>
      <c r="F22" s="102">
        <f>+F23</f>
        <v>6200000</v>
      </c>
      <c r="G22" s="102">
        <f>+G23</f>
        <v>0</v>
      </c>
      <c r="H22" s="102">
        <f>+H23</f>
        <v>6200000</v>
      </c>
    </row>
    <row r="23" spans="1:11" ht="27.6" x14ac:dyDescent="0.25">
      <c r="A23" s="105" t="s">
        <v>164</v>
      </c>
      <c r="B23" s="92" t="s">
        <v>452</v>
      </c>
      <c r="C23" s="100" t="s">
        <v>142</v>
      </c>
      <c r="D23" s="85"/>
      <c r="E23" s="401" t="s">
        <v>156</v>
      </c>
      <c r="F23" s="111">
        <v>6200000</v>
      </c>
      <c r="G23" s="111">
        <v>0</v>
      </c>
      <c r="H23" s="99">
        <f>+G23+F23</f>
        <v>6200000</v>
      </c>
    </row>
    <row r="24" spans="1:11" s="108" customFormat="1" x14ac:dyDescent="0.25">
      <c r="A24" s="103">
        <v>2.4</v>
      </c>
      <c r="B24" s="79" t="s">
        <v>450</v>
      </c>
      <c r="C24" s="124" t="s">
        <v>139</v>
      </c>
      <c r="D24" s="124" t="s">
        <v>140</v>
      </c>
      <c r="E24" s="125"/>
      <c r="F24" s="102">
        <f>+F25</f>
        <v>200000</v>
      </c>
      <c r="G24" s="102">
        <f>+G25</f>
        <v>0</v>
      </c>
      <c r="H24" s="102">
        <f>+H25</f>
        <v>200000</v>
      </c>
    </row>
    <row r="25" spans="1:11" ht="27.6" x14ac:dyDescent="0.25">
      <c r="A25" s="105" t="s">
        <v>173</v>
      </c>
      <c r="B25" s="92" t="s">
        <v>174</v>
      </c>
      <c r="C25" s="100" t="s">
        <v>142</v>
      </c>
      <c r="D25" s="85"/>
      <c r="E25" s="401" t="s">
        <v>163</v>
      </c>
      <c r="F25" s="111">
        <v>200000</v>
      </c>
      <c r="G25" s="111">
        <v>0</v>
      </c>
      <c r="H25" s="111">
        <f>+G25+F25</f>
        <v>200000</v>
      </c>
    </row>
    <row r="26" spans="1:11" s="108" customFormat="1" ht="14.4" customHeight="1" x14ac:dyDescent="0.25">
      <c r="A26" s="103">
        <v>2.5</v>
      </c>
      <c r="B26" s="79" t="s">
        <v>451</v>
      </c>
      <c r="C26" s="124" t="s">
        <v>139</v>
      </c>
      <c r="D26" s="124" t="s">
        <v>140</v>
      </c>
      <c r="E26" s="125"/>
      <c r="F26" s="102">
        <f>+F27</f>
        <v>300000</v>
      </c>
      <c r="G26" s="102">
        <f>+G27</f>
        <v>0</v>
      </c>
      <c r="H26" s="102">
        <f>+H27</f>
        <v>300000</v>
      </c>
    </row>
    <row r="27" spans="1:11" ht="27.6" x14ac:dyDescent="0.25">
      <c r="A27" s="105" t="s">
        <v>454</v>
      </c>
      <c r="B27" s="92" t="s">
        <v>176</v>
      </c>
      <c r="C27" s="100" t="s">
        <v>142</v>
      </c>
      <c r="D27" s="85"/>
      <c r="E27" s="401" t="s">
        <v>163</v>
      </c>
      <c r="F27" s="111">
        <v>300000</v>
      </c>
      <c r="G27" s="380">
        <f>+CC!H33</f>
        <v>0</v>
      </c>
      <c r="H27" s="111">
        <f t="shared" ref="H27" si="2">+G27+F27</f>
        <v>300000</v>
      </c>
    </row>
    <row r="28" spans="1:11" ht="19.8" customHeight="1" x14ac:dyDescent="0.25">
      <c r="A28" s="103">
        <v>2.6</v>
      </c>
      <c r="B28" s="79" t="s">
        <v>447</v>
      </c>
      <c r="C28" s="124" t="s">
        <v>139</v>
      </c>
      <c r="D28" s="124" t="s">
        <v>140</v>
      </c>
      <c r="E28" s="125"/>
      <c r="F28" s="102">
        <f>+F29</f>
        <v>300000</v>
      </c>
      <c r="G28" s="102">
        <f>+G23</f>
        <v>0</v>
      </c>
      <c r="H28" s="102">
        <f>+H29</f>
        <v>300000</v>
      </c>
    </row>
    <row r="29" spans="1:11" s="108" customFormat="1" ht="27.6" x14ac:dyDescent="0.25">
      <c r="A29" s="105" t="s">
        <v>455</v>
      </c>
      <c r="B29" s="92" t="s">
        <v>158</v>
      </c>
      <c r="C29" s="100" t="s">
        <v>142</v>
      </c>
      <c r="D29" s="85"/>
      <c r="E29" s="401" t="s">
        <v>160</v>
      </c>
      <c r="F29" s="111">
        <v>300000</v>
      </c>
      <c r="G29" s="111">
        <v>0</v>
      </c>
      <c r="H29" s="111">
        <f>+G29+F29</f>
        <v>300000</v>
      </c>
    </row>
    <row r="30" spans="1:11" s="108" customFormat="1" x14ac:dyDescent="0.25">
      <c r="A30" s="103">
        <v>2.7</v>
      </c>
      <c r="B30" s="79" t="s">
        <v>448</v>
      </c>
      <c r="C30" s="124" t="s">
        <v>139</v>
      </c>
      <c r="D30" s="124" t="s">
        <v>140</v>
      </c>
      <c r="E30" s="125"/>
      <c r="F30" s="102">
        <f>+F31</f>
        <v>200000</v>
      </c>
      <c r="G30" s="102">
        <f>+G29</f>
        <v>0</v>
      </c>
      <c r="H30" s="102">
        <f>+H31</f>
        <v>200000</v>
      </c>
    </row>
    <row r="31" spans="1:11" ht="27.6" x14ac:dyDescent="0.25">
      <c r="A31" s="105" t="s">
        <v>459</v>
      </c>
      <c r="B31" s="92" t="s">
        <v>162</v>
      </c>
      <c r="C31" s="100" t="s">
        <v>142</v>
      </c>
      <c r="D31" s="85"/>
      <c r="E31" s="401" t="s">
        <v>163</v>
      </c>
      <c r="F31" s="111">
        <v>200000</v>
      </c>
      <c r="G31" s="111">
        <v>0</v>
      </c>
      <c r="H31" s="111">
        <f>+G31+F31</f>
        <v>200000</v>
      </c>
    </row>
    <row r="32" spans="1:11" s="108" customFormat="1" x14ac:dyDescent="0.25">
      <c r="A32" s="110">
        <v>3</v>
      </c>
      <c r="B32" s="120" t="s">
        <v>112</v>
      </c>
      <c r="C32" s="121"/>
      <c r="D32" s="122"/>
      <c r="E32" s="123"/>
      <c r="F32" s="110">
        <f>+F33+F35</f>
        <v>1100000</v>
      </c>
      <c r="G32" s="110">
        <f>+G33+G35</f>
        <v>0</v>
      </c>
      <c r="H32" s="110">
        <f>+H33+H35</f>
        <v>1100000</v>
      </c>
      <c r="K32" s="109"/>
    </row>
    <row r="33" spans="1:8" hidden="1" x14ac:dyDescent="0.25">
      <c r="A33" s="103">
        <v>3.1</v>
      </c>
      <c r="B33" s="79" t="s">
        <v>128</v>
      </c>
      <c r="C33" s="124" t="s">
        <v>139</v>
      </c>
      <c r="D33" s="124" t="s">
        <v>140</v>
      </c>
      <c r="E33" s="124"/>
      <c r="F33" s="102">
        <f>F34</f>
        <v>1000000</v>
      </c>
      <c r="G33" s="102">
        <f t="shared" ref="G33:H33" si="3">G34</f>
        <v>0</v>
      </c>
      <c r="H33" s="102">
        <f t="shared" si="3"/>
        <v>1000000</v>
      </c>
    </row>
    <row r="34" spans="1:8" ht="27.6" hidden="1" x14ac:dyDescent="0.25">
      <c r="A34" s="105" t="s">
        <v>177</v>
      </c>
      <c r="B34" s="92" t="s">
        <v>178</v>
      </c>
      <c r="C34" s="100" t="s">
        <v>142</v>
      </c>
      <c r="D34" s="100"/>
      <c r="E34" s="401" t="s">
        <v>180</v>
      </c>
      <c r="F34" s="104">
        <v>1000000</v>
      </c>
      <c r="G34" s="104">
        <f>+CC!H35</f>
        <v>0</v>
      </c>
      <c r="H34" s="111">
        <f t="shared" ref="H34" si="4">+G34+F34</f>
        <v>1000000</v>
      </c>
    </row>
    <row r="35" spans="1:8" hidden="1" x14ac:dyDescent="0.25">
      <c r="A35" s="103">
        <v>3.2</v>
      </c>
      <c r="B35" s="79" t="s">
        <v>181</v>
      </c>
      <c r="C35" s="124" t="s">
        <v>139</v>
      </c>
      <c r="D35" s="124" t="s">
        <v>140</v>
      </c>
      <c r="E35" s="124"/>
      <c r="F35" s="102">
        <f>+F36</f>
        <v>100000</v>
      </c>
      <c r="G35" s="102">
        <f>+G36</f>
        <v>0</v>
      </c>
      <c r="H35" s="102">
        <f>+H36</f>
        <v>100000</v>
      </c>
    </row>
    <row r="36" spans="1:8" ht="27.6" hidden="1" x14ac:dyDescent="0.25">
      <c r="A36" s="105" t="s">
        <v>182</v>
      </c>
      <c r="B36" s="92" t="s">
        <v>183</v>
      </c>
      <c r="C36" s="100" t="s">
        <v>142</v>
      </c>
      <c r="D36" s="106"/>
      <c r="E36" s="401" t="s">
        <v>184</v>
      </c>
      <c r="F36" s="111">
        <v>100000</v>
      </c>
      <c r="G36" s="111">
        <v>0</v>
      </c>
      <c r="H36" s="111">
        <f t="shared" ref="H36" si="5">+G36+F36</f>
        <v>100000</v>
      </c>
    </row>
    <row r="37" spans="1:8" x14ac:dyDescent="0.25">
      <c r="A37" s="254"/>
      <c r="B37" s="254" t="s">
        <v>117</v>
      </c>
      <c r="C37" s="254"/>
      <c r="D37" s="254"/>
      <c r="E37" s="254"/>
      <c r="F37" s="378">
        <f>+F9+F16+F32</f>
        <v>200000000</v>
      </c>
      <c r="G37" s="378">
        <f>+G9+G16+G32</f>
        <v>80000000</v>
      </c>
      <c r="H37" s="378">
        <f>+H9+H16+H32</f>
        <v>280000000</v>
      </c>
    </row>
  </sheetData>
  <autoFilter ref="A7:F36"/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topLeftCell="B2" zoomScale="70" zoomScaleNormal="70" workbookViewId="0">
      <selection activeCell="I33" sqref="I33"/>
    </sheetView>
  </sheetViews>
  <sheetFormatPr defaultColWidth="9.109375" defaultRowHeight="14.4" x14ac:dyDescent="0.3"/>
  <cols>
    <col min="1" max="1" width="15.109375" style="407" customWidth="1"/>
    <col min="2" max="2" width="15.6640625" style="407" customWidth="1"/>
    <col min="3" max="3" width="17.88671875" style="407" customWidth="1"/>
    <col min="4" max="4" width="36.6640625" style="407" customWidth="1"/>
    <col min="5" max="6" width="12.88671875" style="407" customWidth="1"/>
    <col min="7" max="7" width="15.6640625" style="423" customWidth="1"/>
    <col min="8" max="8" width="15.6640625" style="424" customWidth="1"/>
    <col min="9" max="9" width="23.6640625" style="424" customWidth="1"/>
    <col min="10" max="10" width="27.5546875" style="407" customWidth="1"/>
    <col min="11" max="11" width="19.5546875" style="407" customWidth="1"/>
    <col min="12" max="12" width="15.5546875" style="407" customWidth="1"/>
    <col min="13" max="13" width="15" style="407" customWidth="1"/>
    <col min="14" max="14" width="14.88671875" style="407" customWidth="1"/>
    <col min="15" max="16" width="9.109375" style="407"/>
    <col min="17" max="17" width="68.5546875" style="407" hidden="1" customWidth="1"/>
    <col min="18" max="18" width="57.44140625" style="407" hidden="1" customWidth="1"/>
    <col min="19" max="16384" width="9.109375" style="407"/>
  </cols>
  <sheetData>
    <row r="1" spans="1:20" ht="16.2" thickBot="1" x14ac:dyDescent="0.35">
      <c r="A1" s="576" t="s">
        <v>262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8"/>
      <c r="O1" s="404"/>
      <c r="P1" s="404"/>
      <c r="Q1" s="405"/>
      <c r="R1" s="406"/>
      <c r="S1" s="404"/>
      <c r="T1" s="404"/>
    </row>
    <row r="2" spans="1:20" ht="15.6" x14ac:dyDescent="0.3">
      <c r="A2" s="579" t="s">
        <v>263</v>
      </c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1"/>
      <c r="O2" s="404"/>
      <c r="P2" s="404"/>
      <c r="Q2" s="408" t="s">
        <v>264</v>
      </c>
      <c r="R2" s="406"/>
      <c r="S2" s="404"/>
      <c r="T2" s="404"/>
    </row>
    <row r="3" spans="1:20" x14ac:dyDescent="0.3">
      <c r="A3" s="582" t="s">
        <v>265</v>
      </c>
      <c r="B3" s="583" t="s">
        <v>266</v>
      </c>
      <c r="C3" s="583" t="s">
        <v>267</v>
      </c>
      <c r="D3" s="583" t="s">
        <v>268</v>
      </c>
      <c r="E3" s="583" t="s">
        <v>269</v>
      </c>
      <c r="F3" s="583" t="s">
        <v>270</v>
      </c>
      <c r="G3" s="584" t="s">
        <v>271</v>
      </c>
      <c r="H3" s="584"/>
      <c r="I3" s="584"/>
      <c r="J3" s="583" t="s">
        <v>272</v>
      </c>
      <c r="K3" s="583" t="s">
        <v>273</v>
      </c>
      <c r="L3" s="583" t="s">
        <v>274</v>
      </c>
      <c r="M3" s="583"/>
      <c r="N3" s="585" t="s">
        <v>275</v>
      </c>
      <c r="O3" s="404"/>
      <c r="P3" s="404"/>
      <c r="Q3" s="408" t="s">
        <v>276</v>
      </c>
      <c r="R3" s="406"/>
      <c r="S3" s="404"/>
      <c r="T3" s="404"/>
    </row>
    <row r="4" spans="1:20" ht="33" customHeight="1" x14ac:dyDescent="0.3">
      <c r="A4" s="582"/>
      <c r="B4" s="583"/>
      <c r="C4" s="583"/>
      <c r="D4" s="583"/>
      <c r="E4" s="583"/>
      <c r="F4" s="583"/>
      <c r="G4" s="409" t="s">
        <v>277</v>
      </c>
      <c r="H4" s="484" t="s">
        <v>278</v>
      </c>
      <c r="I4" s="484" t="s">
        <v>279</v>
      </c>
      <c r="J4" s="583"/>
      <c r="K4" s="583"/>
      <c r="L4" s="483" t="s">
        <v>280</v>
      </c>
      <c r="M4" s="483" t="s">
        <v>281</v>
      </c>
      <c r="N4" s="585"/>
      <c r="O4" s="404"/>
      <c r="P4" s="404"/>
      <c r="Q4" s="410" t="s">
        <v>282</v>
      </c>
      <c r="R4" s="406"/>
      <c r="S4" s="404"/>
      <c r="T4" s="404"/>
    </row>
    <row r="5" spans="1:20" ht="55.2" x14ac:dyDescent="0.3">
      <c r="A5" s="411" t="s">
        <v>283</v>
      </c>
      <c r="B5" s="412" t="str">
        <f>+'[4]Plan de Adquisiciones'!A11</f>
        <v>Obras de mejoramiento en red vial principal de la PBA</v>
      </c>
      <c r="C5" s="412" t="s">
        <v>284</v>
      </c>
      <c r="D5" s="412" t="s">
        <v>285</v>
      </c>
      <c r="E5" s="412" t="s">
        <v>66</v>
      </c>
      <c r="F5" s="412" t="s">
        <v>66</v>
      </c>
      <c r="G5" s="413">
        <f>+'CC D'!K11</f>
        <v>102000000</v>
      </c>
      <c r="H5" s="414">
        <f>+G5/122000000</f>
        <v>0.83606557377049184</v>
      </c>
      <c r="I5" s="414">
        <v>0.25</v>
      </c>
      <c r="J5" s="412"/>
      <c r="K5" s="412" t="s">
        <v>282</v>
      </c>
      <c r="L5" s="412">
        <v>2017</v>
      </c>
      <c r="M5" s="412">
        <v>2018</v>
      </c>
      <c r="N5" s="415" t="s">
        <v>286</v>
      </c>
      <c r="O5" s="404"/>
      <c r="P5" s="404"/>
      <c r="Q5" s="408" t="s">
        <v>287</v>
      </c>
      <c r="R5" s="406"/>
      <c r="S5" s="404"/>
      <c r="T5" s="404"/>
    </row>
    <row r="6" spans="1:20" ht="69" x14ac:dyDescent="0.3">
      <c r="A6" s="411" t="s">
        <v>283</v>
      </c>
      <c r="B6" s="412" t="str">
        <f>+B5</f>
        <v>Obras de mejoramiento en red vial principal de la PBA</v>
      </c>
      <c r="C6" s="412" t="s">
        <v>288</v>
      </c>
      <c r="D6" s="412" t="s">
        <v>285</v>
      </c>
      <c r="E6" s="412" t="s">
        <v>66</v>
      </c>
      <c r="F6" s="412" t="s">
        <v>66</v>
      </c>
      <c r="G6" s="413">
        <f>+'CC D'!K13</f>
        <v>160000000</v>
      </c>
      <c r="H6" s="414">
        <f>+G6/122000000</f>
        <v>1.3114754098360655</v>
      </c>
      <c r="I6" s="414">
        <v>0.26</v>
      </c>
      <c r="J6" s="412"/>
      <c r="K6" s="412" t="s">
        <v>282</v>
      </c>
      <c r="L6" s="412">
        <v>2017</v>
      </c>
      <c r="M6" s="412">
        <v>2018</v>
      </c>
      <c r="N6" s="415" t="str">
        <f>+N5</f>
        <v xml:space="preserve">A licitarse ad referéndum de la aprobación del préstamo </v>
      </c>
      <c r="O6" s="404"/>
      <c r="P6" s="404"/>
      <c r="Q6" s="408" t="s">
        <v>289</v>
      </c>
      <c r="R6" s="406"/>
      <c r="S6" s="404"/>
      <c r="T6" s="404"/>
    </row>
    <row r="7" spans="1:20" x14ac:dyDescent="0.3">
      <c r="A7" s="416"/>
      <c r="B7" s="412"/>
      <c r="C7" s="412"/>
      <c r="D7" s="412"/>
      <c r="E7" s="412"/>
      <c r="F7" s="412"/>
      <c r="G7" s="413"/>
      <c r="H7" s="417"/>
      <c r="I7" s="417"/>
      <c r="J7" s="412"/>
      <c r="K7" s="412"/>
      <c r="L7" s="412"/>
      <c r="M7" s="412"/>
      <c r="N7" s="415"/>
      <c r="O7" s="404"/>
      <c r="P7" s="404"/>
      <c r="Q7" s="408" t="s">
        <v>290</v>
      </c>
      <c r="R7" s="406"/>
      <c r="S7" s="404"/>
      <c r="T7" s="404"/>
    </row>
    <row r="8" spans="1:20" x14ac:dyDescent="0.3">
      <c r="A8" s="416"/>
      <c r="B8" s="412"/>
      <c r="C8" s="412"/>
      <c r="D8" s="412"/>
      <c r="E8" s="412"/>
      <c r="F8" s="412"/>
      <c r="G8" s="413"/>
      <c r="H8" s="417"/>
      <c r="I8" s="417"/>
      <c r="J8" s="412"/>
      <c r="K8" s="412"/>
      <c r="L8" s="412"/>
      <c r="M8" s="412"/>
      <c r="N8" s="415"/>
      <c r="O8" s="404"/>
      <c r="P8" s="404"/>
      <c r="Q8" s="408" t="s">
        <v>291</v>
      </c>
      <c r="R8" s="406"/>
      <c r="S8" s="404"/>
      <c r="T8" s="404"/>
    </row>
    <row r="9" spans="1:20" ht="15" thickBot="1" x14ac:dyDescent="0.35">
      <c r="A9" s="418"/>
      <c r="B9" s="419"/>
      <c r="C9" s="419"/>
      <c r="D9" s="419"/>
      <c r="E9" s="419"/>
      <c r="F9" s="419"/>
      <c r="G9" s="420"/>
      <c r="H9" s="421"/>
      <c r="I9" s="421"/>
      <c r="J9" s="419"/>
      <c r="K9" s="419"/>
      <c r="L9" s="419"/>
      <c r="M9" s="419"/>
      <c r="N9" s="422"/>
      <c r="O9" s="404"/>
      <c r="P9" s="404"/>
      <c r="Q9" s="408" t="s">
        <v>292</v>
      </c>
      <c r="R9" s="406"/>
      <c r="S9" s="404"/>
      <c r="T9" s="404"/>
    </row>
    <row r="10" spans="1:20" ht="15" thickBot="1" x14ac:dyDescent="0.35">
      <c r="Q10" s="408" t="s">
        <v>293</v>
      </c>
      <c r="R10" s="410"/>
    </row>
    <row r="11" spans="1:20" ht="15.6" x14ac:dyDescent="0.3">
      <c r="A11" s="579" t="s">
        <v>294</v>
      </c>
      <c r="B11" s="580"/>
      <c r="C11" s="580"/>
      <c r="D11" s="580"/>
      <c r="E11" s="580"/>
      <c r="F11" s="580"/>
      <c r="G11" s="580"/>
      <c r="H11" s="580"/>
      <c r="I11" s="580"/>
      <c r="J11" s="580"/>
      <c r="K11" s="580"/>
      <c r="L11" s="580"/>
      <c r="M11" s="580"/>
      <c r="N11" s="581"/>
      <c r="O11" s="404"/>
      <c r="P11" s="404"/>
      <c r="Q11" s="408" t="s">
        <v>295</v>
      </c>
      <c r="R11" s="406"/>
      <c r="S11" s="404"/>
      <c r="T11" s="404"/>
    </row>
    <row r="12" spans="1:20" ht="15" customHeight="1" x14ac:dyDescent="0.3">
      <c r="A12" s="582" t="s">
        <v>265</v>
      </c>
      <c r="B12" s="583" t="s">
        <v>266</v>
      </c>
      <c r="C12" s="583" t="s">
        <v>267</v>
      </c>
      <c r="D12" s="583" t="s">
        <v>296</v>
      </c>
      <c r="E12" s="583" t="s">
        <v>269</v>
      </c>
      <c r="F12" s="583" t="s">
        <v>270</v>
      </c>
      <c r="G12" s="584" t="s">
        <v>271</v>
      </c>
      <c r="H12" s="584"/>
      <c r="I12" s="584"/>
      <c r="J12" s="583" t="s">
        <v>272</v>
      </c>
      <c r="K12" s="583" t="s">
        <v>273</v>
      </c>
      <c r="L12" s="583" t="s">
        <v>274</v>
      </c>
      <c r="M12" s="583"/>
      <c r="N12" s="585" t="s">
        <v>275</v>
      </c>
      <c r="O12" s="404"/>
      <c r="P12" s="404"/>
      <c r="Q12" s="408" t="s">
        <v>297</v>
      </c>
      <c r="R12" s="406"/>
      <c r="S12" s="404"/>
      <c r="T12" s="404"/>
    </row>
    <row r="13" spans="1:20" ht="36" customHeight="1" x14ac:dyDescent="0.3">
      <c r="A13" s="582"/>
      <c r="B13" s="583"/>
      <c r="C13" s="583"/>
      <c r="D13" s="583"/>
      <c r="E13" s="583"/>
      <c r="F13" s="583"/>
      <c r="G13" s="409" t="s">
        <v>277</v>
      </c>
      <c r="H13" s="484" t="s">
        <v>278</v>
      </c>
      <c r="I13" s="484" t="s">
        <v>279</v>
      </c>
      <c r="J13" s="583"/>
      <c r="K13" s="583"/>
      <c r="L13" s="483" t="s">
        <v>280</v>
      </c>
      <c r="M13" s="483" t="s">
        <v>281</v>
      </c>
      <c r="N13" s="585"/>
      <c r="O13" s="404"/>
      <c r="P13" s="404"/>
      <c r="Q13" s="405"/>
      <c r="R13" s="406"/>
      <c r="S13" s="404"/>
      <c r="T13" s="404"/>
    </row>
    <row r="14" spans="1:20" ht="55.2" x14ac:dyDescent="0.3">
      <c r="A14" s="411" t="s">
        <v>283</v>
      </c>
      <c r="B14" s="412" t="s">
        <v>298</v>
      </c>
      <c r="C14" s="412"/>
      <c r="D14" s="412" t="s">
        <v>299</v>
      </c>
      <c r="E14" s="412" t="s">
        <v>66</v>
      </c>
      <c r="F14" s="412" t="s">
        <v>66</v>
      </c>
      <c r="G14" s="413">
        <f>+'CC D'!K26</f>
        <v>500000</v>
      </c>
      <c r="H14" s="414">
        <v>1</v>
      </c>
      <c r="I14" s="417">
        <v>0</v>
      </c>
      <c r="J14" s="412"/>
      <c r="K14" s="412" t="s">
        <v>282</v>
      </c>
      <c r="L14" s="412">
        <v>2018</v>
      </c>
      <c r="M14" s="412">
        <v>2018</v>
      </c>
      <c r="N14" s="415"/>
      <c r="O14" s="404"/>
      <c r="P14" s="404"/>
      <c r="Q14" s="408" t="s">
        <v>285</v>
      </c>
      <c r="R14" s="406"/>
      <c r="S14" s="404"/>
      <c r="T14" s="404"/>
    </row>
    <row r="15" spans="1:20" x14ac:dyDescent="0.3">
      <c r="O15" s="404"/>
      <c r="P15" s="404"/>
      <c r="Q15" s="408" t="s">
        <v>300</v>
      </c>
      <c r="R15" s="406"/>
      <c r="S15" s="404"/>
      <c r="T15" s="404"/>
    </row>
    <row r="16" spans="1:20" x14ac:dyDescent="0.3">
      <c r="A16" s="416"/>
      <c r="B16" s="412"/>
      <c r="C16" s="412"/>
      <c r="D16" s="412"/>
      <c r="E16" s="412"/>
      <c r="F16" s="412"/>
      <c r="G16" s="413"/>
      <c r="H16" s="417"/>
      <c r="I16" s="417"/>
      <c r="J16" s="412"/>
      <c r="K16" s="412"/>
      <c r="L16" s="412"/>
      <c r="M16" s="412"/>
      <c r="N16" s="415"/>
      <c r="O16" s="404"/>
      <c r="P16" s="404"/>
      <c r="Q16" s="408" t="s">
        <v>299</v>
      </c>
      <c r="R16" s="406"/>
      <c r="S16" s="404"/>
      <c r="T16" s="404"/>
    </row>
    <row r="17" spans="1:20" x14ac:dyDescent="0.3">
      <c r="A17" s="416"/>
      <c r="B17" s="412"/>
      <c r="C17" s="412"/>
      <c r="D17" s="412"/>
      <c r="E17" s="412"/>
      <c r="F17" s="412"/>
      <c r="G17" s="413"/>
      <c r="H17" s="417"/>
      <c r="I17" s="417"/>
      <c r="J17" s="412"/>
      <c r="K17" s="412"/>
      <c r="L17" s="412"/>
      <c r="M17" s="412"/>
      <c r="N17" s="415"/>
      <c r="O17" s="404"/>
      <c r="P17" s="404"/>
      <c r="Q17" s="408" t="s">
        <v>301</v>
      </c>
      <c r="R17" s="406"/>
      <c r="S17" s="404"/>
      <c r="T17" s="404"/>
    </row>
    <row r="18" spans="1:20" ht="15" thickBot="1" x14ac:dyDescent="0.35">
      <c r="A18" s="418"/>
      <c r="B18" s="419"/>
      <c r="C18" s="419"/>
      <c r="D18" s="419"/>
      <c r="E18" s="419"/>
      <c r="F18" s="419"/>
      <c r="G18" s="420"/>
      <c r="H18" s="421"/>
      <c r="I18" s="421"/>
      <c r="J18" s="419"/>
      <c r="K18" s="419"/>
      <c r="L18" s="419"/>
      <c r="M18" s="419"/>
      <c r="N18" s="422"/>
      <c r="O18" s="404"/>
      <c r="P18" s="404"/>
      <c r="Q18" s="408" t="s">
        <v>264</v>
      </c>
      <c r="R18" s="406"/>
      <c r="S18" s="404"/>
      <c r="T18" s="404"/>
    </row>
    <row r="19" spans="1:20" ht="15" thickBot="1" x14ac:dyDescent="0.35">
      <c r="Q19" s="408" t="s">
        <v>302</v>
      </c>
      <c r="R19" s="410"/>
    </row>
    <row r="20" spans="1:20" ht="15.6" x14ac:dyDescent="0.3">
      <c r="A20" s="579" t="s">
        <v>303</v>
      </c>
      <c r="B20" s="580"/>
      <c r="C20" s="580"/>
      <c r="D20" s="580"/>
      <c r="E20" s="580"/>
      <c r="F20" s="580"/>
      <c r="G20" s="580"/>
      <c r="H20" s="580"/>
      <c r="I20" s="580"/>
      <c r="J20" s="580"/>
      <c r="K20" s="580"/>
      <c r="L20" s="580"/>
      <c r="M20" s="580"/>
      <c r="N20" s="581"/>
      <c r="Q20" s="408" t="s">
        <v>304</v>
      </c>
      <c r="R20" s="410"/>
    </row>
    <row r="21" spans="1:20" ht="15" customHeight="1" x14ac:dyDescent="0.3">
      <c r="A21" s="582" t="s">
        <v>265</v>
      </c>
      <c r="B21" s="583" t="s">
        <v>266</v>
      </c>
      <c r="C21" s="583" t="s">
        <v>267</v>
      </c>
      <c r="D21" s="583" t="s">
        <v>296</v>
      </c>
      <c r="E21" s="583" t="s">
        <v>269</v>
      </c>
      <c r="F21" s="583" t="s">
        <v>270</v>
      </c>
      <c r="G21" s="584" t="s">
        <v>271</v>
      </c>
      <c r="H21" s="584"/>
      <c r="I21" s="584"/>
      <c r="J21" s="583" t="s">
        <v>272</v>
      </c>
      <c r="K21" s="583" t="s">
        <v>273</v>
      </c>
      <c r="L21" s="583" t="s">
        <v>274</v>
      </c>
      <c r="M21" s="583"/>
      <c r="N21" s="585" t="s">
        <v>275</v>
      </c>
      <c r="Q21" s="408" t="s">
        <v>305</v>
      </c>
      <c r="R21" s="410"/>
    </row>
    <row r="22" spans="1:20" ht="36.75" customHeight="1" x14ac:dyDescent="0.3">
      <c r="A22" s="582"/>
      <c r="B22" s="583"/>
      <c r="C22" s="583"/>
      <c r="D22" s="583"/>
      <c r="E22" s="583"/>
      <c r="F22" s="583"/>
      <c r="G22" s="409" t="s">
        <v>277</v>
      </c>
      <c r="H22" s="484" t="s">
        <v>278</v>
      </c>
      <c r="I22" s="484" t="s">
        <v>279</v>
      </c>
      <c r="J22" s="583"/>
      <c r="K22" s="583"/>
      <c r="L22" s="483" t="s">
        <v>306</v>
      </c>
      <c r="M22" s="483" t="s">
        <v>281</v>
      </c>
      <c r="N22" s="585"/>
      <c r="Q22" s="408" t="s">
        <v>307</v>
      </c>
      <c r="R22" s="410"/>
    </row>
    <row r="23" spans="1:20" x14ac:dyDescent="0.3">
      <c r="A23" s="416"/>
      <c r="B23" s="412"/>
      <c r="C23" s="412"/>
      <c r="D23" s="412"/>
      <c r="E23" s="412"/>
      <c r="F23" s="412"/>
      <c r="G23" s="413"/>
      <c r="H23" s="417"/>
      <c r="I23" s="417"/>
      <c r="J23" s="412"/>
      <c r="K23" s="412"/>
      <c r="L23" s="412"/>
      <c r="M23" s="412"/>
      <c r="N23" s="415"/>
      <c r="Q23" s="405"/>
      <c r="R23" s="410"/>
    </row>
    <row r="24" spans="1:20" x14ac:dyDescent="0.3">
      <c r="A24" s="416"/>
      <c r="B24" s="412"/>
      <c r="C24" s="412"/>
      <c r="D24" s="412"/>
      <c r="E24" s="412"/>
      <c r="F24" s="412"/>
      <c r="G24" s="413"/>
      <c r="H24" s="417"/>
      <c r="I24" s="417"/>
      <c r="J24" s="412"/>
      <c r="K24" s="412"/>
      <c r="L24" s="412"/>
      <c r="M24" s="412"/>
      <c r="N24" s="415"/>
      <c r="Q24" s="405"/>
      <c r="R24" s="410"/>
    </row>
    <row r="25" spans="1:20" x14ac:dyDescent="0.3">
      <c r="A25" s="416"/>
      <c r="B25" s="412"/>
      <c r="C25" s="412"/>
      <c r="D25" s="412"/>
      <c r="E25" s="412"/>
      <c r="F25" s="412"/>
      <c r="G25" s="413"/>
      <c r="H25" s="417"/>
      <c r="I25" s="417"/>
      <c r="J25" s="412"/>
      <c r="K25" s="412"/>
      <c r="L25" s="412"/>
      <c r="M25" s="412"/>
      <c r="N25" s="415"/>
      <c r="Q25" s="405"/>
      <c r="R25" s="410"/>
    </row>
    <row r="26" spans="1:20" x14ac:dyDescent="0.3">
      <c r="A26" s="416"/>
      <c r="B26" s="412"/>
      <c r="C26" s="412"/>
      <c r="D26" s="412"/>
      <c r="E26" s="412"/>
      <c r="F26" s="412"/>
      <c r="G26" s="413"/>
      <c r="H26" s="417"/>
      <c r="I26" s="417"/>
      <c r="J26" s="412"/>
      <c r="K26" s="412"/>
      <c r="L26" s="412"/>
      <c r="M26" s="412"/>
      <c r="N26" s="415"/>
      <c r="Q26" s="408" t="s">
        <v>308</v>
      </c>
      <c r="R26" s="410"/>
    </row>
    <row r="27" spans="1:20" ht="15" thickBot="1" x14ac:dyDescent="0.35">
      <c r="A27" s="418"/>
      <c r="B27" s="419"/>
      <c r="C27" s="419"/>
      <c r="D27" s="419"/>
      <c r="E27" s="419"/>
      <c r="F27" s="419"/>
      <c r="G27" s="420"/>
      <c r="H27" s="421"/>
      <c r="I27" s="421"/>
      <c r="J27" s="419"/>
      <c r="K27" s="419"/>
      <c r="L27" s="419"/>
      <c r="M27" s="419"/>
      <c r="N27" s="422"/>
      <c r="Q27" s="408" t="s">
        <v>309</v>
      </c>
      <c r="R27" s="410"/>
    </row>
    <row r="28" spans="1:20" ht="15" thickBot="1" x14ac:dyDescent="0.35">
      <c r="Q28" s="408" t="s">
        <v>310</v>
      </c>
      <c r="R28" s="410"/>
    </row>
    <row r="29" spans="1:20" ht="15.75" customHeight="1" x14ac:dyDescent="0.3">
      <c r="A29" s="579" t="s">
        <v>311</v>
      </c>
      <c r="B29" s="580"/>
      <c r="C29" s="580"/>
      <c r="D29" s="580"/>
      <c r="E29" s="580"/>
      <c r="F29" s="580"/>
      <c r="G29" s="580"/>
      <c r="H29" s="580"/>
      <c r="I29" s="580"/>
      <c r="J29" s="580"/>
      <c r="K29" s="580"/>
      <c r="L29" s="580"/>
      <c r="M29" s="580"/>
      <c r="N29" s="581"/>
      <c r="Q29" s="408" t="s">
        <v>301</v>
      </c>
      <c r="R29" s="410"/>
    </row>
    <row r="30" spans="1:20" ht="15" customHeight="1" x14ac:dyDescent="0.3">
      <c r="A30" s="582" t="s">
        <v>265</v>
      </c>
      <c r="B30" s="583" t="s">
        <v>266</v>
      </c>
      <c r="C30" s="583" t="s">
        <v>267</v>
      </c>
      <c r="D30" s="583" t="s">
        <v>296</v>
      </c>
      <c r="E30" s="586"/>
      <c r="F30" s="586"/>
      <c r="G30" s="584" t="s">
        <v>271</v>
      </c>
      <c r="H30" s="584"/>
      <c r="I30" s="584"/>
      <c r="J30" s="583" t="s">
        <v>272</v>
      </c>
      <c r="K30" s="583" t="s">
        <v>273</v>
      </c>
      <c r="L30" s="583" t="s">
        <v>274</v>
      </c>
      <c r="M30" s="583"/>
      <c r="N30" s="585" t="s">
        <v>275</v>
      </c>
      <c r="Q30" s="408" t="s">
        <v>264</v>
      </c>
      <c r="R30" s="410"/>
    </row>
    <row r="31" spans="1:20" ht="41.4" x14ac:dyDescent="0.3">
      <c r="A31" s="582"/>
      <c r="B31" s="583"/>
      <c r="C31" s="583"/>
      <c r="D31" s="583"/>
      <c r="E31" s="583" t="s">
        <v>270</v>
      </c>
      <c r="F31" s="583"/>
      <c r="G31" s="483" t="s">
        <v>277</v>
      </c>
      <c r="H31" s="409" t="s">
        <v>278</v>
      </c>
      <c r="I31" s="484" t="s">
        <v>279</v>
      </c>
      <c r="J31" s="583"/>
      <c r="K31" s="583"/>
      <c r="L31" s="483" t="s">
        <v>312</v>
      </c>
      <c r="M31" s="483" t="s">
        <v>281</v>
      </c>
      <c r="N31" s="585"/>
      <c r="Q31" s="408" t="s">
        <v>313</v>
      </c>
      <c r="R31" s="410"/>
    </row>
    <row r="32" spans="1:20" ht="55.2" x14ac:dyDescent="0.3">
      <c r="A32" s="411" t="s">
        <v>283</v>
      </c>
      <c r="B32" s="412" t="s">
        <v>314</v>
      </c>
      <c r="C32" s="412" t="s">
        <v>315</v>
      </c>
      <c r="D32" s="412" t="s">
        <v>308</v>
      </c>
      <c r="E32" s="412" t="s">
        <v>66</v>
      </c>
      <c r="F32" s="412" t="s">
        <v>66</v>
      </c>
      <c r="G32" s="425">
        <f>+'CC D'!K19</f>
        <v>6200000</v>
      </c>
      <c r="H32" s="414">
        <v>1</v>
      </c>
      <c r="I32" s="417">
        <v>0</v>
      </c>
      <c r="J32" s="417"/>
      <c r="K32" s="412" t="s">
        <v>282</v>
      </c>
      <c r="L32" s="412">
        <v>2018</v>
      </c>
      <c r="M32" s="412">
        <v>2018</v>
      </c>
      <c r="N32" s="415"/>
      <c r="R32" s="405"/>
    </row>
    <row r="33" spans="1:18" ht="41.4" x14ac:dyDescent="0.3">
      <c r="A33" s="411" t="s">
        <v>283</v>
      </c>
      <c r="B33" s="412" t="s">
        <v>316</v>
      </c>
      <c r="C33" s="412" t="s">
        <v>317</v>
      </c>
      <c r="D33" s="412" t="s">
        <v>309</v>
      </c>
      <c r="E33" s="412" t="s">
        <v>66</v>
      </c>
      <c r="F33" s="412" t="s">
        <v>66</v>
      </c>
      <c r="G33" s="425">
        <f>+'CC D'!K21</f>
        <v>300000</v>
      </c>
      <c r="H33" s="414">
        <v>1</v>
      </c>
      <c r="I33" s="417">
        <v>0</v>
      </c>
      <c r="J33" s="417"/>
      <c r="K33" s="412" t="s">
        <v>282</v>
      </c>
      <c r="L33" s="412">
        <v>2018</v>
      </c>
      <c r="M33" s="412">
        <v>2018</v>
      </c>
      <c r="N33" s="415"/>
      <c r="R33" s="405"/>
    </row>
    <row r="34" spans="1:18" ht="55.2" x14ac:dyDescent="0.3">
      <c r="A34" s="411" t="s">
        <v>283</v>
      </c>
      <c r="B34" s="412" t="s">
        <v>316</v>
      </c>
      <c r="C34" s="412" t="s">
        <v>318</v>
      </c>
      <c r="D34" s="412" t="s">
        <v>309</v>
      </c>
      <c r="E34" s="412" t="s">
        <v>66</v>
      </c>
      <c r="F34" s="412" t="s">
        <v>66</v>
      </c>
      <c r="G34" s="425">
        <f>+'CC D'!K22</f>
        <v>200000</v>
      </c>
      <c r="H34" s="414">
        <v>1</v>
      </c>
      <c r="I34" s="417">
        <v>0</v>
      </c>
      <c r="J34" s="417"/>
      <c r="K34" s="412" t="s">
        <v>282</v>
      </c>
      <c r="L34" s="412">
        <v>2018</v>
      </c>
      <c r="M34" s="412">
        <v>2018</v>
      </c>
      <c r="N34" s="415"/>
      <c r="Q34" s="405"/>
      <c r="R34" s="405"/>
    </row>
    <row r="35" spans="1:18" ht="55.2" x14ac:dyDescent="0.3">
      <c r="A35" s="411" t="s">
        <v>283</v>
      </c>
      <c r="B35" s="412" t="s">
        <v>319</v>
      </c>
      <c r="C35" s="412" t="s">
        <v>320</v>
      </c>
      <c r="D35" s="412" t="s">
        <v>308</v>
      </c>
      <c r="E35" s="412" t="s">
        <v>66</v>
      </c>
      <c r="F35" s="412" t="s">
        <v>66</v>
      </c>
      <c r="G35" s="425">
        <f>+'CC D'!K24</f>
        <v>1000000</v>
      </c>
      <c r="H35" s="417">
        <v>1</v>
      </c>
      <c r="I35" s="417">
        <v>0</v>
      </c>
      <c r="J35" s="417"/>
      <c r="K35" s="412" t="s">
        <v>282</v>
      </c>
      <c r="L35" s="412">
        <v>2018</v>
      </c>
      <c r="M35" s="412">
        <v>2018</v>
      </c>
      <c r="N35" s="415"/>
      <c r="Q35" s="405"/>
      <c r="R35" s="405"/>
    </row>
    <row r="36" spans="1:18" ht="55.2" x14ac:dyDescent="0.3">
      <c r="A36" s="411" t="s">
        <v>283</v>
      </c>
      <c r="B36" s="412" t="s">
        <v>319</v>
      </c>
      <c r="C36" s="412" t="s">
        <v>321</v>
      </c>
      <c r="D36" s="412" t="s">
        <v>308</v>
      </c>
      <c r="E36" s="412" t="s">
        <v>66</v>
      </c>
      <c r="F36" s="412" t="s">
        <v>66</v>
      </c>
      <c r="G36" s="425">
        <f>+'CC D'!K25</f>
        <v>2500000</v>
      </c>
      <c r="H36" s="417">
        <v>1</v>
      </c>
      <c r="I36" s="417">
        <v>0</v>
      </c>
      <c r="J36" s="417"/>
      <c r="K36" s="412" t="s">
        <v>282</v>
      </c>
      <c r="L36" s="412">
        <v>2018</v>
      </c>
      <c r="M36" s="412">
        <v>2018</v>
      </c>
      <c r="N36" s="415"/>
      <c r="Q36" s="405"/>
      <c r="R36" s="405"/>
    </row>
    <row r="37" spans="1:18" ht="55.2" x14ac:dyDescent="0.3">
      <c r="A37" s="411" t="s">
        <v>283</v>
      </c>
      <c r="B37" s="426" t="s">
        <v>322</v>
      </c>
      <c r="C37" s="426" t="s">
        <v>323</v>
      </c>
      <c r="D37" s="426" t="s">
        <v>309</v>
      </c>
      <c r="E37" s="426" t="s">
        <v>66</v>
      </c>
      <c r="F37" s="412" t="s">
        <v>66</v>
      </c>
      <c r="G37" s="427">
        <f>+'CC D'!K29</f>
        <v>300000</v>
      </c>
      <c r="H37" s="428">
        <v>1</v>
      </c>
      <c r="I37" s="417">
        <v>0</v>
      </c>
      <c r="J37" s="428"/>
      <c r="K37" s="426" t="s">
        <v>282</v>
      </c>
      <c r="L37" s="412">
        <v>2018</v>
      </c>
      <c r="M37" s="412">
        <v>2018</v>
      </c>
      <c r="N37" s="429"/>
      <c r="Q37" s="405"/>
      <c r="R37" s="405"/>
    </row>
    <row r="38" spans="1:18" ht="69" x14ac:dyDescent="0.3">
      <c r="A38" s="411" t="s">
        <v>283</v>
      </c>
      <c r="B38" s="426" t="s">
        <v>322</v>
      </c>
      <c r="C38" s="426" t="s">
        <v>324</v>
      </c>
      <c r="D38" s="426" t="s">
        <v>309</v>
      </c>
      <c r="E38" s="426" t="s">
        <v>66</v>
      </c>
      <c r="F38" s="412" t="s">
        <v>66</v>
      </c>
      <c r="G38" s="427">
        <f>+'CC D'!K28</f>
        <v>200000</v>
      </c>
      <c r="H38" s="428">
        <v>1</v>
      </c>
      <c r="I38" s="417">
        <v>0</v>
      </c>
      <c r="J38" s="428"/>
      <c r="K38" s="426" t="s">
        <v>282</v>
      </c>
      <c r="L38" s="412">
        <v>2018</v>
      </c>
      <c r="M38" s="412">
        <v>2018</v>
      </c>
      <c r="N38" s="429"/>
      <c r="Q38" s="405"/>
      <c r="R38" s="405"/>
    </row>
    <row r="39" spans="1:18" ht="69.599999999999994" thickBot="1" x14ac:dyDescent="0.35">
      <c r="A39" s="411" t="s">
        <v>283</v>
      </c>
      <c r="B39" s="419" t="s">
        <v>325</v>
      </c>
      <c r="C39" s="419" t="s">
        <v>326</v>
      </c>
      <c r="D39" s="419" t="s">
        <v>308</v>
      </c>
      <c r="E39" s="419" t="s">
        <v>66</v>
      </c>
      <c r="F39" s="412" t="s">
        <v>66</v>
      </c>
      <c r="G39" s="427">
        <f>+'CC D'!K15</f>
        <v>2700000</v>
      </c>
      <c r="H39" s="428">
        <v>1</v>
      </c>
      <c r="I39" s="417">
        <v>0</v>
      </c>
      <c r="J39" s="421"/>
      <c r="K39" s="419" t="s">
        <v>282</v>
      </c>
      <c r="L39" s="412">
        <v>2018</v>
      </c>
      <c r="M39" s="412">
        <v>2018</v>
      </c>
      <c r="N39" s="422"/>
      <c r="Q39" s="430" t="s">
        <v>327</v>
      </c>
      <c r="R39" s="430" t="s">
        <v>328</v>
      </c>
    </row>
    <row r="40" spans="1:18" ht="69.599999999999994" thickBot="1" x14ac:dyDescent="0.35">
      <c r="A40" s="411" t="s">
        <v>283</v>
      </c>
      <c r="B40" s="419" t="s">
        <v>325</v>
      </c>
      <c r="C40" s="419" t="s">
        <v>329</v>
      </c>
      <c r="D40" s="419" t="s">
        <v>308</v>
      </c>
      <c r="E40" s="419" t="s">
        <v>66</v>
      </c>
      <c r="F40" s="412" t="s">
        <v>66</v>
      </c>
      <c r="G40" s="427">
        <f>+'CC D'!K16</f>
        <v>3000000</v>
      </c>
      <c r="H40" s="428">
        <v>1</v>
      </c>
      <c r="I40" s="417">
        <v>0</v>
      </c>
      <c r="J40" s="421"/>
      <c r="K40" s="419" t="s">
        <v>282</v>
      </c>
      <c r="L40" s="412">
        <v>2018</v>
      </c>
      <c r="M40" s="412">
        <v>2018</v>
      </c>
      <c r="N40" s="431"/>
      <c r="Q40" s="430"/>
      <c r="R40" s="430"/>
    </row>
    <row r="41" spans="1:18" ht="55.8" thickBot="1" x14ac:dyDescent="0.35">
      <c r="A41" s="411" t="s">
        <v>283</v>
      </c>
      <c r="B41" s="419" t="s">
        <v>330</v>
      </c>
      <c r="C41" s="419" t="s">
        <v>183</v>
      </c>
      <c r="D41" s="419" t="s">
        <v>309</v>
      </c>
      <c r="E41" s="419" t="s">
        <v>66</v>
      </c>
      <c r="F41" s="412" t="s">
        <v>66</v>
      </c>
      <c r="G41" s="427">
        <f>+'CC D'!K34</f>
        <v>100000</v>
      </c>
      <c r="H41" s="428">
        <v>1</v>
      </c>
      <c r="I41" s="417">
        <v>0</v>
      </c>
      <c r="J41" s="421"/>
      <c r="K41" s="419" t="s">
        <v>282</v>
      </c>
      <c r="L41" s="412">
        <v>2018</v>
      </c>
      <c r="M41" s="412">
        <v>2018</v>
      </c>
      <c r="N41" s="431"/>
      <c r="Q41" s="430"/>
      <c r="R41" s="430"/>
    </row>
    <row r="42" spans="1:18" ht="15" thickBot="1" x14ac:dyDescent="0.35">
      <c r="Q42" s="430" t="s">
        <v>331</v>
      </c>
      <c r="R42" s="430" t="s">
        <v>328</v>
      </c>
    </row>
    <row r="43" spans="1:18" ht="15.6" x14ac:dyDescent="0.3">
      <c r="A43" s="579" t="s">
        <v>332</v>
      </c>
      <c r="B43" s="580"/>
      <c r="C43" s="580"/>
      <c r="D43" s="580"/>
      <c r="E43" s="580"/>
      <c r="F43" s="580"/>
      <c r="G43" s="580"/>
      <c r="H43" s="580"/>
      <c r="I43" s="580"/>
      <c r="J43" s="580"/>
      <c r="K43" s="580"/>
      <c r="L43" s="580"/>
      <c r="M43" s="580"/>
      <c r="N43" s="581"/>
      <c r="Q43" s="430" t="s">
        <v>333</v>
      </c>
      <c r="R43" s="430" t="s">
        <v>328</v>
      </c>
    </row>
    <row r="44" spans="1:18" ht="15" customHeight="1" x14ac:dyDescent="0.3">
      <c r="A44" s="582" t="s">
        <v>265</v>
      </c>
      <c r="B44" s="583" t="s">
        <v>266</v>
      </c>
      <c r="C44" s="583" t="s">
        <v>267</v>
      </c>
      <c r="D44" s="583" t="s">
        <v>296</v>
      </c>
      <c r="E44" s="583" t="s">
        <v>270</v>
      </c>
      <c r="F44" s="584" t="s">
        <v>271</v>
      </c>
      <c r="G44" s="584"/>
      <c r="H44" s="584"/>
      <c r="I44" s="587" t="s">
        <v>334</v>
      </c>
      <c r="J44" s="583" t="s">
        <v>272</v>
      </c>
      <c r="K44" s="583" t="s">
        <v>273</v>
      </c>
      <c r="L44" s="583" t="s">
        <v>274</v>
      </c>
      <c r="M44" s="583"/>
      <c r="N44" s="585" t="s">
        <v>275</v>
      </c>
      <c r="Q44" s="430" t="s">
        <v>327</v>
      </c>
      <c r="R44" s="430" t="s">
        <v>335</v>
      </c>
    </row>
    <row r="45" spans="1:18" ht="41.4" x14ac:dyDescent="0.3">
      <c r="A45" s="582"/>
      <c r="B45" s="583"/>
      <c r="C45" s="583"/>
      <c r="D45" s="583"/>
      <c r="E45" s="583"/>
      <c r="F45" s="483" t="s">
        <v>277</v>
      </c>
      <c r="G45" s="409" t="s">
        <v>278</v>
      </c>
      <c r="H45" s="484" t="s">
        <v>279</v>
      </c>
      <c r="I45" s="587"/>
      <c r="J45" s="583"/>
      <c r="K45" s="583"/>
      <c r="L45" s="483" t="s">
        <v>336</v>
      </c>
      <c r="M45" s="483" t="s">
        <v>337</v>
      </c>
      <c r="N45" s="585"/>
      <c r="Q45" s="430" t="s">
        <v>331</v>
      </c>
      <c r="R45" s="430" t="s">
        <v>335</v>
      </c>
    </row>
    <row r="46" spans="1:18" ht="96.6" x14ac:dyDescent="0.3">
      <c r="A46" s="411" t="s">
        <v>283</v>
      </c>
      <c r="B46" s="412" t="s">
        <v>113</v>
      </c>
      <c r="C46" s="412" t="s">
        <v>338</v>
      </c>
      <c r="D46" s="412" t="s">
        <v>310</v>
      </c>
      <c r="E46" s="412" t="s">
        <v>66</v>
      </c>
      <c r="F46" s="425">
        <f>+'CC D'!K32</f>
        <v>1000000</v>
      </c>
      <c r="G46" s="417">
        <v>1</v>
      </c>
      <c r="H46" s="417">
        <v>0</v>
      </c>
      <c r="I46" s="425">
        <v>4</v>
      </c>
      <c r="J46" s="412"/>
      <c r="K46" s="412" t="s">
        <v>276</v>
      </c>
      <c r="L46" s="412">
        <v>2017</v>
      </c>
      <c r="M46" s="412">
        <v>2018</v>
      </c>
      <c r="N46" s="415"/>
      <c r="Q46" s="430"/>
      <c r="R46" s="430" t="s">
        <v>339</v>
      </c>
    </row>
    <row r="47" spans="1:18" x14ac:dyDescent="0.3">
      <c r="A47" s="416"/>
      <c r="B47" s="412"/>
      <c r="C47" s="412"/>
      <c r="D47" s="412"/>
      <c r="E47" s="412"/>
      <c r="F47" s="412"/>
      <c r="G47" s="413"/>
      <c r="H47" s="417"/>
      <c r="I47" s="417"/>
      <c r="J47" s="412"/>
      <c r="K47" s="412"/>
      <c r="L47" s="412"/>
      <c r="M47" s="412"/>
      <c r="N47" s="415"/>
      <c r="Q47" s="430"/>
      <c r="R47" s="430" t="s">
        <v>339</v>
      </c>
    </row>
    <row r="48" spans="1:18" x14ac:dyDescent="0.3">
      <c r="A48" s="416"/>
      <c r="B48" s="412"/>
      <c r="C48" s="412"/>
      <c r="D48" s="412"/>
      <c r="E48" s="412"/>
      <c r="F48" s="412"/>
      <c r="G48" s="413"/>
      <c r="H48" s="417"/>
      <c r="I48" s="417"/>
      <c r="J48" s="412"/>
      <c r="K48" s="412"/>
      <c r="L48" s="412"/>
      <c r="M48" s="412"/>
      <c r="N48" s="415"/>
      <c r="Q48" s="430" t="s">
        <v>340</v>
      </c>
      <c r="R48" s="430" t="s">
        <v>339</v>
      </c>
    </row>
    <row r="49" spans="1:18" ht="15" thickBot="1" x14ac:dyDescent="0.35">
      <c r="A49" s="418"/>
      <c r="B49" s="419"/>
      <c r="C49" s="419"/>
      <c r="D49" s="419"/>
      <c r="E49" s="419"/>
      <c r="F49" s="419"/>
      <c r="G49" s="420"/>
      <c r="H49" s="421"/>
      <c r="I49" s="421"/>
      <c r="J49" s="419"/>
      <c r="K49" s="419"/>
      <c r="L49" s="419"/>
      <c r="M49" s="419"/>
      <c r="N49" s="422"/>
      <c r="Q49" s="430" t="s">
        <v>340</v>
      </c>
      <c r="R49" s="430" t="s">
        <v>341</v>
      </c>
    </row>
    <row r="50" spans="1:18" x14ac:dyDescent="0.3">
      <c r="Q50" s="430" t="s">
        <v>342</v>
      </c>
      <c r="R50" s="430" t="s">
        <v>341</v>
      </c>
    </row>
    <row r="51" spans="1:18" x14ac:dyDescent="0.3">
      <c r="Q51" s="405"/>
      <c r="R51" s="430" t="s">
        <v>335</v>
      </c>
    </row>
    <row r="52" spans="1:18" x14ac:dyDescent="0.3">
      <c r="Q52" s="405"/>
      <c r="R52" s="430"/>
    </row>
    <row r="53" spans="1:18" x14ac:dyDescent="0.3">
      <c r="Q53" s="405"/>
      <c r="R53" s="405"/>
    </row>
    <row r="54" spans="1:18" x14ac:dyDescent="0.3">
      <c r="Q54" s="430" t="s">
        <v>343</v>
      </c>
      <c r="R54" s="430" t="s">
        <v>339</v>
      </c>
    </row>
    <row r="55" spans="1:18" x14ac:dyDescent="0.3">
      <c r="Q55" s="405"/>
      <c r="R55" s="405"/>
    </row>
    <row r="56" spans="1:18" x14ac:dyDescent="0.3">
      <c r="Q56" s="430" t="s">
        <v>344</v>
      </c>
      <c r="R56" s="430" t="s">
        <v>341</v>
      </c>
    </row>
    <row r="57" spans="1:18" x14ac:dyDescent="0.3">
      <c r="Q57" s="430" t="s">
        <v>345</v>
      </c>
      <c r="R57" s="430" t="s">
        <v>341</v>
      </c>
    </row>
    <row r="58" spans="1:18" x14ac:dyDescent="0.3">
      <c r="Q58" s="405"/>
      <c r="R58" s="405"/>
    </row>
    <row r="59" spans="1:18" x14ac:dyDescent="0.3">
      <c r="Q59" s="410"/>
      <c r="R59" s="410"/>
    </row>
    <row r="60" spans="1:18" x14ac:dyDescent="0.3">
      <c r="Q60" s="430" t="s">
        <v>340</v>
      </c>
      <c r="R60" s="405"/>
    </row>
    <row r="61" spans="1:18" x14ac:dyDescent="0.3">
      <c r="Q61" s="430" t="s">
        <v>346</v>
      </c>
      <c r="R61" s="405"/>
    </row>
    <row r="62" spans="1:18" x14ac:dyDescent="0.3">
      <c r="Q62" s="410"/>
      <c r="R62" s="410"/>
    </row>
    <row r="63" spans="1:18" x14ac:dyDescent="0.3">
      <c r="Q63" s="410"/>
      <c r="R63" s="410"/>
    </row>
    <row r="64" spans="1:18" x14ac:dyDescent="0.3">
      <c r="Q64" s="408" t="s">
        <v>310</v>
      </c>
      <c r="R64" s="405"/>
    </row>
    <row r="65" spans="17:18" x14ac:dyDescent="0.3">
      <c r="Q65" s="408" t="s">
        <v>301</v>
      </c>
      <c r="R65" s="405"/>
    </row>
    <row r="66" spans="17:18" x14ac:dyDescent="0.3">
      <c r="Q66" s="408" t="s">
        <v>347</v>
      </c>
      <c r="R66" s="405"/>
    </row>
    <row r="67" spans="17:18" x14ac:dyDescent="0.3">
      <c r="Q67" s="408" t="s">
        <v>264</v>
      </c>
      <c r="R67" s="410"/>
    </row>
  </sheetData>
  <mergeCells count="61">
    <mergeCell ref="L44:M44"/>
    <mergeCell ref="N44:N45"/>
    <mergeCell ref="D44:D45"/>
    <mergeCell ref="E44:E45"/>
    <mergeCell ref="I44:I45"/>
    <mergeCell ref="J44:J45"/>
    <mergeCell ref="K44:K45"/>
    <mergeCell ref="F44:H44"/>
    <mergeCell ref="G30:I30"/>
    <mergeCell ref="J30:J31"/>
    <mergeCell ref="K30:K31"/>
    <mergeCell ref="L30:M30"/>
    <mergeCell ref="N30:N31"/>
    <mergeCell ref="A30:A31"/>
    <mergeCell ref="B30:B31"/>
    <mergeCell ref="C30:C31"/>
    <mergeCell ref="D30:D31"/>
    <mergeCell ref="E30:F30"/>
    <mergeCell ref="E31:F31"/>
    <mergeCell ref="A44:A45"/>
    <mergeCell ref="B44:B45"/>
    <mergeCell ref="C44:C45"/>
    <mergeCell ref="A29:N29"/>
    <mergeCell ref="A21:A22"/>
    <mergeCell ref="B21:B22"/>
    <mergeCell ref="C21:C22"/>
    <mergeCell ref="D21:D22"/>
    <mergeCell ref="E21:E22"/>
    <mergeCell ref="F21:F22"/>
    <mergeCell ref="G21:I21"/>
    <mergeCell ref="J21:J22"/>
    <mergeCell ref="K21:K22"/>
    <mergeCell ref="L21:M21"/>
    <mergeCell ref="N21:N22"/>
    <mergeCell ref="A43:N43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</mergeCells>
  <dataValidations count="4">
    <dataValidation type="list" allowBlank="1" showInputMessage="1" showErrorMessage="1" sqref="D46:D49">
      <formula1>$Q$64:$Q$67</formula1>
    </dataValidation>
    <dataValidation type="list" allowBlank="1" showInputMessage="1" showErrorMessage="1" sqref="D32:D41">
      <formula1>$Q$26:$Q$31</formula1>
    </dataValidation>
    <dataValidation type="list" allowBlank="1" showInputMessage="1" showErrorMessage="1" sqref="K5:K9 K23:K27 K14 K16:K18 K32:K41 K46:K49">
      <formula1>$Q$2:$Q$4</formula1>
    </dataValidation>
    <dataValidation type="list" allowBlank="1" showInputMessage="1" showErrorMessage="1" sqref="D5:D9 D23:D27 D14 D16:D18">
      <formula1>$Q$14:$Q$22</formula1>
    </dataValidation>
  </dataValidations>
  <pageMargins left="0.7" right="0.7" top="0.75" bottom="0.75" header="0.3" footer="0.3"/>
  <pageSetup scale="4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C20" sqref="C20"/>
    </sheetView>
  </sheetViews>
  <sheetFormatPr defaultColWidth="9.109375" defaultRowHeight="14.4" x14ac:dyDescent="0.3"/>
  <cols>
    <col min="1" max="1" width="42.33203125" style="407" customWidth="1"/>
    <col min="2" max="2" width="35.109375" style="407" customWidth="1"/>
    <col min="3" max="3" width="33.44140625" style="407" customWidth="1"/>
    <col min="4" max="5" width="9.109375" style="407"/>
    <col min="6" max="6" width="12.6640625" style="407" customWidth="1"/>
    <col min="7" max="7" width="9.88671875" style="407" customWidth="1"/>
    <col min="8" max="8" width="17.88671875" style="407" customWidth="1"/>
    <col min="9" max="16384" width="9.109375" style="407"/>
  </cols>
  <sheetData>
    <row r="1" spans="1:8" ht="15" thickBot="1" x14ac:dyDescent="0.35">
      <c r="A1" s="591" t="s">
        <v>348</v>
      </c>
      <c r="B1" s="591"/>
      <c r="C1" s="591"/>
    </row>
    <row r="2" spans="1:8" ht="15.6" x14ac:dyDescent="0.3">
      <c r="A2" s="588" t="s">
        <v>349</v>
      </c>
      <c r="B2" s="589"/>
      <c r="C2" s="590"/>
    </row>
    <row r="3" spans="1:8" ht="15.6" x14ac:dyDescent="0.3">
      <c r="A3" s="432" t="s">
        <v>350</v>
      </c>
      <c r="B3" s="433" t="s">
        <v>351</v>
      </c>
      <c r="C3" s="434" t="s">
        <v>352</v>
      </c>
    </row>
    <row r="4" spans="1:8" ht="15" thickBot="1" x14ac:dyDescent="0.35">
      <c r="A4" s="435" t="s">
        <v>353</v>
      </c>
      <c r="B4" s="485">
        <v>2018</v>
      </c>
      <c r="C4" s="486">
        <v>2021</v>
      </c>
    </row>
    <row r="5" spans="1:8" ht="15" thickBot="1" x14ac:dyDescent="0.35">
      <c r="A5" s="592"/>
      <c r="B5" s="592"/>
      <c r="C5" s="592"/>
    </row>
    <row r="6" spans="1:8" ht="15.6" x14ac:dyDescent="0.3">
      <c r="A6" s="588" t="s">
        <v>354</v>
      </c>
      <c r="B6" s="589"/>
      <c r="C6" s="590"/>
    </row>
    <row r="7" spans="1:8" ht="15" thickBot="1" x14ac:dyDescent="0.35">
      <c r="A7" s="435" t="s">
        <v>355</v>
      </c>
      <c r="B7" s="593"/>
      <c r="C7" s="594"/>
    </row>
    <row r="8" spans="1:8" ht="15" thickBot="1" x14ac:dyDescent="0.35">
      <c r="A8" s="592"/>
      <c r="B8" s="592"/>
      <c r="C8" s="592"/>
    </row>
    <row r="9" spans="1:8" ht="15.6" x14ac:dyDescent="0.3">
      <c r="A9" s="588" t="s">
        <v>356</v>
      </c>
      <c r="B9" s="589"/>
      <c r="C9" s="590"/>
    </row>
    <row r="10" spans="1:8" ht="31.2" x14ac:dyDescent="0.3">
      <c r="A10" s="432" t="s">
        <v>357</v>
      </c>
      <c r="B10" s="433" t="s">
        <v>358</v>
      </c>
      <c r="C10" s="434" t="s">
        <v>359</v>
      </c>
    </row>
    <row r="11" spans="1:8" x14ac:dyDescent="0.3">
      <c r="A11" s="436" t="s">
        <v>360</v>
      </c>
      <c r="B11" s="437">
        <f>+'CC D'!I11+'CC D'!I13</f>
        <v>182000000</v>
      </c>
      <c r="C11" s="438">
        <f>+B11+'CC D'!J11+'CC D'!J13</f>
        <v>262000000</v>
      </c>
      <c r="H11" s="439"/>
    </row>
    <row r="12" spans="1:8" x14ac:dyDescent="0.3">
      <c r="A12" s="436" t="s">
        <v>361</v>
      </c>
      <c r="B12" s="437">
        <f>+'Detalle Plan de Adquisiciones'!G14</f>
        <v>500000</v>
      </c>
      <c r="C12" s="438">
        <f>+B12</f>
        <v>500000</v>
      </c>
      <c r="F12" s="439"/>
    </row>
    <row r="13" spans="1:8" x14ac:dyDescent="0.3">
      <c r="A13" s="436" t="s">
        <v>362</v>
      </c>
      <c r="B13" s="437">
        <f>+'Detalle Plan de Adquisiciones'!F46</f>
        <v>1000000</v>
      </c>
      <c r="C13" s="438">
        <f>+B13</f>
        <v>1000000</v>
      </c>
    </row>
    <row r="14" spans="1:8" x14ac:dyDescent="0.3">
      <c r="A14" s="436" t="s">
        <v>363</v>
      </c>
      <c r="B14" s="437">
        <f>+'Detalle Plan de Adquisiciones'!G32+'Detalle Plan de Adquisiciones'!G33+'Detalle Plan de Adquisiciones'!G34+'Detalle Plan de Adquisiciones'!G35+'Detalle Plan de Adquisiciones'!G36+'Detalle Plan de Adquisiciones'!G37+'Detalle Plan de Adquisiciones'!G38+'Detalle Plan de Adquisiciones'!G39+'Detalle Plan de Adquisiciones'!G40+'Detalle Plan de Adquisiciones'!G41</f>
        <v>16500000</v>
      </c>
      <c r="C14" s="438">
        <f>+B14</f>
        <v>16500000</v>
      </c>
    </row>
    <row r="15" spans="1:8" ht="16.2" thickBot="1" x14ac:dyDescent="0.35">
      <c r="A15" s="440" t="s">
        <v>18</v>
      </c>
      <c r="B15" s="441">
        <f>SUM(B11:B14)</f>
        <v>200000000</v>
      </c>
      <c r="C15" s="442">
        <f>SUM(C11:C14)</f>
        <v>280000000</v>
      </c>
    </row>
    <row r="16" spans="1:8" ht="15" thickBot="1" x14ac:dyDescent="0.35"/>
    <row r="17" spans="1:8" ht="15.6" x14ac:dyDescent="0.3">
      <c r="A17" s="588" t="s">
        <v>364</v>
      </c>
      <c r="B17" s="589"/>
      <c r="C17" s="590"/>
    </row>
    <row r="18" spans="1:8" ht="31.2" x14ac:dyDescent="0.3">
      <c r="A18" s="432" t="s">
        <v>365</v>
      </c>
      <c r="B18" s="433" t="s">
        <v>358</v>
      </c>
      <c r="C18" s="434" t="s">
        <v>359</v>
      </c>
    </row>
    <row r="19" spans="1:8" x14ac:dyDescent="0.3">
      <c r="A19" s="443" t="s">
        <v>366</v>
      </c>
      <c r="B19" s="437">
        <f>+'CC D'!I9</f>
        <v>187700000</v>
      </c>
      <c r="C19" s="438">
        <f>+B19++'CC D'!J11+'CC D'!J13</f>
        <v>267700000</v>
      </c>
      <c r="H19" s="439"/>
    </row>
    <row r="20" spans="1:8" x14ac:dyDescent="0.3">
      <c r="A20" s="444" t="s">
        <v>367</v>
      </c>
      <c r="B20" s="437">
        <f>+'CC D'!I17+'CC D'!I30</f>
        <v>12300000</v>
      </c>
      <c r="C20" s="438">
        <f>+B20</f>
        <v>12300000</v>
      </c>
    </row>
    <row r="21" spans="1:8" ht="16.2" thickBot="1" x14ac:dyDescent="0.35">
      <c r="A21" s="440" t="s">
        <v>18</v>
      </c>
      <c r="B21" s="441">
        <f>SUM(B19:B20)</f>
        <v>200000000</v>
      </c>
      <c r="C21" s="442">
        <f>+SUM(C19+C20)</f>
        <v>280000000</v>
      </c>
    </row>
    <row r="22" spans="1:8" x14ac:dyDescent="0.3">
      <c r="B22" s="439"/>
    </row>
    <row r="24" spans="1:8" x14ac:dyDescent="0.3">
      <c r="A24" s="445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C8259D495AD1A438CA65EC3C7EE5C1D" ma:contentTypeVersion="26" ma:contentTypeDescription="A content type to manage public (operations) IDB documents" ma:contentTypeScope="" ma:versionID="7ac5d25eea2636dfba4301eaa4d34e3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Pedraza Sanchez, Lauramaria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ROAD SAFETY</TermName>
          <TermId xmlns="http://schemas.microsoft.com/office/infopath/2007/PartnerControls">e01c6731-e5a8-445f-9dc4-0792492b69cc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5</Value>
      <Value>4</Value>
      <Value>3</Value>
      <Value>78</Value>
      <Value>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AR-L1274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R0001228914</Record_x0020_Number>
    <_dlc_DocId xmlns="cdc7663a-08f0-4737-9e8c-148ce897a09c">EZSHARE-2019927050-48</_dlc_DocId>
    <_dlc_DocIdUrl xmlns="cdc7663a-08f0-4737-9e8c-148ce897a09c">
      <Url>https://idbg.sharepoint.com/teams/EZ-AR-LON/AR-L1274/_layouts/15/DocIdRedir.aspx?ID=EZSHARE-2019927050-48</Url>
      <Description>EZSHARE-2019927050-48</Description>
    </_dlc_DocIdUrl>
    <Disclosure_x0020_Activity xmlns="cdc7663a-08f0-4737-9e8c-148ce897a09c">NON-APPLICABLE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7E4A0FE-207A-4715-BC72-24B9F9B635E0}"/>
</file>

<file path=customXml/itemProps2.xml><?xml version="1.0" encoding="utf-8"?>
<ds:datastoreItem xmlns:ds="http://schemas.openxmlformats.org/officeDocument/2006/customXml" ds:itemID="{687E7438-1364-4E0C-A77D-EC8883DF898F}"/>
</file>

<file path=customXml/itemProps3.xml><?xml version="1.0" encoding="utf-8"?>
<ds:datastoreItem xmlns:ds="http://schemas.openxmlformats.org/officeDocument/2006/customXml" ds:itemID="{E47DF8B4-6614-4052-8C24-43C474FE064E}"/>
</file>

<file path=customXml/itemProps4.xml><?xml version="1.0" encoding="utf-8"?>
<ds:datastoreItem xmlns:ds="http://schemas.openxmlformats.org/officeDocument/2006/customXml" ds:itemID="{34735278-74D6-42C3-A0FF-5ADE2EFD26B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A5D1211-09C8-4320-8C5C-E9BC3F2E04FC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D63B311B-CE9A-47E3-90A4-C424D4B0652D}">
  <ds:schemaRefs>
    <ds:schemaRef ds:uri="http://schemas.microsoft.com/office/2006/documentManagement/types"/>
    <ds:schemaRef ds:uri="http://schemas.microsoft.com/office/2006/metadata/properties"/>
    <ds:schemaRef ds:uri="cdc7663a-08f0-4737-9e8c-148ce897a09c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11</vt:i4>
      </vt:variant>
    </vt:vector>
  </HeadingPairs>
  <TitlesOfParts>
    <vt:vector size="27" baseType="lpstr">
      <vt:lpstr>PEP</vt:lpstr>
      <vt:lpstr>POA año 1</vt:lpstr>
      <vt:lpstr>CC</vt:lpstr>
      <vt:lpstr>CC D</vt:lpstr>
      <vt:lpstr>PF M BID</vt:lpstr>
      <vt:lpstr>PF A BID</vt:lpstr>
      <vt:lpstr>CC P</vt:lpstr>
      <vt:lpstr>Detalle Plan de Adquisiciones</vt:lpstr>
      <vt:lpstr>Plan de Adquisiciones</vt:lpstr>
      <vt:lpstr>PA</vt:lpstr>
      <vt:lpstr>R41</vt:lpstr>
      <vt:lpstr>Re</vt:lpstr>
      <vt:lpstr>Tramo 4</vt:lpstr>
      <vt:lpstr>Inspeccion R41</vt:lpstr>
      <vt:lpstr>Inspeccion Re</vt:lpstr>
      <vt:lpstr>Fisc Tramo 2</vt:lpstr>
      <vt:lpstr>'CC D'!Print_Area</vt:lpstr>
      <vt:lpstr>'CC P'!Print_Area</vt:lpstr>
      <vt:lpstr>'PF M BID'!Print_Area</vt:lpstr>
      <vt:lpstr>'R41'!Print_Area</vt:lpstr>
      <vt:lpstr>Re!Print_Area</vt:lpstr>
      <vt:lpstr>'Tramo 4'!Print_Area</vt:lpstr>
      <vt:lpstr>'CC D'!Print_Titles</vt:lpstr>
      <vt:lpstr>'CC P'!Print_Titles</vt:lpstr>
      <vt:lpstr>PEP!Print_Titles</vt:lpstr>
      <vt:lpstr>'PF A BID'!Print_Titles</vt:lpstr>
      <vt:lpstr>'PF M BID'!Print_Titles</vt:lpstr>
    </vt:vector>
  </TitlesOfParts>
  <Manager/>
  <Company>Piratas Unidos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PGODOY</dc:creator>
  <cp:keywords/>
  <dc:description/>
  <cp:lastModifiedBy>Godoy Blanco,Pablo Enrique</cp:lastModifiedBy>
  <cp:revision/>
  <cp:lastPrinted>2017-09-22T18:24:58Z</cp:lastPrinted>
  <dcterms:created xsi:type="dcterms:W3CDTF">2012-11-30T15:52:30Z</dcterms:created>
  <dcterms:modified xsi:type="dcterms:W3CDTF">2017-09-22T20:01:30Z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8;#Monitoring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78;#ROAD SAFETY|e01c6731-e5a8-445f-9dc4-0792492b69cc</vt:lpwstr>
  </property>
  <property fmtid="{D5CDD505-2E9C-101B-9397-08002B2CF9AE}" pid="8" name="Fund IDB">
    <vt:lpwstr>4;#ORC|c028a4b2-ad8b-4cf4-9cac-a2ae6a778e23</vt:lpwstr>
  </property>
  <property fmtid="{D5CDD505-2E9C-101B-9397-08002B2CF9AE}" pid="9" name="Country">
    <vt:lpwstr>5;#Argentina|eb1b705c-195f-4c3b-9661-b201f2fee3c5</vt:lpwstr>
  </property>
  <property fmtid="{D5CDD505-2E9C-101B-9397-08002B2CF9AE}" pid="10" name="Sector IDB">
    <vt:lpwstr>3;#TRANSPORT|5a25d1a8-4baf-41a8-9e3b-e167accda6ea</vt:lpwstr>
  </property>
  <property fmtid="{D5CDD505-2E9C-101B-9397-08002B2CF9AE}" pid="11" name="_dlc_DocIdItemGuid">
    <vt:lpwstr>a70abc3f-806c-46fe-93c1-2ca00a13070f</vt:lpwstr>
  </property>
  <property fmtid="{D5CDD505-2E9C-101B-9397-08002B2CF9AE}" pid="12" name="Disclosure Activity">
    <vt:lpwstr>NON-APPLICABLE</vt:lpwstr>
  </property>
  <property fmtid="{D5CDD505-2E9C-101B-9397-08002B2CF9AE}" pid="13" name="ContentTypeId">
    <vt:lpwstr>0x0101001A458A224826124E8B45B1D613300CFC00DC8259D495AD1A438CA65EC3C7EE5C1D</vt:lpwstr>
  </property>
</Properties>
</file>