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8705" windowHeight="4275" tabRatio="596" firstSheet="2" activeTab="2"/>
  </bookViews>
  <sheets>
    <sheet name="Impacts" sheetId="11" state="hidden" r:id="rId1"/>
    <sheet name="Résultats" sheetId="12" state="hidden" r:id="rId2"/>
    <sheet name="PEP" sheetId="13" r:id="rId3"/>
    <sheet name="POA" sheetId="16" r:id="rId4"/>
    <sheet name="PPM" sheetId="15" r:id="rId5"/>
    <sheet name="Detail ouvrages amont" sheetId="17" r:id="rId6"/>
    <sheet name="Detail SAP" sheetId="18" r:id="rId7"/>
    <sheet name="Budget" sheetId="19" state="hidden" r:id="rId8"/>
    <sheet name="Evaluation" sheetId="20" r:id="rId9"/>
    <sheet name="Gestion" sheetId="21" r:id="rId10"/>
  </sheets>
  <externalReferences>
    <externalReference r:id="rId11"/>
    <externalReference r:id="rId12"/>
    <externalReference r:id="rId13"/>
    <externalReference r:id="rId14"/>
  </externalReferences>
  <definedNames>
    <definedName name="_xlnm._FilterDatabase" localSheetId="7" hidden="1">Budget!$A$2:$K$31</definedName>
    <definedName name="_xlnm._FilterDatabase" localSheetId="2" hidden="1">PEP!$A$2:$X$32</definedName>
    <definedName name="_xlnm._FilterDatabase" localSheetId="1" hidden="1">Résultats!$A$2:$M$18</definedName>
    <definedName name="_ftn1" localSheetId="7">Budget!#REF!</definedName>
    <definedName name="_ftn1" localSheetId="2">PEP!#REF!</definedName>
    <definedName name="_ftn2" localSheetId="7">Budget!#REF!</definedName>
    <definedName name="_ftn2" localSheetId="2">PEP!#REF!</definedName>
    <definedName name="_ftnref1" localSheetId="7">Budget!#REF!</definedName>
    <definedName name="_ftnref1" localSheetId="2">PEP!#REF!</definedName>
    <definedName name="_ftnref2" localSheetId="7">Budget!#REF!</definedName>
    <definedName name="_ftnref2" localSheetId="2">PEP!#REF!</definedName>
    <definedName name="Activites" localSheetId="6">[1]listes!$O$4:$O$19</definedName>
    <definedName name="Activites" localSheetId="4">[2]listes!$O$4:$O$19</definedName>
    <definedName name="Activites">[1]listes!$O$4:$O$19</definedName>
    <definedName name="Composante" localSheetId="7">#REF!</definedName>
    <definedName name="Composante" localSheetId="6">#REF!</definedName>
    <definedName name="Composante" localSheetId="4">#REF!</definedName>
    <definedName name="Composante">#REF!</definedName>
    <definedName name="_xlnm.Print_Area" localSheetId="4">PPM!$A$1:$BJ$67</definedName>
    <definedName name="Produits" localSheetId="7">#REF!</definedName>
    <definedName name="Produits" localSheetId="6">#REF!</definedName>
    <definedName name="Produits" localSheetId="4">#REF!</definedName>
    <definedName name="Produits">#REF!</definedName>
    <definedName name="Region" localSheetId="7">#REF!</definedName>
    <definedName name="Region" localSheetId="6">#REF!</definedName>
    <definedName name="Region" localSheetId="4">#REF!</definedName>
    <definedName name="Region">#REF!</definedName>
    <definedName name="Statut" localSheetId="7">#REF!</definedName>
    <definedName name="Statut" localSheetId="6">#REF!</definedName>
    <definedName name="Statut">#REF!</definedName>
  </definedNames>
  <calcPr calcId="145621"/>
</workbook>
</file>

<file path=xl/calcChain.xml><?xml version="1.0" encoding="utf-8"?>
<calcChain xmlns="http://schemas.openxmlformats.org/spreadsheetml/2006/main">
  <c r="I6" i="17" l="1"/>
  <c r="F23" i="21" l="1"/>
  <c r="G20" i="21"/>
  <c r="G21" i="21"/>
  <c r="G22" i="21"/>
  <c r="G23" i="21"/>
  <c r="G19" i="21"/>
  <c r="E5" i="21"/>
  <c r="G5" i="21" s="1"/>
  <c r="E6" i="21"/>
  <c r="G6" i="21" s="1"/>
  <c r="E7" i="21"/>
  <c r="E8" i="21"/>
  <c r="G8" i="21" s="1"/>
  <c r="E9" i="21"/>
  <c r="E10" i="21"/>
  <c r="G10" i="21" s="1"/>
  <c r="E11" i="21"/>
  <c r="E12" i="21"/>
  <c r="E13" i="21"/>
  <c r="G13" i="21" s="1"/>
  <c r="E14" i="21"/>
  <c r="G14" i="21" s="1"/>
  <c r="E15" i="21"/>
  <c r="E16" i="21"/>
  <c r="G16" i="21" s="1"/>
  <c r="E17" i="21"/>
  <c r="E18" i="21"/>
  <c r="G18" i="21" s="1"/>
  <c r="G7" i="21"/>
  <c r="G9" i="21"/>
  <c r="G11" i="21"/>
  <c r="G12" i="21"/>
  <c r="G15" i="21"/>
  <c r="G17" i="21"/>
  <c r="G4" i="21"/>
  <c r="E4" i="21"/>
  <c r="D18" i="20"/>
  <c r="G24" i="21" l="1"/>
  <c r="E13" i="15" l="1"/>
  <c r="E22" i="15"/>
  <c r="E44" i="15"/>
  <c r="E25" i="15" s="1"/>
  <c r="C44" i="15"/>
  <c r="B44" i="15"/>
  <c r="C15" i="15"/>
  <c r="C16" i="15"/>
  <c r="C17" i="15"/>
  <c r="E17" i="15"/>
  <c r="C25" i="15"/>
  <c r="C35" i="15"/>
  <c r="C34" i="15"/>
  <c r="C33" i="15"/>
  <c r="C32" i="15"/>
  <c r="H9" i="13" l="1"/>
  <c r="I9" i="13"/>
  <c r="I9" i="16"/>
  <c r="I8" i="13"/>
  <c r="I8" i="16"/>
  <c r="J43" i="16"/>
  <c r="K43" i="16"/>
  <c r="L43" i="16"/>
  <c r="M43" i="16"/>
  <c r="N43" i="16"/>
  <c r="O43" i="16"/>
  <c r="P43" i="16"/>
  <c r="Q43" i="16"/>
  <c r="R43" i="16"/>
  <c r="S43" i="16"/>
  <c r="T43" i="16"/>
  <c r="U43" i="16"/>
  <c r="I43" i="16"/>
  <c r="I46" i="13"/>
  <c r="I46" i="16"/>
  <c r="I7" i="13"/>
  <c r="I7" i="16"/>
  <c r="I6" i="13"/>
  <c r="I6" i="16"/>
  <c r="I5" i="13"/>
  <c r="I5" i="16"/>
  <c r="I61" i="13"/>
  <c r="I61" i="16"/>
  <c r="I47" i="13"/>
  <c r="I47" i="16"/>
  <c r="H63" i="16"/>
  <c r="H61" i="16" s="1"/>
  <c r="C61" i="16"/>
  <c r="G44" i="13" l="1"/>
  <c r="H44" i="13"/>
  <c r="G45" i="13"/>
  <c r="H45" i="13"/>
  <c r="I45" i="13"/>
  <c r="G46" i="13"/>
  <c r="H46" i="13"/>
  <c r="G47" i="13"/>
  <c r="H47" i="13"/>
  <c r="G48" i="13"/>
  <c r="H48" i="13"/>
  <c r="I48" i="13"/>
  <c r="G49" i="13"/>
  <c r="H49" i="13"/>
  <c r="I49" i="13"/>
  <c r="G50" i="13"/>
  <c r="H50" i="13"/>
  <c r="I50" i="13"/>
  <c r="G51" i="13"/>
  <c r="H51" i="13"/>
  <c r="E50" i="13"/>
  <c r="E45" i="13"/>
  <c r="E46" i="13"/>
  <c r="E47" i="13"/>
  <c r="E48" i="13"/>
  <c r="E49" i="13"/>
  <c r="I36" i="13"/>
  <c r="F10" i="18" l="1"/>
  <c r="D7" i="18" l="1"/>
  <c r="E7" i="18"/>
  <c r="F7" i="18"/>
  <c r="G7" i="18"/>
  <c r="C7" i="18"/>
  <c r="C8" i="18"/>
  <c r="D8" i="18"/>
  <c r="E8" i="18"/>
  <c r="F8" i="18"/>
  <c r="G8" i="18"/>
  <c r="H8" i="18"/>
  <c r="H6" i="18"/>
  <c r="H7" i="18" l="1"/>
  <c r="H9" i="18"/>
  <c r="G10" i="18"/>
  <c r="D10" i="18"/>
  <c r="E10" i="18"/>
  <c r="H5" i="18"/>
  <c r="H10" i="18" l="1"/>
  <c r="C10" i="18"/>
  <c r="E27" i="15" l="1"/>
  <c r="B27" i="15"/>
  <c r="C47" i="16" l="1"/>
  <c r="I62" i="16"/>
  <c r="I57" i="16"/>
  <c r="I53" i="16"/>
  <c r="I48" i="16"/>
  <c r="I42" i="16"/>
  <c r="I37" i="16"/>
  <c r="I32" i="16"/>
  <c r="I29" i="16"/>
  <c r="I24" i="16"/>
  <c r="I19" i="16"/>
  <c r="C24" i="15" l="1"/>
  <c r="B25" i="15"/>
  <c r="B24" i="15"/>
  <c r="I41" i="13"/>
  <c r="H41" i="13"/>
  <c r="G41" i="13"/>
  <c r="I40" i="13"/>
  <c r="H40" i="13"/>
  <c r="G40" i="13"/>
  <c r="I39" i="13"/>
  <c r="H39" i="13"/>
  <c r="G39" i="13"/>
  <c r="I38" i="13"/>
  <c r="H38" i="13"/>
  <c r="G38" i="13"/>
  <c r="I37" i="13"/>
  <c r="H37" i="13"/>
  <c r="G37" i="13"/>
  <c r="U31" i="13"/>
  <c r="E31" i="13"/>
  <c r="E30" i="13"/>
  <c r="E29" i="13"/>
  <c r="R29" i="13" s="1"/>
  <c r="E28" i="13"/>
  <c r="Q28" i="13" s="1"/>
  <c r="O27" i="13"/>
  <c r="H62" i="16" s="1"/>
  <c r="E27" i="13"/>
  <c r="O26" i="13"/>
  <c r="E26" i="13"/>
  <c r="R26" i="13" s="1"/>
  <c r="O25" i="13"/>
  <c r="E25" i="13"/>
  <c r="Q25" i="13" s="1"/>
  <c r="T24" i="13"/>
  <c r="N24" i="13"/>
  <c r="M24" i="13"/>
  <c r="L24" i="13"/>
  <c r="K24" i="13"/>
  <c r="J24" i="13"/>
  <c r="G24" i="13"/>
  <c r="S23" i="13"/>
  <c r="R23" i="13"/>
  <c r="Q23" i="13"/>
  <c r="P23" i="13"/>
  <c r="N23" i="13"/>
  <c r="M23" i="13"/>
  <c r="L23" i="13"/>
  <c r="K23" i="13"/>
  <c r="J23" i="13"/>
  <c r="E23" i="13"/>
  <c r="S22" i="13"/>
  <c r="R22" i="13"/>
  <c r="Q22" i="13"/>
  <c r="P22" i="13"/>
  <c r="N22" i="13"/>
  <c r="M22" i="13"/>
  <c r="L22" i="13"/>
  <c r="K22" i="13"/>
  <c r="J22" i="13"/>
  <c r="E22" i="13"/>
  <c r="S21" i="13"/>
  <c r="R21" i="13"/>
  <c r="Q21" i="13"/>
  <c r="P21" i="13"/>
  <c r="N21" i="13"/>
  <c r="M21" i="13"/>
  <c r="L21" i="13"/>
  <c r="L19" i="13" s="1"/>
  <c r="K21" i="13"/>
  <c r="J21" i="13"/>
  <c r="E21" i="13"/>
  <c r="S20" i="13"/>
  <c r="R20" i="13"/>
  <c r="Q20" i="13"/>
  <c r="P20" i="13"/>
  <c r="N20" i="13"/>
  <c r="M20" i="13"/>
  <c r="L20" i="13"/>
  <c r="K20" i="13"/>
  <c r="J20" i="13"/>
  <c r="E20" i="13"/>
  <c r="H19" i="13"/>
  <c r="G19" i="13"/>
  <c r="O18" i="13"/>
  <c r="H48" i="16" s="1"/>
  <c r="E18" i="13"/>
  <c r="O17" i="13"/>
  <c r="E17" i="13"/>
  <c r="T17" i="13" s="1"/>
  <c r="T15" i="13" s="1"/>
  <c r="O16" i="13"/>
  <c r="E16" i="13"/>
  <c r="Q16" i="13" s="1"/>
  <c r="O15" i="13"/>
  <c r="H42" i="16" s="1"/>
  <c r="I15" i="13"/>
  <c r="G15" i="13"/>
  <c r="E15" i="13" s="1"/>
  <c r="H43" i="16" s="1"/>
  <c r="O14" i="13"/>
  <c r="H37" i="16" s="1"/>
  <c r="E14" i="13"/>
  <c r="H38" i="16" s="1"/>
  <c r="O13" i="13"/>
  <c r="H32" i="16" s="1"/>
  <c r="O12" i="13"/>
  <c r="H29" i="16" s="1"/>
  <c r="E12" i="13"/>
  <c r="S12" i="13" s="1"/>
  <c r="O11" i="13"/>
  <c r="O10" i="13"/>
  <c r="E10" i="13"/>
  <c r="R10" i="13" s="1"/>
  <c r="O9" i="13"/>
  <c r="H24" i="16" s="1"/>
  <c r="G9" i="13"/>
  <c r="O8" i="13"/>
  <c r="H19" i="16" s="1"/>
  <c r="E8" i="13"/>
  <c r="O7" i="13"/>
  <c r="E7" i="13"/>
  <c r="Q7" i="13" s="1"/>
  <c r="O6" i="13"/>
  <c r="E6" i="13"/>
  <c r="P6" i="13" s="1"/>
  <c r="O5" i="13"/>
  <c r="E5" i="13"/>
  <c r="Q5" i="13" s="1"/>
  <c r="O4" i="13"/>
  <c r="T3" i="13"/>
  <c r="S3" i="13"/>
  <c r="R3" i="13"/>
  <c r="N3" i="13"/>
  <c r="M3" i="13"/>
  <c r="L3" i="13"/>
  <c r="K3" i="13"/>
  <c r="J3" i="13"/>
  <c r="H3" i="13"/>
  <c r="G3" i="13"/>
  <c r="P12" i="13" l="1"/>
  <c r="O24" i="13"/>
  <c r="H57" i="16" s="1"/>
  <c r="P26" i="13"/>
  <c r="T28" i="13"/>
  <c r="H36" i="13"/>
  <c r="H32" i="13"/>
  <c r="K19" i="13"/>
  <c r="P19" i="13"/>
  <c r="M56" i="16" s="1"/>
  <c r="G32" i="13"/>
  <c r="G36" i="13"/>
  <c r="S29" i="13"/>
  <c r="H68" i="16"/>
  <c r="H35" i="13"/>
  <c r="H42" i="13" s="1"/>
  <c r="P7" i="13"/>
  <c r="U7" i="13" s="1"/>
  <c r="R12" i="13"/>
  <c r="E29" i="15"/>
  <c r="H30" i="16"/>
  <c r="Q30" i="13"/>
  <c r="H70" i="16"/>
  <c r="E39" i="13"/>
  <c r="E40" i="13"/>
  <c r="Q6" i="13"/>
  <c r="U6" i="13" s="1"/>
  <c r="Q14" i="13"/>
  <c r="U14" i="13" s="1"/>
  <c r="Q17" i="13"/>
  <c r="Q15" i="13" s="1"/>
  <c r="E19" i="13"/>
  <c r="Q29" i="13"/>
  <c r="R30" i="13"/>
  <c r="R8" i="13"/>
  <c r="H20" i="16"/>
  <c r="O3" i="13"/>
  <c r="H14" i="16" s="1"/>
  <c r="S28" i="13"/>
  <c r="H66" i="16"/>
  <c r="T29" i="13"/>
  <c r="Q8" i="13"/>
  <c r="Q18" i="13"/>
  <c r="E56" i="13"/>
  <c r="E57" i="13" s="1"/>
  <c r="E58" i="13" s="1"/>
  <c r="P28" i="13"/>
  <c r="P29" i="13"/>
  <c r="E38" i="13"/>
  <c r="Q27" i="13"/>
  <c r="S26" i="13"/>
  <c r="P18" i="13"/>
  <c r="H49" i="16"/>
  <c r="O21" i="13"/>
  <c r="T21" i="13" s="1"/>
  <c r="U21" i="13" s="1"/>
  <c r="R19" i="13"/>
  <c r="M19" i="13"/>
  <c r="O23" i="13"/>
  <c r="T23" i="13" s="1"/>
  <c r="U23" i="13" s="1"/>
  <c r="Q19" i="13"/>
  <c r="J19" i="13"/>
  <c r="N19" i="13"/>
  <c r="S19" i="13"/>
  <c r="O22" i="13"/>
  <c r="T22" i="13" s="1"/>
  <c r="U22" i="13" s="1"/>
  <c r="U29" i="13"/>
  <c r="O20" i="13"/>
  <c r="T20" i="13" s="1"/>
  <c r="U20" i="13" s="1"/>
  <c r="E37" i="13"/>
  <c r="E41" i="13"/>
  <c r="R17" i="13"/>
  <c r="R15" i="13" s="1"/>
  <c r="R18" i="13"/>
  <c r="S25" i="13"/>
  <c r="S27" i="13"/>
  <c r="G35" i="13"/>
  <c r="P5" i="13"/>
  <c r="Q10" i="13"/>
  <c r="Q12" i="13"/>
  <c r="P16" i="13"/>
  <c r="S17" i="13"/>
  <c r="S15" i="13" s="1"/>
  <c r="E24" i="13"/>
  <c r="P25" i="13"/>
  <c r="Q26" i="13"/>
  <c r="P27" i="13"/>
  <c r="R28" i="13"/>
  <c r="P30" i="13"/>
  <c r="U71" i="16" s="1"/>
  <c r="T30" i="13"/>
  <c r="S10" i="13"/>
  <c r="R25" i="13"/>
  <c r="R27" i="13"/>
  <c r="T10" i="13"/>
  <c r="S30" i="13"/>
  <c r="P17" i="13"/>
  <c r="P24" i="13" l="1"/>
  <c r="O56" i="16"/>
  <c r="K56" i="16"/>
  <c r="U12" i="13"/>
  <c r="S56" i="16"/>
  <c r="Q56" i="16"/>
  <c r="O19" i="13"/>
  <c r="H53" i="16" s="1"/>
  <c r="U17" i="13"/>
  <c r="U18" i="13"/>
  <c r="E36" i="13"/>
  <c r="J67" i="16"/>
  <c r="Q67" i="16"/>
  <c r="T67" i="16"/>
  <c r="P67" i="16"/>
  <c r="L67" i="16"/>
  <c r="S67" i="16"/>
  <c r="O67" i="16"/>
  <c r="K67" i="16"/>
  <c r="R67" i="16"/>
  <c r="N67" i="16"/>
  <c r="U67" i="16"/>
  <c r="M67" i="16"/>
  <c r="U69" i="16"/>
  <c r="S69" i="16"/>
  <c r="E53" i="13"/>
  <c r="H54" i="16"/>
  <c r="U28" i="13"/>
  <c r="P15" i="13"/>
  <c r="Q65" i="16"/>
  <c r="S65" i="16"/>
  <c r="U65" i="16"/>
  <c r="Q60" i="16"/>
  <c r="H58" i="16"/>
  <c r="U26" i="13"/>
  <c r="O52" i="16"/>
  <c r="R52" i="16"/>
  <c r="U30" i="13"/>
  <c r="U5" i="13"/>
  <c r="T19" i="13"/>
  <c r="U25" i="13"/>
  <c r="U10" i="13"/>
  <c r="G42" i="13"/>
  <c r="U27" i="13"/>
  <c r="S24" i="13"/>
  <c r="U16" i="13"/>
  <c r="R24" i="13"/>
  <c r="Q24" i="13"/>
  <c r="U8" i="13"/>
  <c r="H47" i="16" l="1"/>
  <c r="S60" i="16"/>
  <c r="U19" i="13"/>
  <c r="U60" i="16"/>
  <c r="U24" i="13"/>
  <c r="E54" i="13"/>
  <c r="E55" i="13" s="1"/>
  <c r="U46" i="16"/>
  <c r="O46" i="16"/>
  <c r="R46" i="16"/>
  <c r="U15" i="13"/>
  <c r="R8" i="17" l="1"/>
  <c r="R7" i="17"/>
  <c r="R5" i="17"/>
  <c r="F9" i="17"/>
  <c r="F8" i="17"/>
  <c r="F7" i="17"/>
  <c r="F6" i="17"/>
  <c r="F5" i="17"/>
  <c r="M6" i="17"/>
  <c r="M11" i="17" s="1"/>
  <c r="M7" i="17"/>
  <c r="M8" i="17"/>
  <c r="M5" i="17"/>
  <c r="N6" i="17"/>
  <c r="N11" i="17" s="1"/>
  <c r="O6" i="17"/>
  <c r="P6" i="17"/>
  <c r="Q6" i="17"/>
  <c r="Q11" i="17" s="1"/>
  <c r="N7" i="17"/>
  <c r="O7" i="17"/>
  <c r="P7" i="17"/>
  <c r="Q7" i="17"/>
  <c r="N8" i="17"/>
  <c r="O8" i="17"/>
  <c r="P8" i="17"/>
  <c r="Q8" i="17"/>
  <c r="Q5" i="17"/>
  <c r="P5" i="17"/>
  <c r="O5" i="17"/>
  <c r="P11" i="17"/>
  <c r="O11" i="17"/>
  <c r="N5" i="17"/>
  <c r="J6" i="17"/>
  <c r="J7" i="17"/>
  <c r="J8" i="17"/>
  <c r="I11" i="17"/>
  <c r="I7" i="17"/>
  <c r="I8" i="17"/>
  <c r="H6" i="17"/>
  <c r="H7" i="17"/>
  <c r="H8" i="17"/>
  <c r="H5" i="17"/>
  <c r="J11" i="17"/>
  <c r="K11" i="17"/>
  <c r="K7" i="17"/>
  <c r="K8" i="17"/>
  <c r="K5" i="17"/>
  <c r="J5" i="17"/>
  <c r="I5" i="17"/>
  <c r="R6" i="17" l="1"/>
  <c r="R11" i="17" s="1"/>
  <c r="H11" i="17"/>
  <c r="E9" i="17"/>
  <c r="E11" i="17" s="1"/>
  <c r="G6" i="17"/>
  <c r="G7" i="17"/>
  <c r="G8" i="17"/>
  <c r="G5" i="17"/>
  <c r="D9" i="17"/>
  <c r="D11" i="17" s="1"/>
  <c r="C9" i="17"/>
  <c r="C11" i="17" s="1"/>
  <c r="F11" i="17" l="1"/>
  <c r="G11" i="17"/>
  <c r="C70" i="16"/>
  <c r="I71" i="16"/>
  <c r="I70" i="16" s="1"/>
  <c r="U70" i="16"/>
  <c r="T70" i="16"/>
  <c r="S70" i="16"/>
  <c r="R70" i="16"/>
  <c r="Q70" i="16"/>
  <c r="P70" i="16"/>
  <c r="O70" i="16"/>
  <c r="N70" i="16"/>
  <c r="M70" i="16"/>
  <c r="L70" i="16"/>
  <c r="K70" i="16"/>
  <c r="J70" i="16"/>
  <c r="C66" i="16"/>
  <c r="I65" i="16"/>
  <c r="I64" i="16"/>
  <c r="I60" i="16"/>
  <c r="I59" i="16"/>
  <c r="I56" i="16"/>
  <c r="I55" i="16"/>
  <c r="I52" i="16"/>
  <c r="I51" i="16"/>
  <c r="I50" i="16"/>
  <c r="I45" i="16"/>
  <c r="I44" i="16"/>
  <c r="K33" i="16"/>
  <c r="L33" i="16"/>
  <c r="M33" i="16"/>
  <c r="N33" i="16"/>
  <c r="O33" i="16"/>
  <c r="P33" i="16"/>
  <c r="Q33" i="16"/>
  <c r="R33" i="16"/>
  <c r="S33" i="16"/>
  <c r="T33" i="16"/>
  <c r="U33" i="16"/>
  <c r="J33" i="16"/>
  <c r="I41" i="16"/>
  <c r="I40" i="16"/>
  <c r="I39" i="16"/>
  <c r="I36" i="16"/>
  <c r="I35" i="16"/>
  <c r="I34" i="16"/>
  <c r="J25" i="16"/>
  <c r="K25" i="16"/>
  <c r="L25" i="16"/>
  <c r="M25" i="16"/>
  <c r="N25" i="16"/>
  <c r="P25" i="16"/>
  <c r="Q25" i="16"/>
  <c r="S25" i="16"/>
  <c r="T25" i="16"/>
  <c r="I27" i="16"/>
  <c r="I26" i="16"/>
  <c r="J15" i="16"/>
  <c r="K15" i="16"/>
  <c r="L15" i="16"/>
  <c r="M15" i="16"/>
  <c r="N15" i="16"/>
  <c r="P15" i="16"/>
  <c r="Q15" i="16"/>
  <c r="S15" i="16"/>
  <c r="T15" i="16"/>
  <c r="I17" i="16"/>
  <c r="E62" i="16"/>
  <c r="E63" i="16" s="1"/>
  <c r="D63" i="16"/>
  <c r="E57" i="16"/>
  <c r="E58" i="16" s="1"/>
  <c r="E53" i="16"/>
  <c r="E54" i="16" s="1"/>
  <c r="E48" i="16"/>
  <c r="E49" i="16" s="1"/>
  <c r="E42" i="16"/>
  <c r="E43" i="16" s="1"/>
  <c r="E37" i="16"/>
  <c r="E38" i="16" s="1"/>
  <c r="E32" i="16"/>
  <c r="E33" i="16" s="1"/>
  <c r="E29" i="16"/>
  <c r="E30" i="16" s="1"/>
  <c r="E24" i="16"/>
  <c r="E25" i="16" s="1"/>
  <c r="E19" i="16"/>
  <c r="E20" i="16" s="1"/>
  <c r="E14" i="16"/>
  <c r="E15" i="16" s="1"/>
  <c r="I69" i="16"/>
  <c r="I68" i="16" s="1"/>
  <c r="U68" i="16"/>
  <c r="U9" i="16" s="1"/>
  <c r="T68" i="16"/>
  <c r="T9" i="16" s="1"/>
  <c r="S68" i="16"/>
  <c r="S9" i="16" s="1"/>
  <c r="R68" i="16"/>
  <c r="R9" i="16" s="1"/>
  <c r="Q68" i="16"/>
  <c r="Q9" i="16" s="1"/>
  <c r="P68" i="16"/>
  <c r="P9" i="16" s="1"/>
  <c r="O68" i="16"/>
  <c r="O9" i="16" s="1"/>
  <c r="N68" i="16"/>
  <c r="N9" i="16" s="1"/>
  <c r="M68" i="16"/>
  <c r="M9" i="16" s="1"/>
  <c r="L68" i="16"/>
  <c r="L9" i="16" s="1"/>
  <c r="K68" i="16"/>
  <c r="K9" i="16" s="1"/>
  <c r="J68" i="16"/>
  <c r="J9" i="16" s="1"/>
  <c r="I67" i="16"/>
  <c r="I66" i="16" s="1"/>
  <c r="U66" i="16"/>
  <c r="U8" i="16" s="1"/>
  <c r="T66" i="16"/>
  <c r="T8" i="16" s="1"/>
  <c r="S66" i="16"/>
  <c r="S8" i="16" s="1"/>
  <c r="R66" i="16"/>
  <c r="R8" i="16" s="1"/>
  <c r="Q66" i="16"/>
  <c r="Q8" i="16" s="1"/>
  <c r="P66" i="16"/>
  <c r="P8" i="16" s="1"/>
  <c r="O66" i="16"/>
  <c r="O8" i="16" s="1"/>
  <c r="N66" i="16"/>
  <c r="N8" i="16" s="1"/>
  <c r="M66" i="16"/>
  <c r="M8" i="16" s="1"/>
  <c r="L66" i="16"/>
  <c r="L8" i="16" s="1"/>
  <c r="K66" i="16"/>
  <c r="K8" i="16" s="1"/>
  <c r="J66" i="16"/>
  <c r="J8" i="16" s="1"/>
  <c r="D58" i="16"/>
  <c r="U54" i="16"/>
  <c r="N54" i="16"/>
  <c r="M54" i="16"/>
  <c r="P54" i="16"/>
  <c r="O54" i="16"/>
  <c r="L54" i="16"/>
  <c r="K54" i="16"/>
  <c r="J54" i="16"/>
  <c r="D54" i="16"/>
  <c r="U49" i="16"/>
  <c r="T49" i="16"/>
  <c r="S49" i="16"/>
  <c r="N49" i="16"/>
  <c r="M49" i="16"/>
  <c r="L49" i="16"/>
  <c r="R49" i="16"/>
  <c r="Q49" i="16"/>
  <c r="P49" i="16"/>
  <c r="O49" i="16"/>
  <c r="K49" i="16"/>
  <c r="J49" i="16"/>
  <c r="D49" i="16"/>
  <c r="D43" i="16"/>
  <c r="O38" i="16"/>
  <c r="P38" i="16"/>
  <c r="J38" i="16"/>
  <c r="S38" i="16"/>
  <c r="N38" i="16"/>
  <c r="M38" i="16"/>
  <c r="L38" i="16"/>
  <c r="K38" i="16"/>
  <c r="D38" i="16"/>
  <c r="D33" i="16"/>
  <c r="P30" i="16"/>
  <c r="L30" i="16"/>
  <c r="K30" i="16"/>
  <c r="D30" i="16"/>
  <c r="D25" i="16"/>
  <c r="I22" i="16"/>
  <c r="I21" i="16"/>
  <c r="R20" i="16"/>
  <c r="Q20" i="16"/>
  <c r="P20" i="16"/>
  <c r="L20" i="16"/>
  <c r="K20" i="16"/>
  <c r="J20" i="16"/>
  <c r="D19" i="16"/>
  <c r="D20" i="16" s="1"/>
  <c r="I16" i="16"/>
  <c r="I14" i="16"/>
  <c r="D14" i="16"/>
  <c r="D15" i="16" s="1"/>
  <c r="C13" i="16"/>
  <c r="W12" i="16"/>
  <c r="I63" i="16" l="1"/>
  <c r="I33" i="16"/>
  <c r="I58" i="16"/>
  <c r="M63" i="16"/>
  <c r="Q63" i="16"/>
  <c r="U63" i="16"/>
  <c r="K63" i="16"/>
  <c r="O63" i="16"/>
  <c r="S63" i="16"/>
  <c r="L63" i="16"/>
  <c r="P63" i="16"/>
  <c r="T63" i="16"/>
  <c r="J63" i="16"/>
  <c r="N63" i="16"/>
  <c r="R63" i="16"/>
  <c r="O30" i="16"/>
  <c r="S30" i="16"/>
  <c r="R54" i="16"/>
  <c r="T38" i="16"/>
  <c r="U20" i="16"/>
  <c r="R30" i="16"/>
  <c r="M30" i="16"/>
  <c r="Q30" i="16"/>
  <c r="U30" i="16"/>
  <c r="S54" i="16"/>
  <c r="M20" i="16"/>
  <c r="T54" i="16"/>
  <c r="O20" i="16"/>
  <c r="N30" i="16"/>
  <c r="T30" i="16"/>
  <c r="S20" i="16"/>
  <c r="R38" i="16"/>
  <c r="Q54" i="16"/>
  <c r="T20" i="16"/>
  <c r="N20" i="16"/>
  <c r="I23" i="16"/>
  <c r="I31" i="16"/>
  <c r="I30" i="16" s="1"/>
  <c r="J30" i="16"/>
  <c r="Q38" i="16"/>
  <c r="U38" i="16"/>
  <c r="N58" i="16" l="1"/>
  <c r="N61" i="16"/>
  <c r="L58" i="16"/>
  <c r="L47" i="16" s="1"/>
  <c r="L61" i="16"/>
  <c r="U58" i="16"/>
  <c r="U47" i="16" s="1"/>
  <c r="U61" i="16"/>
  <c r="S47" i="16"/>
  <c r="J58" i="16"/>
  <c r="J47" i="16" s="1"/>
  <c r="J13" i="16" s="1"/>
  <c r="J61" i="16"/>
  <c r="S58" i="16"/>
  <c r="S61" i="16"/>
  <c r="Q58" i="16"/>
  <c r="Q47" i="16" s="1"/>
  <c r="Q61" i="16"/>
  <c r="T58" i="16"/>
  <c r="T61" i="16"/>
  <c r="O58" i="16"/>
  <c r="O47" i="16" s="1"/>
  <c r="O61" i="16"/>
  <c r="M58" i="16"/>
  <c r="M47" i="16" s="1"/>
  <c r="M13" i="16" s="1"/>
  <c r="M4" i="16" s="1"/>
  <c r="M11" i="16" s="1"/>
  <c r="M61" i="16"/>
  <c r="R58" i="16"/>
  <c r="R47" i="16" s="1"/>
  <c r="R61" i="16"/>
  <c r="P58" i="16"/>
  <c r="P61" i="16"/>
  <c r="K58" i="16"/>
  <c r="K47" i="16" s="1"/>
  <c r="K61" i="16"/>
  <c r="P47" i="16"/>
  <c r="P13" i="16" s="1"/>
  <c r="P4" i="16" s="1"/>
  <c r="P11" i="16" s="1"/>
  <c r="N47" i="16"/>
  <c r="N13" i="16" s="1"/>
  <c r="N4" i="16" s="1"/>
  <c r="N11" i="16" s="1"/>
  <c r="T47" i="16"/>
  <c r="T13" i="16" s="1"/>
  <c r="T4" i="16" s="1"/>
  <c r="T11" i="16" s="1"/>
  <c r="I49" i="16"/>
  <c r="I38" i="16"/>
  <c r="I20" i="16"/>
  <c r="I54" i="16"/>
  <c r="E52" i="15"/>
  <c r="C52" i="15"/>
  <c r="E58" i="15"/>
  <c r="E51" i="15"/>
  <c r="C51" i="15"/>
  <c r="E50" i="15"/>
  <c r="C50" i="15"/>
  <c r="E49" i="15"/>
  <c r="E48" i="15"/>
  <c r="E47" i="15"/>
  <c r="C49" i="15"/>
  <c r="E41" i="15"/>
  <c r="C41" i="15"/>
  <c r="C48" i="15"/>
  <c r="C47" i="15"/>
  <c r="E46" i="15"/>
  <c r="B46" i="15"/>
  <c r="C46" i="15" s="1"/>
  <c r="B45" i="15"/>
  <c r="C45" i="15"/>
  <c r="B17" i="15"/>
  <c r="B16" i="15"/>
  <c r="B15" i="15"/>
  <c r="C31" i="15"/>
  <c r="B31" i="15"/>
  <c r="B30" i="15"/>
  <c r="C30" i="15"/>
  <c r="C29" i="15"/>
  <c r="B29" i="15"/>
  <c r="C28" i="15"/>
  <c r="B28" i="15"/>
  <c r="C26" i="15"/>
  <c r="B26" i="15"/>
  <c r="K13" i="16" l="1"/>
  <c r="K4" i="16" s="1"/>
  <c r="K11" i="16" s="1"/>
  <c r="L13" i="16"/>
  <c r="L4" i="16" s="1"/>
  <c r="L11" i="16" s="1"/>
  <c r="Q13" i="16"/>
  <c r="Q4" i="16" s="1"/>
  <c r="Q11" i="16" s="1"/>
  <c r="S13" i="16"/>
  <c r="S4" i="16" s="1"/>
  <c r="S11" i="16" s="1"/>
  <c r="E57" i="15"/>
  <c r="E61" i="15" s="1"/>
  <c r="J4" i="16"/>
  <c r="J11" i="16" s="1"/>
  <c r="H7" i="16"/>
  <c r="E28" i="15" l="1"/>
  <c r="E32" i="15"/>
  <c r="E15" i="15"/>
  <c r="E30" i="15"/>
  <c r="E31" i="15"/>
  <c r="H6" i="16"/>
  <c r="D39" i="13"/>
  <c r="D40" i="13"/>
  <c r="D41" i="13"/>
  <c r="D38" i="13"/>
  <c r="D37" i="13"/>
  <c r="D36" i="13"/>
  <c r="D35" i="13"/>
  <c r="H5" i="16" l="1"/>
  <c r="E16" i="15"/>
  <c r="E18" i="15" s="1"/>
  <c r="E33" i="15"/>
  <c r="E62" i="15" l="1"/>
  <c r="H9" i="16"/>
  <c r="H8" i="16"/>
  <c r="E36" i="15"/>
  <c r="H10" i="16"/>
  <c r="E9" i="13"/>
  <c r="E24" i="15" s="1"/>
  <c r="H25" i="16" l="1"/>
  <c r="E13" i="13"/>
  <c r="Q13" i="13" s="1"/>
  <c r="I4" i="13"/>
  <c r="E4" i="13" s="1"/>
  <c r="Q4" i="13" l="1"/>
  <c r="Q3" i="13" s="1"/>
  <c r="P4" i="13"/>
  <c r="U13" i="13"/>
  <c r="E11" i="13"/>
  <c r="I3" i="13"/>
  <c r="E45" i="15"/>
  <c r="E55" i="15" s="1"/>
  <c r="H33" i="16"/>
  <c r="I32" i="13" l="1"/>
  <c r="E3" i="13"/>
  <c r="I35" i="13"/>
  <c r="P3" i="13"/>
  <c r="U4" i="13"/>
  <c r="S11" i="13"/>
  <c r="S9" i="13" s="1"/>
  <c r="S32" i="13" s="1"/>
  <c r="R11" i="13"/>
  <c r="R9" i="13" s="1"/>
  <c r="R32" i="13" s="1"/>
  <c r="P11" i="13"/>
  <c r="Q11" i="13"/>
  <c r="Q9" i="13" s="1"/>
  <c r="Q32" i="13" s="1"/>
  <c r="T11" i="13"/>
  <c r="T9" i="13" s="1"/>
  <c r="T32" i="13" s="1"/>
  <c r="U11" i="13" l="1"/>
  <c r="P9" i="13"/>
  <c r="R18" i="16"/>
  <c r="R15" i="16" s="1"/>
  <c r="U18" i="16"/>
  <c r="U15" i="16" s="1"/>
  <c r="U3" i="13"/>
  <c r="O18" i="16"/>
  <c r="I42" i="13"/>
  <c r="I51" i="13" s="1"/>
  <c r="I44" i="13"/>
  <c r="I43" i="13" s="1"/>
  <c r="E35" i="13"/>
  <c r="E26" i="15"/>
  <c r="E42" i="15" s="1"/>
  <c r="H15" i="16"/>
  <c r="H13" i="16" s="1"/>
  <c r="E32" i="13"/>
  <c r="E63" i="15" l="1"/>
  <c r="I18" i="16"/>
  <c r="I15" i="16" s="1"/>
  <c r="O15" i="16"/>
  <c r="U28" i="16"/>
  <c r="U25" i="16" s="1"/>
  <c r="U13" i="16" s="1"/>
  <c r="U4" i="16" s="1"/>
  <c r="U11" i="16" s="1"/>
  <c r="O28" i="16"/>
  <c r="R28" i="16"/>
  <c r="R25" i="16" s="1"/>
  <c r="R13" i="16" s="1"/>
  <c r="R4" i="16" s="1"/>
  <c r="R11" i="16" s="1"/>
  <c r="U9" i="13"/>
  <c r="P32" i="13"/>
  <c r="U32" i="13" s="1"/>
  <c r="H4" i="16"/>
  <c r="H11" i="16" s="1"/>
  <c r="E44" i="13"/>
  <c r="E42" i="13"/>
  <c r="E51" i="13" s="1"/>
  <c r="O25" i="16" l="1"/>
  <c r="O13" i="16" s="1"/>
  <c r="O4" i="16" s="1"/>
  <c r="O11" i="16" s="1"/>
  <c r="I28" i="16"/>
  <c r="I25" i="16" s="1"/>
  <c r="I13" i="16" s="1"/>
  <c r="I4" i="16" s="1"/>
  <c r="I11" i="16" s="1"/>
</calcChain>
</file>

<file path=xl/sharedStrings.xml><?xml version="1.0" encoding="utf-8"?>
<sst xmlns="http://schemas.openxmlformats.org/spreadsheetml/2006/main" count="869" uniqueCount="335">
  <si>
    <t>Unité</t>
  </si>
  <si>
    <t>TOTAL</t>
  </si>
  <si>
    <t>Date de préparation</t>
  </si>
  <si>
    <t>Composante</t>
  </si>
  <si>
    <t>Statut</t>
  </si>
  <si>
    <t>oui/non</t>
  </si>
  <si>
    <t>Biens et services connexes</t>
  </si>
  <si>
    <t>CP</t>
  </si>
  <si>
    <t>Travaux</t>
  </si>
  <si>
    <t>Produit</t>
  </si>
  <si>
    <t>Audits</t>
  </si>
  <si>
    <t>Plan d'indicateur</t>
  </si>
  <si>
    <t>Impacts</t>
  </si>
  <si>
    <t>Indicateurs</t>
  </si>
  <si>
    <t>LdB</t>
  </si>
  <si>
    <t>Fin de projet</t>
  </si>
  <si>
    <t>Résultats</t>
  </si>
  <si>
    <t>Planification physique</t>
  </si>
  <si>
    <t>Planification financière</t>
  </si>
  <si>
    <t>#</t>
  </si>
  <si>
    <t>Total</t>
  </si>
  <si>
    <t>Imprévus</t>
  </si>
  <si>
    <t>Annee LDB</t>
  </si>
  <si>
    <t>Composante 1</t>
  </si>
  <si>
    <t>Composante 2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</si>
  <si>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</si>
  <si>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</si>
  <si>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</si>
  <si>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</si>
  <si>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</si>
  <si>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</si>
  <si>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</si>
  <si>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</si>
  <si>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</si>
  <si>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</si>
  <si>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</si>
  <si>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</si>
  <si>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Produit 13</t>
  </si>
  <si>
    <t>Commentaires</t>
  </si>
  <si>
    <t>Etude</t>
  </si>
  <si>
    <t>Gestion</t>
  </si>
  <si>
    <t>Evaluation</t>
  </si>
  <si>
    <t>Numéro et nom du programme</t>
  </si>
  <si>
    <t>Période du rapport</t>
  </si>
  <si>
    <t>PLAN DE PASSATION DES MARCHES</t>
  </si>
  <si>
    <t>REGISTRE D'EXECUTION DU PLAN DE PASSATION DES MARCHES</t>
  </si>
  <si>
    <t>Suivi de L'EXECUTION DU PLAN DE PASSATION DES MARCHES et de la GESTION DES CONTRATS</t>
  </si>
  <si>
    <t>Composante du projet</t>
  </si>
  <si>
    <t>Produit(s) de la matrice des résultats au(x)quel(s) contribuent l'activité et la dépense associées au marché</t>
  </si>
  <si>
    <t>Description du marché</t>
  </si>
  <si>
    <t>Coût (USD)</t>
  </si>
  <si>
    <t>Méthode de Passation de Marché  (1)</t>
  </si>
  <si>
    <t>Clause de référence pour la justification de l'entente directe*</t>
  </si>
  <si>
    <t>Type de Document à utiliser (2)</t>
  </si>
  <si>
    <t>Révision (Ex-ante ou ex-post)</t>
  </si>
  <si>
    <t>Source et pourcentage de financement</t>
  </si>
  <si>
    <t>Préqualification</t>
  </si>
  <si>
    <t>Dates estimées</t>
  </si>
  <si>
    <t>Statut: En attente, en cours, adjugé, annulé, clôturé (3)</t>
  </si>
  <si>
    <t>Nom de adjudicataire</t>
  </si>
  <si>
    <t>Montant du Contrat (US$000)</t>
  </si>
  <si>
    <t>Numéro du Contrat (PRISM/BID)</t>
  </si>
  <si>
    <t>Paiement de l'avance de démarrage (N/A pour les biens)</t>
  </si>
  <si>
    <t>Garantie d'avance</t>
  </si>
  <si>
    <t>Garantie de bonne exécution</t>
  </si>
  <si>
    <t>Avenant à la Garantie de Bonne Exécution</t>
  </si>
  <si>
    <t>Avenant #1 au contrat original</t>
  </si>
  <si>
    <t>Solde restant à payer à date (montant total du contrat - montant avance de démarrage - montant des paiements successifs cumulés)</t>
  </si>
  <si>
    <t>BID (%)</t>
  </si>
  <si>
    <t>Lancement Appel à Manifestation d'intérêt pour constitution de la liste restreinte (uniquement pour les Services)</t>
  </si>
  <si>
    <t>Publication d'avis spécifique (Biens et Travaux) / Invitation (Liste restreinte)</t>
  </si>
  <si>
    <t>Finalisation du rapport d'évaluation des offres (évaluation complète si Biens ou Travaux; évaluation technique si Services de Consultants)</t>
  </si>
  <si>
    <t>Signature du contrat</t>
  </si>
  <si>
    <t>Fin du contrat</t>
  </si>
  <si>
    <t>Réception des offres (la période de validité des offres commence à courir)</t>
  </si>
  <si>
    <t>Date de transmission du rapport d'évaluation à la Banque (évaluation complète si Biens ou Travaux; évaluation technique si Services de Consultants)</t>
  </si>
  <si>
    <t>NO de la Banque au rapport d'évaluation complète  (NO à l'adjudication) ou technique (NO à l'ouverture de l'offre financière, avant adjudication)</t>
  </si>
  <si>
    <t>Date de publication des résultats sur UNDB et IADB</t>
  </si>
  <si>
    <t>Date de signature du contrat (doit intervenir dans le délai de validité des offres)</t>
  </si>
  <si>
    <t>Date de fin du contrat</t>
  </si>
  <si>
    <t>Montant (US$000)</t>
  </si>
  <si>
    <t>% du montant</t>
  </si>
  <si>
    <t>Date</t>
  </si>
  <si>
    <t>Banque/ pays</t>
  </si>
  <si>
    <t>Date expiration</t>
  </si>
  <si>
    <t>Montant   (US$000)</t>
  </si>
  <si>
    <t>% montant du contrat</t>
  </si>
  <si>
    <t>Type (Banque ou assurance)</t>
  </si>
  <si>
    <t>Type (Bancaire ou d'assurance)</t>
  </si>
  <si>
    <t>Date de NO de la BID</t>
  </si>
  <si>
    <t>Date signature</t>
  </si>
  <si>
    <t>Montant</t>
  </si>
  <si>
    <t>Date d'approbation par le client du livrable 1 (services et travaux)</t>
  </si>
  <si>
    <t>Date du paiement correspondant au livrable 1 (services et travaux)</t>
  </si>
  <si>
    <t>Date d'approbation par le client du livrable N (services et travaux)</t>
  </si>
  <si>
    <t>Date du paiement correspondant au livrable N (services et travaux)</t>
  </si>
  <si>
    <t>Date de la réception définitive (uniquement pour les travaux)</t>
  </si>
  <si>
    <t>Date du paiement de la retenue de garantie de bonne exécution (uniquement pour les travaux)</t>
  </si>
  <si>
    <t xml:space="preserve">Montant de la retenue de garantie </t>
  </si>
  <si>
    <t>Ex-ante</t>
  </si>
  <si>
    <t>En attente</t>
  </si>
  <si>
    <t>Services autre que consultations</t>
  </si>
  <si>
    <t>Bureaux de services-conseils</t>
  </si>
  <si>
    <t>Services de consultants individuels</t>
  </si>
  <si>
    <t>Dépenses Opérationnelles</t>
  </si>
  <si>
    <t>Dépenses Opérationnel</t>
  </si>
  <si>
    <t>Agences d'exécution</t>
  </si>
  <si>
    <t>No Marché</t>
  </si>
  <si>
    <t>Autres depenses operationnelles</t>
  </si>
  <si>
    <t>IMPREVUS</t>
  </si>
  <si>
    <t>AOI</t>
  </si>
  <si>
    <r>
      <t xml:space="preserve">Dates réelles </t>
    </r>
    <r>
      <rPr>
        <b/>
        <i/>
        <sz val="10"/>
        <rFont val="Calibri"/>
        <family val="2"/>
        <scheme val="minor"/>
      </rPr>
      <t>(lors du reporting semestriel, expliquer en cas d'écarts substantiels avec la planification)</t>
    </r>
  </si>
  <si>
    <r>
      <t xml:space="preserve">Avenant #N au contrat original </t>
    </r>
    <r>
      <rPr>
        <b/>
        <i/>
        <sz val="10"/>
        <rFont val="Calibri"/>
        <family val="2"/>
        <scheme val="minor"/>
      </rPr>
      <t>(ajouter autant de colonnes que d'avenants)</t>
    </r>
  </si>
  <si>
    <r>
      <t xml:space="preserve">Remise des livrables et paiements associés </t>
    </r>
    <r>
      <rPr>
        <b/>
        <i/>
        <sz val="10"/>
        <rFont val="Calibri"/>
        <family val="2"/>
        <scheme val="minor"/>
      </rPr>
      <t>(rajouter autant de colonnes qu'il y a de livrables prévus dans le contrat et les avenants</t>
    </r>
    <r>
      <rPr>
        <b/>
        <sz val="10"/>
        <rFont val="Calibri"/>
        <family val="2"/>
        <scheme val="minor"/>
      </rPr>
      <t>)</t>
    </r>
  </si>
  <si>
    <r>
      <t xml:space="preserve">Date d'approbation par le client du dernier livrable (Services) </t>
    </r>
    <r>
      <rPr>
        <b/>
        <i/>
        <sz val="10"/>
        <rFont val="Calibri"/>
        <family val="2"/>
        <scheme val="minor"/>
      </rPr>
      <t xml:space="preserve">ou </t>
    </r>
    <r>
      <rPr>
        <b/>
        <sz val="10"/>
        <rFont val="Calibri"/>
        <family val="2"/>
        <scheme val="minor"/>
      </rPr>
      <t xml:space="preserve">
Date de la réception provisoire (Travaux) </t>
    </r>
    <r>
      <rPr>
        <b/>
        <i/>
        <sz val="10"/>
        <rFont val="Calibri"/>
        <family val="2"/>
        <scheme val="minor"/>
      </rPr>
      <t>ou</t>
    </r>
    <r>
      <rPr>
        <b/>
        <sz val="10"/>
        <rFont val="Calibri"/>
        <family val="2"/>
        <scheme val="minor"/>
      </rPr>
      <t xml:space="preserve">
Date de réception des Biens</t>
    </r>
  </si>
  <si>
    <r>
      <t xml:space="preserve">Date du paiement correspondant 
au dernier livrable </t>
    </r>
    <r>
      <rPr>
        <b/>
        <i/>
        <sz val="10"/>
        <rFont val="Calibri"/>
        <family val="2"/>
        <scheme val="minor"/>
      </rPr>
      <t>ou</t>
    </r>
    <r>
      <rPr>
        <b/>
        <sz val="10"/>
        <rFont val="Calibri"/>
        <family val="2"/>
        <scheme val="minor"/>
      </rPr>
      <t xml:space="preserve"> 
à la réception provisoire des travaux </t>
    </r>
    <r>
      <rPr>
        <b/>
        <i/>
        <sz val="10"/>
        <rFont val="Calibri"/>
        <family val="2"/>
        <scheme val="minor"/>
      </rPr>
      <t>ou</t>
    </r>
    <r>
      <rPr>
        <b/>
        <sz val="10"/>
        <rFont val="Calibri"/>
        <family val="2"/>
        <scheme val="minor"/>
      </rPr>
      <t xml:space="preserve">
à la réception des biens</t>
    </r>
  </si>
  <si>
    <r>
      <rPr>
        <b/>
        <sz val="10"/>
        <rFont val="Calibri"/>
        <family val="2"/>
        <scheme val="minor"/>
      </rPr>
      <t xml:space="preserve">(1) </t>
    </r>
    <r>
      <rPr>
        <b/>
        <u/>
        <sz val="10"/>
        <rFont val="Calibri"/>
        <family val="2"/>
        <scheme val="minor"/>
      </rPr>
      <t>Biens et Travaux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AOI:</t>
    </r>
    <r>
      <rPr>
        <sz val="10"/>
        <rFont val="Calibri"/>
        <family val="2"/>
        <scheme val="minor"/>
      </rPr>
      <t xml:space="preserve"> Appel d'Offres International; </t>
    </r>
    <r>
      <rPr>
        <b/>
        <sz val="10"/>
        <rFont val="Calibri"/>
        <family val="2"/>
        <scheme val="minor"/>
      </rPr>
      <t>AOIR</t>
    </r>
    <r>
      <rPr>
        <sz val="10"/>
        <rFont val="Calibri"/>
        <family val="2"/>
        <scheme val="minor"/>
      </rPr>
      <t xml:space="preserve">: Appel d'Offres International Restreint; </t>
    </r>
    <r>
      <rPr>
        <b/>
        <sz val="10"/>
        <rFont val="Calibri"/>
        <family val="2"/>
        <scheme val="minor"/>
      </rPr>
      <t>AON:</t>
    </r>
    <r>
      <rPr>
        <sz val="10"/>
        <rFont val="Calibri"/>
        <family val="2"/>
        <scheme val="minor"/>
      </rPr>
      <t xml:space="preserve"> Appel d'Offres National; </t>
    </r>
    <r>
      <rPr>
        <b/>
        <sz val="10"/>
        <rFont val="Calibri"/>
        <family val="2"/>
        <scheme val="minor"/>
      </rPr>
      <t>CP:</t>
    </r>
    <r>
      <rPr>
        <sz val="10"/>
        <rFont val="Calibri"/>
        <family val="2"/>
        <scheme val="minor"/>
      </rPr>
      <t xml:space="preserve"> Comparaison de Prix; </t>
    </r>
    <r>
      <rPr>
        <b/>
        <sz val="10"/>
        <rFont val="Calibri"/>
        <family val="2"/>
        <scheme val="minor"/>
      </rPr>
      <t>ED</t>
    </r>
    <r>
      <rPr>
        <sz val="10"/>
        <rFont val="Calibri"/>
        <family val="2"/>
        <scheme val="minor"/>
      </rPr>
      <t xml:space="preserve">: Entente Directe; </t>
    </r>
    <r>
      <rPr>
        <b/>
        <sz val="10"/>
        <rFont val="Calibri"/>
        <family val="2"/>
        <scheme val="minor"/>
      </rPr>
      <t>FA</t>
    </r>
    <r>
      <rPr>
        <sz val="10"/>
        <rFont val="Calibri"/>
        <family val="2"/>
        <scheme val="minor"/>
      </rPr>
      <t xml:space="preserve">: force account (Régie); </t>
    </r>
    <r>
      <rPr>
        <b/>
        <u/>
        <sz val="10"/>
        <rFont val="Calibri"/>
        <family val="2"/>
        <scheme val="minor"/>
      </rPr>
      <t>Bureaux de Services Conseils :</t>
    </r>
    <r>
      <rPr>
        <b/>
        <sz val="10"/>
        <rFont val="Calibri"/>
        <family val="2"/>
        <scheme val="minor"/>
      </rPr>
      <t xml:space="preserve">  SFQC: </t>
    </r>
    <r>
      <rPr>
        <sz val="10"/>
        <rFont val="Calibri"/>
        <family val="2"/>
        <scheme val="minor"/>
      </rPr>
      <t xml:space="preserve">Sélection fondée sur la qualité et le coût; </t>
    </r>
    <r>
      <rPr>
        <b/>
        <sz val="10"/>
        <rFont val="Calibri"/>
        <family val="2"/>
        <scheme val="minor"/>
      </rPr>
      <t>SFQ:</t>
    </r>
    <r>
      <rPr>
        <sz val="10"/>
        <rFont val="Calibri"/>
        <family val="2"/>
        <scheme val="minor"/>
      </rPr>
      <t xml:space="preserve"> Sélection fondée sur la qualité;</t>
    </r>
    <r>
      <rPr>
        <b/>
        <sz val="10"/>
        <rFont val="Calibri"/>
        <family val="2"/>
        <scheme val="minor"/>
      </rPr>
      <t xml:space="preserve"> SCBD</t>
    </r>
    <r>
      <rPr>
        <sz val="10"/>
        <rFont val="Calibri"/>
        <family val="2"/>
        <scheme val="minor"/>
      </rPr>
      <t xml:space="preserve">: Sélection dans le cadre d'un budget déterminé; </t>
    </r>
    <r>
      <rPr>
        <b/>
        <sz val="10"/>
        <rFont val="Calibri"/>
        <family val="2"/>
        <scheme val="minor"/>
      </rPr>
      <t>SMC</t>
    </r>
    <r>
      <rPr>
        <sz val="10"/>
        <rFont val="Calibri"/>
        <family val="2"/>
        <scheme val="minor"/>
      </rPr>
      <t xml:space="preserve">:Sélection au « moindre coût »; </t>
    </r>
    <r>
      <rPr>
        <b/>
        <sz val="10"/>
        <rFont val="Calibri"/>
        <family val="2"/>
        <scheme val="minor"/>
      </rPr>
      <t>QC</t>
    </r>
    <r>
      <rPr>
        <sz val="10"/>
        <rFont val="Calibri"/>
        <family val="2"/>
        <scheme val="minor"/>
      </rPr>
      <t xml:space="preserve">: Sélection fondée sur les qualifications des consultants; </t>
    </r>
    <r>
      <rPr>
        <b/>
        <sz val="10"/>
        <rFont val="Calibri"/>
        <family val="2"/>
        <scheme val="minor"/>
      </rPr>
      <t>SED</t>
    </r>
    <r>
      <rPr>
        <sz val="10"/>
        <rFont val="Calibri"/>
        <family val="2"/>
        <scheme val="minor"/>
      </rPr>
      <t xml:space="preserve">:Sélection par entente directe; </t>
    </r>
    <r>
      <rPr>
        <b/>
        <u/>
        <sz val="10"/>
        <rFont val="Calibri"/>
        <family val="2"/>
        <scheme val="minor"/>
      </rPr>
      <t>Services de Consultants Individuels: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QCNI</t>
    </r>
    <r>
      <rPr>
        <sz val="10"/>
        <rFont val="Calibri"/>
        <family val="2"/>
        <scheme val="minor"/>
      </rPr>
      <t xml:space="preserve">: Sélection fondée sur les qualifications des consultants individuels nationaux; </t>
    </r>
    <r>
      <rPr>
        <b/>
        <sz val="10"/>
        <rFont val="Calibri"/>
        <family val="2"/>
        <scheme val="minor"/>
      </rPr>
      <t>QCII</t>
    </r>
    <r>
      <rPr>
        <sz val="10"/>
        <rFont val="Calibri"/>
        <family val="2"/>
        <scheme val="minor"/>
      </rPr>
      <t>: Sélection fondée sur les qualifications des consultants individuels internationaux</t>
    </r>
  </si>
  <si>
    <r>
      <rPr>
        <b/>
        <sz val="10"/>
        <color indexed="8"/>
        <rFont val="Calibri"/>
        <family val="2"/>
        <scheme val="minor"/>
      </rPr>
      <t>(2)</t>
    </r>
    <r>
      <rPr>
        <sz val="10"/>
        <color indexed="8"/>
        <rFont val="Calibri"/>
        <family val="2"/>
        <scheme val="minor"/>
      </rPr>
      <t xml:space="preserve"> </t>
    </r>
    <r>
      <rPr>
        <b/>
        <u/>
        <sz val="10"/>
        <color indexed="8"/>
        <rFont val="Calibri"/>
        <family val="2"/>
        <scheme val="minor"/>
      </rPr>
      <t>Biens et Travaux</t>
    </r>
    <r>
      <rPr>
        <sz val="10"/>
        <color indexed="8"/>
        <rFont val="Calibri"/>
        <family val="2"/>
        <scheme val="minor"/>
      </rPr>
      <t xml:space="preserve">: DSAOI-B (Document Standard d'Appel d'Offres International Biens); DAON-B (Document d'Appel d'Offres National Biens); DSAOI-T (Travaux); DAON-T (Travaux); DSAOI-PT (Petit Travaux); DAON-PT (Petite Travaux); DAOI-TCR (Travaux Conception et Réalisation); DAON-TCR (Travaux Conception et Réalisation); DAOI-ECFI (Equipements Conception Fourniture et Install); DAON-ECFI (Equipements Conception Fourniture et Install); DAOI-ST (Services Techniques); DAON-ST (Services Techniques); DAOI-SM (Services Management); DAON-SM (Services Management); CP-BS (Biens simple); CP-BC (Biens complexe); CP-TS (Travaux Simple); CP-TC (Travaux Complexe); CP-STS (Service Technique Simple); CP-STC (Service Technique Complexe); Bureaux des Services Conseils: DSAO (Document Standard d'Appel d'Offres);  Services de Consultants Individuels: TDR/GE (Termes de Reference et Grille d'Evaluation) </t>
    </r>
  </si>
  <si>
    <r>
      <rPr>
        <b/>
        <sz val="10"/>
        <color indexed="8"/>
        <rFont val="Calibri"/>
        <family val="2"/>
        <scheme val="minor"/>
      </rPr>
      <t>(3) Statut</t>
    </r>
    <r>
      <rPr>
        <sz val="10"/>
        <color indexed="8"/>
        <rFont val="Calibri"/>
        <family val="2"/>
        <scheme val="minor"/>
      </rPr>
      <t xml:space="preserve">: </t>
    </r>
    <r>
      <rPr>
        <b/>
        <sz val="10"/>
        <color indexed="8"/>
        <rFont val="Calibri"/>
        <family val="2"/>
        <scheme val="minor"/>
      </rPr>
      <t>En attente</t>
    </r>
    <r>
      <rPr>
        <sz val="10"/>
        <color indexed="8"/>
        <rFont val="Calibri"/>
        <family val="2"/>
        <scheme val="minor"/>
      </rPr>
      <t xml:space="preserve"> - Processus pas encore commencé ; </t>
    </r>
    <r>
      <rPr>
        <b/>
        <sz val="10"/>
        <color indexed="8"/>
        <rFont val="Calibri"/>
        <family val="2"/>
        <scheme val="minor"/>
      </rPr>
      <t>En cours</t>
    </r>
    <r>
      <rPr>
        <sz val="10"/>
        <color indexed="8"/>
        <rFont val="Calibri"/>
        <family val="2"/>
        <scheme val="minor"/>
      </rPr>
      <t xml:space="preserve"> - Processus de passation des marchés en cours ; </t>
    </r>
    <r>
      <rPr>
        <b/>
        <sz val="10"/>
        <color indexed="8"/>
        <rFont val="Calibri"/>
        <family val="2"/>
        <scheme val="minor"/>
      </rPr>
      <t xml:space="preserve">Adjugé </t>
    </r>
    <r>
      <rPr>
        <sz val="10"/>
        <color indexed="8"/>
        <rFont val="Calibri"/>
        <family val="2"/>
        <scheme val="minor"/>
      </rPr>
      <t>non-objection de la Banque obtenue pour l'adjudication ;</t>
    </r>
    <r>
      <rPr>
        <b/>
        <sz val="10"/>
        <color indexed="8"/>
        <rFont val="Calibri"/>
        <family val="2"/>
        <scheme val="minor"/>
      </rPr>
      <t xml:space="preserve"> Annulé</t>
    </r>
    <r>
      <rPr>
        <sz val="10"/>
        <color indexed="8"/>
        <rFont val="Calibri"/>
        <family val="2"/>
        <scheme val="minor"/>
      </rPr>
      <t xml:space="preserve"> - Processus annulé ; </t>
    </r>
    <r>
      <rPr>
        <b/>
        <sz val="10"/>
        <color indexed="8"/>
        <rFont val="Calibri"/>
        <family val="2"/>
        <scheme val="minor"/>
      </rPr>
      <t>Clôturé</t>
    </r>
    <r>
      <rPr>
        <sz val="10"/>
        <color indexed="8"/>
        <rFont val="Calibri"/>
        <family val="2"/>
        <scheme val="minor"/>
      </rPr>
      <t xml:space="preserve"> - Contrat dûment exécuté - dernier paiement exécuté</t>
    </r>
  </si>
  <si>
    <t>Période couverte par le Plan de Passation de Marchés :  2015-2019</t>
  </si>
  <si>
    <t>Juin 2016</t>
  </si>
  <si>
    <t>Avril 2016</t>
  </si>
  <si>
    <t>Grande Riviere du Nord</t>
  </si>
  <si>
    <t>Artibonite</t>
  </si>
  <si>
    <t>Cavaillon</t>
  </si>
  <si>
    <t>Ravines du Sud</t>
  </si>
  <si>
    <t>Ouvrage</t>
  </si>
  <si>
    <t>Infrastructures de protection de bassins versants - Aval</t>
  </si>
  <si>
    <t>Infrastructures de protection de bassins versants - Amont</t>
  </si>
  <si>
    <t>Composante 3</t>
  </si>
  <si>
    <t>Faculté d'Agronomie et Médecine Vétérinaire construite et équipée</t>
  </si>
  <si>
    <t>St-Michel - St Raphaël</t>
  </si>
  <si>
    <t>Programme de recherche agricole/resilience CC/dynamique BV mis en oeuvre</t>
  </si>
  <si>
    <t>CGBV</t>
  </si>
  <si>
    <t>Faculte</t>
  </si>
  <si>
    <t>CIF</t>
  </si>
  <si>
    <t>BID</t>
  </si>
  <si>
    <t>Résilience agriculture CC -St-Michel - St Raphaël</t>
  </si>
  <si>
    <t>Dynamique BV et résilience CC- Sud (Cariwatnet)</t>
  </si>
  <si>
    <t>GOV</t>
  </si>
  <si>
    <t>Programme</t>
  </si>
  <si>
    <t>Modèles d'analyses de risques climatiques développés</t>
  </si>
  <si>
    <t>Système  d'information sur les risques climatiques en agriculture développé</t>
  </si>
  <si>
    <t>Système</t>
  </si>
  <si>
    <t>Programme de formation en gestion de risques climatiques dans l'agriculture développé</t>
  </si>
  <si>
    <t>Formation conduite sur l’évaluation des pertes et dommages dus aux désastres naturels dans l'agriculture</t>
  </si>
  <si>
    <t>Plan</t>
  </si>
  <si>
    <t>Formation</t>
  </si>
  <si>
    <t>Comités départementaux et locaux formés et équipés</t>
  </si>
  <si>
    <t>Système de suivi/observation des crues installé</t>
  </si>
  <si>
    <t>Système de communication installé</t>
  </si>
  <si>
    <t>Comites</t>
  </si>
  <si>
    <t>Acul Dubreuil</t>
  </si>
  <si>
    <t>Comités de Gestion de Bassins Versants (CGBV) renforces</t>
  </si>
  <si>
    <t>Creation CGBV Grande Riviere du Nord</t>
  </si>
  <si>
    <t>Formation pour CGBV Grande Riviere du Nord, Cavaillon et Ravines du Sud</t>
  </si>
  <si>
    <t>Produit 14</t>
  </si>
  <si>
    <t>Produit 15</t>
  </si>
  <si>
    <t>Produit 16</t>
  </si>
  <si>
    <t>Produit 17</t>
  </si>
  <si>
    <t>Bailleurs</t>
  </si>
  <si>
    <t>Ministere de l'Agriculture</t>
  </si>
  <si>
    <t>HA-L1097</t>
  </si>
  <si>
    <t>Aout 2015</t>
  </si>
  <si>
    <t>Expertise modelisation bassins-versants</t>
  </si>
  <si>
    <t>SFQC</t>
  </si>
  <si>
    <t>Trois marchés</t>
  </si>
  <si>
    <t>Elaboration Programme formation gestion risques climatiques dans l'agriculture</t>
  </si>
  <si>
    <t>Formation methodologie évaluation  pertes désastres naturels agriculture</t>
  </si>
  <si>
    <t>Elaboration plan de contingence secteur agricole</t>
  </si>
  <si>
    <t>Appui renforcement comites gestion de bassins versants</t>
  </si>
  <si>
    <t>Assistance technique Developpement de systemes d'alerte precoce (SAP) inondations communautaires</t>
  </si>
  <si>
    <t>Developpement programme de recherche resilience agriculture au changement climatique</t>
  </si>
  <si>
    <t>Plusieurs marchés</t>
  </si>
  <si>
    <t>Firme supervision travaux Faculte Agronomie et Medecine Veterinaire</t>
  </si>
  <si>
    <t>Elaboration Système information sur les risques climatiques en agriculture</t>
  </si>
  <si>
    <t>Firme audit administratif et financier</t>
  </si>
  <si>
    <t>Firme evaluation interimaire et finale</t>
  </si>
  <si>
    <t>Consultant appui developpement SAP</t>
  </si>
  <si>
    <t>Contractuel administrateur</t>
  </si>
  <si>
    <t>Contractuel Gestion ressources naturelles</t>
  </si>
  <si>
    <t>Contractuel Genie Rural</t>
  </si>
  <si>
    <t>Assistance technique fiduciaire</t>
  </si>
  <si>
    <t>Contractuel comptable</t>
  </si>
  <si>
    <t>Contractuel passation de marches</t>
  </si>
  <si>
    <t>Contractuel assistance administrative</t>
  </si>
  <si>
    <t>Essence</t>
  </si>
  <si>
    <t>Firme conception et supervision travaux ouvrages protection de bassins versants aval</t>
  </si>
  <si>
    <t>Firme conception et supervision travaux ouvrages protection de bassins versants amont</t>
  </si>
  <si>
    <t>QCII</t>
  </si>
  <si>
    <t>Contractuel autres professionnels administratifs et techniques</t>
  </si>
  <si>
    <t>CIF (%)</t>
  </si>
  <si>
    <t>oui</t>
  </si>
  <si>
    <t>Produits</t>
  </si>
  <si>
    <t>Activités</t>
  </si>
  <si>
    <t>Responsable</t>
  </si>
  <si>
    <t>Total (durée projet)</t>
  </si>
  <si>
    <t>Total 2016</t>
  </si>
  <si>
    <t>Janvier 2016</t>
  </si>
  <si>
    <t>Février 2016</t>
  </si>
  <si>
    <t>Mars 2016</t>
  </si>
  <si>
    <t>Mai 2016</t>
  </si>
  <si>
    <t>Juillet 2016</t>
  </si>
  <si>
    <t>Aout 2016</t>
  </si>
  <si>
    <t>Septembre 2016</t>
  </si>
  <si>
    <t>Octobre 2016</t>
  </si>
  <si>
    <t>Novembre 2016</t>
  </si>
  <si>
    <t>Decembre 2016</t>
  </si>
  <si>
    <t>USD</t>
  </si>
  <si>
    <t>Recrutement firme</t>
  </si>
  <si>
    <t>Audit</t>
  </si>
  <si>
    <t>Redaction TDRs</t>
  </si>
  <si>
    <t>Lancement activite</t>
  </si>
  <si>
    <t>Lancement chantier</t>
  </si>
  <si>
    <t>Lancement chantiers</t>
  </si>
  <si>
    <t>Recrutement firmes</t>
  </si>
  <si>
    <t>Plan national de contingence dans le secteur agricole en cas d'evenement climatique extreme élaboré  et diffusé</t>
  </si>
  <si>
    <t>Gabions</t>
  </si>
  <si>
    <t>Cout unitaire</t>
  </si>
  <si>
    <t>Quantite totale</t>
  </si>
  <si>
    <t>Cout total</t>
  </si>
  <si>
    <r>
      <t xml:space="preserve">Quantite totale </t>
    </r>
    <r>
      <rPr>
        <sz val="11"/>
        <color theme="1"/>
        <rFont val="Calibri"/>
        <family val="2"/>
        <scheme val="minor"/>
      </rPr>
      <t>(SPS compte pour 1 ouvrage par bassin)</t>
    </r>
  </si>
  <si>
    <t>Micro-retenues</t>
  </si>
  <si>
    <t>Seuils en pierres seches (SPS)</t>
  </si>
  <si>
    <t>Ouvrages</t>
  </si>
  <si>
    <t>Financier</t>
  </si>
  <si>
    <t>janvier 2016</t>
  </si>
  <si>
    <t>Décembre 2015</t>
  </si>
  <si>
    <t>2017</t>
  </si>
  <si>
    <t>Février 2017</t>
  </si>
  <si>
    <t>Mars 2017</t>
  </si>
  <si>
    <t>Mai 2017</t>
  </si>
  <si>
    <t>Juin 2017</t>
  </si>
  <si>
    <t>2018</t>
  </si>
  <si>
    <t>2020</t>
  </si>
  <si>
    <t>Novembre 2015</t>
  </si>
  <si>
    <t xml:space="preserve">Mai 2016 </t>
  </si>
  <si>
    <t>Septembre 2017</t>
  </si>
  <si>
    <t>Firme construction Faculté Agronomie et Médecine Vétérinaire</t>
  </si>
  <si>
    <t>Firme exécution travaux ouvrages de protection de bassins versants aval</t>
  </si>
  <si>
    <t>Firme exécution travaux ouvrages de protection de bassins versants amont</t>
  </si>
  <si>
    <t xml:space="preserve">DSAOI-T </t>
  </si>
  <si>
    <t xml:space="preserve"> CP-TC</t>
  </si>
  <si>
    <t>DSAO</t>
  </si>
  <si>
    <t>AF-200</t>
  </si>
  <si>
    <t>TDR/GE</t>
  </si>
  <si>
    <t>2019</t>
  </si>
  <si>
    <t>QCNI</t>
  </si>
  <si>
    <t>Conception - Supervision</t>
  </si>
  <si>
    <t>Total Amont</t>
  </si>
  <si>
    <t>Total Aval</t>
  </si>
  <si>
    <t>Fevrier 2016</t>
  </si>
  <si>
    <t>Avril 2015</t>
  </si>
  <si>
    <t>Produit 1, 3, 4</t>
  </si>
  <si>
    <t>Appui gestion connaissance risque climatique (recherche, formation)</t>
  </si>
  <si>
    <t>Protocoles d'accord</t>
  </si>
  <si>
    <t>QC</t>
  </si>
  <si>
    <t>Protocoles d'accord avec universites nationales</t>
  </si>
  <si>
    <t>Contrat ONG</t>
  </si>
  <si>
    <t>Technicien alerte précoce</t>
  </si>
  <si>
    <t>Comptable</t>
  </si>
  <si>
    <t>Assitance technique</t>
  </si>
  <si>
    <t>Frais fonctionnement/déplacement</t>
  </si>
  <si>
    <t>Renforcement capacités</t>
  </si>
  <si>
    <t>FAMV</t>
  </si>
  <si>
    <t>Réduction risques climatiques</t>
  </si>
  <si>
    <t>MARNDR</t>
  </si>
  <si>
    <t>DPC</t>
  </si>
  <si>
    <t>Systèmes communautaires d'alerte précoce aux inondations développés</t>
  </si>
  <si>
    <t>Cavaillon ou autres</t>
  </si>
  <si>
    <t>Firme assistance maitrise d'ouvrage construction FAMV</t>
  </si>
  <si>
    <t>Maitrise d ouvrage developpement SAP</t>
  </si>
  <si>
    <t>Protocole d'accord</t>
  </si>
  <si>
    <t>Decembre 2015</t>
  </si>
  <si>
    <t>Protocole avec MICT/DPC</t>
  </si>
  <si>
    <t>Compensation etudiants residents deplaces</t>
  </si>
  <si>
    <t>Protocoles accord FAMV/MARNDR/etudiants</t>
  </si>
  <si>
    <t>Autobus</t>
  </si>
  <si>
    <t>DSAOI</t>
  </si>
  <si>
    <t xml:space="preserve"> -</t>
  </si>
  <si>
    <t>Firme enquêtes menages pour ligne de base et suivi</t>
  </si>
  <si>
    <t>Aout 2017</t>
  </si>
  <si>
    <t>Octobre 2018</t>
  </si>
  <si>
    <t>Janvier 2020</t>
  </si>
  <si>
    <t>Fevrier 2020</t>
  </si>
  <si>
    <t>Mars 2020</t>
  </si>
  <si>
    <t>Avril 2020</t>
  </si>
  <si>
    <t xml:space="preserve">mars 2016 </t>
  </si>
  <si>
    <t>mai 2016</t>
  </si>
  <si>
    <t>juillet 2016</t>
  </si>
  <si>
    <t>Firme evaluation Systeme alerte precoce - Essai pratique</t>
  </si>
  <si>
    <t>Expert Gestion Risques - Evaluation indicateur IGOP</t>
  </si>
  <si>
    <t>Consultant analyse donnees enquetes menages</t>
  </si>
  <si>
    <t>Firme suivi evaluation pertes desastres naturels</t>
  </si>
  <si>
    <t>(in US$)</t>
  </si>
  <si>
    <t>Schedule</t>
  </si>
  <si>
    <t>Cost</t>
  </si>
  <si>
    <t>Baseline surveys</t>
  </si>
  <si>
    <t>Mid 2016</t>
  </si>
  <si>
    <t>Baseline report and supervision of data collection</t>
  </si>
  <si>
    <t>Mid term evaluation</t>
  </si>
  <si>
    <t>End 2018</t>
  </si>
  <si>
    <t>Follow up surveys #1</t>
  </si>
  <si>
    <t>Mid 2018</t>
  </si>
  <si>
    <t>Follow up report #1  and supervision of data collection</t>
  </si>
  <si>
    <t>Practical drill of community EWS</t>
  </si>
  <si>
    <t>End 2019</t>
  </si>
  <si>
    <t>Follow up surveys #2</t>
  </si>
  <si>
    <t>Mid 2020</t>
  </si>
  <si>
    <t>Follow up report #2 and supervision of data collection</t>
  </si>
  <si>
    <t>Update iGOPP</t>
  </si>
  <si>
    <t>End 2020</t>
  </si>
  <si>
    <t>Final Evaluation</t>
  </si>
  <si>
    <t>Follow up surveys dowstream watersheds (using AECOM and ARTELIA methodologies)</t>
  </si>
  <si>
    <t>Evaluation - Detailed budget</t>
  </si>
  <si>
    <t>Vehicles 4x4</t>
  </si>
  <si>
    <t>Motos</t>
  </si>
  <si>
    <t>Coordonnateur</t>
  </si>
  <si>
    <t>Coordonnateur adjoint</t>
  </si>
  <si>
    <t>Administrateur</t>
  </si>
  <si>
    <t>Assistant comptable</t>
  </si>
  <si>
    <t>Assistant administrateur</t>
  </si>
  <si>
    <t>Assistante Direction</t>
  </si>
  <si>
    <t>Passation de marchés</t>
  </si>
  <si>
    <t>Assistant passation de marchés</t>
  </si>
  <si>
    <t>Ingenieur rural 1</t>
  </si>
  <si>
    <t>Ingenieur rural 2</t>
  </si>
  <si>
    <t>Specialiste ressources naturelles 1</t>
  </si>
  <si>
    <t>Specialiste ressources naturelles 2</t>
  </si>
  <si>
    <t>Techniciens</t>
  </si>
  <si>
    <t>Techniciens suivi evaluation</t>
  </si>
  <si>
    <t>Quantité</t>
  </si>
  <si>
    <t>Personnel</t>
  </si>
  <si>
    <t>Frais de deplacements</t>
  </si>
  <si>
    <t>Autres frais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</si>
</sst>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[$-40C]mmmm\-yy;@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576">
    <xf numFmtId="0" fontId="0" fillId="0" borderId="0" xfId="0"/>
    <xf numFmtId="0" fontId="0" fillId="0" borderId="0" xfId="0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5" fillId="7" borderId="15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0" borderId="19" xfId="0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3" xfId="0" applyFill="1" applyBorder="1"/>
    <xf numFmtId="0" fontId="5" fillId="7" borderId="16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0" fontId="0" fillId="0" borderId="20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7" borderId="0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0" fillId="0" borderId="0" xfId="0" applyAlignment="1">
      <alignment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28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7" borderId="0" xfId="0" applyFont="1" applyFill="1" applyBorder="1" applyAlignment="1">
      <alignment horizontal="center" vertical="center"/>
    </xf>
    <xf numFmtId="0" fontId="0" fillId="0" borderId="0" xfId="0"/>
    <xf numFmtId="0" fontId="0" fillId="3" borderId="1" xfId="0" applyFill="1" applyBorder="1"/>
    <xf numFmtId="3" fontId="0" fillId="0" borderId="1" xfId="0" applyNumberFormat="1" applyBorder="1" applyAlignment="1">
      <alignment horizontal="right" vertical="center" wrapText="1"/>
    </xf>
    <xf numFmtId="3" fontId="0" fillId="0" borderId="3" xfId="0" applyNumberFormat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/>
    </xf>
    <xf numFmtId="3" fontId="0" fillId="3" borderId="24" xfId="0" applyNumberFormat="1" applyFill="1" applyBorder="1" applyAlignment="1">
      <alignment horizontal="right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0" xfId="0" applyFill="1"/>
    <xf numFmtId="3" fontId="0" fillId="3" borderId="24" xfId="0" applyNumberFormat="1" applyFont="1" applyFill="1" applyBorder="1" applyAlignment="1">
      <alignment horizontal="center" vertical="center" wrapText="1"/>
    </xf>
    <xf numFmtId="3" fontId="0" fillId="3" borderId="6" xfId="0" applyNumberFormat="1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4" borderId="6" xfId="0" applyFill="1" applyBorder="1" applyAlignment="1" applyProtection="1">
      <alignment horizontal="left" vertical="center" wrapText="1"/>
      <protection locked="0"/>
    </xf>
    <xf numFmtId="0" fontId="0" fillId="4" borderId="1" xfId="0" applyFill="1" applyBorder="1"/>
    <xf numFmtId="0" fontId="0" fillId="4" borderId="0" xfId="0" applyFill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0" xfId="0" applyFill="1"/>
    <xf numFmtId="0" fontId="7" fillId="4" borderId="1" xfId="0" applyFont="1" applyFill="1" applyBorder="1" applyAlignment="1">
      <alignment horizontal="left" vertical="center" wrapText="1" indent="2"/>
    </xf>
    <xf numFmtId="3" fontId="7" fillId="4" borderId="1" xfId="0" applyNumberFormat="1" applyFont="1" applyFill="1" applyBorder="1" applyAlignment="1">
      <alignment horizontal="right" vertical="center" wrapText="1"/>
    </xf>
    <xf numFmtId="3" fontId="0" fillId="3" borderId="24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5" fillId="2" borderId="14" xfId="0" applyFont="1" applyFill="1" applyBorder="1" applyAlignment="1">
      <alignment horizontal="center"/>
    </xf>
    <xf numFmtId="0" fontId="3" fillId="0" borderId="0" xfId="0" applyNumberFormat="1" applyFont="1" applyAlignment="1">
      <alignment horizontal="justify" vertical="distributed"/>
    </xf>
    <xf numFmtId="0" fontId="4" fillId="0" borderId="0" xfId="0" applyNumberFormat="1" applyFont="1" applyAlignment="1">
      <alignment horizontal="justify" vertical="distributed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justify" vertical="distributed"/>
    </xf>
    <xf numFmtId="0" fontId="3" fillId="0" borderId="0" xfId="0" applyNumberFormat="1" applyFont="1" applyAlignment="1">
      <alignment vertical="distributed"/>
    </xf>
    <xf numFmtId="0" fontId="3" fillId="0" borderId="11" xfId="0" applyNumberFormat="1" applyFont="1" applyBorder="1" applyAlignment="1">
      <alignment vertical="distributed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justify" vertical="distributed"/>
    </xf>
    <xf numFmtId="0" fontId="4" fillId="0" borderId="0" xfId="0" applyNumberFormat="1" applyFont="1" applyBorder="1" applyAlignment="1">
      <alignment vertical="distributed"/>
    </xf>
    <xf numFmtId="0" fontId="3" fillId="0" borderId="0" xfId="0" applyNumberFormat="1" applyFont="1" applyBorder="1" applyAlignment="1">
      <alignment vertical="distributed"/>
    </xf>
    <xf numFmtId="0" fontId="8" fillId="0" borderId="0" xfId="0" applyNumberFormat="1" applyFont="1" applyAlignment="1">
      <alignment horizontal="justify" vertical="distributed"/>
    </xf>
    <xf numFmtId="0" fontId="8" fillId="0" borderId="0" xfId="0" applyNumberFormat="1" applyFont="1" applyBorder="1" applyAlignment="1">
      <alignment horizontal="justify" vertical="distributed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distributed"/>
    </xf>
    <xf numFmtId="0" fontId="3" fillId="0" borderId="0" xfId="0" applyNumberFormat="1" applyFont="1" applyBorder="1" applyAlignment="1">
      <alignment horizontal="center" vertical="distributed"/>
    </xf>
    <xf numFmtId="0" fontId="4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vertical="distributed"/>
    </xf>
    <xf numFmtId="0" fontId="9" fillId="0" borderId="0" xfId="0" applyNumberFormat="1" applyFont="1" applyBorder="1" applyAlignment="1">
      <alignment horizontal="justify" vertical="distributed"/>
    </xf>
    <xf numFmtId="0" fontId="9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justify" vertical="distributed"/>
    </xf>
    <xf numFmtId="0" fontId="9" fillId="4" borderId="9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distributed"/>
    </xf>
    <xf numFmtId="0" fontId="9" fillId="8" borderId="38" xfId="0" applyNumberFormat="1" applyFont="1" applyFill="1" applyBorder="1" applyAlignment="1">
      <alignment horizontal="center" vertical="center" wrapText="1"/>
    </xf>
    <xf numFmtId="0" fontId="9" fillId="8" borderId="9" xfId="0" applyNumberFormat="1" applyFont="1" applyFill="1" applyBorder="1" applyAlignment="1">
      <alignment horizontal="center" vertical="center" wrapText="1"/>
    </xf>
    <xf numFmtId="0" fontId="9" fillId="8" borderId="1" xfId="0" applyNumberFormat="1" applyFont="1" applyFill="1" applyBorder="1" applyAlignment="1">
      <alignment horizontal="center" vertical="center" wrapText="1"/>
    </xf>
    <xf numFmtId="0" fontId="9" fillId="8" borderId="4" xfId="0" applyNumberFormat="1" applyFont="1" applyFill="1" applyBorder="1" applyAlignment="1">
      <alignment horizontal="center" vertical="center" wrapText="1"/>
    </xf>
    <xf numFmtId="0" fontId="9" fillId="8" borderId="8" xfId="0" applyNumberFormat="1" applyFont="1" applyFill="1" applyBorder="1" applyAlignment="1">
      <alignment horizontal="center" vertical="center" wrapText="1"/>
    </xf>
    <xf numFmtId="0" fontId="9" fillId="8" borderId="6" xfId="0" applyNumberFormat="1" applyFont="1" applyFill="1" applyBorder="1" applyAlignment="1">
      <alignment horizontal="center" vertical="center" wrapText="1"/>
    </xf>
    <xf numFmtId="0" fontId="9" fillId="8" borderId="39" xfId="0" applyNumberFormat="1" applyFont="1" applyFill="1" applyBorder="1" applyAlignment="1">
      <alignment horizontal="center" vertical="center" wrapText="1"/>
    </xf>
    <xf numFmtId="0" fontId="9" fillId="8" borderId="25" xfId="0" applyNumberFormat="1" applyFont="1" applyFill="1" applyBorder="1" applyAlignment="1">
      <alignment horizontal="center" vertical="center" wrapText="1"/>
    </xf>
    <xf numFmtId="0" fontId="9" fillId="11" borderId="9" xfId="0" applyNumberFormat="1" applyFont="1" applyFill="1" applyBorder="1" applyAlignment="1">
      <alignment horizontal="center" vertical="center" wrapText="1"/>
    </xf>
    <xf numFmtId="0" fontId="9" fillId="8" borderId="9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justify" vertical="distributed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justify" vertical="distributed"/>
    </xf>
    <xf numFmtId="0" fontId="4" fillId="0" borderId="1" xfId="0" applyNumberFormat="1" applyFont="1" applyBorder="1" applyAlignment="1">
      <alignment horizontal="justify" vertical="distributed"/>
    </xf>
    <xf numFmtId="0" fontId="4" fillId="0" borderId="4" xfId="0" applyNumberFormat="1" applyFont="1" applyBorder="1" applyAlignment="1">
      <alignment horizontal="justify" vertical="distributed"/>
    </xf>
    <xf numFmtId="17" fontId="4" fillId="0" borderId="4" xfId="0" applyNumberFormat="1" applyFont="1" applyBorder="1" applyAlignment="1">
      <alignment horizontal="justify" vertical="distributed"/>
    </xf>
    <xf numFmtId="0" fontId="4" fillId="3" borderId="1" xfId="0" applyNumberFormat="1" applyFont="1" applyFill="1" applyBorder="1" applyAlignment="1">
      <alignment horizontal="justify" vertical="distributed"/>
    </xf>
    <xf numFmtId="0" fontId="4" fillId="0" borderId="2" xfId="0" applyNumberFormat="1" applyFont="1" applyBorder="1" applyAlignment="1">
      <alignment horizontal="justify" vertical="distributed"/>
    </xf>
    <xf numFmtId="0" fontId="3" fillId="12" borderId="1" xfId="0" applyNumberFormat="1" applyFont="1" applyFill="1" applyBorder="1" applyAlignment="1">
      <alignment horizontal="justify" vertical="distributed"/>
    </xf>
    <xf numFmtId="0" fontId="3" fillId="12" borderId="1" xfId="0" applyNumberFormat="1" applyFont="1" applyFill="1" applyBorder="1" applyAlignment="1">
      <alignment horizontal="left" vertical="center" wrapText="1"/>
    </xf>
    <xf numFmtId="17" fontId="4" fillId="0" borderId="6" xfId="0" applyNumberFormat="1" applyFont="1" applyBorder="1" applyAlignment="1">
      <alignment horizontal="justify" vertical="distributed"/>
    </xf>
    <xf numFmtId="17" fontId="4" fillId="0" borderId="1" xfId="0" applyNumberFormat="1" applyFont="1" applyBorder="1" applyAlignment="1">
      <alignment horizontal="justify" vertical="distributed"/>
    </xf>
    <xf numFmtId="0" fontId="6" fillId="3" borderId="1" xfId="0" applyNumberFormat="1" applyFont="1" applyFill="1" applyBorder="1" applyAlignment="1">
      <alignment horizontal="left" vertical="center" wrapText="1"/>
    </xf>
    <xf numFmtId="0" fontId="6" fillId="3" borderId="7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distributed"/>
    </xf>
    <xf numFmtId="0" fontId="3" fillId="3" borderId="3" xfId="0" applyNumberFormat="1" applyFont="1" applyFill="1" applyBorder="1" applyAlignment="1">
      <alignment horizontal="justify" vertical="distributed"/>
    </xf>
    <xf numFmtId="0" fontId="3" fillId="3" borderId="1" xfId="0" applyNumberFormat="1" applyFont="1" applyFill="1" applyBorder="1" applyAlignment="1">
      <alignment horizontal="justify" vertical="distributed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justify" vertical="distributed"/>
    </xf>
    <xf numFmtId="0" fontId="4" fillId="0" borderId="41" xfId="0" applyNumberFormat="1" applyFont="1" applyBorder="1" applyAlignment="1">
      <alignment vertical="center"/>
    </xf>
    <xf numFmtId="0" fontId="4" fillId="0" borderId="15" xfId="0" applyNumberFormat="1" applyFont="1" applyBorder="1" applyAlignment="1">
      <alignment horizontal="justify" vertical="distributed"/>
    </xf>
    <xf numFmtId="0" fontId="6" fillId="0" borderId="0" xfId="0" applyNumberFormat="1" applyFont="1" applyAlignment="1">
      <alignment horizontal="justify" vertical="distributed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3" fillId="5" borderId="35" xfId="0" applyNumberFormat="1" applyFont="1" applyFill="1" applyBorder="1" applyAlignment="1">
      <alignment vertical="center"/>
    </xf>
    <xf numFmtId="0" fontId="9" fillId="5" borderId="35" xfId="0" applyNumberFormat="1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horizontal="right" vertical="distributed"/>
    </xf>
    <xf numFmtId="3" fontId="3" fillId="12" borderId="1" xfId="0" applyNumberFormat="1" applyFont="1" applyFill="1" applyBorder="1" applyAlignment="1">
      <alignment horizontal="right" vertical="distributed"/>
    </xf>
    <xf numFmtId="3" fontId="4" fillId="0" borderId="6" xfId="0" applyNumberFormat="1" applyFont="1" applyBorder="1" applyAlignment="1">
      <alignment horizontal="right" vertical="distributed"/>
    </xf>
    <xf numFmtId="3" fontId="4" fillId="0" borderId="1" xfId="0" applyNumberFormat="1" applyFont="1" applyBorder="1" applyAlignment="1">
      <alignment horizontal="right" vertical="distributed"/>
    </xf>
    <xf numFmtId="3" fontId="3" fillId="12" borderId="1" xfId="0" applyNumberFormat="1" applyFont="1" applyFill="1" applyBorder="1" applyAlignment="1">
      <alignment horizontal="right" vertical="center" wrapText="1"/>
    </xf>
    <xf numFmtId="3" fontId="3" fillId="6" borderId="1" xfId="0" applyNumberFormat="1" applyFont="1" applyFill="1" applyBorder="1" applyAlignment="1">
      <alignment horizontal="right" vertical="distributed"/>
    </xf>
    <xf numFmtId="3" fontId="0" fillId="4" borderId="6" xfId="0" applyNumberFormat="1" applyFill="1" applyBorder="1" applyAlignment="1" applyProtection="1">
      <alignment horizontal="left" vertical="center" wrapText="1"/>
      <protection locked="0"/>
    </xf>
    <xf numFmtId="0" fontId="4" fillId="3" borderId="3" xfId="0" applyNumberFormat="1" applyFont="1" applyFill="1" applyBorder="1" applyAlignment="1">
      <alignment vertical="distributed"/>
    </xf>
    <xf numFmtId="0" fontId="3" fillId="12" borderId="5" xfId="0" applyNumberFormat="1" applyFont="1" applyFill="1" applyBorder="1" applyAlignment="1">
      <alignment horizontal="justify" vertical="distributed"/>
    </xf>
    <xf numFmtId="0" fontId="3" fillId="12" borderId="3" xfId="0" applyNumberFormat="1" applyFont="1" applyFill="1" applyBorder="1" applyAlignment="1">
      <alignment horizontal="left" vertical="center" wrapText="1"/>
    </xf>
    <xf numFmtId="0" fontId="3" fillId="12" borderId="2" xfId="0" applyNumberFormat="1" applyFont="1" applyFill="1" applyBorder="1" applyAlignment="1">
      <alignment horizontal="justify" vertical="distributed"/>
    </xf>
    <xf numFmtId="3" fontId="3" fillId="3" borderId="1" xfId="0" applyNumberFormat="1" applyFont="1" applyFill="1" applyBorder="1" applyAlignment="1">
      <alignment horizontal="right" vertical="distributed"/>
    </xf>
    <xf numFmtId="0" fontId="9" fillId="10" borderId="33" xfId="0" applyNumberFormat="1" applyFont="1" applyFill="1" applyBorder="1" applyAlignment="1">
      <alignment vertical="center" wrapText="1"/>
    </xf>
    <xf numFmtId="0" fontId="9" fillId="10" borderId="34" xfId="0" applyNumberFormat="1" applyFont="1" applyFill="1" applyBorder="1" applyAlignment="1">
      <alignment vertical="center" wrapText="1"/>
    </xf>
    <xf numFmtId="0" fontId="3" fillId="5" borderId="5" xfId="0" applyNumberFormat="1" applyFont="1" applyFill="1" applyBorder="1" applyAlignment="1">
      <alignment vertical="center" wrapText="1"/>
    </xf>
    <xf numFmtId="0" fontId="3" fillId="5" borderId="5" xfId="0" applyNumberFormat="1" applyFont="1" applyFill="1" applyBorder="1" applyAlignment="1">
      <alignment horizontal="left" vertical="center" wrapText="1"/>
    </xf>
    <xf numFmtId="0" fontId="3" fillId="5" borderId="5" xfId="0" applyNumberFormat="1" applyFont="1" applyFill="1" applyBorder="1" applyAlignment="1">
      <alignment horizontal="right" vertical="center" wrapText="1"/>
    </xf>
    <xf numFmtId="0" fontId="4" fillId="0" borderId="3" xfId="0" applyNumberFormat="1" applyFont="1" applyFill="1" applyBorder="1" applyAlignment="1">
      <alignment horizontal="center" vertical="distributed"/>
    </xf>
    <xf numFmtId="3" fontId="3" fillId="5" borderId="5" xfId="0" applyNumberFormat="1" applyFont="1" applyFill="1" applyBorder="1" applyAlignment="1">
      <alignment horizontal="right" vertical="center" wrapText="1"/>
    </xf>
    <xf numFmtId="0" fontId="9" fillId="5" borderId="5" xfId="0" applyNumberFormat="1" applyFont="1" applyFill="1" applyBorder="1" applyAlignment="1">
      <alignment vertical="center" wrapText="1"/>
    </xf>
    <xf numFmtId="0" fontId="6" fillId="0" borderId="0" xfId="0" applyNumberFormat="1" applyFont="1" applyAlignment="1">
      <alignment horizontal="left" vertical="center" wrapText="1"/>
    </xf>
    <xf numFmtId="0" fontId="3" fillId="13" borderId="35" xfId="0" applyNumberFormat="1" applyFont="1" applyFill="1" applyBorder="1" applyAlignment="1">
      <alignment vertical="center"/>
    </xf>
    <xf numFmtId="0" fontId="3" fillId="13" borderId="5" xfId="0" applyNumberFormat="1" applyFont="1" applyFill="1" applyBorder="1" applyAlignment="1">
      <alignment vertical="distributed"/>
    </xf>
    <xf numFmtId="0" fontId="3" fillId="13" borderId="5" xfId="0" applyNumberFormat="1" applyFont="1" applyFill="1" applyBorder="1" applyAlignment="1">
      <alignment horizontal="left" vertical="center" wrapText="1"/>
    </xf>
    <xf numFmtId="3" fontId="3" fillId="13" borderId="5" xfId="0" applyNumberFormat="1" applyFont="1" applyFill="1" applyBorder="1" applyAlignment="1">
      <alignment horizontal="right" vertical="distributed"/>
    </xf>
    <xf numFmtId="0" fontId="4" fillId="0" borderId="29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27" xfId="0" applyNumberFormat="1" applyFont="1" applyBorder="1" applyAlignment="1">
      <alignment horizontal="justify" vertical="distributed"/>
    </xf>
    <xf numFmtId="0" fontId="4" fillId="0" borderId="16" xfId="0" applyNumberFormat="1" applyFont="1" applyBorder="1" applyAlignment="1">
      <alignment horizontal="justify" vertical="distributed"/>
    </xf>
    <xf numFmtId="0" fontId="4" fillId="0" borderId="17" xfId="0" applyNumberFormat="1" applyFont="1" applyBorder="1" applyAlignment="1">
      <alignment horizontal="justify" vertical="distributed"/>
    </xf>
    <xf numFmtId="9" fontId="4" fillId="3" borderId="1" xfId="0" applyNumberFormat="1" applyFont="1" applyFill="1" applyBorder="1" applyAlignment="1">
      <alignment horizontal="center" vertical="distributed"/>
    </xf>
    <xf numFmtId="9" fontId="4" fillId="0" borderId="1" xfId="0" applyNumberFormat="1" applyFont="1" applyFill="1" applyBorder="1" applyAlignment="1">
      <alignment horizontal="center" vertical="distributed"/>
    </xf>
    <xf numFmtId="0" fontId="3" fillId="5" borderId="35" xfId="0" applyNumberFormat="1" applyFont="1" applyFill="1" applyBorder="1" applyAlignment="1">
      <alignment horizontal="left" vertical="center"/>
    </xf>
    <xf numFmtId="0" fontId="3" fillId="5" borderId="5" xfId="0" applyNumberFormat="1" applyFont="1" applyFill="1" applyBorder="1" applyAlignment="1">
      <alignment horizontal="left" vertical="center"/>
    </xf>
    <xf numFmtId="0" fontId="3" fillId="5" borderId="1" xfId="0" applyNumberFormat="1" applyFont="1" applyFill="1" applyBorder="1" applyAlignment="1">
      <alignment horizontal="left" vertical="center"/>
    </xf>
    <xf numFmtId="0" fontId="3" fillId="5" borderId="36" xfId="0" applyNumberFormat="1" applyFont="1" applyFill="1" applyBorder="1" applyAlignment="1">
      <alignment horizontal="left" vertical="center"/>
    </xf>
    <xf numFmtId="0" fontId="4" fillId="0" borderId="24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6" borderId="1" xfId="0" applyNumberFormat="1" applyFont="1" applyFill="1" applyBorder="1" applyAlignment="1">
      <alignment horizontal="left" vertical="center"/>
    </xf>
    <xf numFmtId="0" fontId="3" fillId="6" borderId="5" xfId="0" applyNumberFormat="1" applyFont="1" applyFill="1" applyBorder="1" applyAlignment="1">
      <alignment horizontal="left" vertical="center"/>
    </xf>
    <xf numFmtId="0" fontId="3" fillId="6" borderId="36" xfId="0" applyNumberFormat="1" applyFont="1" applyFill="1" applyBorder="1" applyAlignment="1">
      <alignment horizontal="left" vertical="center"/>
    </xf>
    <xf numFmtId="0" fontId="4" fillId="0" borderId="25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18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3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9" fillId="5" borderId="35" xfId="0" applyNumberFormat="1" applyFont="1" applyFill="1" applyBorder="1" applyAlignment="1">
      <alignment horizontal="left" vertical="center"/>
    </xf>
    <xf numFmtId="0" fontId="9" fillId="5" borderId="5" xfId="0" applyNumberFormat="1" applyFont="1" applyFill="1" applyBorder="1" applyAlignment="1">
      <alignment horizontal="left" vertical="center"/>
    </xf>
    <xf numFmtId="0" fontId="9" fillId="5" borderId="1" xfId="0" applyNumberFormat="1" applyFont="1" applyFill="1" applyBorder="1" applyAlignment="1">
      <alignment horizontal="left" vertical="center"/>
    </xf>
    <xf numFmtId="0" fontId="9" fillId="5" borderId="36" xfId="0" applyNumberFormat="1" applyFont="1" applyFill="1" applyBorder="1" applyAlignment="1">
      <alignment horizontal="left" vertical="center"/>
    </xf>
    <xf numFmtId="0" fontId="6" fillId="0" borderId="18" xfId="0" applyNumberFormat="1" applyFont="1" applyBorder="1" applyAlignment="1">
      <alignment horizontal="left" vertical="center"/>
    </xf>
    <xf numFmtId="0" fontId="6" fillId="0" borderId="24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7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22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3" fillId="3" borderId="35" xfId="0" applyNumberFormat="1" applyFont="1" applyFill="1" applyBorder="1" applyAlignment="1">
      <alignment horizontal="left" vertical="center"/>
    </xf>
    <xf numFmtId="0" fontId="3" fillId="3" borderId="5" xfId="0" applyNumberFormat="1" applyFont="1" applyFill="1" applyBorder="1" applyAlignment="1">
      <alignment horizontal="left" vertical="center"/>
    </xf>
    <xf numFmtId="0" fontId="3" fillId="3" borderId="0" xfId="0" applyNumberFormat="1" applyFont="1" applyFill="1" applyBorder="1" applyAlignment="1">
      <alignment horizontal="left" vertical="center"/>
    </xf>
    <xf numFmtId="0" fontId="3" fillId="6" borderId="0" xfId="0" applyNumberFormat="1" applyFont="1" applyFill="1" applyBorder="1" applyAlignment="1">
      <alignment horizontal="left" vertical="center"/>
    </xf>
    <xf numFmtId="0" fontId="4" fillId="0" borderId="29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left" vertical="center"/>
    </xf>
    <xf numFmtId="0" fontId="4" fillId="0" borderId="36" xfId="0" applyNumberFormat="1" applyFont="1" applyBorder="1" applyAlignment="1">
      <alignment horizontal="left" vertical="center"/>
    </xf>
    <xf numFmtId="3" fontId="3" fillId="12" borderId="3" xfId="0" applyNumberFormat="1" applyFont="1" applyFill="1" applyBorder="1" applyAlignment="1">
      <alignment horizontal="right" vertical="distributed"/>
    </xf>
    <xf numFmtId="0" fontId="3" fillId="5" borderId="28" xfId="0" applyNumberFormat="1" applyFont="1" applyFill="1" applyBorder="1" applyAlignment="1">
      <alignment vertical="center"/>
    </xf>
    <xf numFmtId="0" fontId="3" fillId="5" borderId="26" xfId="0" applyNumberFormat="1" applyFont="1" applyFill="1" applyBorder="1" applyAlignment="1">
      <alignment vertical="center" wrapText="1"/>
    </xf>
    <xf numFmtId="0" fontId="3" fillId="5" borderId="26" xfId="0" applyNumberFormat="1" applyFont="1" applyFill="1" applyBorder="1" applyAlignment="1">
      <alignment horizontal="left" vertical="center" wrapText="1"/>
    </xf>
    <xf numFmtId="0" fontId="4" fillId="12" borderId="5" xfId="0" applyNumberFormat="1" applyFont="1" applyFill="1" applyBorder="1" applyAlignment="1">
      <alignment horizontal="justify" vertical="distributed"/>
    </xf>
    <xf numFmtId="0" fontId="4" fillId="0" borderId="1" xfId="0" applyNumberFormat="1" applyFont="1" applyBorder="1" applyAlignment="1">
      <alignment horizontal="justify" vertical="distributed"/>
    </xf>
    <xf numFmtId="0" fontId="5" fillId="7" borderId="1" xfId="0" applyFont="1" applyFill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 wrapText="1"/>
    </xf>
    <xf numFmtId="3" fontId="7" fillId="4" borderId="24" xfId="0" applyNumberFormat="1" applyFont="1" applyFill="1" applyBorder="1" applyAlignment="1">
      <alignment horizontal="right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0" fontId="5" fillId="0" borderId="1" xfId="0" applyFont="1" applyBorder="1" applyAlignment="1"/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 wrapText="1"/>
    </xf>
    <xf numFmtId="3" fontId="0" fillId="3" borderId="24" xfId="0" applyNumberFormat="1" applyFill="1" applyBorder="1" applyAlignment="1">
      <alignment vertical="center" wrapText="1"/>
    </xf>
    <xf numFmtId="3" fontId="7" fillId="4" borderId="24" xfId="0" applyNumberFormat="1" applyFont="1" applyFill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0" fillId="3" borderId="40" xfId="0" applyNumberFormat="1" applyFont="1" applyFill="1" applyBorder="1" applyAlignment="1">
      <alignment horizontal="center" vertical="center" wrapText="1"/>
    </xf>
    <xf numFmtId="3" fontId="0" fillId="3" borderId="35" xfId="0" applyNumberFormat="1" applyFont="1" applyFill="1" applyBorder="1" applyAlignment="1">
      <alignment horizontal="center" vertical="center" wrapText="1"/>
    </xf>
    <xf numFmtId="3" fontId="0" fillId="0" borderId="35" xfId="0" applyNumberFormat="1" applyFont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right" vertical="center" wrapText="1"/>
    </xf>
    <xf numFmtId="0" fontId="5" fillId="7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0" fillId="2" borderId="1" xfId="0" applyFill="1" applyBorder="1"/>
    <xf numFmtId="0" fontId="7" fillId="4" borderId="18" xfId="0" applyFont="1" applyFill="1" applyBorder="1" applyAlignment="1">
      <alignment horizontal="center" vertical="center" wrapText="1"/>
    </xf>
    <xf numFmtId="3" fontId="7" fillId="4" borderId="6" xfId="0" applyNumberFormat="1" applyFont="1" applyFill="1" applyBorder="1" applyAlignment="1">
      <alignment vertical="center" wrapText="1"/>
    </xf>
    <xf numFmtId="3" fontId="7" fillId="4" borderId="7" xfId="0" applyNumberFormat="1" applyFont="1" applyFill="1" applyBorder="1" applyAlignment="1">
      <alignment vertical="center" wrapText="1"/>
    </xf>
    <xf numFmtId="3" fontId="7" fillId="4" borderId="35" xfId="0" applyNumberFormat="1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3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7" fillId="4" borderId="2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justify" vertical="distributed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distributed"/>
    </xf>
    <xf numFmtId="0" fontId="4" fillId="3" borderId="5" xfId="0" applyNumberFormat="1" applyFont="1" applyFill="1" applyBorder="1" applyAlignment="1">
      <alignment horizontal="justify" vertical="distributed"/>
    </xf>
    <xf numFmtId="3" fontId="0" fillId="0" borderId="0" xfId="0" applyNumberFormat="1" applyAlignment="1">
      <alignment horizontal="center" vertical="center" wrapText="1"/>
    </xf>
    <xf numFmtId="3" fontId="4" fillId="0" borderId="0" xfId="0" applyNumberFormat="1" applyFont="1" applyAlignment="1">
      <alignment horizontal="justify" vertical="distributed"/>
    </xf>
    <xf numFmtId="0" fontId="4" fillId="0" borderId="0" xfId="0" applyNumberFormat="1" applyFont="1" applyAlignment="1">
      <alignment horizontal="center" vertical="distributed"/>
    </xf>
    <xf numFmtId="0" fontId="4" fillId="0" borderId="0" xfId="0" applyNumberFormat="1" applyFont="1" applyBorder="1" applyAlignment="1">
      <alignment horizontal="center" vertical="distributed"/>
    </xf>
    <xf numFmtId="0" fontId="9" fillId="0" borderId="0" xfId="0" applyNumberFormat="1" applyFont="1" applyBorder="1" applyAlignment="1">
      <alignment horizontal="center" vertical="distributed"/>
    </xf>
    <xf numFmtId="0" fontId="3" fillId="5" borderId="5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distributed"/>
    </xf>
    <xf numFmtId="0" fontId="3" fillId="12" borderId="1" xfId="0" applyNumberFormat="1" applyFont="1" applyFill="1" applyBorder="1" applyAlignment="1">
      <alignment horizontal="center" vertical="distributed"/>
    </xf>
    <xf numFmtId="0" fontId="3" fillId="13" borderId="5" xfId="0" applyNumberFormat="1" applyFont="1" applyFill="1" applyBorder="1" applyAlignment="1">
      <alignment horizontal="center" vertical="distributed"/>
    </xf>
    <xf numFmtId="0" fontId="3" fillId="3" borderId="1" xfId="0" applyNumberFormat="1" applyFont="1" applyFill="1" applyBorder="1" applyAlignment="1">
      <alignment horizontal="center" vertical="distributed"/>
    </xf>
    <xf numFmtId="4" fontId="0" fillId="0" borderId="0" xfId="0" applyNumberFormat="1"/>
    <xf numFmtId="9" fontId="4" fillId="0" borderId="1" xfId="0" applyNumberFormat="1" applyFont="1" applyBorder="1" applyAlignment="1">
      <alignment horizontal="justify" vertical="distributed"/>
    </xf>
    <xf numFmtId="0" fontId="4" fillId="3" borderId="2" xfId="0" applyNumberFormat="1" applyFont="1" applyFill="1" applyBorder="1" applyAlignment="1">
      <alignment horizontal="justify" vertical="distributed"/>
    </xf>
    <xf numFmtId="17" fontId="4" fillId="0" borderId="3" xfId="0" applyNumberFormat="1" applyFont="1" applyBorder="1" applyAlignment="1">
      <alignment horizontal="justify" vertical="distributed"/>
    </xf>
    <xf numFmtId="0" fontId="4" fillId="0" borderId="3" xfId="0" applyNumberFormat="1" applyFont="1" applyBorder="1" applyAlignment="1">
      <alignment horizontal="justify" vertical="distributed"/>
    </xf>
    <xf numFmtId="0" fontId="3" fillId="12" borderId="3" xfId="0" applyNumberFormat="1" applyFont="1" applyFill="1" applyBorder="1" applyAlignment="1">
      <alignment horizontal="justify" vertical="distributed"/>
    </xf>
    <xf numFmtId="17" fontId="4" fillId="0" borderId="24" xfId="0" applyNumberFormat="1" applyFont="1" applyFill="1" applyBorder="1" applyAlignment="1">
      <alignment horizontal="justify" vertical="distributed"/>
    </xf>
    <xf numFmtId="0" fontId="4" fillId="0" borderId="24" xfId="0" applyNumberFormat="1" applyFont="1" applyBorder="1" applyAlignment="1">
      <alignment horizontal="justify" vertical="distributed"/>
    </xf>
    <xf numFmtId="0" fontId="6" fillId="0" borderId="24" xfId="0" applyNumberFormat="1" applyFont="1" applyBorder="1" applyAlignment="1">
      <alignment horizontal="left" vertical="center" wrapText="1"/>
    </xf>
    <xf numFmtId="0" fontId="9" fillId="5" borderId="1" xfId="0" applyNumberFormat="1" applyFont="1" applyFill="1" applyBorder="1" applyAlignment="1">
      <alignment vertical="center" wrapText="1"/>
    </xf>
    <xf numFmtId="0" fontId="9" fillId="5" borderId="1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17" fontId="4" fillId="0" borderId="1" xfId="0" applyNumberFormat="1" applyFont="1" applyFill="1" applyBorder="1" applyAlignment="1">
      <alignment horizontal="justify" vertical="distributed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justify" vertical="distributed"/>
    </xf>
    <xf numFmtId="9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4" fillId="0" borderId="0" xfId="0" applyNumberFormat="1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6" fillId="0" borderId="0" xfId="0" applyFont="1"/>
    <xf numFmtId="3" fontId="3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3" fontId="3" fillId="0" borderId="1" xfId="0" applyNumberFormat="1" applyFont="1" applyBorder="1" applyAlignment="1" applyProtection="1">
      <alignment wrapText="1"/>
      <protection locked="0"/>
    </xf>
    <xf numFmtId="0" fontId="4" fillId="0" borderId="44" xfId="0" applyFont="1" applyBorder="1"/>
    <xf numFmtId="3" fontId="4" fillId="0" borderId="45" xfId="0" applyNumberFormat="1" applyFont="1" applyBorder="1"/>
    <xf numFmtId="0" fontId="4" fillId="0" borderId="45" xfId="0" applyFont="1" applyBorder="1"/>
    <xf numFmtId="0" fontId="21" fillId="14" borderId="1" xfId="0" applyFont="1" applyFill="1" applyBorder="1" applyAlignment="1" applyProtection="1">
      <protection locked="0"/>
    </xf>
    <xf numFmtId="3" fontId="21" fillId="14" borderId="1" xfId="0" applyNumberFormat="1" applyFont="1" applyFill="1" applyBorder="1" applyAlignment="1" applyProtection="1">
      <protection locked="0"/>
    </xf>
    <xf numFmtId="0" fontId="4" fillId="0" borderId="0" xfId="0" applyFont="1" applyBorder="1"/>
    <xf numFmtId="0" fontId="3" fillId="8" borderId="1" xfId="0" applyFont="1" applyFill="1" applyBorder="1" applyAlignment="1" applyProtection="1">
      <protection locked="0"/>
    </xf>
    <xf numFmtId="0" fontId="4" fillId="8" borderId="1" xfId="0" applyFont="1" applyFill="1" applyBorder="1" applyAlignment="1" applyProtection="1">
      <alignment horizontal="center" wrapText="1"/>
      <protection locked="0"/>
    </xf>
    <xf numFmtId="3" fontId="4" fillId="8" borderId="1" xfId="0" applyNumberFormat="1" applyFont="1" applyFill="1" applyBorder="1" applyAlignment="1" applyProtection="1">
      <alignment wrapText="1"/>
      <protection locked="0"/>
    </xf>
    <xf numFmtId="0" fontId="4" fillId="3" borderId="0" xfId="0" applyFont="1" applyFill="1"/>
    <xf numFmtId="0" fontId="4" fillId="3" borderId="1" xfId="0" applyFont="1" applyFill="1" applyBorder="1" applyAlignment="1" applyProtection="1"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3" fontId="4" fillId="3" borderId="1" xfId="0" applyNumberFormat="1" applyFont="1" applyFill="1" applyBorder="1" applyAlignment="1" applyProtection="1">
      <protection locked="0"/>
    </xf>
    <xf numFmtId="0" fontId="4" fillId="3" borderId="0" xfId="0" applyFont="1" applyFill="1" applyAlignment="1"/>
    <xf numFmtId="3" fontId="4" fillId="2" borderId="1" xfId="0" applyNumberFormat="1" applyFont="1" applyFill="1" applyBorder="1" applyAlignment="1" applyProtection="1">
      <protection locked="0"/>
    </xf>
    <xf numFmtId="164" fontId="4" fillId="0" borderId="1" xfId="0" applyNumberFormat="1" applyFont="1" applyFill="1" applyBorder="1" applyAlignment="1" applyProtection="1">
      <protection locked="0"/>
    </xf>
    <xf numFmtId="164" fontId="4" fillId="2" borderId="1" xfId="0" applyNumberFormat="1" applyFont="1" applyFill="1" applyBorder="1" applyAlignment="1" applyProtection="1">
      <protection locked="0"/>
    </xf>
    <xf numFmtId="0" fontId="4" fillId="8" borderId="1" xfId="0" applyFont="1" applyFill="1" applyBorder="1" applyAlignment="1" applyProtection="1"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3" fontId="4" fillId="8" borderId="1" xfId="0" applyNumberFormat="1" applyFont="1" applyFill="1" applyBorder="1" applyAlignment="1" applyProtection="1"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164" fontId="21" fillId="14" borderId="1" xfId="0" applyNumberFormat="1" applyFont="1" applyFill="1" applyBorder="1" applyAlignment="1" applyProtection="1">
      <protection locked="0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8" fillId="14" borderId="1" xfId="0" applyFont="1" applyFill="1" applyBorder="1" applyAlignment="1" applyProtection="1">
      <protection locked="0"/>
    </xf>
    <xf numFmtId="0" fontId="19" fillId="14" borderId="1" xfId="0" applyFont="1" applyFill="1" applyBorder="1" applyAlignment="1" applyProtection="1">
      <protection locked="0"/>
    </xf>
    <xf numFmtId="0" fontId="19" fillId="14" borderId="1" xfId="0" applyFont="1" applyFill="1" applyBorder="1" applyAlignment="1" applyProtection="1">
      <alignment horizontal="center"/>
      <protection locked="0"/>
    </xf>
    <xf numFmtId="0" fontId="20" fillId="0" borderId="1" xfId="0" applyFont="1" applyBorder="1" applyAlignment="1" applyProtection="1">
      <protection locked="0"/>
    </xf>
    <xf numFmtId="0" fontId="4" fillId="0" borderId="1" xfId="0" applyFont="1" applyBorder="1" applyAlignment="1" applyProtection="1">
      <protection locked="0"/>
    </xf>
    <xf numFmtId="0" fontId="4" fillId="3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>
      <alignment horizontal="left"/>
    </xf>
    <xf numFmtId="0" fontId="17" fillId="3" borderId="1" xfId="0" applyFont="1" applyFill="1" applyBorder="1" applyAlignment="1" applyProtection="1"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lef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3" fontId="5" fillId="0" borderId="1" xfId="0" applyNumberFormat="1" applyFont="1" applyFill="1" applyBorder="1"/>
    <xf numFmtId="3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justify" vertical="distributed"/>
    </xf>
    <xf numFmtId="1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22" fillId="3" borderId="1" xfId="0" applyNumberFormat="1" applyFont="1" applyFill="1" applyBorder="1" applyAlignment="1">
      <alignment horizontal="justify" vertical="distributed"/>
    </xf>
    <xf numFmtId="0" fontId="22" fillId="0" borderId="1" xfId="0" applyNumberFormat="1" applyFont="1" applyBorder="1" applyAlignment="1">
      <alignment horizontal="justify" vertical="distributed"/>
    </xf>
    <xf numFmtId="0" fontId="22" fillId="0" borderId="1" xfId="0" applyNumberFormat="1" applyFont="1" applyBorder="1" applyAlignment="1">
      <alignment horizontal="left" vertical="center" wrapText="1"/>
    </xf>
    <xf numFmtId="0" fontId="22" fillId="0" borderId="1" xfId="0" applyNumberFormat="1" applyFont="1" applyFill="1" applyBorder="1" applyAlignment="1">
      <alignment horizontal="justify" vertical="distributed"/>
    </xf>
    <xf numFmtId="9" fontId="22" fillId="0" borderId="1" xfId="0" applyNumberFormat="1" applyFont="1" applyFill="1" applyBorder="1" applyAlignment="1">
      <alignment horizontal="center" vertical="distributed"/>
    </xf>
    <xf numFmtId="0" fontId="22" fillId="0" borderId="24" xfId="0" applyNumberFormat="1" applyFont="1" applyBorder="1" applyAlignment="1">
      <alignment horizontal="left" vertical="center"/>
    </xf>
    <xf numFmtId="0" fontId="22" fillId="0" borderId="6" xfId="0" applyNumberFormat="1" applyFont="1" applyBorder="1" applyAlignment="1">
      <alignment horizontal="left" vertical="center"/>
    </xf>
    <xf numFmtId="0" fontId="22" fillId="0" borderId="7" xfId="0" applyNumberFormat="1" applyFont="1" applyBorder="1" applyAlignment="1">
      <alignment horizontal="left" vertical="center"/>
    </xf>
    <xf numFmtId="0" fontId="22" fillId="0" borderId="1" xfId="0" applyNumberFormat="1" applyFont="1" applyBorder="1" applyAlignment="1">
      <alignment horizontal="left" vertical="center"/>
    </xf>
    <xf numFmtId="0" fontId="22" fillId="0" borderId="22" xfId="0" applyNumberFormat="1" applyFont="1" applyBorder="1" applyAlignment="1">
      <alignment horizontal="left" vertical="center"/>
    </xf>
    <xf numFmtId="0" fontId="22" fillId="0" borderId="0" xfId="0" applyNumberFormat="1" applyFont="1" applyAlignment="1">
      <alignment horizontal="justify" vertical="distributed"/>
    </xf>
    <xf numFmtId="0" fontId="22" fillId="3" borderId="2" xfId="0" applyNumberFormat="1" applyFont="1" applyFill="1" applyBorder="1" applyAlignment="1">
      <alignment horizontal="justify" vertical="distributed"/>
    </xf>
    <xf numFmtId="3" fontId="22" fillId="0" borderId="1" xfId="0" applyNumberFormat="1" applyFont="1" applyBorder="1" applyAlignment="1">
      <alignment horizontal="right" vertical="distributed"/>
    </xf>
    <xf numFmtId="0" fontId="22" fillId="0" borderId="1" xfId="0" applyNumberFormat="1" applyFont="1" applyFill="1" applyBorder="1" applyAlignment="1">
      <alignment horizontal="center" vertical="distributed"/>
    </xf>
    <xf numFmtId="0" fontId="22" fillId="3" borderId="1" xfId="0" applyNumberFormat="1" applyFont="1" applyFill="1" applyBorder="1" applyAlignment="1">
      <alignment horizontal="left" vertical="center" wrapText="1"/>
    </xf>
    <xf numFmtId="9" fontId="22" fillId="0" borderId="1" xfId="0" applyNumberFormat="1" applyFont="1" applyBorder="1" applyAlignment="1">
      <alignment horizontal="justify" vertical="distributed"/>
    </xf>
    <xf numFmtId="17" fontId="22" fillId="0" borderId="1" xfId="0" applyNumberFormat="1" applyFont="1" applyFill="1" applyBorder="1" applyAlignment="1">
      <alignment horizontal="justify" vertical="distributed"/>
    </xf>
    <xf numFmtId="17" fontId="22" fillId="0" borderId="24" xfId="0" applyNumberFormat="1" applyFont="1" applyFill="1" applyBorder="1" applyAlignment="1">
      <alignment horizontal="justify" vertical="distributed"/>
    </xf>
    <xf numFmtId="17" fontId="22" fillId="0" borderId="6" xfId="0" applyNumberFormat="1" applyFont="1" applyBorder="1" applyAlignment="1">
      <alignment horizontal="justify" vertical="distributed"/>
    </xf>
    <xf numFmtId="0" fontId="22" fillId="0" borderId="7" xfId="0" applyNumberFormat="1" applyFont="1" applyBorder="1" applyAlignment="1">
      <alignment horizontal="justify" vertical="distributed"/>
    </xf>
    <xf numFmtId="0" fontId="22" fillId="0" borderId="18" xfId="0" applyNumberFormat="1" applyFont="1" applyBorder="1" applyAlignment="1">
      <alignment horizontal="left" vertical="center"/>
    </xf>
    <xf numFmtId="17" fontId="22" fillId="0" borderId="3" xfId="0" applyNumberFormat="1" applyFont="1" applyBorder="1" applyAlignment="1">
      <alignment horizontal="justify" vertical="distributed"/>
    </xf>
    <xf numFmtId="0" fontId="22" fillId="0" borderId="2" xfId="0" applyNumberFormat="1" applyFont="1" applyBorder="1" applyAlignment="1">
      <alignment horizontal="justify" vertical="distributed"/>
    </xf>
    <xf numFmtId="0" fontId="22" fillId="0" borderId="25" xfId="0" applyNumberFormat="1" applyFont="1" applyBorder="1" applyAlignment="1">
      <alignment horizontal="left" vertical="center"/>
    </xf>
    <xf numFmtId="0" fontId="22" fillId="0" borderId="4" xfId="0" applyNumberFormat="1" applyFont="1" applyBorder="1" applyAlignment="1">
      <alignment horizontal="left" vertical="center"/>
    </xf>
    <xf numFmtId="0" fontId="22" fillId="0" borderId="8" xfId="0" applyNumberFormat="1" applyFont="1" applyBorder="1" applyAlignment="1">
      <alignment horizontal="left" vertical="center"/>
    </xf>
    <xf numFmtId="16" fontId="4" fillId="0" borderId="1" xfId="0" applyNumberFormat="1" applyFont="1" applyBorder="1" applyAlignment="1">
      <alignment horizontal="justify" vertical="distributed"/>
    </xf>
    <xf numFmtId="17" fontId="4" fillId="0" borderId="6" xfId="0" quotePrefix="1" applyNumberFormat="1" applyFont="1" applyBorder="1" applyAlignment="1">
      <alignment horizontal="justify" vertical="distributed"/>
    </xf>
    <xf numFmtId="0" fontId="4" fillId="0" borderId="6" xfId="0" quotePrefix="1" applyNumberFormat="1" applyFont="1" applyBorder="1" applyAlignment="1">
      <alignment horizontal="justify" vertical="distributed"/>
    </xf>
    <xf numFmtId="0" fontId="4" fillId="0" borderId="1" xfId="0" applyNumberFormat="1" applyFont="1" applyBorder="1" applyAlignment="1">
      <alignment horizontal="justify" vertical="distributed"/>
    </xf>
    <xf numFmtId="0" fontId="0" fillId="0" borderId="1" xfId="0" applyFont="1" applyFill="1" applyBorder="1" applyAlignment="1"/>
    <xf numFmtId="0" fontId="5" fillId="0" borderId="1" xfId="0" applyFont="1" applyBorder="1"/>
    <xf numFmtId="0" fontId="5" fillId="2" borderId="1" xfId="0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ont="1" applyFill="1" applyBorder="1" applyAlignment="1">
      <alignment horizontal="right" vertical="center" wrapText="1"/>
    </xf>
    <xf numFmtId="0" fontId="0" fillId="9" borderId="1" xfId="0" applyFill="1" applyBorder="1"/>
    <xf numFmtId="0" fontId="5" fillId="9" borderId="1" xfId="0" applyFont="1" applyFill="1" applyBorder="1" applyAlignment="1">
      <alignment horizontal="center"/>
    </xf>
    <xf numFmtId="0" fontId="5" fillId="11" borderId="1" xfId="0" applyFont="1" applyFill="1" applyBorder="1" applyAlignment="1"/>
    <xf numFmtId="3" fontId="0" fillId="11" borderId="1" xfId="0" applyNumberFormat="1" applyFill="1" applyBorder="1" applyAlignment="1">
      <alignment horizontal="right"/>
    </xf>
    <xf numFmtId="0" fontId="5" fillId="15" borderId="1" xfId="0" applyFont="1" applyFill="1" applyBorder="1" applyAlignment="1"/>
    <xf numFmtId="3" fontId="0" fillId="15" borderId="1" xfId="0" applyNumberFormat="1" applyFill="1" applyBorder="1" applyAlignment="1">
      <alignment horizontal="right"/>
    </xf>
    <xf numFmtId="3" fontId="5" fillId="15" borderId="1" xfId="0" applyNumberFormat="1" applyFont="1" applyFill="1" applyBorder="1" applyAlignment="1">
      <alignment horizontal="right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9" xfId="0" applyFill="1" applyBorder="1" applyAlignment="1" applyProtection="1">
      <alignment vertical="center" wrapText="1"/>
      <protection locked="0"/>
    </xf>
    <xf numFmtId="0" fontId="0" fillId="3" borderId="6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0" fillId="15" borderId="6" xfId="0" applyFill="1" applyBorder="1" applyAlignment="1" applyProtection="1">
      <alignment horizontal="center" vertical="center" wrapText="1"/>
      <protection locked="0"/>
    </xf>
    <xf numFmtId="0" fontId="0" fillId="15" borderId="6" xfId="0" applyFill="1" applyBorder="1" applyAlignment="1">
      <alignment horizontal="left" vertical="center" wrapText="1"/>
    </xf>
    <xf numFmtId="3" fontId="0" fillId="15" borderId="1" xfId="0" applyNumberFormat="1" applyFill="1" applyBorder="1" applyAlignment="1">
      <alignment horizontal="right" vertical="center" wrapText="1"/>
    </xf>
    <xf numFmtId="3" fontId="0" fillId="15" borderId="1" xfId="0" applyNumberFormat="1" applyFont="1" applyFill="1" applyBorder="1" applyAlignment="1">
      <alignment horizontal="center" vertical="center" wrapText="1"/>
    </xf>
    <xf numFmtId="0" fontId="0" fillId="11" borderId="6" xfId="0" applyFill="1" applyBorder="1" applyAlignment="1" applyProtection="1">
      <alignment horizontal="center" vertical="center" wrapText="1"/>
      <protection locked="0"/>
    </xf>
    <xf numFmtId="0" fontId="0" fillId="11" borderId="1" xfId="0" applyFill="1" applyBorder="1" applyAlignment="1">
      <alignment horizontal="left" vertical="center" wrapText="1"/>
    </xf>
    <xf numFmtId="3" fontId="0" fillId="11" borderId="1" xfId="0" applyNumberFormat="1" applyFill="1" applyBorder="1" applyAlignment="1">
      <alignment horizontal="right" vertical="center" wrapText="1"/>
    </xf>
    <xf numFmtId="3" fontId="0" fillId="11" borderId="1" xfId="0" applyNumberFormat="1" applyFont="1" applyFill="1" applyBorder="1" applyAlignment="1">
      <alignment horizontal="center" vertical="center" wrapText="1"/>
    </xf>
    <xf numFmtId="0" fontId="7" fillId="11" borderId="6" xfId="0" applyFont="1" applyFill="1" applyBorder="1" applyAlignment="1" applyProtection="1">
      <alignment horizontal="center" vertical="center" wrapText="1"/>
      <protection locked="0"/>
    </xf>
    <xf numFmtId="3" fontId="7" fillId="11" borderId="1" xfId="0" applyNumberFormat="1" applyFont="1" applyFill="1" applyBorder="1" applyAlignment="1">
      <alignment horizontal="right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left" vertical="center" wrapText="1" indent="2"/>
    </xf>
    <xf numFmtId="0" fontId="0" fillId="15" borderId="6" xfId="0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justify" vertical="distributed"/>
    </xf>
    <xf numFmtId="0" fontId="6" fillId="0" borderId="1" xfId="0" applyNumberFormat="1" applyFont="1" applyBorder="1" applyAlignment="1">
      <alignment horizontal="left" vertical="center" wrapText="1"/>
    </xf>
    <xf numFmtId="9" fontId="0" fillId="0" borderId="0" xfId="0" applyNumberFormat="1"/>
    <xf numFmtId="0" fontId="4" fillId="0" borderId="1" xfId="0" applyNumberFormat="1" applyFont="1" applyBorder="1" applyAlignment="1">
      <alignment horizontal="justify" vertical="distributed"/>
    </xf>
    <xf numFmtId="0" fontId="4" fillId="0" borderId="1" xfId="0" applyNumberFormat="1" applyFont="1" applyBorder="1" applyAlignment="1">
      <alignment horizontal="left" vertical="center" wrapText="1"/>
    </xf>
    <xf numFmtId="0" fontId="22" fillId="0" borderId="10" xfId="0" applyNumberFormat="1" applyFont="1" applyBorder="1" applyAlignment="1">
      <alignment horizontal="left" vertical="center"/>
    </xf>
    <xf numFmtId="0" fontId="22" fillId="0" borderId="9" xfId="0" applyNumberFormat="1" applyFont="1" applyBorder="1" applyAlignment="1">
      <alignment horizontal="left" vertical="center"/>
    </xf>
    <xf numFmtId="0" fontId="22" fillId="0" borderId="11" xfId="0" applyNumberFormat="1" applyFont="1" applyBorder="1" applyAlignment="1">
      <alignment horizontal="left" vertical="center"/>
    </xf>
    <xf numFmtId="3" fontId="6" fillId="0" borderId="6" xfId="0" applyNumberFormat="1" applyFont="1" applyBorder="1" applyAlignment="1">
      <alignment horizontal="right" vertical="distributed"/>
    </xf>
    <xf numFmtId="0" fontId="6" fillId="0" borderId="1" xfId="0" applyNumberFormat="1" applyFont="1" applyBorder="1" applyAlignment="1">
      <alignment horizontal="center" vertical="distributed"/>
    </xf>
    <xf numFmtId="0" fontId="6" fillId="0" borderId="1" xfId="0" applyNumberFormat="1" applyFont="1" applyFill="1" applyBorder="1" applyAlignment="1">
      <alignment vertical="distributed"/>
    </xf>
    <xf numFmtId="0" fontId="6" fillId="0" borderId="1" xfId="0" applyNumberFormat="1" applyFont="1" applyFill="1" applyBorder="1" applyAlignment="1">
      <alignment horizontal="left" vertical="distributed"/>
    </xf>
    <xf numFmtId="0" fontId="6" fillId="3" borderId="1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distributed"/>
    </xf>
    <xf numFmtId="0" fontId="9" fillId="0" borderId="6" xfId="0" applyNumberFormat="1" applyFont="1" applyFill="1" applyBorder="1" applyAlignment="1">
      <alignment vertical="distributed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justify" vertical="distributed"/>
    </xf>
    <xf numFmtId="9" fontId="6" fillId="0" borderId="1" xfId="0" applyNumberFormat="1" applyFont="1" applyFill="1" applyBorder="1" applyAlignment="1">
      <alignment horizontal="center" vertical="distributed"/>
    </xf>
    <xf numFmtId="0" fontId="9" fillId="0" borderId="24" xfId="0" applyNumberFormat="1" applyFont="1" applyFill="1" applyBorder="1" applyAlignment="1">
      <alignment vertical="distributed"/>
    </xf>
    <xf numFmtId="0" fontId="6" fillId="0" borderId="1" xfId="0" applyNumberFormat="1" applyFont="1" applyFill="1" applyBorder="1" applyAlignment="1">
      <alignment horizontal="justify" vertical="distributed"/>
    </xf>
    <xf numFmtId="0" fontId="6" fillId="3" borderId="6" xfId="0" applyNumberFormat="1" applyFont="1" applyFill="1" applyBorder="1" applyAlignment="1">
      <alignment vertical="distributed"/>
    </xf>
    <xf numFmtId="0" fontId="6" fillId="3" borderId="6" xfId="0" applyNumberFormat="1" applyFont="1" applyFill="1" applyBorder="1" applyAlignment="1">
      <alignment horizontal="justify" vertical="distributed"/>
    </xf>
    <xf numFmtId="0" fontId="6" fillId="0" borderId="1" xfId="0" quotePrefix="1" applyNumberFormat="1" applyFont="1" applyFill="1" applyBorder="1" applyAlignment="1">
      <alignment horizontal="justify" vertical="distributed"/>
    </xf>
    <xf numFmtId="0" fontId="6" fillId="0" borderId="2" xfId="0" applyNumberFormat="1" applyFont="1" applyFill="1" applyBorder="1" applyAlignment="1">
      <alignment horizontal="justify" vertical="distributed"/>
    </xf>
    <xf numFmtId="0" fontId="6" fillId="3" borderId="1" xfId="0" applyNumberFormat="1" applyFont="1" applyFill="1" applyBorder="1" applyAlignment="1">
      <alignment horizontal="justify" vertical="distributed"/>
    </xf>
    <xf numFmtId="17" fontId="6" fillId="3" borderId="1" xfId="0" applyNumberFormat="1" applyFont="1" applyFill="1" applyBorder="1" applyAlignment="1">
      <alignment horizontal="justify" vertical="distributed"/>
    </xf>
    <xf numFmtId="0" fontId="6" fillId="3" borderId="1" xfId="0" quotePrefix="1" applyNumberFormat="1" applyFont="1" applyFill="1" applyBorder="1" applyAlignment="1">
      <alignment horizontal="justify" vertical="distributed"/>
    </xf>
    <xf numFmtId="0" fontId="6" fillId="0" borderId="1" xfId="0" applyNumberFormat="1" applyFont="1" applyFill="1" applyBorder="1" applyAlignment="1">
      <alignment horizontal="center" vertical="distributed"/>
    </xf>
    <xf numFmtId="17" fontId="6" fillId="0" borderId="1" xfId="0" applyNumberFormat="1" applyFont="1" applyFill="1" applyBorder="1" applyAlignment="1">
      <alignment horizontal="justify" vertical="distributed"/>
    </xf>
    <xf numFmtId="17" fontId="6" fillId="0" borderId="3" xfId="0" applyNumberFormat="1" applyFont="1" applyBorder="1" applyAlignment="1">
      <alignment horizontal="justify" vertical="distributed"/>
    </xf>
    <xf numFmtId="17" fontId="6" fillId="0" borderId="6" xfId="0" applyNumberFormat="1" applyFont="1" applyBorder="1" applyAlignment="1">
      <alignment horizontal="justify" vertical="distributed"/>
    </xf>
    <xf numFmtId="17" fontId="6" fillId="0" borderId="6" xfId="0" quotePrefix="1" applyNumberFormat="1" applyFont="1" applyBorder="1" applyAlignment="1">
      <alignment horizontal="justify" vertical="distributed"/>
    </xf>
    <xf numFmtId="0" fontId="6" fillId="0" borderId="7" xfId="0" applyNumberFormat="1" applyFont="1" applyBorder="1" applyAlignment="1">
      <alignment horizontal="justify" vertical="distributed"/>
    </xf>
    <xf numFmtId="0" fontId="6" fillId="0" borderId="2" xfId="0" applyNumberFormat="1" applyFont="1" applyBorder="1" applyAlignment="1">
      <alignment horizontal="justify" vertical="distributed"/>
    </xf>
    <xf numFmtId="0" fontId="6" fillId="3" borderId="2" xfId="0" applyNumberFormat="1" applyFont="1" applyFill="1" applyBorder="1" applyAlignment="1">
      <alignment horizontal="justify" vertical="distributed"/>
    </xf>
    <xf numFmtId="3" fontId="6" fillId="0" borderId="1" xfId="0" applyNumberFormat="1" applyFont="1" applyBorder="1" applyAlignment="1">
      <alignment horizontal="right" vertical="distributed"/>
    </xf>
    <xf numFmtId="9" fontId="6" fillId="0" borderId="1" xfId="0" applyNumberFormat="1" applyFont="1" applyBorder="1" applyAlignment="1">
      <alignment horizontal="justify" vertical="distributed"/>
    </xf>
    <xf numFmtId="16" fontId="6" fillId="0" borderId="1" xfId="0" applyNumberFormat="1" applyFont="1" applyBorder="1" applyAlignment="1">
      <alignment horizontal="justify" vertical="distributed"/>
    </xf>
    <xf numFmtId="17" fontId="6" fillId="0" borderId="24" xfId="0" applyNumberFormat="1" applyFont="1" applyFill="1" applyBorder="1" applyAlignment="1">
      <alignment horizontal="justify" vertical="distributed"/>
    </xf>
    <xf numFmtId="0" fontId="6" fillId="3" borderId="1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right" vertical="distributed"/>
    </xf>
    <xf numFmtId="9" fontId="6" fillId="3" borderId="1" xfId="0" applyNumberFormat="1" applyFont="1" applyFill="1" applyBorder="1" applyAlignment="1">
      <alignment horizontal="center" vertical="distributed"/>
    </xf>
    <xf numFmtId="0" fontId="6" fillId="0" borderId="4" xfId="0" applyNumberFormat="1" applyFont="1" applyBorder="1" applyAlignment="1">
      <alignment horizontal="justify" vertical="distributed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4" fillId="3" borderId="1" xfId="0" applyFont="1" applyFill="1" applyBorder="1"/>
    <xf numFmtId="0" fontId="25" fillId="3" borderId="1" xfId="0" applyFont="1" applyFill="1" applyBorder="1" applyAlignment="1">
      <alignment horizontal="center" vertical="center"/>
    </xf>
    <xf numFmtId="43" fontId="25" fillId="3" borderId="1" xfId="5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vertical="center"/>
    </xf>
    <xf numFmtId="0" fontId="26" fillId="3" borderId="1" xfId="0" applyFont="1" applyFill="1" applyBorder="1" applyAlignment="1">
      <alignment horizontal="center" vertical="center"/>
    </xf>
    <xf numFmtId="43" fontId="0" fillId="3" borderId="1" xfId="5" applyFont="1" applyFill="1" applyBorder="1" applyAlignment="1">
      <alignment horizontal="center"/>
    </xf>
    <xf numFmtId="0" fontId="26" fillId="3" borderId="1" xfId="0" applyFont="1" applyFill="1" applyBorder="1" applyAlignment="1">
      <alignment vertical="center" wrapText="1"/>
    </xf>
    <xf numFmtId="43" fontId="0" fillId="3" borderId="1" xfId="5" applyFont="1" applyFill="1" applyBorder="1" applyAlignment="1">
      <alignment horizontal="center" vertical="center"/>
    </xf>
    <xf numFmtId="0" fontId="24" fillId="3" borderId="0" xfId="0" applyFont="1" applyFill="1"/>
    <xf numFmtId="43" fontId="0" fillId="3" borderId="0" xfId="5" applyFont="1" applyFill="1"/>
    <xf numFmtId="0" fontId="15" fillId="3" borderId="2" xfId="0" applyFont="1" applyFill="1" applyBorder="1"/>
    <xf numFmtId="0" fontId="24" fillId="3" borderId="5" xfId="0" applyFont="1" applyFill="1" applyBorder="1"/>
    <xf numFmtId="43" fontId="27" fillId="3" borderId="46" xfId="5" applyFont="1" applyFill="1" applyBorder="1"/>
    <xf numFmtId="3" fontId="7" fillId="0" borderId="1" xfId="0" applyNumberFormat="1" applyFont="1" applyBorder="1" applyAlignment="1">
      <alignment horizontal="left" inden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left" wrapText="1"/>
      <protection locked="0"/>
    </xf>
    <xf numFmtId="0" fontId="6" fillId="0" borderId="42" xfId="0" applyNumberFormat="1" applyFont="1" applyBorder="1" applyAlignment="1">
      <alignment horizontal="left" vertical="center"/>
    </xf>
    <xf numFmtId="0" fontId="6" fillId="0" borderId="43" xfId="0" applyNumberFormat="1" applyFont="1" applyBorder="1" applyAlignment="1">
      <alignment horizontal="left" vertical="center"/>
    </xf>
    <xf numFmtId="0" fontId="3" fillId="6" borderId="5" xfId="0" applyNumberFormat="1" applyFont="1" applyFill="1" applyBorder="1" applyAlignment="1">
      <alignment horizontal="left" vertical="distributed"/>
    </xf>
    <xf numFmtId="0" fontId="3" fillId="6" borderId="3" xfId="0" applyNumberFormat="1" applyFont="1" applyFill="1" applyBorder="1" applyAlignment="1">
      <alignment horizontal="left" vertical="distributed"/>
    </xf>
    <xf numFmtId="0" fontId="9" fillId="8" borderId="2" xfId="0" applyNumberFormat="1" applyFont="1" applyFill="1" applyBorder="1" applyAlignment="1">
      <alignment horizontal="center" vertical="center" wrapText="1"/>
    </xf>
    <xf numFmtId="0" fontId="9" fillId="8" borderId="5" xfId="0" applyNumberFormat="1" applyFont="1" applyFill="1" applyBorder="1" applyAlignment="1">
      <alignment horizontal="center" vertical="center" wrapText="1"/>
    </xf>
    <xf numFmtId="0" fontId="9" fillId="8" borderId="3" xfId="0" applyNumberFormat="1" applyFont="1" applyFill="1" applyBorder="1" applyAlignment="1">
      <alignment horizontal="center" vertical="center" wrapText="1"/>
    </xf>
    <xf numFmtId="0" fontId="9" fillId="8" borderId="37" xfId="0" applyNumberFormat="1" applyFont="1" applyFill="1" applyBorder="1" applyAlignment="1">
      <alignment horizontal="center" vertical="center" wrapText="1"/>
    </xf>
    <xf numFmtId="0" fontId="9" fillId="8" borderId="20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35" xfId="0" applyNumberFormat="1" applyFont="1" applyBorder="1" applyAlignment="1">
      <alignment horizontal="left" vertical="center"/>
    </xf>
    <xf numFmtId="0" fontId="6" fillId="0" borderId="5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left" vertical="center"/>
    </xf>
    <xf numFmtId="0" fontId="13" fillId="0" borderId="40" xfId="0" applyNumberFormat="1" applyFont="1" applyBorder="1" applyAlignment="1">
      <alignment horizontal="left" vertical="center" wrapText="1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42" xfId="0" applyNumberFormat="1" applyFont="1" applyBorder="1" applyAlignment="1">
      <alignment horizontal="left" vertical="center"/>
    </xf>
    <xf numFmtId="0" fontId="4" fillId="0" borderId="43" xfId="0" applyNumberFormat="1" applyFont="1" applyBorder="1" applyAlignment="1">
      <alignment horizontal="left" vertical="center"/>
    </xf>
    <xf numFmtId="0" fontId="9" fillId="8" borderId="8" xfId="0" applyNumberFormat="1" applyFont="1" applyFill="1" applyBorder="1" applyAlignment="1">
      <alignment horizontal="center" vertical="center" wrapText="1"/>
    </xf>
    <xf numFmtId="0" fontId="9" fillId="8" borderId="29" xfId="0" applyNumberFormat="1" applyFont="1" applyFill="1" applyBorder="1" applyAlignment="1">
      <alignment horizontal="center" vertical="center" wrapText="1"/>
    </xf>
    <xf numFmtId="0" fontId="9" fillId="8" borderId="25" xfId="0" applyNumberFormat="1" applyFont="1" applyFill="1" applyBorder="1" applyAlignment="1">
      <alignment horizontal="center" vertical="center" wrapText="1"/>
    </xf>
    <xf numFmtId="0" fontId="9" fillId="8" borderId="1" xfId="0" applyNumberFormat="1" applyFont="1" applyFill="1" applyBorder="1" applyAlignment="1">
      <alignment horizontal="center" vertical="center" wrapText="1"/>
    </xf>
    <xf numFmtId="0" fontId="9" fillId="8" borderId="36" xfId="0" applyNumberFormat="1" applyFont="1" applyFill="1" applyBorder="1" applyAlignment="1">
      <alignment horizontal="center" vertical="center" wrapText="1"/>
    </xf>
    <xf numFmtId="0" fontId="9" fillId="8" borderId="5" xfId="0" applyNumberFormat="1" applyFont="1" applyFill="1" applyBorder="1" applyAlignment="1">
      <alignment horizontal="center" vertical="distributed"/>
    </xf>
    <xf numFmtId="0" fontId="9" fillId="8" borderId="3" xfId="0" applyNumberFormat="1" applyFont="1" applyFill="1" applyBorder="1" applyAlignment="1">
      <alignment horizontal="center" vertical="distributed"/>
    </xf>
    <xf numFmtId="0" fontId="9" fillId="4" borderId="4" xfId="0" applyNumberFormat="1" applyFont="1" applyFill="1" applyBorder="1" applyAlignment="1">
      <alignment horizontal="center" vertical="distributed"/>
    </xf>
    <xf numFmtId="0" fontId="9" fillId="4" borderId="6" xfId="0" applyNumberFormat="1" applyFont="1" applyFill="1" applyBorder="1" applyAlignment="1">
      <alignment horizontal="center" vertical="distributed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11" xfId="0" applyNumberFormat="1" applyFont="1" applyFill="1" applyBorder="1" applyAlignment="1">
      <alignment horizontal="center" vertical="center" wrapText="1"/>
    </xf>
    <xf numFmtId="0" fontId="9" fillId="8" borderId="35" xfId="0" applyNumberFormat="1" applyFont="1" applyFill="1" applyBorder="1" applyAlignment="1">
      <alignment horizontal="center" vertical="center" wrapText="1"/>
    </xf>
    <xf numFmtId="0" fontId="9" fillId="8" borderId="4" xfId="0" applyNumberFormat="1" applyFont="1" applyFill="1" applyBorder="1" applyAlignment="1">
      <alignment horizontal="center" vertical="center" wrapText="1"/>
    </xf>
    <xf numFmtId="0" fontId="9" fillId="8" borderId="9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left" vertical="center" wrapText="1"/>
    </xf>
    <xf numFmtId="0" fontId="9" fillId="4" borderId="6" xfId="0" applyNumberFormat="1" applyFont="1" applyFill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9" fillId="4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9" fillId="4" borderId="2" xfId="0" applyNumberFormat="1" applyFont="1" applyFill="1" applyBorder="1" applyAlignment="1">
      <alignment horizontal="center" vertical="distributed"/>
    </xf>
    <xf numFmtId="0" fontId="9" fillId="4" borderId="5" xfId="0" applyNumberFormat="1" applyFont="1" applyFill="1" applyBorder="1" applyAlignment="1">
      <alignment horizontal="center" vertical="distributed"/>
    </xf>
    <xf numFmtId="0" fontId="9" fillId="4" borderId="3" xfId="0" applyNumberFormat="1" applyFont="1" applyFill="1" applyBorder="1" applyAlignment="1">
      <alignment horizontal="center" vertical="distributed"/>
    </xf>
    <xf numFmtId="0" fontId="4" fillId="0" borderId="2" xfId="0" applyNumberFormat="1" applyFont="1" applyBorder="1" applyAlignment="1">
      <alignment horizontal="center" vertical="distributed"/>
    </xf>
    <xf numFmtId="0" fontId="4" fillId="0" borderId="5" xfId="0" applyNumberFormat="1" applyFont="1" applyBorder="1" applyAlignment="1">
      <alignment horizontal="center" vertical="distributed"/>
    </xf>
    <xf numFmtId="0" fontId="4" fillId="0" borderId="3" xfId="0" applyNumberFormat="1" applyFont="1" applyBorder="1" applyAlignment="1">
      <alignment horizontal="center" vertical="distributed"/>
    </xf>
    <xf numFmtId="0" fontId="9" fillId="4" borderId="2" xfId="0" applyNumberFormat="1" applyFont="1" applyFill="1" applyBorder="1" applyAlignment="1">
      <alignment horizontal="justify" vertical="distributed"/>
    </xf>
    <xf numFmtId="0" fontId="9" fillId="4" borderId="5" xfId="0" applyNumberFormat="1" applyFont="1" applyFill="1" applyBorder="1" applyAlignment="1">
      <alignment horizontal="justify" vertical="distributed"/>
    </xf>
    <xf numFmtId="0" fontId="9" fillId="4" borderId="3" xfId="0" applyNumberFormat="1" applyFont="1" applyFill="1" applyBorder="1" applyAlignment="1">
      <alignment horizontal="justify" vertical="distributed"/>
    </xf>
    <xf numFmtId="0" fontId="3" fillId="9" borderId="30" xfId="0" applyNumberFormat="1" applyFont="1" applyFill="1" applyBorder="1" applyAlignment="1">
      <alignment horizontal="center" vertical="center"/>
    </xf>
    <xf numFmtId="0" fontId="3" fillId="9" borderId="19" xfId="0" applyNumberFormat="1" applyFont="1" applyFill="1" applyBorder="1" applyAlignment="1">
      <alignment horizontal="center" vertical="center"/>
    </xf>
    <xf numFmtId="0" fontId="3" fillId="9" borderId="31" xfId="0" applyNumberFormat="1" applyFont="1" applyFill="1" applyBorder="1" applyAlignment="1">
      <alignment horizontal="center" vertical="center"/>
    </xf>
    <xf numFmtId="0" fontId="9" fillId="10" borderId="32" xfId="0" applyNumberFormat="1" applyFont="1" applyFill="1" applyBorder="1" applyAlignment="1">
      <alignment horizontal="center" vertical="center" wrapText="1"/>
    </xf>
    <xf numFmtId="0" fontId="9" fillId="10" borderId="33" xfId="0" applyNumberFormat="1" applyFont="1" applyFill="1" applyBorder="1" applyAlignment="1">
      <alignment horizontal="center" vertical="center" wrapText="1"/>
    </xf>
    <xf numFmtId="0" fontId="9" fillId="10" borderId="3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justify" vertical="distributed"/>
    </xf>
    <xf numFmtId="0" fontId="8" fillId="0" borderId="0" xfId="0" applyNumberFormat="1" applyFont="1" applyAlignment="1">
      <alignment horizontal="justify" vertical="distributed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9" fillId="4" borderId="9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23" fillId="3" borderId="2" xfId="0" applyFont="1" applyFill="1" applyBorder="1" applyAlignment="1">
      <alignment horizontal="center"/>
    </xf>
    <xf numFmtId="0" fontId="23" fillId="3" borderId="5" xfId="0" applyFont="1" applyFill="1" applyBorder="1" applyAlignment="1">
      <alignment horizontal="center"/>
    </xf>
    <xf numFmtId="0" fontId="23" fillId="3" borderId="3" xfId="0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left"/>
    </xf>
    <xf numFmtId="3" fontId="5" fillId="0" borderId="5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</cellXfs>
  <cellStyles count="6">
    <cellStyle name="Comma" xfId="5" builtinId="3"/>
    <cellStyle name="Comma 2" xfId="1"/>
    <cellStyle name="Comma 3" xfId="2"/>
    <cellStyle name="Currency 2" xfId="3"/>
    <cellStyle name="Normal" xfId="0" builtinId="0"/>
    <cellStyle name="Normal 2" xfId="4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339966"/>
      <color rgb="FF3399FF"/>
      <color rgb="FFCC9900"/>
      <color rgb="FFFFCC99"/>
      <color rgb="FFFFCC00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ri/Desktop/PE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arri\Desktop\P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afontant/AppData/Local/Microsoft/Windows/Temporary%20Internet%20Files/Content.Outlook/IY44NN9P/Pluriannual_Execution_Plan_(PEP)_and_Procurement_Plan_-_HA-L1097%20(4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.IDB/Documents/1.Tourisme/1.Execution/POA-PMR-Supervision/MT/HA-L1095_PEP-POA-PPM-PT_M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acts"/>
      <sheetName val="Résultats"/>
      <sheetName val="Produits"/>
      <sheetName val="POA"/>
      <sheetName val="PPM"/>
      <sheetName val="Detail ouvrages amont"/>
      <sheetName val="Detail SAP"/>
    </sheetNames>
    <sheetDataSet>
      <sheetData sheetId="0"/>
      <sheetData sheetId="1"/>
      <sheetData sheetId="2"/>
      <sheetData sheetId="3"/>
      <sheetData sheetId="4"/>
      <sheetData sheetId="5">
        <row r="5">
          <cell r="H5">
            <v>6.5500000000000007</v>
          </cell>
          <cell r="I5">
            <v>32.75</v>
          </cell>
          <cell r="J5">
            <v>65.5</v>
          </cell>
          <cell r="K5">
            <v>26.200000000000003</v>
          </cell>
          <cell r="L5">
            <v>0</v>
          </cell>
          <cell r="N5">
            <v>60000</v>
          </cell>
          <cell r="O5">
            <v>300000</v>
          </cell>
          <cell r="P5">
            <v>600000</v>
          </cell>
          <cell r="Q5">
            <v>240000</v>
          </cell>
        </row>
        <row r="6">
          <cell r="H6">
            <v>10.9</v>
          </cell>
          <cell r="I6">
            <v>54.5</v>
          </cell>
          <cell r="J6">
            <v>109</v>
          </cell>
          <cell r="K6">
            <v>43.6</v>
          </cell>
          <cell r="L6">
            <v>0</v>
          </cell>
          <cell r="N6">
            <v>97500</v>
          </cell>
          <cell r="O6">
            <v>487500</v>
          </cell>
          <cell r="P6">
            <v>975000</v>
          </cell>
          <cell r="Q6">
            <v>390000</v>
          </cell>
        </row>
        <row r="7">
          <cell r="H7">
            <v>6.3000000000000007</v>
          </cell>
          <cell r="I7">
            <v>31.5</v>
          </cell>
          <cell r="J7">
            <v>63</v>
          </cell>
          <cell r="K7">
            <v>25.200000000000003</v>
          </cell>
          <cell r="L7">
            <v>0</v>
          </cell>
          <cell r="N7">
            <v>58750</v>
          </cell>
          <cell r="O7">
            <v>293750</v>
          </cell>
          <cell r="P7">
            <v>587500</v>
          </cell>
          <cell r="Q7">
            <v>235000</v>
          </cell>
        </row>
        <row r="8">
          <cell r="H8">
            <v>4.8000000000000007</v>
          </cell>
          <cell r="I8">
            <v>24</v>
          </cell>
          <cell r="J8">
            <v>48</v>
          </cell>
          <cell r="K8">
            <v>19.200000000000003</v>
          </cell>
          <cell r="L8">
            <v>0</v>
          </cell>
          <cell r="N8">
            <v>47250</v>
          </cell>
          <cell r="O8">
            <v>236250</v>
          </cell>
          <cell r="P8">
            <v>472500</v>
          </cell>
          <cell r="Q8">
            <v>189000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total"/>
      <sheetName val="PEP_MT"/>
      <sheetName val="POA_MT"/>
      <sheetName val="PPM_MT"/>
      <sheetName val="PT_MT"/>
    </sheetNames>
    <sheetDataSet>
      <sheetData sheetId="0" refreshError="1"/>
      <sheetData sheetId="1" refreshError="1">
        <row r="3">
          <cell r="C3">
            <v>1</v>
          </cell>
        </row>
        <row r="11">
          <cell r="C11">
            <v>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6"/>
  <sheetViews>
    <sheetView workbookViewId="0">
      <selection activeCell="G9" sqref="G9:G10"/>
    </sheetView>
  </sheetViews>
  <sheetFormatPr defaultRowHeight="30.75" customHeight="1" x14ac:dyDescent="0.25"/>
  <cols>
    <col min="1" max="1" width="54.42578125" style="1" customWidth="1"/>
    <col min="2" max="2" width="52" style="1" customWidth="1"/>
    <col min="3" max="3" width="8" style="1" customWidth="1"/>
    <col min="4" max="5" width="9.140625" style="1" customWidth="1"/>
    <col min="6" max="6" width="7.140625" style="38" customWidth="1"/>
    <col min="7" max="7" width="10.7109375" style="1" customWidth="1"/>
    <col min="8" max="8" width="10" style="1" customWidth="1"/>
    <col min="9" max="11" width="9.140625" style="1" customWidth="1"/>
    <col min="12" max="12" width="12.5703125" style="1" customWidth="1"/>
    <col min="13" max="16384" width="9.140625" style="1"/>
  </cols>
  <sheetData>
    <row r="1" spans="1:12" ht="30.75" customHeight="1" x14ac:dyDescent="0.25">
      <c r="A1" s="3"/>
      <c r="B1" s="3"/>
      <c r="C1" s="4"/>
      <c r="D1" s="4"/>
      <c r="E1" s="4"/>
      <c r="F1" s="3"/>
      <c r="G1" s="484" t="s">
        <v>11</v>
      </c>
      <c r="H1" s="485"/>
      <c r="I1" s="485"/>
      <c r="J1" s="485"/>
      <c r="K1" s="485"/>
      <c r="L1" s="485"/>
    </row>
    <row r="2" spans="1:12" s="9" customFormat="1" ht="30.75" customHeight="1" thickBot="1" x14ac:dyDescent="0.3">
      <c r="A2" s="6" t="s">
        <v>12</v>
      </c>
      <c r="B2" s="6" t="s">
        <v>13</v>
      </c>
      <c r="C2" s="7" t="s">
        <v>4</v>
      </c>
      <c r="D2" s="7" t="s">
        <v>0</v>
      </c>
      <c r="E2" s="7" t="s">
        <v>14</v>
      </c>
      <c r="F2" s="21" t="s">
        <v>22</v>
      </c>
      <c r="G2" s="5">
        <v>2104</v>
      </c>
      <c r="H2" s="5">
        <v>2104</v>
      </c>
      <c r="I2" s="5">
        <v>2015</v>
      </c>
      <c r="J2" s="5">
        <v>2016</v>
      </c>
      <c r="K2" s="5">
        <v>2017</v>
      </c>
      <c r="L2" s="8" t="s">
        <v>15</v>
      </c>
    </row>
    <row r="3" spans="1:12" s="14" customFormat="1" ht="15.75" thickBot="1" x14ac:dyDescent="0.3">
      <c r="A3" s="10"/>
      <c r="B3" s="40"/>
      <c r="C3" s="40"/>
      <c r="D3" s="11"/>
      <c r="E3" s="12"/>
      <c r="F3" s="13"/>
      <c r="G3" s="13"/>
      <c r="H3" s="13"/>
      <c r="I3" s="13"/>
      <c r="J3" s="13"/>
      <c r="K3" s="13"/>
      <c r="L3" s="39"/>
    </row>
    <row r="4" spans="1:12" s="14" customFormat="1" ht="15.75" thickBot="1" x14ac:dyDescent="0.3">
      <c r="A4" s="10"/>
      <c r="B4" s="40"/>
      <c r="C4" s="40"/>
      <c r="D4" s="11"/>
      <c r="E4" s="15"/>
      <c r="F4" s="15"/>
      <c r="G4" s="15"/>
      <c r="H4" s="15"/>
      <c r="I4" s="15"/>
      <c r="J4" s="15"/>
      <c r="K4" s="15"/>
      <c r="L4" s="16"/>
    </row>
    <row r="5" spans="1:12" s="14" customFormat="1" ht="15.75" thickBot="1" x14ac:dyDescent="0.3">
      <c r="A5" s="10"/>
      <c r="B5" s="41"/>
      <c r="C5" s="41"/>
      <c r="D5" s="11"/>
      <c r="E5" s="15"/>
      <c r="F5" s="15"/>
      <c r="G5" s="15"/>
      <c r="H5" s="15"/>
      <c r="I5" s="15"/>
      <c r="J5" s="15"/>
      <c r="K5" s="15"/>
      <c r="L5" s="39"/>
    </row>
    <row r="6" spans="1:12" s="14" customFormat="1" ht="15" x14ac:dyDescent="0.25">
      <c r="A6" s="10"/>
      <c r="B6" s="41"/>
      <c r="C6" s="41"/>
      <c r="D6" s="11"/>
      <c r="E6" s="15"/>
      <c r="F6" s="15"/>
      <c r="G6" s="15"/>
      <c r="H6" s="15"/>
      <c r="I6" s="15"/>
      <c r="J6" s="15"/>
      <c r="K6" s="15"/>
      <c r="L6" s="16"/>
    </row>
  </sheetData>
  <mergeCells count="1">
    <mergeCell ref="G1:L1"/>
  </mergeCell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4"/>
  <sheetViews>
    <sheetView workbookViewId="0">
      <selection activeCell="I19" sqref="I19"/>
    </sheetView>
  </sheetViews>
  <sheetFormatPr defaultRowHeight="15" x14ac:dyDescent="0.25"/>
  <cols>
    <col min="3" max="3" width="31.85546875" customWidth="1"/>
    <col min="4" max="4" width="3.42578125" customWidth="1"/>
    <col min="5" max="5" width="7.42578125" style="56" customWidth="1"/>
    <col min="6" max="6" width="12.5703125" bestFit="1" customWidth="1"/>
  </cols>
  <sheetData>
    <row r="2" spans="3:7" x14ac:dyDescent="0.25">
      <c r="C2" s="30"/>
      <c r="D2" s="557" t="s">
        <v>331</v>
      </c>
      <c r="E2" s="557"/>
      <c r="F2" s="469" t="s">
        <v>218</v>
      </c>
      <c r="G2" s="469" t="s">
        <v>20</v>
      </c>
    </row>
    <row r="3" spans="3:7" x14ac:dyDescent="0.25">
      <c r="C3" s="573" t="s">
        <v>332</v>
      </c>
      <c r="D3" s="574"/>
      <c r="E3" s="574"/>
      <c r="F3" s="574"/>
      <c r="G3" s="575"/>
    </row>
    <row r="4" spans="3:7" s="56" customFormat="1" x14ac:dyDescent="0.25">
      <c r="C4" s="483" t="s">
        <v>317</v>
      </c>
      <c r="D4" s="227">
        <v>1</v>
      </c>
      <c r="E4" s="227">
        <f>5*13</f>
        <v>65</v>
      </c>
      <c r="F4" s="227">
        <v>5000</v>
      </c>
      <c r="G4" s="227">
        <f>D4*E4*F4</f>
        <v>325000</v>
      </c>
    </row>
    <row r="5" spans="3:7" s="56" customFormat="1" x14ac:dyDescent="0.25">
      <c r="C5" s="483" t="s">
        <v>318</v>
      </c>
      <c r="D5" s="227">
        <v>1</v>
      </c>
      <c r="E5" s="227">
        <f t="shared" ref="E5:E18" si="0">5*13</f>
        <v>65</v>
      </c>
      <c r="F5" s="227">
        <v>3500</v>
      </c>
      <c r="G5" s="227">
        <f t="shared" ref="G5:G18" si="1">D5*E5*F5</f>
        <v>227500</v>
      </c>
    </row>
    <row r="6" spans="3:7" s="56" customFormat="1" x14ac:dyDescent="0.25">
      <c r="C6" s="483" t="s">
        <v>319</v>
      </c>
      <c r="D6" s="227">
        <v>1</v>
      </c>
      <c r="E6" s="227">
        <f t="shared" si="0"/>
        <v>65</v>
      </c>
      <c r="F6" s="227">
        <v>3500</v>
      </c>
      <c r="G6" s="227">
        <f t="shared" si="1"/>
        <v>227500</v>
      </c>
    </row>
    <row r="7" spans="3:7" s="56" customFormat="1" x14ac:dyDescent="0.25">
      <c r="C7" s="483" t="s">
        <v>260</v>
      </c>
      <c r="D7" s="227">
        <v>1</v>
      </c>
      <c r="E7" s="227">
        <f t="shared" si="0"/>
        <v>65</v>
      </c>
      <c r="F7" s="227">
        <v>2000</v>
      </c>
      <c r="G7" s="227">
        <f t="shared" si="1"/>
        <v>130000</v>
      </c>
    </row>
    <row r="8" spans="3:7" s="56" customFormat="1" x14ac:dyDescent="0.25">
      <c r="C8" s="483" t="s">
        <v>320</v>
      </c>
      <c r="D8" s="227">
        <v>1</v>
      </c>
      <c r="E8" s="227">
        <f t="shared" si="0"/>
        <v>65</v>
      </c>
      <c r="F8" s="227">
        <v>1500</v>
      </c>
      <c r="G8" s="227">
        <f t="shared" si="1"/>
        <v>97500</v>
      </c>
    </row>
    <row r="9" spans="3:7" s="56" customFormat="1" x14ac:dyDescent="0.25">
      <c r="C9" s="483" t="s">
        <v>321</v>
      </c>
      <c r="D9" s="227">
        <v>1</v>
      </c>
      <c r="E9" s="227">
        <f t="shared" si="0"/>
        <v>65</v>
      </c>
      <c r="F9" s="227">
        <v>1500</v>
      </c>
      <c r="G9" s="227">
        <f t="shared" si="1"/>
        <v>97500</v>
      </c>
    </row>
    <row r="10" spans="3:7" s="56" customFormat="1" x14ac:dyDescent="0.25">
      <c r="C10" s="483" t="s">
        <v>322</v>
      </c>
      <c r="D10" s="227">
        <v>1</v>
      </c>
      <c r="E10" s="227">
        <f t="shared" si="0"/>
        <v>65</v>
      </c>
      <c r="F10" s="227">
        <v>1500</v>
      </c>
      <c r="G10" s="227">
        <f t="shared" si="1"/>
        <v>97500</v>
      </c>
    </row>
    <row r="11" spans="3:7" s="56" customFormat="1" x14ac:dyDescent="0.25">
      <c r="C11" s="483" t="s">
        <v>323</v>
      </c>
      <c r="D11" s="227">
        <v>1</v>
      </c>
      <c r="E11" s="227">
        <f t="shared" si="0"/>
        <v>65</v>
      </c>
      <c r="F11" s="227">
        <v>4000</v>
      </c>
      <c r="G11" s="227">
        <f t="shared" si="1"/>
        <v>260000</v>
      </c>
    </row>
    <row r="12" spans="3:7" s="56" customFormat="1" x14ac:dyDescent="0.25">
      <c r="C12" s="483" t="s">
        <v>324</v>
      </c>
      <c r="D12" s="227">
        <v>1</v>
      </c>
      <c r="E12" s="227">
        <f t="shared" si="0"/>
        <v>65</v>
      </c>
      <c r="F12" s="227">
        <v>2500</v>
      </c>
      <c r="G12" s="227">
        <f t="shared" si="1"/>
        <v>162500</v>
      </c>
    </row>
    <row r="13" spans="3:7" s="56" customFormat="1" x14ac:dyDescent="0.25">
      <c r="C13" s="483" t="s">
        <v>325</v>
      </c>
      <c r="D13" s="227">
        <v>1</v>
      </c>
      <c r="E13" s="227">
        <f t="shared" si="0"/>
        <v>65</v>
      </c>
      <c r="F13" s="227">
        <v>4000</v>
      </c>
      <c r="G13" s="227">
        <f t="shared" si="1"/>
        <v>260000</v>
      </c>
    </row>
    <row r="14" spans="3:7" s="56" customFormat="1" x14ac:dyDescent="0.25">
      <c r="C14" s="483" t="s">
        <v>326</v>
      </c>
      <c r="D14" s="227">
        <v>1</v>
      </c>
      <c r="E14" s="227">
        <f t="shared" si="0"/>
        <v>65</v>
      </c>
      <c r="F14" s="227">
        <v>3500</v>
      </c>
      <c r="G14" s="227">
        <f t="shared" si="1"/>
        <v>227500</v>
      </c>
    </row>
    <row r="15" spans="3:7" s="56" customFormat="1" x14ac:dyDescent="0.25">
      <c r="C15" s="483" t="s">
        <v>327</v>
      </c>
      <c r="D15" s="227">
        <v>1</v>
      </c>
      <c r="E15" s="227">
        <f t="shared" si="0"/>
        <v>65</v>
      </c>
      <c r="F15" s="227">
        <v>4000</v>
      </c>
      <c r="G15" s="227">
        <f t="shared" si="1"/>
        <v>260000</v>
      </c>
    </row>
    <row r="16" spans="3:7" s="56" customFormat="1" x14ac:dyDescent="0.25">
      <c r="C16" s="483" t="s">
        <v>328</v>
      </c>
      <c r="D16" s="227">
        <v>1</v>
      </c>
      <c r="E16" s="227">
        <f t="shared" si="0"/>
        <v>65</v>
      </c>
      <c r="F16" s="227">
        <v>3500</v>
      </c>
      <c r="G16" s="227">
        <f t="shared" si="1"/>
        <v>227500</v>
      </c>
    </row>
    <row r="17" spans="3:7" s="56" customFormat="1" x14ac:dyDescent="0.25">
      <c r="C17" s="483" t="s">
        <v>329</v>
      </c>
      <c r="D17" s="227">
        <v>8</v>
      </c>
      <c r="E17" s="227">
        <f t="shared" si="0"/>
        <v>65</v>
      </c>
      <c r="F17" s="227">
        <v>1500</v>
      </c>
      <c r="G17" s="227">
        <f t="shared" si="1"/>
        <v>780000</v>
      </c>
    </row>
    <row r="18" spans="3:7" s="56" customFormat="1" x14ac:dyDescent="0.25">
      <c r="C18" s="483" t="s">
        <v>330</v>
      </c>
      <c r="D18" s="227">
        <v>3</v>
      </c>
      <c r="E18" s="227">
        <f t="shared" si="0"/>
        <v>65</v>
      </c>
      <c r="F18" s="227">
        <v>1500</v>
      </c>
      <c r="G18" s="227">
        <f t="shared" si="1"/>
        <v>292500</v>
      </c>
    </row>
    <row r="19" spans="3:7" x14ac:dyDescent="0.25">
      <c r="C19" s="361" t="s">
        <v>315</v>
      </c>
      <c r="D19" s="568">
        <v>3</v>
      </c>
      <c r="E19" s="569"/>
      <c r="F19" s="227">
        <v>40000</v>
      </c>
      <c r="G19" s="227">
        <f>D19*F19</f>
        <v>120000</v>
      </c>
    </row>
    <row r="20" spans="3:7" x14ac:dyDescent="0.25">
      <c r="C20" s="361" t="s">
        <v>316</v>
      </c>
      <c r="D20" s="568">
        <v>5</v>
      </c>
      <c r="E20" s="569"/>
      <c r="F20" s="227">
        <v>4000</v>
      </c>
      <c r="G20" s="227">
        <f t="shared" ref="G20:G23" si="2">D20*F20</f>
        <v>20000</v>
      </c>
    </row>
    <row r="21" spans="3:7" x14ac:dyDescent="0.25">
      <c r="C21" s="361" t="s">
        <v>333</v>
      </c>
      <c r="D21" s="568">
        <v>1</v>
      </c>
      <c r="E21" s="569"/>
      <c r="F21" s="227">
        <v>150000</v>
      </c>
      <c r="G21" s="227">
        <f t="shared" si="2"/>
        <v>150000</v>
      </c>
    </row>
    <row r="22" spans="3:7" x14ac:dyDescent="0.25">
      <c r="C22" s="361" t="s">
        <v>186</v>
      </c>
      <c r="D22" s="568">
        <v>1</v>
      </c>
      <c r="E22" s="569"/>
      <c r="F22" s="227">
        <v>200000</v>
      </c>
      <c r="G22" s="227">
        <f t="shared" si="2"/>
        <v>200000</v>
      </c>
    </row>
    <row r="23" spans="3:7" x14ac:dyDescent="0.25">
      <c r="C23" s="361" t="s">
        <v>334</v>
      </c>
      <c r="D23" s="568">
        <v>1</v>
      </c>
      <c r="E23" s="569"/>
      <c r="F23" s="227">
        <f>5*12*3000+7500</f>
        <v>187500</v>
      </c>
      <c r="G23" s="227">
        <f t="shared" si="2"/>
        <v>187500</v>
      </c>
    </row>
    <row r="24" spans="3:7" x14ac:dyDescent="0.25">
      <c r="C24" s="570" t="s">
        <v>20</v>
      </c>
      <c r="D24" s="571"/>
      <c r="E24" s="571"/>
      <c r="F24" s="572"/>
      <c r="G24" s="361">
        <f>SUM(G4:G23)</f>
        <v>4350000</v>
      </c>
    </row>
  </sheetData>
  <mergeCells count="8">
    <mergeCell ref="D2:E2"/>
    <mergeCell ref="D19:E19"/>
    <mergeCell ref="C24:F24"/>
    <mergeCell ref="D20:E20"/>
    <mergeCell ref="D21:E21"/>
    <mergeCell ref="D22:E22"/>
    <mergeCell ref="D23:E23"/>
    <mergeCell ref="C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2"/>
  <sheetViews>
    <sheetView workbookViewId="0">
      <selection activeCell="G9" sqref="G9:G10"/>
    </sheetView>
  </sheetViews>
  <sheetFormatPr defaultRowHeight="20.25" customHeight="1" x14ac:dyDescent="0.25"/>
  <cols>
    <col min="1" max="1" width="36.42578125" style="1" customWidth="1"/>
    <col min="2" max="2" width="26.140625" style="1" customWidth="1"/>
    <col min="3" max="3" width="8" style="1" customWidth="1"/>
    <col min="4" max="4" width="13.7109375" style="1" customWidth="1"/>
    <col min="5" max="5" width="9.140625" style="1" customWidth="1"/>
    <col min="6" max="6" width="7.140625" style="38" customWidth="1"/>
    <col min="7" max="11" width="6.28515625" style="1" customWidth="1"/>
    <col min="12" max="12" width="12.5703125" style="1" customWidth="1"/>
    <col min="13" max="16384" width="9.140625" style="1"/>
  </cols>
  <sheetData>
    <row r="1" spans="1:12" s="45" customFormat="1" ht="30.75" customHeight="1" x14ac:dyDescent="0.25">
      <c r="A1" s="43"/>
      <c r="B1" s="43"/>
      <c r="C1" s="44"/>
      <c r="D1" s="44"/>
      <c r="E1" s="44"/>
      <c r="F1" s="43"/>
      <c r="G1" s="486" t="s">
        <v>11</v>
      </c>
      <c r="H1" s="487"/>
      <c r="I1" s="487"/>
      <c r="J1" s="487"/>
      <c r="K1" s="487"/>
      <c r="L1" s="487"/>
    </row>
    <row r="2" spans="1:12" s="49" customFormat="1" ht="30.75" customHeight="1" thickBot="1" x14ac:dyDescent="0.3">
      <c r="A2" s="21" t="s">
        <v>16</v>
      </c>
      <c r="B2" s="21" t="s">
        <v>13</v>
      </c>
      <c r="C2" s="22" t="s">
        <v>4</v>
      </c>
      <c r="D2" s="22" t="s">
        <v>0</v>
      </c>
      <c r="E2" s="46" t="s">
        <v>14</v>
      </c>
      <c r="F2" s="42" t="s">
        <v>22</v>
      </c>
      <c r="G2" s="47">
        <v>2104</v>
      </c>
      <c r="H2" s="47">
        <v>2104</v>
      </c>
      <c r="I2" s="47">
        <v>2015</v>
      </c>
      <c r="J2" s="47">
        <v>2016</v>
      </c>
      <c r="K2" s="47">
        <v>2017</v>
      </c>
      <c r="L2" s="48" t="s">
        <v>15</v>
      </c>
    </row>
    <row r="3" spans="1:12" s="51" customFormat="1" ht="30.75" customHeight="1" x14ac:dyDescent="0.25">
      <c r="A3" s="40"/>
      <c r="B3" s="40"/>
      <c r="C3" s="18"/>
      <c r="D3" s="17"/>
      <c r="E3" s="53"/>
      <c r="F3" s="50"/>
      <c r="G3" s="53"/>
      <c r="H3" s="53"/>
      <c r="I3" s="53"/>
      <c r="J3" s="53"/>
      <c r="K3" s="53"/>
      <c r="L3" s="53"/>
    </row>
    <row r="4" spans="1:12" s="51" customFormat="1" ht="30.75" customHeight="1" x14ac:dyDescent="0.25">
      <c r="A4" s="40"/>
      <c r="B4" s="40"/>
      <c r="C4" s="19"/>
      <c r="D4" s="17"/>
      <c r="E4" s="50"/>
      <c r="F4" s="50"/>
      <c r="G4" s="50"/>
      <c r="H4" s="50"/>
      <c r="I4" s="50"/>
      <c r="J4" s="50"/>
      <c r="K4" s="50"/>
      <c r="L4" s="50"/>
    </row>
    <row r="5" spans="1:12" s="51" customFormat="1" ht="30.75" customHeight="1" x14ac:dyDescent="0.25">
      <c r="A5" s="40"/>
      <c r="B5" s="40"/>
      <c r="C5" s="18"/>
      <c r="D5" s="17"/>
      <c r="E5" s="53"/>
      <c r="F5" s="50"/>
      <c r="G5" s="53"/>
      <c r="H5" s="53"/>
      <c r="I5" s="53"/>
      <c r="J5" s="53"/>
      <c r="K5" s="53"/>
      <c r="L5" s="53"/>
    </row>
    <row r="6" spans="1:12" s="51" customFormat="1" ht="30.75" customHeight="1" x14ac:dyDescent="0.25">
      <c r="A6" s="40"/>
      <c r="B6" s="40"/>
      <c r="C6" s="19"/>
      <c r="D6" s="17"/>
      <c r="E6" s="50"/>
      <c r="F6" s="50"/>
      <c r="G6" s="50"/>
      <c r="H6" s="50"/>
      <c r="I6" s="50"/>
      <c r="J6" s="50"/>
      <c r="K6" s="50"/>
      <c r="L6" s="50"/>
    </row>
    <row r="7" spans="1:12" s="51" customFormat="1" ht="30.75" customHeight="1" x14ac:dyDescent="0.25">
      <c r="A7" s="40"/>
      <c r="B7" s="40"/>
      <c r="C7" s="18"/>
      <c r="D7" s="17"/>
      <c r="E7" s="53"/>
      <c r="F7" s="50"/>
      <c r="G7" s="53"/>
      <c r="H7" s="53"/>
      <c r="I7" s="53"/>
      <c r="J7" s="53"/>
      <c r="K7" s="53"/>
      <c r="L7" s="53"/>
    </row>
    <row r="8" spans="1:12" s="51" customFormat="1" ht="30.75" customHeight="1" x14ac:dyDescent="0.25">
      <c r="A8" s="40"/>
      <c r="B8" s="40"/>
      <c r="C8" s="19"/>
      <c r="D8" s="17"/>
      <c r="E8" s="50"/>
      <c r="F8" s="52"/>
      <c r="G8" s="50"/>
      <c r="H8" s="50"/>
      <c r="I8" s="50"/>
      <c r="J8" s="50"/>
      <c r="K8" s="50"/>
      <c r="L8" s="50"/>
    </row>
    <row r="9" spans="1:12" s="51" customFormat="1" ht="30.75" customHeight="1" x14ac:dyDescent="0.25">
      <c r="A9" s="40"/>
      <c r="B9" s="40"/>
      <c r="C9" s="18"/>
      <c r="D9" s="17"/>
      <c r="E9" s="53"/>
      <c r="F9" s="50"/>
      <c r="G9" s="53"/>
      <c r="H9" s="53"/>
      <c r="I9" s="53"/>
      <c r="J9" s="53"/>
      <c r="K9" s="53"/>
      <c r="L9" s="53"/>
    </row>
    <row r="10" spans="1:12" s="51" customFormat="1" ht="30.75" customHeight="1" x14ac:dyDescent="0.25">
      <c r="A10" s="40"/>
      <c r="B10" s="40"/>
      <c r="C10" s="19"/>
      <c r="D10" s="17"/>
      <c r="E10" s="50"/>
      <c r="F10" s="52"/>
      <c r="G10" s="50"/>
      <c r="H10" s="50"/>
      <c r="I10" s="50"/>
      <c r="J10" s="50"/>
      <c r="K10" s="50"/>
      <c r="L10" s="50"/>
    </row>
    <row r="11" spans="1:12" s="51" customFormat="1" ht="30.75" customHeight="1" x14ac:dyDescent="0.25">
      <c r="A11" s="40"/>
      <c r="B11" s="40"/>
      <c r="C11" s="18"/>
      <c r="D11" s="17"/>
      <c r="E11" s="53"/>
      <c r="F11" s="50"/>
      <c r="G11" s="53"/>
      <c r="H11" s="53"/>
      <c r="I11" s="53"/>
      <c r="J11" s="53"/>
      <c r="K11" s="53"/>
      <c r="L11" s="53"/>
    </row>
    <row r="12" spans="1:12" s="51" customFormat="1" ht="30.75" customHeight="1" x14ac:dyDescent="0.25">
      <c r="A12" s="40"/>
      <c r="B12" s="40"/>
      <c r="C12" s="19"/>
      <c r="D12" s="17"/>
      <c r="E12" s="50"/>
      <c r="F12" s="52"/>
      <c r="G12" s="50"/>
      <c r="H12" s="50"/>
      <c r="I12" s="50"/>
      <c r="J12" s="50"/>
      <c r="K12" s="50"/>
      <c r="L12" s="50"/>
    </row>
    <row r="13" spans="1:12" s="51" customFormat="1" ht="30.75" customHeight="1" x14ac:dyDescent="0.25">
      <c r="A13" s="40"/>
      <c r="B13" s="40"/>
      <c r="C13" s="18"/>
      <c r="D13" s="17"/>
      <c r="E13" s="53"/>
      <c r="F13" s="50"/>
      <c r="G13" s="53"/>
      <c r="H13" s="53"/>
      <c r="I13" s="53"/>
      <c r="J13" s="53"/>
      <c r="K13" s="53"/>
      <c r="L13" s="53"/>
    </row>
    <row r="14" spans="1:12" s="51" customFormat="1" ht="30.75" customHeight="1" x14ac:dyDescent="0.25">
      <c r="A14" s="40"/>
      <c r="B14" s="40"/>
      <c r="C14" s="19"/>
      <c r="D14" s="17"/>
      <c r="E14" s="50"/>
      <c r="F14" s="52"/>
      <c r="G14" s="50"/>
      <c r="H14" s="50"/>
      <c r="I14" s="50"/>
      <c r="J14" s="50"/>
      <c r="K14" s="50"/>
      <c r="L14" s="50"/>
    </row>
    <row r="15" spans="1:12" s="51" customFormat="1" ht="30.75" customHeight="1" x14ac:dyDescent="0.25">
      <c r="A15" s="40"/>
      <c r="B15" s="40"/>
      <c r="C15" s="18"/>
      <c r="D15" s="17"/>
      <c r="E15" s="53"/>
      <c r="F15" s="50"/>
      <c r="G15" s="53"/>
      <c r="H15" s="53"/>
      <c r="I15" s="53"/>
      <c r="J15" s="53"/>
      <c r="K15" s="53"/>
      <c r="L15" s="53"/>
    </row>
    <row r="16" spans="1:12" s="51" customFormat="1" ht="30.75" customHeight="1" x14ac:dyDescent="0.25">
      <c r="A16" s="40"/>
      <c r="B16" s="40"/>
      <c r="C16" s="19"/>
      <c r="D16" s="17"/>
      <c r="E16" s="50"/>
      <c r="F16" s="52"/>
      <c r="G16" s="50"/>
      <c r="H16" s="50"/>
      <c r="I16" s="50"/>
      <c r="J16" s="50"/>
      <c r="K16" s="50"/>
      <c r="L16" s="50"/>
    </row>
    <row r="17" spans="1:12" s="45" customFormat="1" ht="30.75" customHeight="1" x14ac:dyDescent="0.25">
      <c r="A17" s="40"/>
      <c r="B17" s="40"/>
      <c r="C17" s="18"/>
      <c r="D17" s="17"/>
      <c r="E17" s="53"/>
      <c r="F17" s="50"/>
      <c r="G17" s="53"/>
      <c r="H17" s="53"/>
      <c r="I17" s="53"/>
      <c r="J17" s="53"/>
      <c r="K17" s="53"/>
      <c r="L17" s="53"/>
    </row>
    <row r="18" spans="1:12" s="45" customFormat="1" ht="30.75" customHeight="1" x14ac:dyDescent="0.25">
      <c r="A18" s="40"/>
      <c r="B18" s="40"/>
      <c r="C18" s="19"/>
      <c r="D18" s="17"/>
      <c r="E18" s="50"/>
      <c r="F18" s="52"/>
      <c r="G18" s="50"/>
      <c r="H18" s="50"/>
      <c r="I18" s="50"/>
      <c r="J18" s="50"/>
      <c r="K18" s="50"/>
      <c r="L18" s="50"/>
    </row>
    <row r="22" spans="1:12" ht="20.25" customHeight="1" x14ac:dyDescent="0.25">
      <c r="A22" s="38"/>
    </row>
  </sheetData>
  <autoFilter ref="A2:M18"/>
  <mergeCells count="1">
    <mergeCell ref="G1:L1"/>
  </mergeCells>
  <conditionalFormatting sqref="C3:C18">
    <cfRule type="containsText" dxfId="1" priority="1" operator="containsText" text="réalisé">
      <formula>NOT(ISERROR(SEARCH("réalisé",C3)))</formula>
    </cfRule>
    <cfRule type="containsText" dxfId="0" priority="2" operator="containsText" text="prévu">
      <formula>NOT(ISERROR(SEARCH("prévu",C3)))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71"/>
  <sheetViews>
    <sheetView showGridLines="0" tabSelected="1" topLeftCell="B1" zoomScale="70" zoomScaleNormal="70" workbookViewId="0">
      <selection activeCell="O38" sqref="O38"/>
    </sheetView>
  </sheetViews>
  <sheetFormatPr defaultRowHeight="17.25" customHeight="1" x14ac:dyDescent="0.25"/>
  <cols>
    <col min="1" max="1" width="3.28515625" style="1" hidden="1" customWidth="1"/>
    <col min="2" max="2" width="13.7109375" style="1" customWidth="1"/>
    <col min="3" max="3" width="11.140625" style="54" customWidth="1"/>
    <col min="4" max="4" width="100.28515625" style="1" customWidth="1"/>
    <col min="5" max="5" width="15.7109375" style="56" customWidth="1"/>
    <col min="6" max="6" width="13.42578125" style="25" customWidth="1"/>
    <col min="7" max="8" width="11.7109375" style="25" customWidth="1"/>
    <col min="9" max="9" width="11.7109375" style="56" customWidth="1"/>
    <col min="10" max="15" width="6.28515625" style="56" customWidth="1"/>
    <col min="16" max="16" width="11.28515625" style="56" customWidth="1"/>
    <col min="17" max="17" width="11.85546875" style="56" customWidth="1"/>
    <col min="18" max="18" width="12.5703125" style="56" customWidth="1"/>
    <col min="19" max="21" width="11.28515625" style="56" customWidth="1"/>
    <col min="22" max="22" width="55.42578125" style="1" customWidth="1"/>
    <col min="23" max="23" width="15.28515625" style="1" customWidth="1"/>
    <col min="24" max="24" width="12" style="1" customWidth="1"/>
    <col min="25" max="16384" width="9.140625" style="1"/>
  </cols>
  <sheetData>
    <row r="1" spans="1:24" ht="17.25" customHeight="1" x14ac:dyDescent="0.25">
      <c r="A1" s="2"/>
      <c r="B1" s="245"/>
      <c r="C1" s="245"/>
      <c r="D1" s="245"/>
      <c r="E1" s="245"/>
      <c r="F1" s="355"/>
      <c r="G1" s="491" t="s">
        <v>160</v>
      </c>
      <c r="H1" s="491"/>
      <c r="I1" s="491"/>
      <c r="J1" s="488" t="s">
        <v>17</v>
      </c>
      <c r="K1" s="488"/>
      <c r="L1" s="488"/>
      <c r="M1" s="488"/>
      <c r="N1" s="488"/>
      <c r="O1" s="489"/>
      <c r="P1" s="490" t="s">
        <v>18</v>
      </c>
      <c r="Q1" s="488"/>
      <c r="R1" s="488"/>
      <c r="S1" s="488"/>
      <c r="T1" s="489"/>
      <c r="U1" s="20"/>
      <c r="V1" s="86" t="s">
        <v>38</v>
      </c>
    </row>
    <row r="2" spans="1:24" s="9" customFormat="1" ht="17.25" customHeight="1" thickBot="1" x14ac:dyDescent="0.3">
      <c r="A2" s="5" t="s">
        <v>19</v>
      </c>
      <c r="B2" s="243" t="s">
        <v>3</v>
      </c>
      <c r="C2" s="243"/>
      <c r="D2" s="224" t="s">
        <v>9</v>
      </c>
      <c r="E2" s="224"/>
      <c r="F2" s="243" t="s">
        <v>0</v>
      </c>
      <c r="G2" s="243" t="s">
        <v>136</v>
      </c>
      <c r="H2" s="243" t="s">
        <v>135</v>
      </c>
      <c r="I2" s="224" t="s">
        <v>139</v>
      </c>
      <c r="J2" s="242">
        <v>2016</v>
      </c>
      <c r="K2" s="224">
        <v>2017</v>
      </c>
      <c r="L2" s="224">
        <v>2018</v>
      </c>
      <c r="M2" s="224">
        <v>2019</v>
      </c>
      <c r="N2" s="224">
        <v>2020</v>
      </c>
      <c r="O2" s="224" t="s">
        <v>20</v>
      </c>
      <c r="P2" s="224">
        <v>2016</v>
      </c>
      <c r="Q2" s="224">
        <v>2017</v>
      </c>
      <c r="R2" s="224">
        <v>2018</v>
      </c>
      <c r="S2" s="224">
        <v>2019</v>
      </c>
      <c r="T2" s="224">
        <v>2020</v>
      </c>
      <c r="U2" s="224" t="s">
        <v>20</v>
      </c>
      <c r="V2" s="55"/>
    </row>
    <row r="3" spans="1:24" s="68" customFormat="1" ht="17.25" customHeight="1" x14ac:dyDescent="0.25">
      <c r="A3" s="69"/>
      <c r="B3" s="61" t="s">
        <v>23</v>
      </c>
      <c r="C3" s="61" t="s">
        <v>25</v>
      </c>
      <c r="D3" s="244" t="s">
        <v>141</v>
      </c>
      <c r="E3" s="70">
        <f>G3+H3+I3</f>
        <v>800000</v>
      </c>
      <c r="F3" s="71" t="s">
        <v>39</v>
      </c>
      <c r="G3" s="70">
        <f>SUM(G4:G7)</f>
        <v>800000</v>
      </c>
      <c r="H3" s="70">
        <f t="shared" ref="H3:N3" si="0">SUM(H4:H7)</f>
        <v>0</v>
      </c>
      <c r="I3" s="70">
        <f>SUM(I4:I7)</f>
        <v>0</v>
      </c>
      <c r="J3" s="232">
        <f>SUM(J4:J7)</f>
        <v>0</v>
      </c>
      <c r="K3" s="232">
        <f t="shared" si="0"/>
        <v>4</v>
      </c>
      <c r="L3" s="232">
        <f t="shared" si="0"/>
        <v>0</v>
      </c>
      <c r="M3" s="232">
        <f>SUM(M4:M7)</f>
        <v>0</v>
      </c>
      <c r="N3" s="232">
        <f t="shared" si="0"/>
        <v>0</v>
      </c>
      <c r="O3" s="238">
        <f>SUM(J3:N3)</f>
        <v>4</v>
      </c>
      <c r="P3" s="241">
        <f>SUM(P4:P7)</f>
        <v>240000</v>
      </c>
      <c r="Q3" s="241">
        <f t="shared" ref="Q3:T3" si="1">SUM(Q4:Q7)</f>
        <v>560000</v>
      </c>
      <c r="R3" s="241">
        <f t="shared" si="1"/>
        <v>0</v>
      </c>
      <c r="S3" s="241">
        <f t="shared" si="1"/>
        <v>0</v>
      </c>
      <c r="T3" s="241">
        <f t="shared" si="1"/>
        <v>0</v>
      </c>
      <c r="U3" s="241">
        <f t="shared" ref="U3" si="2">SUM(P3:T3)</f>
        <v>800000</v>
      </c>
      <c r="V3" s="57"/>
      <c r="W3" s="72"/>
      <c r="X3" s="72"/>
    </row>
    <row r="4" spans="1:24" s="79" customFormat="1" ht="17.25" customHeight="1" x14ac:dyDescent="0.25">
      <c r="A4" s="80"/>
      <c r="B4" s="77"/>
      <c r="C4" s="77"/>
      <c r="D4" s="82" t="s">
        <v>122</v>
      </c>
      <c r="E4" s="83">
        <f>G4+H4+I4</f>
        <v>200000</v>
      </c>
      <c r="F4" s="246"/>
      <c r="G4" s="83">
        <v>200000</v>
      </c>
      <c r="H4" s="83"/>
      <c r="I4" s="83">
        <f>I13</f>
        <v>0</v>
      </c>
      <c r="J4" s="233"/>
      <c r="K4" s="247">
        <v>1</v>
      </c>
      <c r="L4" s="247"/>
      <c r="M4" s="247"/>
      <c r="N4" s="248"/>
      <c r="O4" s="249">
        <f t="shared" ref="O4:O27" si="3">SUM(J4:N4)</f>
        <v>1</v>
      </c>
      <c r="P4" s="83">
        <f>0.3*E4</f>
        <v>60000</v>
      </c>
      <c r="Q4" s="83">
        <f>0.7*E4</f>
        <v>140000</v>
      </c>
      <c r="R4" s="83"/>
      <c r="S4" s="83"/>
      <c r="T4" s="83"/>
      <c r="U4" s="83">
        <f>SUM(P4:T4)</f>
        <v>200000</v>
      </c>
      <c r="V4" s="78"/>
      <c r="W4" s="81"/>
      <c r="X4" s="81"/>
    </row>
    <row r="5" spans="1:24" s="79" customFormat="1" ht="17.25" customHeight="1" x14ac:dyDescent="0.25">
      <c r="A5" s="80"/>
      <c r="B5" s="77"/>
      <c r="C5" s="77"/>
      <c r="D5" s="82" t="s">
        <v>123</v>
      </c>
      <c r="E5" s="83">
        <f t="shared" ref="E5:E7" si="4">G5+H5+I5</f>
        <v>200000</v>
      </c>
      <c r="F5" s="246"/>
      <c r="G5" s="83">
        <v>200000</v>
      </c>
      <c r="H5" s="83"/>
      <c r="I5" s="83">
        <f>I47</f>
        <v>0</v>
      </c>
      <c r="J5" s="233"/>
      <c r="K5" s="247">
        <v>1</v>
      </c>
      <c r="L5" s="247"/>
      <c r="M5" s="247"/>
      <c r="N5" s="248"/>
      <c r="O5" s="249">
        <f t="shared" si="3"/>
        <v>1</v>
      </c>
      <c r="P5" s="83">
        <f t="shared" ref="P5:P7" si="5">0.3*E5</f>
        <v>60000</v>
      </c>
      <c r="Q5" s="83">
        <f t="shared" ref="Q5:Q7" si="6">0.7*E5</f>
        <v>140000</v>
      </c>
      <c r="R5" s="83"/>
      <c r="S5" s="83"/>
      <c r="T5" s="83"/>
      <c r="U5" s="83">
        <f t="shared" ref="U5:U31" si="7">SUM(P5:T5)</f>
        <v>200000</v>
      </c>
      <c r="V5" s="78"/>
      <c r="W5" s="81"/>
      <c r="X5" s="81"/>
    </row>
    <row r="6" spans="1:24" s="79" customFormat="1" ht="17.25" customHeight="1" x14ac:dyDescent="0.25">
      <c r="A6" s="80"/>
      <c r="B6" s="77"/>
      <c r="C6" s="77"/>
      <c r="D6" s="82" t="s">
        <v>124</v>
      </c>
      <c r="E6" s="83">
        <f t="shared" si="4"/>
        <v>200000</v>
      </c>
      <c r="F6" s="246"/>
      <c r="G6" s="83">
        <v>200000</v>
      </c>
      <c r="H6" s="83"/>
      <c r="I6" s="83">
        <f>I61</f>
        <v>0</v>
      </c>
      <c r="J6" s="233"/>
      <c r="K6" s="247">
        <v>1</v>
      </c>
      <c r="L6" s="247"/>
      <c r="M6" s="247"/>
      <c r="N6" s="248"/>
      <c r="O6" s="249">
        <f t="shared" si="3"/>
        <v>1</v>
      </c>
      <c r="P6" s="83">
        <f t="shared" si="5"/>
        <v>60000</v>
      </c>
      <c r="Q6" s="83">
        <f t="shared" si="6"/>
        <v>140000</v>
      </c>
      <c r="R6" s="83"/>
      <c r="S6" s="83"/>
      <c r="T6" s="83"/>
      <c r="U6" s="83">
        <f t="shared" si="7"/>
        <v>200000</v>
      </c>
      <c r="V6" s="78"/>
      <c r="W6" s="81"/>
      <c r="X6" s="81"/>
    </row>
    <row r="7" spans="1:24" s="79" customFormat="1" ht="17.25" customHeight="1" x14ac:dyDescent="0.25">
      <c r="A7" s="80"/>
      <c r="B7" s="77"/>
      <c r="C7" s="77"/>
      <c r="D7" s="82" t="s">
        <v>125</v>
      </c>
      <c r="E7" s="83">
        <f t="shared" si="4"/>
        <v>200000</v>
      </c>
      <c r="F7" s="246"/>
      <c r="G7" s="83">
        <v>200000</v>
      </c>
      <c r="H7" s="83"/>
      <c r="I7" s="83">
        <f>I66</f>
        <v>0</v>
      </c>
      <c r="J7" s="233"/>
      <c r="K7" s="247">
        <v>1</v>
      </c>
      <c r="L7" s="247"/>
      <c r="M7" s="247"/>
      <c r="N7" s="248"/>
      <c r="O7" s="249">
        <f t="shared" si="3"/>
        <v>1</v>
      </c>
      <c r="P7" s="83">
        <f t="shared" si="5"/>
        <v>60000</v>
      </c>
      <c r="Q7" s="83">
        <f t="shared" si="6"/>
        <v>140000</v>
      </c>
      <c r="R7" s="83"/>
      <c r="S7" s="83"/>
      <c r="T7" s="83"/>
      <c r="U7" s="83">
        <f t="shared" si="7"/>
        <v>200000</v>
      </c>
      <c r="V7" s="78"/>
      <c r="W7" s="81"/>
      <c r="X7" s="81"/>
    </row>
    <row r="8" spans="1:24" s="68" customFormat="1" ht="17.25" customHeight="1" x14ac:dyDescent="0.25">
      <c r="A8" s="69"/>
      <c r="B8" s="61" t="s">
        <v>23</v>
      </c>
      <c r="C8" s="61" t="s">
        <v>26</v>
      </c>
      <c r="D8" s="62" t="s">
        <v>142</v>
      </c>
      <c r="E8" s="70">
        <f>G8+H8+I8</f>
        <v>300000</v>
      </c>
      <c r="F8" s="71" t="s">
        <v>143</v>
      </c>
      <c r="G8" s="70">
        <v>300000</v>
      </c>
      <c r="H8" s="70"/>
      <c r="I8" s="70">
        <f>I68</f>
        <v>0</v>
      </c>
      <c r="J8" s="73"/>
      <c r="K8" s="74"/>
      <c r="L8" s="75">
        <v>1</v>
      </c>
      <c r="M8" s="75"/>
      <c r="N8" s="76"/>
      <c r="O8" s="238">
        <f t="shared" si="3"/>
        <v>1</v>
      </c>
      <c r="P8" s="241"/>
      <c r="Q8" s="241">
        <f>0.1*E8</f>
        <v>30000</v>
      </c>
      <c r="R8" s="241">
        <f>E8*0.9</f>
        <v>270000</v>
      </c>
      <c r="S8" s="241"/>
      <c r="T8" s="241"/>
      <c r="U8" s="241">
        <f t="shared" si="7"/>
        <v>300000</v>
      </c>
      <c r="V8" s="57"/>
      <c r="W8" s="72"/>
      <c r="X8" s="72"/>
    </row>
    <row r="9" spans="1:24" s="68" customFormat="1" ht="17.25" customHeight="1" x14ac:dyDescent="0.25">
      <c r="A9" s="60"/>
      <c r="B9" s="61" t="s">
        <v>23</v>
      </c>
      <c r="C9" s="61" t="s">
        <v>27</v>
      </c>
      <c r="D9" s="62" t="s">
        <v>132</v>
      </c>
      <c r="E9" s="84">
        <f>G9+H9+I9</f>
        <v>3250000</v>
      </c>
      <c r="F9" s="63" t="s">
        <v>140</v>
      </c>
      <c r="G9" s="84">
        <f>SUM(G10:G11)</f>
        <v>500000</v>
      </c>
      <c r="H9" s="84">
        <f>SUM(H10:H11)</f>
        <v>2250000</v>
      </c>
      <c r="I9" s="84">
        <f>SUM(I10:I11)</f>
        <v>500000</v>
      </c>
      <c r="J9" s="64"/>
      <c r="K9" s="65"/>
      <c r="L9" s="65"/>
      <c r="M9" s="66"/>
      <c r="N9" s="67">
        <v>2</v>
      </c>
      <c r="O9" s="239">
        <f t="shared" si="3"/>
        <v>2</v>
      </c>
      <c r="P9" s="241">
        <f>SUM(P10:P11)</f>
        <v>140000</v>
      </c>
      <c r="Q9" s="241">
        <f t="shared" ref="Q9:T9" si="8">SUM(Q10:Q11)</f>
        <v>395000</v>
      </c>
      <c r="R9" s="241">
        <f t="shared" si="8"/>
        <v>1160000</v>
      </c>
      <c r="S9" s="241">
        <f t="shared" si="8"/>
        <v>1160000</v>
      </c>
      <c r="T9" s="241">
        <f t="shared" si="8"/>
        <v>395000</v>
      </c>
      <c r="U9" s="241">
        <f t="shared" si="7"/>
        <v>3250000</v>
      </c>
      <c r="V9" s="57"/>
    </row>
    <row r="10" spans="1:24" s="79" customFormat="1" ht="17.25" customHeight="1" x14ac:dyDescent="0.25">
      <c r="A10" s="80"/>
      <c r="B10" s="77"/>
      <c r="C10" s="77"/>
      <c r="D10" s="82" t="s">
        <v>137</v>
      </c>
      <c r="E10" s="83">
        <f t="shared" ref="E10:E18" si="9">G10+H10+I10</f>
        <v>2550000</v>
      </c>
      <c r="F10" s="250"/>
      <c r="G10" s="83"/>
      <c r="H10" s="83">
        <v>2250000</v>
      </c>
      <c r="I10" s="83">
        <v>300000</v>
      </c>
      <c r="J10" s="251"/>
      <c r="K10" s="252"/>
      <c r="L10" s="253"/>
      <c r="M10" s="253"/>
      <c r="N10" s="254"/>
      <c r="O10" s="249">
        <f t="shared" si="3"/>
        <v>0</v>
      </c>
      <c r="P10" s="83"/>
      <c r="Q10" s="83">
        <f>0.1*E10</f>
        <v>255000</v>
      </c>
      <c r="R10" s="83">
        <f>0.4*E10</f>
        <v>1020000</v>
      </c>
      <c r="S10" s="83">
        <f>0.4*E10</f>
        <v>1020000</v>
      </c>
      <c r="T10" s="83">
        <f>0.1*E10</f>
        <v>255000</v>
      </c>
      <c r="U10" s="83">
        <f t="shared" si="7"/>
        <v>2550000</v>
      </c>
      <c r="V10" s="78"/>
    </row>
    <row r="11" spans="1:24" s="79" customFormat="1" ht="17.25" customHeight="1" x14ac:dyDescent="0.25">
      <c r="A11" s="80"/>
      <c r="B11" s="77"/>
      <c r="C11" s="77"/>
      <c r="D11" s="82" t="s">
        <v>138</v>
      </c>
      <c r="E11" s="83">
        <f t="shared" si="9"/>
        <v>700000</v>
      </c>
      <c r="F11" s="250"/>
      <c r="G11" s="83">
        <v>500000</v>
      </c>
      <c r="H11" s="83"/>
      <c r="I11" s="83">
        <v>200000</v>
      </c>
      <c r="J11" s="251"/>
      <c r="K11" s="252"/>
      <c r="L11" s="253"/>
      <c r="M11" s="253"/>
      <c r="N11" s="254"/>
      <c r="O11" s="249">
        <f t="shared" si="3"/>
        <v>0</v>
      </c>
      <c r="P11" s="83">
        <f>0.2*$E$11</f>
        <v>140000</v>
      </c>
      <c r="Q11" s="83">
        <f t="shared" ref="Q11:T11" si="10">0.2*$E$11</f>
        <v>140000</v>
      </c>
      <c r="R11" s="83">
        <f t="shared" si="10"/>
        <v>140000</v>
      </c>
      <c r="S11" s="83">
        <f t="shared" si="10"/>
        <v>140000</v>
      </c>
      <c r="T11" s="83">
        <f t="shared" si="10"/>
        <v>140000</v>
      </c>
      <c r="U11" s="83">
        <f t="shared" si="7"/>
        <v>700000</v>
      </c>
      <c r="V11" s="78"/>
    </row>
    <row r="12" spans="1:24" s="68" customFormat="1" ht="17.25" customHeight="1" x14ac:dyDescent="0.25">
      <c r="A12" s="69"/>
      <c r="B12" s="61" t="s">
        <v>23</v>
      </c>
      <c r="C12" s="61" t="s">
        <v>28</v>
      </c>
      <c r="D12" s="62" t="s">
        <v>144</v>
      </c>
      <c r="E12" s="70">
        <f t="shared" si="9"/>
        <v>300000</v>
      </c>
      <c r="F12" s="63" t="s">
        <v>140</v>
      </c>
      <c r="G12" s="70">
        <v>150000</v>
      </c>
      <c r="H12" s="70">
        <v>150000</v>
      </c>
      <c r="I12" s="70"/>
      <c r="J12" s="73"/>
      <c r="K12" s="74"/>
      <c r="L12" s="75"/>
      <c r="M12" s="75">
        <v>1</v>
      </c>
      <c r="N12" s="76"/>
      <c r="O12" s="238">
        <f t="shared" si="3"/>
        <v>1</v>
      </c>
      <c r="P12" s="241">
        <f>0.1*E12</f>
        <v>30000</v>
      </c>
      <c r="Q12" s="241">
        <f>0.2*E12</f>
        <v>60000</v>
      </c>
      <c r="R12" s="241">
        <f>0.3*E12</f>
        <v>90000</v>
      </c>
      <c r="S12" s="241">
        <f>0.4*E12</f>
        <v>120000</v>
      </c>
      <c r="T12" s="241"/>
      <c r="U12" s="241">
        <f t="shared" si="7"/>
        <v>300000</v>
      </c>
      <c r="V12" s="57"/>
      <c r="W12" s="72"/>
      <c r="X12" s="72"/>
    </row>
    <row r="13" spans="1:24" s="68" customFormat="1" ht="17.25" customHeight="1" x14ac:dyDescent="0.25">
      <c r="A13" s="69"/>
      <c r="B13" s="61" t="s">
        <v>23</v>
      </c>
      <c r="C13" s="61" t="s">
        <v>29</v>
      </c>
      <c r="D13" s="62" t="s">
        <v>145</v>
      </c>
      <c r="E13" s="70">
        <f t="shared" si="9"/>
        <v>50000</v>
      </c>
      <c r="F13" s="71" t="s">
        <v>147</v>
      </c>
      <c r="G13" s="70">
        <v>50000</v>
      </c>
      <c r="H13" s="70"/>
      <c r="I13" s="70"/>
      <c r="J13" s="73"/>
      <c r="K13" s="74">
        <v>1</v>
      </c>
      <c r="L13" s="75"/>
      <c r="M13" s="75"/>
      <c r="N13" s="76"/>
      <c r="O13" s="238">
        <f t="shared" si="3"/>
        <v>1</v>
      </c>
      <c r="P13" s="241"/>
      <c r="Q13" s="241">
        <f>E13</f>
        <v>50000</v>
      </c>
      <c r="R13" s="241"/>
      <c r="S13" s="241"/>
      <c r="T13" s="241"/>
      <c r="U13" s="241">
        <f t="shared" si="7"/>
        <v>50000</v>
      </c>
      <c r="V13" s="57"/>
      <c r="W13" s="72"/>
      <c r="X13" s="72"/>
    </row>
    <row r="14" spans="1:24" s="68" customFormat="1" ht="27.75" customHeight="1" x14ac:dyDescent="0.25">
      <c r="A14" s="69"/>
      <c r="B14" s="61" t="s">
        <v>23</v>
      </c>
      <c r="C14" s="61" t="s">
        <v>30</v>
      </c>
      <c r="D14" s="62" t="s">
        <v>216</v>
      </c>
      <c r="E14" s="70">
        <f t="shared" si="9"/>
        <v>150000</v>
      </c>
      <c r="F14" s="71" t="s">
        <v>146</v>
      </c>
      <c r="G14" s="70">
        <v>150000</v>
      </c>
      <c r="H14" s="70"/>
      <c r="I14" s="70"/>
      <c r="J14" s="73"/>
      <c r="K14" s="74">
        <v>1</v>
      </c>
      <c r="L14" s="75"/>
      <c r="M14" s="75"/>
      <c r="N14" s="76"/>
      <c r="O14" s="238">
        <f t="shared" si="3"/>
        <v>1</v>
      </c>
      <c r="P14" s="241"/>
      <c r="Q14" s="241">
        <f>E14</f>
        <v>150000</v>
      </c>
      <c r="R14" s="241"/>
      <c r="S14" s="241"/>
      <c r="T14" s="241"/>
      <c r="U14" s="241">
        <f t="shared" si="7"/>
        <v>150000</v>
      </c>
      <c r="V14" s="57"/>
      <c r="W14" s="72"/>
      <c r="X14" s="72"/>
    </row>
    <row r="15" spans="1:24" s="68" customFormat="1" ht="17.25" customHeight="1" x14ac:dyDescent="0.25">
      <c r="A15" s="69"/>
      <c r="B15" s="61" t="s">
        <v>23</v>
      </c>
      <c r="C15" s="61" t="s">
        <v>31</v>
      </c>
      <c r="D15" s="62" t="s">
        <v>153</v>
      </c>
      <c r="E15" s="70">
        <f t="shared" si="9"/>
        <v>450000</v>
      </c>
      <c r="F15" s="71" t="s">
        <v>133</v>
      </c>
      <c r="G15" s="70">
        <f>G16+G17</f>
        <v>350000</v>
      </c>
      <c r="H15" s="70"/>
      <c r="I15" s="70">
        <f t="shared" ref="I15" si="11">I16+I17</f>
        <v>100000</v>
      </c>
      <c r="J15" s="73"/>
      <c r="K15" s="74"/>
      <c r="L15" s="75">
        <v>3</v>
      </c>
      <c r="M15" s="75"/>
      <c r="N15" s="76"/>
      <c r="O15" s="238">
        <f t="shared" si="3"/>
        <v>3</v>
      </c>
      <c r="P15" s="241">
        <f>SUM(P16:P17)</f>
        <v>90000</v>
      </c>
      <c r="Q15" s="241">
        <f t="shared" ref="Q15:T15" si="12">SUM(Q16:Q17)</f>
        <v>150000</v>
      </c>
      <c r="R15" s="241">
        <f t="shared" si="12"/>
        <v>70000</v>
      </c>
      <c r="S15" s="241">
        <f t="shared" si="12"/>
        <v>70000</v>
      </c>
      <c r="T15" s="241">
        <f t="shared" si="12"/>
        <v>70000</v>
      </c>
      <c r="U15" s="241">
        <f t="shared" si="7"/>
        <v>450000</v>
      </c>
      <c r="V15" s="57"/>
      <c r="W15" s="72"/>
      <c r="X15" s="72"/>
    </row>
    <row r="16" spans="1:24" s="79" customFormat="1" ht="17.25" customHeight="1" x14ac:dyDescent="0.25">
      <c r="A16" s="80"/>
      <c r="B16" s="77"/>
      <c r="C16" s="77"/>
      <c r="D16" s="82" t="s">
        <v>154</v>
      </c>
      <c r="E16" s="226">
        <f t="shared" si="9"/>
        <v>100000</v>
      </c>
      <c r="F16" s="246"/>
      <c r="G16" s="226">
        <v>100000</v>
      </c>
      <c r="H16" s="226"/>
      <c r="I16" s="226"/>
      <c r="J16" s="255"/>
      <c r="K16" s="256"/>
      <c r="L16" s="257">
        <v>1</v>
      </c>
      <c r="M16" s="257"/>
      <c r="N16" s="258"/>
      <c r="O16" s="249">
        <f t="shared" si="3"/>
        <v>1</v>
      </c>
      <c r="P16" s="83">
        <f>0.2*E16</f>
        <v>20000</v>
      </c>
      <c r="Q16" s="83">
        <f>0.8*E16</f>
        <v>80000</v>
      </c>
      <c r="R16" s="83"/>
      <c r="S16" s="83"/>
      <c r="T16" s="83"/>
      <c r="U16" s="83">
        <f t="shared" si="7"/>
        <v>100000</v>
      </c>
      <c r="V16" s="78"/>
    </row>
    <row r="17" spans="1:24" s="79" customFormat="1" ht="17.25" customHeight="1" x14ac:dyDescent="0.25">
      <c r="A17" s="80"/>
      <c r="B17" s="77"/>
      <c r="C17" s="77"/>
      <c r="D17" s="82" t="s">
        <v>155</v>
      </c>
      <c r="E17" s="226">
        <f t="shared" si="9"/>
        <v>350000</v>
      </c>
      <c r="F17" s="246"/>
      <c r="G17" s="226">
        <v>250000</v>
      </c>
      <c r="H17" s="226"/>
      <c r="I17" s="226">
        <v>100000</v>
      </c>
      <c r="J17" s="255"/>
      <c r="K17" s="256"/>
      <c r="L17" s="257">
        <v>3</v>
      </c>
      <c r="M17" s="257"/>
      <c r="N17" s="258"/>
      <c r="O17" s="249">
        <f t="shared" si="3"/>
        <v>3</v>
      </c>
      <c r="P17" s="83">
        <f>$E$17*0.2</f>
        <v>70000</v>
      </c>
      <c r="Q17" s="83">
        <f t="shared" ref="Q17:T17" si="13">$E$17*0.2</f>
        <v>70000</v>
      </c>
      <c r="R17" s="83">
        <f t="shared" si="13"/>
        <v>70000</v>
      </c>
      <c r="S17" s="83">
        <f t="shared" si="13"/>
        <v>70000</v>
      </c>
      <c r="T17" s="83">
        <f t="shared" si="13"/>
        <v>70000</v>
      </c>
      <c r="U17" s="83">
        <f t="shared" si="7"/>
        <v>350000</v>
      </c>
      <c r="V17" s="78"/>
    </row>
    <row r="18" spans="1:24" s="68" customFormat="1" ht="17.25" customHeight="1" x14ac:dyDescent="0.25">
      <c r="A18" s="60"/>
      <c r="B18" s="61" t="s">
        <v>24</v>
      </c>
      <c r="C18" s="61" t="s">
        <v>32</v>
      </c>
      <c r="D18" s="62" t="s">
        <v>268</v>
      </c>
      <c r="E18" s="70">
        <f t="shared" si="9"/>
        <v>1500000</v>
      </c>
      <c r="F18" s="71" t="s">
        <v>151</v>
      </c>
      <c r="G18" s="70">
        <v>1500000</v>
      </c>
      <c r="H18" s="70"/>
      <c r="I18" s="70"/>
      <c r="J18" s="73"/>
      <c r="K18" s="73"/>
      <c r="L18" s="74">
        <v>3</v>
      </c>
      <c r="M18" s="75"/>
      <c r="N18" s="76"/>
      <c r="O18" s="239">
        <f t="shared" si="3"/>
        <v>3</v>
      </c>
      <c r="P18" s="241">
        <f>E18*0.1</f>
        <v>150000</v>
      </c>
      <c r="Q18" s="241">
        <f>E18*0.4</f>
        <v>600000</v>
      </c>
      <c r="R18" s="241">
        <f>E18*0.5</f>
        <v>750000</v>
      </c>
      <c r="S18" s="241"/>
      <c r="T18" s="241"/>
      <c r="U18" s="241">
        <f t="shared" si="7"/>
        <v>1500000</v>
      </c>
      <c r="V18" s="57"/>
    </row>
    <row r="19" spans="1:24" s="68" customFormat="1" ht="17.25" customHeight="1" x14ac:dyDescent="0.25">
      <c r="A19" s="60"/>
      <c r="B19" s="61" t="s">
        <v>24</v>
      </c>
      <c r="C19" s="61" t="s">
        <v>33</v>
      </c>
      <c r="D19" s="62" t="s">
        <v>128</v>
      </c>
      <c r="E19" s="70">
        <f>G19+H19+I19</f>
        <v>5270000</v>
      </c>
      <c r="F19" s="71" t="s">
        <v>126</v>
      </c>
      <c r="G19" s="70">
        <f>SUM(G20:G23)</f>
        <v>3170000</v>
      </c>
      <c r="H19" s="70">
        <f t="shared" ref="H19" si="14">SUM(H20:H23)</f>
        <v>2100000</v>
      </c>
      <c r="I19" s="70"/>
      <c r="J19" s="73">
        <f>SUM(J20:J23)</f>
        <v>28.550000000000004</v>
      </c>
      <c r="K19" s="73">
        <f t="shared" ref="K19:N19" si="15">SUM(K20:K23)</f>
        <v>142.75</v>
      </c>
      <c r="L19" s="73">
        <f t="shared" si="15"/>
        <v>285.5</v>
      </c>
      <c r="M19" s="73">
        <f t="shared" si="15"/>
        <v>114.20000000000002</v>
      </c>
      <c r="N19" s="73">
        <f t="shared" si="15"/>
        <v>0</v>
      </c>
      <c r="O19" s="239">
        <f t="shared" si="3"/>
        <v>571</v>
      </c>
      <c r="P19" s="241">
        <f>SUM(P20:P23)</f>
        <v>263500</v>
      </c>
      <c r="Q19" s="241">
        <f t="shared" ref="Q19:T19" si="16">SUM(Q20:Q23)</f>
        <v>1317500</v>
      </c>
      <c r="R19" s="241">
        <f t="shared" si="16"/>
        <v>2635000</v>
      </c>
      <c r="S19" s="241">
        <f t="shared" si="16"/>
        <v>1054000</v>
      </c>
      <c r="T19" s="241">
        <f t="shared" si="16"/>
        <v>0</v>
      </c>
      <c r="U19" s="241">
        <f t="shared" si="7"/>
        <v>5270000</v>
      </c>
      <c r="V19" s="57"/>
    </row>
    <row r="20" spans="1:24" s="79" customFormat="1" ht="17.25" customHeight="1" x14ac:dyDescent="0.25">
      <c r="A20" s="80"/>
      <c r="B20" s="77"/>
      <c r="C20" s="152"/>
      <c r="D20" s="82" t="s">
        <v>122</v>
      </c>
      <c r="E20" s="83">
        <f>G20+H20+I20</f>
        <v>1170000</v>
      </c>
      <c r="F20" s="246"/>
      <c r="G20" s="83">
        <v>1170000</v>
      </c>
      <c r="H20" s="83"/>
      <c r="I20" s="83"/>
      <c r="J20" s="259">
        <f>'[3]Detail ouvrages amont'!H5</f>
        <v>6.5500000000000007</v>
      </c>
      <c r="K20" s="259">
        <f>'[3]Detail ouvrages amont'!I5</f>
        <v>32.75</v>
      </c>
      <c r="L20" s="259">
        <f>'[3]Detail ouvrages amont'!J5</f>
        <v>65.5</v>
      </c>
      <c r="M20" s="259">
        <f>'[3]Detail ouvrages amont'!K5</f>
        <v>26.200000000000003</v>
      </c>
      <c r="N20" s="259">
        <f>'[3]Detail ouvrages amont'!L5</f>
        <v>0</v>
      </c>
      <c r="O20" s="249">
        <f t="shared" si="3"/>
        <v>131</v>
      </c>
      <c r="P20" s="83">
        <f>'[3]Detail ouvrages amont'!N5</f>
        <v>60000</v>
      </c>
      <c r="Q20" s="83">
        <f>'[3]Detail ouvrages amont'!O5</f>
        <v>300000</v>
      </c>
      <c r="R20" s="83">
        <f>'[3]Detail ouvrages amont'!P5</f>
        <v>600000</v>
      </c>
      <c r="S20" s="83">
        <f>'[3]Detail ouvrages amont'!Q5</f>
        <v>240000</v>
      </c>
      <c r="T20" s="83">
        <f t="shared" ref="T20:T23" si="17">N20/$O20*$E20</f>
        <v>0</v>
      </c>
      <c r="U20" s="83">
        <f t="shared" si="7"/>
        <v>1200000</v>
      </c>
      <c r="V20" s="78"/>
    </row>
    <row r="21" spans="1:24" s="79" customFormat="1" ht="17.25" customHeight="1" x14ac:dyDescent="0.25">
      <c r="A21" s="80"/>
      <c r="B21" s="77"/>
      <c r="C21" s="152"/>
      <c r="D21" s="82" t="s">
        <v>131</v>
      </c>
      <c r="E21" s="83">
        <f t="shared" ref="E21:E23" si="18">G21+H21+I21</f>
        <v>2100000</v>
      </c>
      <c r="F21" s="246"/>
      <c r="G21" s="83"/>
      <c r="H21" s="83">
        <v>2100000</v>
      </c>
      <c r="I21" s="83"/>
      <c r="J21" s="259">
        <f>'[3]Detail ouvrages amont'!H6</f>
        <v>10.9</v>
      </c>
      <c r="K21" s="259">
        <f>'[3]Detail ouvrages amont'!I6</f>
        <v>54.5</v>
      </c>
      <c r="L21" s="259">
        <f>'[3]Detail ouvrages amont'!J6</f>
        <v>109</v>
      </c>
      <c r="M21" s="259">
        <f>'[3]Detail ouvrages amont'!K6</f>
        <v>43.6</v>
      </c>
      <c r="N21" s="259">
        <f>'[3]Detail ouvrages amont'!L6</f>
        <v>0</v>
      </c>
      <c r="O21" s="249">
        <f t="shared" si="3"/>
        <v>218</v>
      </c>
      <c r="P21" s="83">
        <f>'[3]Detail ouvrages amont'!N6</f>
        <v>97500</v>
      </c>
      <c r="Q21" s="83">
        <f>'[3]Detail ouvrages amont'!O6</f>
        <v>487500</v>
      </c>
      <c r="R21" s="83">
        <f>'[3]Detail ouvrages amont'!P6</f>
        <v>975000</v>
      </c>
      <c r="S21" s="83">
        <f>'[3]Detail ouvrages amont'!Q6</f>
        <v>390000</v>
      </c>
      <c r="T21" s="83">
        <f t="shared" si="17"/>
        <v>0</v>
      </c>
      <c r="U21" s="83">
        <f t="shared" si="7"/>
        <v>1950000</v>
      </c>
      <c r="V21" s="78"/>
    </row>
    <row r="22" spans="1:24" s="79" customFormat="1" ht="17.25" customHeight="1" x14ac:dyDescent="0.25">
      <c r="A22" s="80"/>
      <c r="B22" s="77"/>
      <c r="C22" s="152"/>
      <c r="D22" s="82" t="s">
        <v>124</v>
      </c>
      <c r="E22" s="83">
        <f t="shared" si="18"/>
        <v>1000000</v>
      </c>
      <c r="F22" s="246"/>
      <c r="G22" s="83">
        <v>1000000</v>
      </c>
      <c r="H22" s="83"/>
      <c r="I22" s="83"/>
      <c r="J22" s="259">
        <f>'[3]Detail ouvrages amont'!H7</f>
        <v>6.3000000000000007</v>
      </c>
      <c r="K22" s="259">
        <f>'[3]Detail ouvrages amont'!I7</f>
        <v>31.5</v>
      </c>
      <c r="L22" s="259">
        <f>'[3]Detail ouvrages amont'!J7</f>
        <v>63</v>
      </c>
      <c r="M22" s="259">
        <f>'[3]Detail ouvrages amont'!K7</f>
        <v>25.200000000000003</v>
      </c>
      <c r="N22" s="259">
        <f>'[3]Detail ouvrages amont'!L7</f>
        <v>0</v>
      </c>
      <c r="O22" s="249">
        <f t="shared" si="3"/>
        <v>126</v>
      </c>
      <c r="P22" s="83">
        <f>'[3]Detail ouvrages amont'!N7</f>
        <v>58750</v>
      </c>
      <c r="Q22" s="83">
        <f>'[3]Detail ouvrages amont'!O7</f>
        <v>293750</v>
      </c>
      <c r="R22" s="83">
        <f>'[3]Detail ouvrages amont'!P7</f>
        <v>587500</v>
      </c>
      <c r="S22" s="83">
        <f>'[3]Detail ouvrages amont'!Q7</f>
        <v>235000</v>
      </c>
      <c r="T22" s="83">
        <f t="shared" si="17"/>
        <v>0</v>
      </c>
      <c r="U22" s="83">
        <f t="shared" si="7"/>
        <v>1175000</v>
      </c>
      <c r="V22" s="78"/>
    </row>
    <row r="23" spans="1:24" s="79" customFormat="1" ht="17.25" customHeight="1" x14ac:dyDescent="0.25">
      <c r="A23" s="80"/>
      <c r="B23" s="77"/>
      <c r="C23" s="152"/>
      <c r="D23" s="82" t="s">
        <v>125</v>
      </c>
      <c r="E23" s="83">
        <f t="shared" si="18"/>
        <v>1000000</v>
      </c>
      <c r="F23" s="246"/>
      <c r="G23" s="83">
        <v>1000000</v>
      </c>
      <c r="H23" s="83"/>
      <c r="I23" s="83"/>
      <c r="J23" s="259">
        <f>'[3]Detail ouvrages amont'!H8</f>
        <v>4.8000000000000007</v>
      </c>
      <c r="K23" s="259">
        <f>'[3]Detail ouvrages amont'!I8</f>
        <v>24</v>
      </c>
      <c r="L23" s="259">
        <f>'[3]Detail ouvrages amont'!J8</f>
        <v>48</v>
      </c>
      <c r="M23" s="259">
        <f>'[3]Detail ouvrages amont'!K8</f>
        <v>19.200000000000003</v>
      </c>
      <c r="N23" s="259">
        <f>'[3]Detail ouvrages amont'!L8</f>
        <v>0</v>
      </c>
      <c r="O23" s="249">
        <f t="shared" si="3"/>
        <v>96</v>
      </c>
      <c r="P23" s="83">
        <f>'[3]Detail ouvrages amont'!N8</f>
        <v>47250</v>
      </c>
      <c r="Q23" s="83">
        <f>'[3]Detail ouvrages amont'!O8</f>
        <v>236250</v>
      </c>
      <c r="R23" s="83">
        <f>'[3]Detail ouvrages amont'!P8</f>
        <v>472500</v>
      </c>
      <c r="S23" s="83">
        <f>'[3]Detail ouvrages amont'!Q8</f>
        <v>189000</v>
      </c>
      <c r="T23" s="83">
        <f t="shared" si="17"/>
        <v>0</v>
      </c>
      <c r="U23" s="83">
        <f t="shared" si="7"/>
        <v>945000</v>
      </c>
      <c r="V23" s="78"/>
    </row>
    <row r="24" spans="1:24" s="68" customFormat="1" ht="17.25" customHeight="1" x14ac:dyDescent="0.25">
      <c r="A24" s="69"/>
      <c r="B24" s="61" t="s">
        <v>24</v>
      </c>
      <c r="C24" s="61" t="s">
        <v>34</v>
      </c>
      <c r="D24" s="62" t="s">
        <v>127</v>
      </c>
      <c r="E24" s="70">
        <f>G24+H24+I24</f>
        <v>19430000</v>
      </c>
      <c r="F24" s="71" t="s">
        <v>126</v>
      </c>
      <c r="G24" s="70">
        <f>SUM(G25:G26)</f>
        <v>19430000</v>
      </c>
      <c r="H24" s="70"/>
      <c r="I24" s="70"/>
      <c r="J24" s="64">
        <f>SUM(J25:J26)</f>
        <v>0</v>
      </c>
      <c r="K24" s="64">
        <f>SUM(K25:K26)</f>
        <v>0</v>
      </c>
      <c r="L24" s="64">
        <f>SUM(L25:L26)</f>
        <v>4</v>
      </c>
      <c r="M24" s="64">
        <f>SUM(M25:M26)</f>
        <v>1</v>
      </c>
      <c r="N24" s="64">
        <f>SUM(N25:N26)</f>
        <v>0</v>
      </c>
      <c r="O24" s="239">
        <f t="shared" si="3"/>
        <v>5</v>
      </c>
      <c r="P24" s="241">
        <f>SUM(P25:P26)</f>
        <v>388600</v>
      </c>
      <c r="Q24" s="241">
        <f>SUM(Q25:Q26)</f>
        <v>582900</v>
      </c>
      <c r="R24" s="241">
        <f>SUM(R25:R26)</f>
        <v>11201000</v>
      </c>
      <c r="S24" s="241">
        <f>SUM(S25:S26)</f>
        <v>7257500</v>
      </c>
      <c r="T24" s="241">
        <f>SUM(T25:T26)</f>
        <v>0</v>
      </c>
      <c r="U24" s="241">
        <f t="shared" si="7"/>
        <v>19430000</v>
      </c>
      <c r="V24" s="57"/>
      <c r="W24" s="72"/>
      <c r="X24" s="72"/>
    </row>
    <row r="25" spans="1:24" s="79" customFormat="1" ht="17.25" customHeight="1" x14ac:dyDescent="0.25">
      <c r="A25" s="80"/>
      <c r="B25" s="77"/>
      <c r="C25" s="77"/>
      <c r="D25" s="82" t="s">
        <v>123</v>
      </c>
      <c r="E25" s="83">
        <f t="shared" ref="E25:E26" si="19">G25+H25+I25</f>
        <v>11430000</v>
      </c>
      <c r="F25" s="246"/>
      <c r="G25" s="83">
        <v>11430000</v>
      </c>
      <c r="H25" s="83"/>
      <c r="I25" s="83"/>
      <c r="J25" s="251"/>
      <c r="K25" s="253"/>
      <c r="L25" s="253">
        <v>3</v>
      </c>
      <c r="M25" s="253"/>
      <c r="N25" s="254"/>
      <c r="O25" s="249">
        <f t="shared" si="3"/>
        <v>3</v>
      </c>
      <c r="P25" s="83">
        <f t="shared" ref="P25:P26" si="20">0.02*E25</f>
        <v>228600</v>
      </c>
      <c r="Q25" s="83">
        <f t="shared" ref="Q25:Q26" si="21">0.03*E25</f>
        <v>342900</v>
      </c>
      <c r="R25" s="83">
        <f>0.7*E25</f>
        <v>8000999.9999999991</v>
      </c>
      <c r="S25" s="83">
        <f>0.25*E25</f>
        <v>2857500</v>
      </c>
      <c r="T25" s="83"/>
      <c r="U25" s="83">
        <f t="shared" si="7"/>
        <v>11430000</v>
      </c>
      <c r="V25" s="78"/>
      <c r="W25" s="81"/>
      <c r="X25" s="81"/>
    </row>
    <row r="26" spans="1:24" s="79" customFormat="1" ht="17.25" customHeight="1" x14ac:dyDescent="0.25">
      <c r="A26" s="80"/>
      <c r="B26" s="77"/>
      <c r="C26" s="77"/>
      <c r="D26" s="82" t="s">
        <v>269</v>
      </c>
      <c r="E26" s="83">
        <f t="shared" si="19"/>
        <v>8000000</v>
      </c>
      <c r="F26" s="246"/>
      <c r="G26" s="83">
        <v>8000000</v>
      </c>
      <c r="H26" s="83"/>
      <c r="I26" s="83"/>
      <c r="J26" s="251"/>
      <c r="K26" s="253"/>
      <c r="L26" s="253">
        <v>1</v>
      </c>
      <c r="M26" s="253">
        <v>1</v>
      </c>
      <c r="N26" s="254"/>
      <c r="O26" s="249">
        <f t="shared" si="3"/>
        <v>2</v>
      </c>
      <c r="P26" s="83">
        <f t="shared" si="20"/>
        <v>160000</v>
      </c>
      <c r="Q26" s="83">
        <f t="shared" si="21"/>
        <v>240000</v>
      </c>
      <c r="R26" s="83">
        <f t="shared" ref="R26" si="22">0.4*E26</f>
        <v>3200000</v>
      </c>
      <c r="S26" s="83">
        <f>0.55*E26</f>
        <v>4400000</v>
      </c>
      <c r="T26" s="83"/>
      <c r="U26" s="83">
        <f t="shared" si="7"/>
        <v>8000000</v>
      </c>
      <c r="V26" s="78"/>
      <c r="W26" s="81"/>
      <c r="X26" s="81"/>
    </row>
    <row r="27" spans="1:24" s="25" customFormat="1" ht="17.25" customHeight="1" x14ac:dyDescent="0.25">
      <c r="A27" s="15"/>
      <c r="B27" s="23" t="s">
        <v>129</v>
      </c>
      <c r="C27" s="23" t="s">
        <v>35</v>
      </c>
      <c r="D27" s="28" t="s">
        <v>130</v>
      </c>
      <c r="E27" s="70">
        <f>G27+H27+I27</f>
        <v>10000000</v>
      </c>
      <c r="F27" s="29" t="s">
        <v>134</v>
      </c>
      <c r="G27" s="58">
        <v>10000000</v>
      </c>
      <c r="H27" s="58"/>
      <c r="I27" s="234"/>
      <c r="J27" s="27"/>
      <c r="K27" s="26"/>
      <c r="L27" s="26"/>
      <c r="M27" s="26">
        <v>1</v>
      </c>
      <c r="N27" s="19"/>
      <c r="O27" s="240">
        <f t="shared" si="3"/>
        <v>1</v>
      </c>
      <c r="P27" s="24">
        <f>0.1*E27</f>
        <v>1000000</v>
      </c>
      <c r="Q27" s="24">
        <f>0.25*E27</f>
        <v>2500000</v>
      </c>
      <c r="R27" s="24">
        <f>0.35*E27</f>
        <v>3500000</v>
      </c>
      <c r="S27" s="24">
        <f>0.3*E27</f>
        <v>3000000</v>
      </c>
      <c r="T27" s="24"/>
      <c r="U27" s="24">
        <f t="shared" si="7"/>
        <v>10000000</v>
      </c>
      <c r="V27" s="30"/>
    </row>
    <row r="28" spans="1:24" s="38" customFormat="1" ht="17.25" customHeight="1" x14ac:dyDescent="0.25">
      <c r="A28" s="13"/>
      <c r="B28" s="28" t="s">
        <v>40</v>
      </c>
      <c r="C28" s="23" t="s">
        <v>36</v>
      </c>
      <c r="D28" s="28" t="s">
        <v>40</v>
      </c>
      <c r="E28" s="70">
        <f t="shared" ref="E28:E31" si="23">G28+H28+I28</f>
        <v>4350000</v>
      </c>
      <c r="F28" s="29"/>
      <c r="G28" s="58">
        <v>4200000</v>
      </c>
      <c r="H28" s="58"/>
      <c r="I28" s="234">
        <v>150000</v>
      </c>
      <c r="J28" s="32"/>
      <c r="K28" s="33"/>
      <c r="L28" s="33"/>
      <c r="M28" s="33"/>
      <c r="N28" s="34"/>
      <c r="O28" s="240"/>
      <c r="P28" s="227">
        <f>$E28*0.2</f>
        <v>870000</v>
      </c>
      <c r="Q28" s="227">
        <f t="shared" ref="Q28:T30" si="24">$E28*0.2</f>
        <v>870000</v>
      </c>
      <c r="R28" s="227">
        <f t="shared" si="24"/>
        <v>870000</v>
      </c>
      <c r="S28" s="227">
        <f t="shared" si="24"/>
        <v>870000</v>
      </c>
      <c r="T28" s="227">
        <f t="shared" si="24"/>
        <v>870000</v>
      </c>
      <c r="U28" s="24">
        <f t="shared" si="7"/>
        <v>4350000</v>
      </c>
      <c r="V28" s="30"/>
      <c r="W28" s="25"/>
    </row>
    <row r="29" spans="1:24" s="38" customFormat="1" ht="17.25" customHeight="1" x14ac:dyDescent="0.25">
      <c r="A29" s="13"/>
      <c r="B29" s="28" t="s">
        <v>10</v>
      </c>
      <c r="C29" s="23" t="s">
        <v>37</v>
      </c>
      <c r="D29" s="28" t="s">
        <v>10</v>
      </c>
      <c r="E29" s="70">
        <f t="shared" si="23"/>
        <v>300000</v>
      </c>
      <c r="F29" s="29"/>
      <c r="G29" s="58">
        <v>300000</v>
      </c>
      <c r="H29" s="58"/>
      <c r="I29" s="234"/>
      <c r="J29" s="32"/>
      <c r="K29" s="33"/>
      <c r="L29" s="33"/>
      <c r="M29" s="33"/>
      <c r="N29" s="34"/>
      <c r="O29" s="240"/>
      <c r="P29" s="227">
        <f>$E29*0.2</f>
        <v>60000</v>
      </c>
      <c r="Q29" s="227">
        <f t="shared" si="24"/>
        <v>60000</v>
      </c>
      <c r="R29" s="227">
        <f t="shared" si="24"/>
        <v>60000</v>
      </c>
      <c r="S29" s="227">
        <f t="shared" si="24"/>
        <v>60000</v>
      </c>
      <c r="T29" s="227">
        <f t="shared" si="24"/>
        <v>60000</v>
      </c>
      <c r="U29" s="24">
        <f t="shared" si="7"/>
        <v>300000</v>
      </c>
      <c r="V29" s="30"/>
      <c r="W29" s="25"/>
    </row>
    <row r="30" spans="1:24" s="37" customFormat="1" ht="17.25" customHeight="1" x14ac:dyDescent="0.25">
      <c r="A30" s="13"/>
      <c r="B30" s="28" t="s">
        <v>41</v>
      </c>
      <c r="C30" s="23" t="s">
        <v>156</v>
      </c>
      <c r="D30" s="28" t="s">
        <v>41</v>
      </c>
      <c r="E30" s="70">
        <f t="shared" si="23"/>
        <v>600000</v>
      </c>
      <c r="F30" s="29"/>
      <c r="G30" s="58">
        <v>600000</v>
      </c>
      <c r="H30" s="58"/>
      <c r="I30" s="234"/>
      <c r="J30" s="32"/>
      <c r="K30" s="33"/>
      <c r="L30" s="33"/>
      <c r="M30" s="33"/>
      <c r="N30" s="34"/>
      <c r="O30" s="240"/>
      <c r="P30" s="227">
        <f>$E30*0.2</f>
        <v>120000</v>
      </c>
      <c r="Q30" s="227">
        <f t="shared" si="24"/>
        <v>120000</v>
      </c>
      <c r="R30" s="227">
        <f t="shared" si="24"/>
        <v>120000</v>
      </c>
      <c r="S30" s="227">
        <f t="shared" si="24"/>
        <v>120000</v>
      </c>
      <c r="T30" s="227">
        <f t="shared" si="24"/>
        <v>120000</v>
      </c>
      <c r="U30" s="24">
        <f t="shared" si="7"/>
        <v>600000</v>
      </c>
      <c r="V30" s="30"/>
      <c r="W30" s="25"/>
    </row>
    <row r="31" spans="1:24" s="37" customFormat="1" ht="17.25" customHeight="1" x14ac:dyDescent="0.25">
      <c r="A31" s="13"/>
      <c r="B31" s="28" t="s">
        <v>21</v>
      </c>
      <c r="C31" s="23" t="s">
        <v>157</v>
      </c>
      <c r="D31" s="28" t="s">
        <v>21</v>
      </c>
      <c r="E31" s="70">
        <f t="shared" si="23"/>
        <v>500000</v>
      </c>
      <c r="F31" s="29"/>
      <c r="G31" s="241">
        <v>500000</v>
      </c>
      <c r="H31" s="58"/>
      <c r="I31" s="234"/>
      <c r="J31" s="32"/>
      <c r="K31" s="33"/>
      <c r="L31" s="33"/>
      <c r="M31" s="33"/>
      <c r="N31" s="34"/>
      <c r="O31" s="240"/>
      <c r="P31" s="227"/>
      <c r="Q31" s="227"/>
      <c r="R31" s="227"/>
      <c r="S31" s="227"/>
      <c r="T31" s="227">
        <v>500000</v>
      </c>
      <c r="U31" s="24">
        <f t="shared" si="7"/>
        <v>500000</v>
      </c>
      <c r="V31" s="30"/>
      <c r="W31" s="25"/>
    </row>
    <row r="32" spans="1:24" ht="17.25" customHeight="1" x14ac:dyDescent="0.25">
      <c r="A32" s="13"/>
      <c r="B32" s="28"/>
      <c r="C32" s="23" t="s">
        <v>20</v>
      </c>
      <c r="D32" s="28" t="s">
        <v>20</v>
      </c>
      <c r="E32" s="59">
        <f>E31+E30+E29+E28+E27+E24+E19+E18+E15+E14+E13+E12+E9+E8+E3</f>
        <v>47250000</v>
      </c>
      <c r="F32" s="225"/>
      <c r="G32" s="59">
        <f>G31+G30+G29+G28+G27+G24+G19+G18+G15+G14+G13+G12+G9+G8+G3</f>
        <v>42000000</v>
      </c>
      <c r="H32" s="59">
        <f>H31+H30+H29+H28+H27+H24+H19+H18+H15+H14+H13+H12+H9+H8+H3</f>
        <v>4500000</v>
      </c>
      <c r="I32" s="59">
        <f>I31+I30+I29+I28+I27+I24+I19+I18+I15+I14+I13+I12+I9+I8+I3</f>
        <v>750000</v>
      </c>
      <c r="J32" s="32"/>
      <c r="K32" s="33"/>
      <c r="L32" s="33"/>
      <c r="M32" s="33"/>
      <c r="N32" s="34"/>
      <c r="O32" s="240"/>
      <c r="P32" s="59">
        <f>P31+P30+P29+P28+P27+P24+P19+P18+P15+P14+P13+P12+P9+P8+P3</f>
        <v>3352100</v>
      </c>
      <c r="Q32" s="59">
        <f t="shared" ref="Q32:T32" si="25">Q31+Q30+Q29+Q28+Q27+Q24+Q19+Q18+Q15+Q14+Q13+Q12+Q9+Q8+Q3</f>
        <v>7445400</v>
      </c>
      <c r="R32" s="59">
        <f t="shared" si="25"/>
        <v>20726000</v>
      </c>
      <c r="S32" s="59">
        <f t="shared" si="25"/>
        <v>13711500</v>
      </c>
      <c r="T32" s="59">
        <f t="shared" si="25"/>
        <v>2015000</v>
      </c>
      <c r="U32" s="24">
        <f>SUM(P32:T32)</f>
        <v>47250000</v>
      </c>
      <c r="V32" s="30"/>
      <c r="W32" s="25"/>
      <c r="X32" s="36"/>
    </row>
    <row r="33" spans="2:22" ht="17.25" customHeight="1" x14ac:dyDescent="0.25">
      <c r="B33" s="85"/>
      <c r="C33" s="85"/>
      <c r="D33" s="85"/>
      <c r="E33" s="85"/>
      <c r="F33" s="235"/>
      <c r="G33" s="85"/>
      <c r="H33" s="85"/>
      <c r="I33" s="85"/>
      <c r="J33" s="85"/>
      <c r="K33" s="85"/>
      <c r="P33" s="31"/>
      <c r="Q33" s="31"/>
      <c r="R33" s="31"/>
      <c r="S33" s="31"/>
      <c r="T33" s="31"/>
      <c r="U33" s="35"/>
      <c r="V33" s="38"/>
    </row>
    <row r="34" spans="2:22" ht="17.25" customHeight="1" x14ac:dyDescent="0.25">
      <c r="C34" s="85"/>
      <c r="D34" s="30"/>
      <c r="E34" s="362" t="s">
        <v>20</v>
      </c>
      <c r="F34" s="362"/>
      <c r="G34" s="362" t="s">
        <v>136</v>
      </c>
      <c r="H34" s="362" t="s">
        <v>135</v>
      </c>
      <c r="I34" s="362" t="s">
        <v>139</v>
      </c>
    </row>
    <row r="35" spans="2:22" ht="17.25" customHeight="1" x14ac:dyDescent="0.25">
      <c r="C35" s="274"/>
      <c r="D35" s="229" t="str">
        <f>B3</f>
        <v>Composante 1</v>
      </c>
      <c r="E35" s="228">
        <f>E3+E8+E9+E12+E13+E14+E15</f>
        <v>5300000</v>
      </c>
      <c r="F35" s="236"/>
      <c r="G35" s="228">
        <f>G3+G8+G9+G12+G13+G14+G15</f>
        <v>2300000</v>
      </c>
      <c r="H35" s="228">
        <f>H3+H8+H9+H12+H13+H14+H15</f>
        <v>2400000</v>
      </c>
      <c r="I35" s="228">
        <f>I3+I8+I9+I12+I13+I14+I15</f>
        <v>600000</v>
      </c>
    </row>
    <row r="36" spans="2:22" s="56" customFormat="1" ht="17.25" customHeight="1" x14ac:dyDescent="0.25">
      <c r="C36" s="85"/>
      <c r="D36" s="229" t="str">
        <f>B19</f>
        <v>Composante 2</v>
      </c>
      <c r="E36" s="228">
        <f>E18+E19+E24</f>
        <v>26200000</v>
      </c>
      <c r="F36" s="236"/>
      <c r="G36" s="228">
        <f>G18+G19+G24</f>
        <v>24100000</v>
      </c>
      <c r="H36" s="228">
        <f>H18+H19+H24</f>
        <v>2100000</v>
      </c>
      <c r="I36" s="228">
        <f>I18+I19+I24</f>
        <v>0</v>
      </c>
    </row>
    <row r="37" spans="2:22" ht="17.25" customHeight="1" x14ac:dyDescent="0.25">
      <c r="C37" s="85"/>
      <c r="D37" s="229" t="str">
        <f>B27</f>
        <v>Composante 3</v>
      </c>
      <c r="E37" s="228">
        <f>E27</f>
        <v>10000000</v>
      </c>
      <c r="F37" s="236"/>
      <c r="G37" s="228">
        <f t="shared" ref="G37:I38" si="26">G27</f>
        <v>10000000</v>
      </c>
      <c r="H37" s="228">
        <f t="shared" si="26"/>
        <v>0</v>
      </c>
      <c r="I37" s="228">
        <f t="shared" si="26"/>
        <v>0</v>
      </c>
    </row>
    <row r="38" spans="2:22" ht="17.25" customHeight="1" x14ac:dyDescent="0.25">
      <c r="C38" s="85"/>
      <c r="D38" s="229" t="str">
        <f>B28</f>
        <v>Gestion</v>
      </c>
      <c r="E38" s="228">
        <f>E28</f>
        <v>4350000</v>
      </c>
      <c r="F38" s="236"/>
      <c r="G38" s="228">
        <f t="shared" si="26"/>
        <v>4200000</v>
      </c>
      <c r="H38" s="228">
        <f t="shared" si="26"/>
        <v>0</v>
      </c>
      <c r="I38" s="228">
        <f t="shared" si="26"/>
        <v>150000</v>
      </c>
    </row>
    <row r="39" spans="2:22" ht="17.25" customHeight="1" x14ac:dyDescent="0.25">
      <c r="C39" s="85"/>
      <c r="D39" s="229" t="str">
        <f>B29</f>
        <v>Audits</v>
      </c>
      <c r="E39" s="228">
        <f t="shared" ref="E39:I41" si="27">E29</f>
        <v>300000</v>
      </c>
      <c r="F39" s="236"/>
      <c r="G39" s="228">
        <f t="shared" si="27"/>
        <v>300000</v>
      </c>
      <c r="H39" s="228">
        <f t="shared" si="27"/>
        <v>0</v>
      </c>
      <c r="I39" s="228">
        <f t="shared" si="27"/>
        <v>0</v>
      </c>
    </row>
    <row r="40" spans="2:22" ht="17.25" customHeight="1" x14ac:dyDescent="0.25">
      <c r="C40" s="85"/>
      <c r="D40" s="229" t="str">
        <f>B30</f>
        <v>Evaluation</v>
      </c>
      <c r="E40" s="228">
        <f t="shared" si="27"/>
        <v>600000</v>
      </c>
      <c r="F40" s="236"/>
      <c r="G40" s="228">
        <f t="shared" si="27"/>
        <v>600000</v>
      </c>
      <c r="H40" s="228">
        <f t="shared" si="27"/>
        <v>0</v>
      </c>
      <c r="I40" s="228">
        <f t="shared" si="27"/>
        <v>0</v>
      </c>
    </row>
    <row r="41" spans="2:22" ht="17.25" customHeight="1" x14ac:dyDescent="0.25">
      <c r="C41" s="85"/>
      <c r="D41" s="229" t="str">
        <f>B31</f>
        <v>Imprévus</v>
      </c>
      <c r="E41" s="228">
        <f t="shared" si="27"/>
        <v>500000</v>
      </c>
      <c r="F41" s="236"/>
      <c r="G41" s="228">
        <f t="shared" si="27"/>
        <v>500000</v>
      </c>
      <c r="H41" s="228">
        <f t="shared" si="27"/>
        <v>0</v>
      </c>
      <c r="I41" s="228">
        <f t="shared" si="27"/>
        <v>0</v>
      </c>
    </row>
    <row r="42" spans="2:22" ht="17.25" customHeight="1" x14ac:dyDescent="0.25">
      <c r="C42" s="85"/>
      <c r="D42" s="229" t="s">
        <v>20</v>
      </c>
      <c r="E42" s="230">
        <f>SUM(E35:E41)</f>
        <v>47250000</v>
      </c>
      <c r="F42" s="237"/>
      <c r="G42" s="231">
        <f>SUM(G35:G41)</f>
        <v>42000000</v>
      </c>
      <c r="H42" s="231">
        <f t="shared" ref="H42:I42" si="28">SUM(H35:H41)</f>
        <v>4500000</v>
      </c>
      <c r="I42" s="231">
        <f t="shared" si="28"/>
        <v>750000</v>
      </c>
      <c r="K42" s="426"/>
      <c r="L42" s="426"/>
      <c r="M42" s="426"/>
    </row>
    <row r="43" spans="2:22" ht="17.25" customHeight="1" x14ac:dyDescent="0.25">
      <c r="C43" s="85"/>
      <c r="G43" s="264"/>
      <c r="H43" s="264"/>
      <c r="I43" s="85">
        <f>SUM(I44:I46)</f>
        <v>0.6</v>
      </c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</row>
    <row r="44" spans="2:22" s="56" customFormat="1" ht="17.25" customHeight="1" x14ac:dyDescent="0.25">
      <c r="C44" s="85"/>
      <c r="E44" s="30">
        <f>E35/1000000</f>
        <v>5.3</v>
      </c>
      <c r="F44" s="30"/>
      <c r="G44" s="30">
        <f t="shared" ref="G44:I44" si="29">G35/1000000</f>
        <v>2.2999999999999998</v>
      </c>
      <c r="H44" s="30">
        <f t="shared" si="29"/>
        <v>2.4</v>
      </c>
      <c r="I44" s="30">
        <f t="shared" si="29"/>
        <v>0.6</v>
      </c>
    </row>
    <row r="45" spans="2:22" s="56" customFormat="1" ht="17.25" customHeight="1" x14ac:dyDescent="0.25">
      <c r="C45" s="85"/>
      <c r="E45" s="30">
        <f t="shared" ref="E45:I49" si="30">E36/1000000</f>
        <v>26.2</v>
      </c>
      <c r="F45" s="30"/>
      <c r="G45" s="30">
        <f t="shared" si="30"/>
        <v>24.1</v>
      </c>
      <c r="H45" s="30">
        <f t="shared" si="30"/>
        <v>2.1</v>
      </c>
      <c r="I45" s="30">
        <f t="shared" si="30"/>
        <v>0</v>
      </c>
    </row>
    <row r="46" spans="2:22" s="56" customFormat="1" ht="17.25" customHeight="1" x14ac:dyDescent="0.25">
      <c r="C46" s="85"/>
      <c r="E46" s="30">
        <f t="shared" si="30"/>
        <v>10</v>
      </c>
      <c r="F46" s="30"/>
      <c r="G46" s="30">
        <f t="shared" si="30"/>
        <v>10</v>
      </c>
      <c r="H46" s="30">
        <f t="shared" si="30"/>
        <v>0</v>
      </c>
      <c r="I46" s="30">
        <f>SUM(J46:U46)</f>
        <v>0</v>
      </c>
    </row>
    <row r="47" spans="2:22" s="56" customFormat="1" ht="17.25" customHeight="1" x14ac:dyDescent="0.25">
      <c r="C47" s="85"/>
      <c r="E47" s="30">
        <f t="shared" si="30"/>
        <v>4.3499999999999996</v>
      </c>
      <c r="F47" s="30"/>
      <c r="G47" s="30">
        <f t="shared" si="30"/>
        <v>4.2</v>
      </c>
      <c r="H47" s="30">
        <f t="shared" si="30"/>
        <v>0</v>
      </c>
      <c r="I47" s="30">
        <f>+I49+I54+I58</f>
        <v>0</v>
      </c>
    </row>
    <row r="48" spans="2:22" s="56" customFormat="1" ht="17.25" customHeight="1" x14ac:dyDescent="0.25">
      <c r="C48" s="85"/>
      <c r="E48" s="30">
        <f t="shared" si="30"/>
        <v>0.3</v>
      </c>
      <c r="F48" s="30"/>
      <c r="G48" s="30">
        <f t="shared" si="30"/>
        <v>0.3</v>
      </c>
      <c r="H48" s="30">
        <f t="shared" si="30"/>
        <v>0</v>
      </c>
      <c r="I48" s="30">
        <f t="shared" si="30"/>
        <v>0</v>
      </c>
    </row>
    <row r="49" spans="3:9" s="56" customFormat="1" ht="17.25" customHeight="1" x14ac:dyDescent="0.25">
      <c r="C49" s="85"/>
      <c r="E49" s="30">
        <f t="shared" si="30"/>
        <v>0.6</v>
      </c>
      <c r="F49" s="30"/>
      <c r="G49" s="30">
        <f t="shared" si="30"/>
        <v>0.6</v>
      </c>
      <c r="H49" s="30">
        <f t="shared" si="30"/>
        <v>0</v>
      </c>
      <c r="I49" s="30">
        <f t="shared" si="30"/>
        <v>0</v>
      </c>
    </row>
    <row r="50" spans="3:9" s="56" customFormat="1" ht="17.25" customHeight="1" x14ac:dyDescent="0.25">
      <c r="C50" s="85"/>
      <c r="E50" s="30">
        <f>E41/1000000</f>
        <v>0.5</v>
      </c>
      <c r="F50" s="30"/>
      <c r="G50" s="30">
        <f t="shared" ref="G50:I50" si="31">G41/1000000</f>
        <v>0.5</v>
      </c>
      <c r="H50" s="30">
        <f t="shared" si="31"/>
        <v>0</v>
      </c>
      <c r="I50" s="30">
        <f t="shared" si="31"/>
        <v>0</v>
      </c>
    </row>
    <row r="51" spans="3:9" ht="17.25" customHeight="1" x14ac:dyDescent="0.25">
      <c r="E51" s="30">
        <f>E42/1000000</f>
        <v>47.25</v>
      </c>
      <c r="F51" s="30"/>
      <c r="G51" s="30">
        <f t="shared" ref="G51:I51" si="32">G42/1000000</f>
        <v>42</v>
      </c>
      <c r="H51" s="30">
        <f t="shared" si="32"/>
        <v>4.5</v>
      </c>
      <c r="I51" s="30">
        <f t="shared" si="32"/>
        <v>0.75</v>
      </c>
    </row>
    <row r="52" spans="3:9" ht="17.25" customHeight="1" x14ac:dyDescent="0.25">
      <c r="C52" s="56"/>
    </row>
    <row r="53" spans="3:9" ht="17.25" customHeight="1" x14ac:dyDescent="0.25">
      <c r="C53" s="56"/>
      <c r="D53" s="394" t="s">
        <v>249</v>
      </c>
      <c r="E53" s="361">
        <f>E19</f>
        <v>5270000</v>
      </c>
    </row>
    <row r="54" spans="3:9" ht="17.25" customHeight="1" x14ac:dyDescent="0.25">
      <c r="C54" s="56"/>
      <c r="D54" s="30" t="s">
        <v>8</v>
      </c>
      <c r="E54" s="227">
        <f>0.1*E53</f>
        <v>527000</v>
      </c>
    </row>
    <row r="55" spans="3:9" ht="17.25" customHeight="1" x14ac:dyDescent="0.25">
      <c r="C55" s="56"/>
      <c r="D55" s="393" t="s">
        <v>248</v>
      </c>
      <c r="E55" s="227">
        <f>E53-E54</f>
        <v>4743000</v>
      </c>
    </row>
    <row r="56" spans="3:9" ht="17.25" customHeight="1" x14ac:dyDescent="0.25">
      <c r="C56" s="56"/>
      <c r="D56" s="394" t="s">
        <v>250</v>
      </c>
      <c r="E56" s="361">
        <f>G24</f>
        <v>19430000</v>
      </c>
    </row>
    <row r="57" spans="3:9" ht="17.25" customHeight="1" x14ac:dyDescent="0.25">
      <c r="C57" s="56"/>
      <c r="D57" s="30" t="s">
        <v>8</v>
      </c>
      <c r="E57" s="227">
        <f>0.1*E56</f>
        <v>1943000</v>
      </c>
    </row>
    <row r="58" spans="3:9" ht="17.25" customHeight="1" x14ac:dyDescent="0.25">
      <c r="C58" s="56"/>
      <c r="D58" s="393" t="s">
        <v>248</v>
      </c>
      <c r="E58" s="227">
        <f>E56-E57</f>
        <v>17487000</v>
      </c>
    </row>
    <row r="59" spans="3:9" ht="17.25" customHeight="1" x14ac:dyDescent="0.25">
      <c r="C59" s="56"/>
    </row>
    <row r="60" spans="3:9" ht="17.25" customHeight="1" x14ac:dyDescent="0.25">
      <c r="C60" s="56"/>
    </row>
    <row r="61" spans="3:9" ht="17.25" customHeight="1" x14ac:dyDescent="0.25">
      <c r="C61" s="56"/>
      <c r="I61" s="56">
        <f>+I63</f>
        <v>0</v>
      </c>
    </row>
    <row r="62" spans="3:9" ht="17.25" customHeight="1" x14ac:dyDescent="0.25">
      <c r="C62" s="56"/>
    </row>
    <row r="63" spans="3:9" ht="17.25" customHeight="1" x14ac:dyDescent="0.25">
      <c r="C63" s="56"/>
    </row>
    <row r="64" spans="3:9" ht="17.25" customHeight="1" x14ac:dyDescent="0.25">
      <c r="C64" s="56"/>
    </row>
    <row r="65" spans="3:3" ht="17.25" customHeight="1" x14ac:dyDescent="0.25">
      <c r="C65" s="56"/>
    </row>
    <row r="66" spans="3:3" ht="17.25" customHeight="1" x14ac:dyDescent="0.25">
      <c r="C66" s="56"/>
    </row>
    <row r="67" spans="3:3" ht="17.25" customHeight="1" x14ac:dyDescent="0.25">
      <c r="C67" s="56"/>
    </row>
    <row r="68" spans="3:3" ht="17.25" customHeight="1" x14ac:dyDescent="0.25">
      <c r="C68" s="56"/>
    </row>
    <row r="69" spans="3:3" ht="17.25" customHeight="1" x14ac:dyDescent="0.25">
      <c r="C69" s="56"/>
    </row>
    <row r="70" spans="3:3" ht="17.25" customHeight="1" x14ac:dyDescent="0.25">
      <c r="C70" s="56"/>
    </row>
    <row r="71" spans="3:3" ht="17.25" customHeight="1" x14ac:dyDescent="0.25">
      <c r="C71" s="56"/>
    </row>
  </sheetData>
  <autoFilter ref="A2:X32"/>
  <mergeCells count="3">
    <mergeCell ref="J1:O1"/>
    <mergeCell ref="P1:T1"/>
    <mergeCell ref="G1:I1"/>
  </mergeCells>
  <pageMargins left="0.2" right="0.23" top="0.5" bottom="0.5" header="0.05" footer="0.05"/>
  <pageSetup scale="55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W80"/>
  <sheetViews>
    <sheetView zoomScale="85" zoomScaleNormal="85" workbookViewId="0">
      <pane ySplit="1740" topLeftCell="A31" activePane="bottomLeft"/>
      <selection activeCell="A28" sqref="A28"/>
      <selection pane="bottomLeft" activeCell="Q65" sqref="Q65"/>
    </sheetView>
  </sheetViews>
  <sheetFormatPr defaultColWidth="9.140625" defaultRowHeight="12.75" x14ac:dyDescent="0.2"/>
  <cols>
    <col min="1" max="1" width="0.42578125" style="326" customWidth="1"/>
    <col min="2" max="2" width="0.42578125" style="327" customWidth="1"/>
    <col min="3" max="3" width="3.28515625" style="292" customWidth="1"/>
    <col min="4" max="4" width="5" style="292" customWidth="1"/>
    <col min="5" max="5" width="50.5703125" style="294" customWidth="1"/>
    <col min="6" max="6" width="7.28515625" style="294" hidden="1" customWidth="1"/>
    <col min="7" max="7" width="7.5703125" style="293" customWidth="1"/>
    <col min="8" max="8" width="13.42578125" style="293" customWidth="1"/>
    <col min="9" max="9" width="12.28515625" style="293" customWidth="1"/>
    <col min="10" max="11" width="10.5703125" style="292" customWidth="1"/>
    <col min="12" max="12" width="11" style="292" customWidth="1"/>
    <col min="13" max="13" width="10.85546875" style="292" customWidth="1"/>
    <col min="14" max="14" width="11.140625" style="292" customWidth="1"/>
    <col min="15" max="15" width="11.28515625" style="292" customWidth="1"/>
    <col min="16" max="16" width="11.42578125" style="292" customWidth="1"/>
    <col min="17" max="17" width="10.7109375" style="292" customWidth="1"/>
    <col min="18" max="18" width="12.7109375" style="292" customWidth="1"/>
    <col min="19" max="19" width="11.85546875" style="292" customWidth="1"/>
    <col min="20" max="20" width="12" style="292" customWidth="1"/>
    <col min="21" max="21" width="11.42578125" style="292" customWidth="1"/>
    <col min="22" max="23" width="10.42578125" style="292" bestFit="1" customWidth="1"/>
    <col min="24" max="16384" width="9.140625" style="292"/>
  </cols>
  <sheetData>
    <row r="1" spans="1:23" ht="15.75" x14ac:dyDescent="0.25">
      <c r="A1" s="291"/>
      <c r="B1" s="291"/>
      <c r="E1" s="296"/>
      <c r="F1" s="296"/>
      <c r="G1" s="297"/>
      <c r="H1" s="297"/>
      <c r="I1" s="297"/>
    </row>
    <row r="2" spans="1:23" x14ac:dyDescent="0.2">
      <c r="A2" s="291"/>
      <c r="B2" s="291"/>
    </row>
    <row r="3" spans="1:23" s="298" customFormat="1" ht="60" x14ac:dyDescent="0.2">
      <c r="A3" s="328"/>
      <c r="B3" s="328"/>
      <c r="C3" s="329" t="s">
        <v>3</v>
      </c>
      <c r="D3" s="330" t="s">
        <v>193</v>
      </c>
      <c r="E3" s="331" t="s">
        <v>194</v>
      </c>
      <c r="F3" s="330" t="s">
        <v>195</v>
      </c>
      <c r="G3" s="332" t="s">
        <v>0</v>
      </c>
      <c r="H3" s="333" t="s">
        <v>196</v>
      </c>
      <c r="I3" s="333" t="s">
        <v>197</v>
      </c>
      <c r="J3" s="334" t="s">
        <v>198</v>
      </c>
      <c r="K3" s="334" t="s">
        <v>199</v>
      </c>
      <c r="L3" s="334" t="s">
        <v>200</v>
      </c>
      <c r="M3" s="334" t="s">
        <v>121</v>
      </c>
      <c r="N3" s="334" t="s">
        <v>201</v>
      </c>
      <c r="O3" s="334" t="s">
        <v>120</v>
      </c>
      <c r="P3" s="334" t="s">
        <v>202</v>
      </c>
      <c r="Q3" s="334" t="s">
        <v>203</v>
      </c>
      <c r="R3" s="334" t="s">
        <v>204</v>
      </c>
      <c r="S3" s="334" t="s">
        <v>205</v>
      </c>
      <c r="T3" s="334" t="s">
        <v>206</v>
      </c>
      <c r="U3" s="334" t="s">
        <v>207</v>
      </c>
    </row>
    <row r="4" spans="1:23" x14ac:dyDescent="0.2">
      <c r="B4" s="326"/>
      <c r="C4" s="335" t="s">
        <v>23</v>
      </c>
      <c r="D4" s="336"/>
      <c r="E4" s="336"/>
      <c r="F4" s="336"/>
      <c r="G4" s="337" t="s">
        <v>208</v>
      </c>
      <c r="H4" s="299">
        <f>PEP!E35</f>
        <v>5300000</v>
      </c>
      <c r="I4" s="300">
        <f>I13</f>
        <v>500000</v>
      </c>
      <c r="J4" s="300">
        <f>J13</f>
        <v>290000</v>
      </c>
      <c r="K4" s="300">
        <f t="shared" ref="K4:U4" si="0">K13</f>
        <v>342700</v>
      </c>
      <c r="L4" s="300">
        <f t="shared" si="0"/>
        <v>290000</v>
      </c>
      <c r="M4" s="300">
        <f t="shared" si="0"/>
        <v>342700</v>
      </c>
      <c r="N4" s="300">
        <f t="shared" si="0"/>
        <v>290000</v>
      </c>
      <c r="O4" s="300">
        <f t="shared" si="0"/>
        <v>407700</v>
      </c>
      <c r="P4" s="300">
        <f t="shared" si="0"/>
        <v>290000</v>
      </c>
      <c r="Q4" s="300">
        <f t="shared" si="0"/>
        <v>742700</v>
      </c>
      <c r="R4" s="300">
        <f t="shared" si="0"/>
        <v>531000</v>
      </c>
      <c r="S4" s="300">
        <f t="shared" si="0"/>
        <v>972700</v>
      </c>
      <c r="T4" s="300">
        <f t="shared" si="0"/>
        <v>290000</v>
      </c>
      <c r="U4" s="300">
        <f t="shared" si="0"/>
        <v>1454000</v>
      </c>
      <c r="V4" s="295"/>
    </row>
    <row r="5" spans="1:23" x14ac:dyDescent="0.2">
      <c r="B5" s="326"/>
      <c r="C5" s="335" t="s">
        <v>24</v>
      </c>
      <c r="D5" s="336"/>
      <c r="E5" s="336"/>
      <c r="F5" s="336"/>
      <c r="G5" s="337" t="s">
        <v>208</v>
      </c>
      <c r="H5" s="299">
        <f>PEP!E36</f>
        <v>26200000</v>
      </c>
      <c r="I5" s="300">
        <f>I47</f>
        <v>802100</v>
      </c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295"/>
    </row>
    <row r="6" spans="1:23" x14ac:dyDescent="0.2">
      <c r="B6" s="326"/>
      <c r="C6" s="335" t="s">
        <v>129</v>
      </c>
      <c r="D6" s="336"/>
      <c r="E6" s="336"/>
      <c r="F6" s="336"/>
      <c r="G6" s="337" t="s">
        <v>208</v>
      </c>
      <c r="H6" s="299">
        <f>PEP!E37</f>
        <v>10000000</v>
      </c>
      <c r="I6" s="300">
        <f>I61</f>
        <v>1000000</v>
      </c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295"/>
    </row>
    <row r="7" spans="1:23" x14ac:dyDescent="0.2">
      <c r="B7" s="326"/>
      <c r="C7" s="335" t="s">
        <v>40</v>
      </c>
      <c r="D7" s="336"/>
      <c r="E7" s="336"/>
      <c r="F7" s="336"/>
      <c r="G7" s="337" t="s">
        <v>208</v>
      </c>
      <c r="H7" s="299">
        <f>PEP!E38</f>
        <v>4350000</v>
      </c>
      <c r="I7" s="300">
        <f>I66</f>
        <v>870000</v>
      </c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295"/>
    </row>
    <row r="8" spans="1:23" x14ac:dyDescent="0.2">
      <c r="B8" s="326"/>
      <c r="C8" s="335" t="s">
        <v>10</v>
      </c>
      <c r="D8" s="336"/>
      <c r="E8" s="336"/>
      <c r="F8" s="336"/>
      <c r="G8" s="337" t="s">
        <v>208</v>
      </c>
      <c r="H8" s="299">
        <f>PEP!E39</f>
        <v>300000</v>
      </c>
      <c r="I8" s="300">
        <f>I68</f>
        <v>60000</v>
      </c>
      <c r="J8" s="301">
        <f t="shared" ref="J8:U8" si="1">J66</f>
        <v>72500</v>
      </c>
      <c r="K8" s="301">
        <f t="shared" si="1"/>
        <v>72500</v>
      </c>
      <c r="L8" s="301">
        <f t="shared" si="1"/>
        <v>72500</v>
      </c>
      <c r="M8" s="301">
        <f t="shared" si="1"/>
        <v>72500</v>
      </c>
      <c r="N8" s="301">
        <f t="shared" si="1"/>
        <v>72500</v>
      </c>
      <c r="O8" s="301">
        <f t="shared" si="1"/>
        <v>72500</v>
      </c>
      <c r="P8" s="301">
        <f t="shared" si="1"/>
        <v>72500</v>
      </c>
      <c r="Q8" s="301">
        <f t="shared" si="1"/>
        <v>72500</v>
      </c>
      <c r="R8" s="301">
        <f t="shared" si="1"/>
        <v>72500</v>
      </c>
      <c r="S8" s="301">
        <f t="shared" si="1"/>
        <v>72500</v>
      </c>
      <c r="T8" s="301">
        <f t="shared" si="1"/>
        <v>72500</v>
      </c>
      <c r="U8" s="301">
        <f t="shared" si="1"/>
        <v>72500</v>
      </c>
    </row>
    <row r="9" spans="1:23" x14ac:dyDescent="0.2">
      <c r="B9" s="326"/>
      <c r="C9" s="335" t="s">
        <v>41</v>
      </c>
      <c r="D9" s="336"/>
      <c r="E9" s="336"/>
      <c r="F9" s="336"/>
      <c r="G9" s="337" t="s">
        <v>208</v>
      </c>
      <c r="H9" s="299">
        <f>PEP!E40</f>
        <v>600000</v>
      </c>
      <c r="I9" s="300">
        <f>I70</f>
        <v>120000</v>
      </c>
      <c r="J9" s="301">
        <f t="shared" ref="J9:U9" si="2">J68</f>
        <v>0</v>
      </c>
      <c r="K9" s="301">
        <f t="shared" si="2"/>
        <v>0</v>
      </c>
      <c r="L9" s="301">
        <f t="shared" si="2"/>
        <v>0</v>
      </c>
      <c r="M9" s="301">
        <f t="shared" si="2"/>
        <v>0</v>
      </c>
      <c r="N9" s="301">
        <f t="shared" si="2"/>
        <v>0</v>
      </c>
      <c r="O9" s="301">
        <f t="shared" si="2"/>
        <v>0</v>
      </c>
      <c r="P9" s="301">
        <f t="shared" si="2"/>
        <v>0</v>
      </c>
      <c r="Q9" s="301">
        <f t="shared" si="2"/>
        <v>0</v>
      </c>
      <c r="R9" s="301">
        <f t="shared" si="2"/>
        <v>0</v>
      </c>
      <c r="S9" s="301">
        <f t="shared" si="2"/>
        <v>12000</v>
      </c>
      <c r="T9" s="301">
        <f t="shared" si="2"/>
        <v>0</v>
      </c>
      <c r="U9" s="301">
        <f t="shared" si="2"/>
        <v>48000</v>
      </c>
    </row>
    <row r="10" spans="1:23" x14ac:dyDescent="0.2">
      <c r="B10" s="326"/>
      <c r="C10" s="335" t="s">
        <v>21</v>
      </c>
      <c r="D10" s="336"/>
      <c r="E10" s="336"/>
      <c r="F10" s="336"/>
      <c r="G10" s="337" t="s">
        <v>208</v>
      </c>
      <c r="H10" s="299">
        <f>PEP!E41</f>
        <v>500000</v>
      </c>
      <c r="I10" s="300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</row>
    <row r="11" spans="1:23" x14ac:dyDescent="0.2">
      <c r="B11" s="326"/>
      <c r="C11" s="338"/>
      <c r="D11" s="339"/>
      <c r="E11" s="339"/>
      <c r="F11" s="339"/>
      <c r="G11" s="302" t="s">
        <v>1</v>
      </c>
      <c r="H11" s="299">
        <f>SUM(H4:H10)</f>
        <v>47250000</v>
      </c>
      <c r="I11" s="299">
        <f>SUM(I4:I10)</f>
        <v>3352100</v>
      </c>
      <c r="J11" s="303">
        <f t="shared" ref="J11:U11" si="3">SUM(J4:J9)</f>
        <v>362500</v>
      </c>
      <c r="K11" s="303">
        <f t="shared" si="3"/>
        <v>415200</v>
      </c>
      <c r="L11" s="303">
        <f t="shared" si="3"/>
        <v>362500</v>
      </c>
      <c r="M11" s="303">
        <f t="shared" si="3"/>
        <v>415200</v>
      </c>
      <c r="N11" s="303">
        <f t="shared" si="3"/>
        <v>362500</v>
      </c>
      <c r="O11" s="303">
        <f t="shared" si="3"/>
        <v>480200</v>
      </c>
      <c r="P11" s="303">
        <f t="shared" si="3"/>
        <v>362500</v>
      </c>
      <c r="Q11" s="303">
        <f t="shared" si="3"/>
        <v>815200</v>
      </c>
      <c r="R11" s="303">
        <f t="shared" si="3"/>
        <v>603500</v>
      </c>
      <c r="S11" s="303">
        <f t="shared" si="3"/>
        <v>1057200</v>
      </c>
      <c r="T11" s="303">
        <f t="shared" si="3"/>
        <v>362500</v>
      </c>
      <c r="U11" s="303">
        <f t="shared" si="3"/>
        <v>1574500</v>
      </c>
      <c r="V11" s="295"/>
      <c r="W11" s="295"/>
    </row>
    <row r="12" spans="1:23" s="306" customFormat="1" x14ac:dyDescent="0.2">
      <c r="A12" s="339"/>
      <c r="B12" s="339"/>
      <c r="C12" s="338"/>
      <c r="D12" s="339"/>
      <c r="E12" s="339"/>
      <c r="F12" s="339"/>
      <c r="G12" s="340"/>
      <c r="H12" s="341"/>
      <c r="I12" s="34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4"/>
      <c r="W12" s="305">
        <f>W11-V11</f>
        <v>0</v>
      </c>
    </row>
    <row r="13" spans="1:23" s="309" customFormat="1" x14ac:dyDescent="0.2">
      <c r="A13" s="339"/>
      <c r="B13" s="339"/>
      <c r="C13" s="335" t="str">
        <f>C4</f>
        <v>Composante 1</v>
      </c>
      <c r="D13" s="307"/>
      <c r="E13" s="307"/>
      <c r="F13" s="307"/>
      <c r="G13" s="307"/>
      <c r="H13" s="308">
        <f>+H15+H20+H25+H30+H33+H38+H43</f>
        <v>5300000</v>
      </c>
      <c r="I13" s="308">
        <f>I15+I20+I25+I30+I33+I38+I43</f>
        <v>500000</v>
      </c>
      <c r="J13" s="308">
        <f t="shared" ref="J13:U13" si="4">J15+J20+J25+J30+J33+J38+J43+J49+J54+J58+J63</f>
        <v>290000</v>
      </c>
      <c r="K13" s="308">
        <f t="shared" si="4"/>
        <v>342700</v>
      </c>
      <c r="L13" s="308">
        <f t="shared" si="4"/>
        <v>290000</v>
      </c>
      <c r="M13" s="308">
        <f t="shared" si="4"/>
        <v>342700</v>
      </c>
      <c r="N13" s="308">
        <f t="shared" si="4"/>
        <v>290000</v>
      </c>
      <c r="O13" s="308">
        <f t="shared" si="4"/>
        <v>407700</v>
      </c>
      <c r="P13" s="308">
        <f t="shared" si="4"/>
        <v>290000</v>
      </c>
      <c r="Q13" s="308">
        <f t="shared" si="4"/>
        <v>742700</v>
      </c>
      <c r="R13" s="308">
        <f t="shared" si="4"/>
        <v>531000</v>
      </c>
      <c r="S13" s="308">
        <f t="shared" si="4"/>
        <v>972700</v>
      </c>
      <c r="T13" s="308">
        <f t="shared" si="4"/>
        <v>290000</v>
      </c>
      <c r="U13" s="308">
        <f t="shared" si="4"/>
        <v>1454000</v>
      </c>
    </row>
    <row r="14" spans="1:23" s="313" customFormat="1" x14ac:dyDescent="0.2">
      <c r="A14" s="342"/>
      <c r="B14" s="342"/>
      <c r="C14" s="343"/>
      <c r="D14" s="310">
        <f>[4]PEP_MT!C3</f>
        <v>1</v>
      </c>
      <c r="E14" s="344" t="str">
        <f>PEP!D3</f>
        <v>Modèles d'analyses de risques climatiques développés</v>
      </c>
      <c r="F14" s="321"/>
      <c r="G14" s="311"/>
      <c r="H14" s="312">
        <f>+PEP!O3</f>
        <v>4</v>
      </c>
      <c r="I14" s="312">
        <f>SUM(J14:U14)</f>
        <v>0</v>
      </c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</row>
    <row r="15" spans="1:23" s="313" customFormat="1" x14ac:dyDescent="0.2">
      <c r="A15" s="342"/>
      <c r="B15" s="342"/>
      <c r="C15" s="343"/>
      <c r="D15" s="310">
        <f>D14</f>
        <v>1</v>
      </c>
      <c r="E15" s="344" t="str">
        <f>E14</f>
        <v>Modèles d'analyses de risques climatiques développés</v>
      </c>
      <c r="F15" s="321"/>
      <c r="G15" s="311" t="s">
        <v>208</v>
      </c>
      <c r="H15" s="312">
        <f>+PEP!E3</f>
        <v>800000</v>
      </c>
      <c r="I15" s="312">
        <f>SUM(I16:I18)</f>
        <v>240000</v>
      </c>
      <c r="J15" s="312">
        <f t="shared" ref="J15:U15" si="5">SUM(J16:J18)</f>
        <v>0</v>
      </c>
      <c r="K15" s="312">
        <f t="shared" si="5"/>
        <v>0</v>
      </c>
      <c r="L15" s="312">
        <f t="shared" si="5"/>
        <v>0</v>
      </c>
      <c r="M15" s="312">
        <f t="shared" si="5"/>
        <v>0</v>
      </c>
      <c r="N15" s="312">
        <f t="shared" si="5"/>
        <v>0</v>
      </c>
      <c r="O15" s="312">
        <f t="shared" si="5"/>
        <v>24000</v>
      </c>
      <c r="P15" s="312">
        <f t="shared" si="5"/>
        <v>0</v>
      </c>
      <c r="Q15" s="312">
        <f t="shared" si="5"/>
        <v>0</v>
      </c>
      <c r="R15" s="312">
        <f t="shared" si="5"/>
        <v>144000</v>
      </c>
      <c r="S15" s="312">
        <f t="shared" si="5"/>
        <v>0</v>
      </c>
      <c r="T15" s="312">
        <f t="shared" si="5"/>
        <v>0</v>
      </c>
      <c r="U15" s="312">
        <f t="shared" si="5"/>
        <v>72000</v>
      </c>
    </row>
    <row r="16" spans="1:23" s="317" customFormat="1" x14ac:dyDescent="0.2">
      <c r="A16" s="342"/>
      <c r="B16" s="342"/>
      <c r="C16" s="343"/>
      <c r="D16" s="314"/>
      <c r="E16" s="314" t="s">
        <v>211</v>
      </c>
      <c r="F16" s="314"/>
      <c r="G16" s="315"/>
      <c r="H16" s="316"/>
      <c r="I16" s="316">
        <f>SUM(J16:U16)</f>
        <v>0</v>
      </c>
      <c r="J16" s="316"/>
      <c r="K16" s="318"/>
      <c r="L16" s="316"/>
      <c r="M16" s="316"/>
      <c r="N16" s="316"/>
      <c r="O16" s="316"/>
      <c r="P16" s="316"/>
      <c r="Q16" s="316"/>
      <c r="R16" s="316"/>
      <c r="S16" s="316"/>
      <c r="T16" s="316"/>
      <c r="U16" s="316"/>
    </row>
    <row r="17" spans="1:21" s="317" customFormat="1" ht="13.5" customHeight="1" x14ac:dyDescent="0.2">
      <c r="A17" s="342"/>
      <c r="B17" s="342"/>
      <c r="C17" s="343"/>
      <c r="D17" s="314"/>
      <c r="E17" s="345" t="s">
        <v>209</v>
      </c>
      <c r="F17" s="314"/>
      <c r="G17" s="315"/>
      <c r="H17" s="316"/>
      <c r="I17" s="316">
        <f t="shared" ref="I17:I18" si="6">SUM(J17:U17)</f>
        <v>0</v>
      </c>
      <c r="J17" s="316"/>
      <c r="K17" s="316"/>
      <c r="L17" s="318"/>
      <c r="M17" s="318"/>
      <c r="N17" s="318"/>
      <c r="O17" s="316"/>
      <c r="P17" s="316"/>
      <c r="Q17" s="316"/>
      <c r="R17" s="316"/>
      <c r="S17" s="316"/>
      <c r="T17" s="316"/>
      <c r="U17" s="316"/>
    </row>
    <row r="18" spans="1:21" s="317" customFormat="1" ht="13.5" customHeight="1" x14ac:dyDescent="0.2">
      <c r="A18" s="342"/>
      <c r="B18" s="342"/>
      <c r="C18" s="343"/>
      <c r="D18" s="314"/>
      <c r="E18" s="345" t="s">
        <v>212</v>
      </c>
      <c r="F18" s="314"/>
      <c r="G18" s="315"/>
      <c r="H18" s="316"/>
      <c r="I18" s="316">
        <f t="shared" si="6"/>
        <v>240000</v>
      </c>
      <c r="J18" s="316"/>
      <c r="K18" s="316"/>
      <c r="L18" s="316"/>
      <c r="M18" s="316"/>
      <c r="N18" s="316"/>
      <c r="O18" s="318">
        <f>+PEP!$P$3*0.1</f>
        <v>24000</v>
      </c>
      <c r="P18" s="318"/>
      <c r="Q18" s="318"/>
      <c r="R18" s="318">
        <f>+PEP!$P$3*0.6</f>
        <v>144000</v>
      </c>
      <c r="S18" s="318"/>
      <c r="T18" s="318"/>
      <c r="U18" s="318">
        <f>+PEP!$P$3*0.3</f>
        <v>72000</v>
      </c>
    </row>
    <row r="19" spans="1:21" ht="25.5" x14ac:dyDescent="0.2">
      <c r="A19" s="342"/>
      <c r="B19" s="342"/>
      <c r="C19" s="343"/>
      <c r="D19" s="310">
        <f>[4]PEP_MT!C11</f>
        <v>2</v>
      </c>
      <c r="E19" s="344" t="str">
        <f>PEP!D8</f>
        <v>Système  d'information sur les risques climatiques en agriculture développé</v>
      </c>
      <c r="F19" s="321"/>
      <c r="G19" s="311"/>
      <c r="H19" s="312">
        <f>+PEP!O8</f>
        <v>1</v>
      </c>
      <c r="I19" s="312">
        <f>SUM(J19:U19)</f>
        <v>0</v>
      </c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</row>
    <row r="20" spans="1:21" ht="25.5" x14ac:dyDescent="0.2">
      <c r="A20" s="342"/>
      <c r="B20" s="342"/>
      <c r="C20" s="343"/>
      <c r="D20" s="310">
        <f>D19</f>
        <v>2</v>
      </c>
      <c r="E20" s="344" t="str">
        <f>E19</f>
        <v>Système  d'information sur les risques climatiques en agriculture développé</v>
      </c>
      <c r="F20" s="321"/>
      <c r="G20" s="311" t="s">
        <v>208</v>
      </c>
      <c r="H20" s="312">
        <f>+PEP!E8</f>
        <v>300000</v>
      </c>
      <c r="I20" s="312">
        <f t="shared" ref="I20:U20" si="7">SUM(I21:I23)</f>
        <v>0</v>
      </c>
      <c r="J20" s="312">
        <f t="shared" si="7"/>
        <v>0</v>
      </c>
      <c r="K20" s="312">
        <f t="shared" si="7"/>
        <v>0</v>
      </c>
      <c r="L20" s="312">
        <f t="shared" si="7"/>
        <v>0</v>
      </c>
      <c r="M20" s="312">
        <f t="shared" si="7"/>
        <v>0</v>
      </c>
      <c r="N20" s="312">
        <f t="shared" si="7"/>
        <v>0</v>
      </c>
      <c r="O20" s="312">
        <f t="shared" si="7"/>
        <v>0</v>
      </c>
      <c r="P20" s="312">
        <f t="shared" si="7"/>
        <v>0</v>
      </c>
      <c r="Q20" s="312">
        <f t="shared" si="7"/>
        <v>0</v>
      </c>
      <c r="R20" s="312">
        <f t="shared" si="7"/>
        <v>0</v>
      </c>
      <c r="S20" s="312">
        <f t="shared" si="7"/>
        <v>0</v>
      </c>
      <c r="T20" s="312">
        <f t="shared" si="7"/>
        <v>0</v>
      </c>
      <c r="U20" s="312">
        <f t="shared" si="7"/>
        <v>0</v>
      </c>
    </row>
    <row r="21" spans="1:21" x14ac:dyDescent="0.2">
      <c r="A21" s="342"/>
      <c r="B21" s="342"/>
      <c r="C21" s="343"/>
      <c r="D21" s="314"/>
      <c r="E21" s="324"/>
      <c r="F21" s="314"/>
      <c r="G21" s="315"/>
      <c r="H21" s="316"/>
      <c r="I21" s="316">
        <f>SUM(J21:U21)</f>
        <v>0</v>
      </c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</row>
    <row r="22" spans="1:21" x14ac:dyDescent="0.2">
      <c r="A22" s="342"/>
      <c r="B22" s="342"/>
      <c r="C22" s="343"/>
      <c r="D22" s="314"/>
      <c r="E22" s="324"/>
      <c r="F22" s="314"/>
      <c r="G22" s="315"/>
      <c r="H22" s="316"/>
      <c r="I22" s="316">
        <f t="shared" ref="I22:I31" si="8">SUM(J22:U22)</f>
        <v>0</v>
      </c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</row>
    <row r="23" spans="1:21" x14ac:dyDescent="0.2">
      <c r="A23" s="342"/>
      <c r="B23" s="342"/>
      <c r="C23" s="343"/>
      <c r="D23" s="314"/>
      <c r="E23" s="346"/>
      <c r="F23" s="314"/>
      <c r="G23" s="315"/>
      <c r="H23" s="316"/>
      <c r="I23" s="316">
        <f>SUM(J23:U23)</f>
        <v>0</v>
      </c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</row>
    <row r="24" spans="1:21" ht="25.5" x14ac:dyDescent="0.2">
      <c r="A24" s="342"/>
      <c r="B24" s="342"/>
      <c r="C24" s="343"/>
      <c r="D24" s="310">
        <v>3</v>
      </c>
      <c r="E24" s="344" t="str">
        <f>PEP!D9</f>
        <v>Programme de recherche agricole/resilience CC/dynamique BV mis en oeuvre</v>
      </c>
      <c r="F24" s="321"/>
      <c r="G24" s="311"/>
      <c r="H24" s="312">
        <f>+PEP!O9</f>
        <v>2</v>
      </c>
      <c r="I24" s="312">
        <f>SUM(J24:U24)</f>
        <v>0</v>
      </c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</row>
    <row r="25" spans="1:21" ht="25.5" x14ac:dyDescent="0.2">
      <c r="A25" s="342"/>
      <c r="B25" s="342"/>
      <c r="C25" s="343"/>
      <c r="D25" s="310">
        <f>D24</f>
        <v>3</v>
      </c>
      <c r="E25" s="344" t="str">
        <f>E24</f>
        <v>Programme de recherche agricole/resilience CC/dynamique BV mis en oeuvre</v>
      </c>
      <c r="F25" s="321"/>
      <c r="G25" s="311" t="s">
        <v>208</v>
      </c>
      <c r="H25" s="312">
        <f>+PEP!E9</f>
        <v>3250000</v>
      </c>
      <c r="I25" s="312">
        <f t="shared" ref="I25:U25" si="9">SUM(I26:I28)</f>
        <v>140000</v>
      </c>
      <c r="J25" s="312">
        <f t="shared" si="9"/>
        <v>0</v>
      </c>
      <c r="K25" s="312">
        <f t="shared" si="9"/>
        <v>0</v>
      </c>
      <c r="L25" s="312">
        <f t="shared" si="9"/>
        <v>0</v>
      </c>
      <c r="M25" s="312">
        <f t="shared" si="9"/>
        <v>0</v>
      </c>
      <c r="N25" s="312">
        <f t="shared" si="9"/>
        <v>0</v>
      </c>
      <c r="O25" s="312">
        <f t="shared" si="9"/>
        <v>14000</v>
      </c>
      <c r="P25" s="312">
        <f t="shared" si="9"/>
        <v>0</v>
      </c>
      <c r="Q25" s="312">
        <f t="shared" si="9"/>
        <v>0</v>
      </c>
      <c r="R25" s="312">
        <f t="shared" si="9"/>
        <v>70000</v>
      </c>
      <c r="S25" s="312">
        <f t="shared" si="9"/>
        <v>0</v>
      </c>
      <c r="T25" s="312">
        <f t="shared" si="9"/>
        <v>0</v>
      </c>
      <c r="U25" s="312">
        <f t="shared" si="9"/>
        <v>56000</v>
      </c>
    </row>
    <row r="26" spans="1:21" s="317" customFormat="1" x14ac:dyDescent="0.2">
      <c r="A26" s="342"/>
      <c r="B26" s="342"/>
      <c r="C26" s="343"/>
      <c r="D26" s="314"/>
      <c r="E26" s="314" t="s">
        <v>211</v>
      </c>
      <c r="F26" s="314"/>
      <c r="G26" s="315"/>
      <c r="H26" s="316"/>
      <c r="I26" s="316">
        <f>SUM(J26:U26)</f>
        <v>0</v>
      </c>
      <c r="J26" s="316"/>
      <c r="K26" s="318"/>
      <c r="L26" s="316"/>
      <c r="M26" s="316"/>
      <c r="N26" s="316"/>
      <c r="O26" s="316"/>
      <c r="P26" s="316"/>
      <c r="Q26" s="316"/>
      <c r="R26" s="316"/>
      <c r="S26" s="316"/>
      <c r="T26" s="316"/>
      <c r="U26" s="316"/>
    </row>
    <row r="27" spans="1:21" s="317" customFormat="1" ht="13.5" customHeight="1" x14ac:dyDescent="0.2">
      <c r="A27" s="342"/>
      <c r="B27" s="342"/>
      <c r="C27" s="343"/>
      <c r="D27" s="314"/>
      <c r="E27" s="345" t="s">
        <v>209</v>
      </c>
      <c r="F27" s="314"/>
      <c r="G27" s="315"/>
      <c r="H27" s="316"/>
      <c r="I27" s="316">
        <f t="shared" ref="I27:I28" si="10">SUM(J27:U27)</f>
        <v>0</v>
      </c>
      <c r="J27" s="316"/>
      <c r="K27" s="316"/>
      <c r="L27" s="318"/>
      <c r="M27" s="318"/>
      <c r="N27" s="318"/>
      <c r="O27" s="316"/>
      <c r="P27" s="316"/>
      <c r="Q27" s="316"/>
      <c r="R27" s="316"/>
      <c r="S27" s="316"/>
      <c r="T27" s="316"/>
      <c r="U27" s="316"/>
    </row>
    <row r="28" spans="1:21" s="317" customFormat="1" ht="13.5" customHeight="1" x14ac:dyDescent="0.2">
      <c r="A28" s="342"/>
      <c r="B28" s="342"/>
      <c r="C28" s="343"/>
      <c r="D28" s="314"/>
      <c r="E28" s="345" t="s">
        <v>212</v>
      </c>
      <c r="F28" s="314"/>
      <c r="G28" s="315"/>
      <c r="H28" s="316"/>
      <c r="I28" s="316">
        <f t="shared" si="10"/>
        <v>140000</v>
      </c>
      <c r="J28" s="316"/>
      <c r="K28" s="316"/>
      <c r="L28" s="316"/>
      <c r="M28" s="316"/>
      <c r="N28" s="316"/>
      <c r="O28" s="318">
        <f>+PEP!$P$9*0.1</f>
        <v>14000</v>
      </c>
      <c r="P28" s="318"/>
      <c r="Q28" s="318"/>
      <c r="R28" s="318">
        <f>+PEP!$P$9*0.5</f>
        <v>70000</v>
      </c>
      <c r="S28" s="318"/>
      <c r="T28" s="318"/>
      <c r="U28" s="318">
        <f>+PEP!$P$9*0.4</f>
        <v>56000</v>
      </c>
    </row>
    <row r="29" spans="1:21" x14ac:dyDescent="0.2">
      <c r="A29" s="342"/>
      <c r="B29" s="342"/>
      <c r="C29" s="343"/>
      <c r="D29" s="321">
        <v>4</v>
      </c>
      <c r="E29" s="492" t="str">
        <f>PEP!D12</f>
        <v>Programme de formation en gestion de risques climatiques dans l'agriculture développé</v>
      </c>
      <c r="F29" s="492"/>
      <c r="G29" s="322"/>
      <c r="H29" s="323">
        <f>+PEP!O12</f>
        <v>1</v>
      </c>
      <c r="I29" s="312">
        <f>SUM(J29:U29)</f>
        <v>0</v>
      </c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3"/>
    </row>
    <row r="30" spans="1:21" x14ac:dyDescent="0.2">
      <c r="A30" s="342"/>
      <c r="B30" s="342"/>
      <c r="C30" s="343"/>
      <c r="D30" s="321">
        <f>D29</f>
        <v>4</v>
      </c>
      <c r="E30" s="492" t="str">
        <f>E29</f>
        <v>Programme de formation en gestion de risques climatiques dans l'agriculture développé</v>
      </c>
      <c r="F30" s="492"/>
      <c r="G30" s="322" t="s">
        <v>208</v>
      </c>
      <c r="H30" s="323">
        <f>+PEP!E12</f>
        <v>300000</v>
      </c>
      <c r="I30" s="323">
        <f t="shared" ref="I30:U30" si="11">SUM(I31:I31)</f>
        <v>30000</v>
      </c>
      <c r="J30" s="323">
        <f t="shared" si="11"/>
        <v>0</v>
      </c>
      <c r="K30" s="323">
        <f t="shared" si="11"/>
        <v>0</v>
      </c>
      <c r="L30" s="323">
        <f t="shared" si="11"/>
        <v>0</v>
      </c>
      <c r="M30" s="323">
        <f t="shared" si="11"/>
        <v>0</v>
      </c>
      <c r="N30" s="323">
        <f t="shared" si="11"/>
        <v>0</v>
      </c>
      <c r="O30" s="323">
        <f t="shared" si="11"/>
        <v>0</v>
      </c>
      <c r="P30" s="323">
        <f t="shared" si="11"/>
        <v>0</v>
      </c>
      <c r="Q30" s="323">
        <f t="shared" si="11"/>
        <v>0</v>
      </c>
      <c r="R30" s="323">
        <f t="shared" si="11"/>
        <v>0</v>
      </c>
      <c r="S30" s="323">
        <f t="shared" si="11"/>
        <v>30000</v>
      </c>
      <c r="T30" s="323">
        <f t="shared" si="11"/>
        <v>0</v>
      </c>
      <c r="U30" s="323">
        <f t="shared" si="11"/>
        <v>0</v>
      </c>
    </row>
    <row r="31" spans="1:21" x14ac:dyDescent="0.2">
      <c r="A31" s="342"/>
      <c r="B31" s="342"/>
      <c r="C31" s="343"/>
      <c r="D31" s="314"/>
      <c r="E31" s="324"/>
      <c r="F31" s="314"/>
      <c r="G31" s="315"/>
      <c r="H31" s="316"/>
      <c r="I31" s="316">
        <f t="shared" si="8"/>
        <v>30000</v>
      </c>
      <c r="J31" s="316"/>
      <c r="K31" s="316"/>
      <c r="L31" s="316"/>
      <c r="M31" s="316"/>
      <c r="N31" s="316"/>
      <c r="O31" s="316"/>
      <c r="P31" s="316"/>
      <c r="Q31" s="316"/>
      <c r="R31" s="316"/>
      <c r="S31" s="316">
        <v>30000</v>
      </c>
      <c r="T31" s="316"/>
      <c r="U31" s="316"/>
    </row>
    <row r="32" spans="1:21" x14ac:dyDescent="0.2">
      <c r="A32" s="342"/>
      <c r="B32" s="342"/>
      <c r="C32" s="343"/>
      <c r="D32" s="321">
        <v>5</v>
      </c>
      <c r="E32" s="492" t="str">
        <f>PEP!D13</f>
        <v>Formation conduite sur l’évaluation des pertes et dommages dus aux désastres naturels dans l'agriculture</v>
      </c>
      <c r="F32" s="492"/>
      <c r="G32" s="322"/>
      <c r="H32" s="323">
        <f>+PEP!O13</f>
        <v>1</v>
      </c>
      <c r="I32" s="312">
        <f>SUM(J32:U32)</f>
        <v>0</v>
      </c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</row>
    <row r="33" spans="1:21" x14ac:dyDescent="0.2">
      <c r="A33" s="342"/>
      <c r="B33" s="342"/>
      <c r="C33" s="343"/>
      <c r="D33" s="321">
        <f>D32</f>
        <v>5</v>
      </c>
      <c r="E33" s="492" t="str">
        <f>E32</f>
        <v>Formation conduite sur l’évaluation des pertes et dommages dus aux désastres naturels dans l'agriculture</v>
      </c>
      <c r="F33" s="492"/>
      <c r="G33" s="322" t="s">
        <v>208</v>
      </c>
      <c r="H33" s="312">
        <f>+PEP!E13</f>
        <v>50000</v>
      </c>
      <c r="I33" s="323">
        <f>SUM(I34:I36)</f>
        <v>0</v>
      </c>
      <c r="J33" s="323">
        <f>SUM(J34:J36)</f>
        <v>0</v>
      </c>
      <c r="K33" s="323">
        <f t="shared" ref="K33:U33" si="12">SUM(K34:K36)</f>
        <v>0</v>
      </c>
      <c r="L33" s="323">
        <f t="shared" si="12"/>
        <v>0</v>
      </c>
      <c r="M33" s="323">
        <f t="shared" si="12"/>
        <v>0</v>
      </c>
      <c r="N33" s="323">
        <f t="shared" si="12"/>
        <v>0</v>
      </c>
      <c r="O33" s="323">
        <f t="shared" si="12"/>
        <v>0</v>
      </c>
      <c r="P33" s="323">
        <f t="shared" si="12"/>
        <v>0</v>
      </c>
      <c r="Q33" s="323">
        <f t="shared" si="12"/>
        <v>0</v>
      </c>
      <c r="R33" s="323">
        <f t="shared" si="12"/>
        <v>0</v>
      </c>
      <c r="S33" s="323">
        <f t="shared" si="12"/>
        <v>0</v>
      </c>
      <c r="T33" s="323">
        <f t="shared" si="12"/>
        <v>0</v>
      </c>
      <c r="U33" s="323">
        <f t="shared" si="12"/>
        <v>0</v>
      </c>
    </row>
    <row r="34" spans="1:21" s="317" customFormat="1" x14ac:dyDescent="0.2">
      <c r="A34" s="342"/>
      <c r="B34" s="342"/>
      <c r="C34" s="343"/>
      <c r="D34" s="314"/>
      <c r="E34" s="314" t="s">
        <v>211</v>
      </c>
      <c r="F34" s="314"/>
      <c r="G34" s="315"/>
      <c r="H34" s="316"/>
      <c r="I34" s="316">
        <f>SUM(J34:U34)</f>
        <v>0</v>
      </c>
      <c r="J34" s="316"/>
      <c r="K34" s="318"/>
      <c r="L34" s="316"/>
      <c r="M34" s="316"/>
      <c r="N34" s="316"/>
      <c r="O34" s="316"/>
      <c r="P34" s="316"/>
      <c r="Q34" s="316"/>
      <c r="R34" s="316"/>
      <c r="S34" s="316"/>
      <c r="T34" s="316"/>
      <c r="U34" s="316"/>
    </row>
    <row r="35" spans="1:21" s="317" customFormat="1" ht="13.5" customHeight="1" x14ac:dyDescent="0.2">
      <c r="A35" s="342"/>
      <c r="B35" s="342"/>
      <c r="C35" s="343"/>
      <c r="D35" s="314"/>
      <c r="E35" s="345" t="s">
        <v>209</v>
      </c>
      <c r="F35" s="314"/>
      <c r="G35" s="315"/>
      <c r="H35" s="316"/>
      <c r="I35" s="316">
        <f t="shared" ref="I35:I36" si="13">SUM(J35:U35)</f>
        <v>0</v>
      </c>
      <c r="J35" s="316"/>
      <c r="K35" s="316"/>
      <c r="L35" s="318"/>
      <c r="M35" s="318"/>
      <c r="N35" s="318"/>
      <c r="O35" s="316"/>
      <c r="P35" s="316"/>
      <c r="Q35" s="316"/>
      <c r="R35" s="316"/>
      <c r="S35" s="316"/>
      <c r="T35" s="316"/>
      <c r="U35" s="316"/>
    </row>
    <row r="36" spans="1:21" s="317" customFormat="1" ht="13.5" customHeight="1" x14ac:dyDescent="0.2">
      <c r="A36" s="342"/>
      <c r="B36" s="342"/>
      <c r="C36" s="343"/>
      <c r="D36" s="314"/>
      <c r="E36" s="345" t="s">
        <v>212</v>
      </c>
      <c r="F36" s="314"/>
      <c r="G36" s="315"/>
      <c r="H36" s="316"/>
      <c r="I36" s="316">
        <f t="shared" si="13"/>
        <v>0</v>
      </c>
      <c r="J36" s="316"/>
      <c r="K36" s="316"/>
      <c r="L36" s="316"/>
      <c r="M36" s="316"/>
      <c r="N36" s="316"/>
      <c r="O36" s="318"/>
      <c r="P36" s="318"/>
      <c r="Q36" s="318"/>
      <c r="R36" s="318"/>
      <c r="S36" s="318"/>
      <c r="T36" s="318"/>
      <c r="U36" s="318"/>
    </row>
    <row r="37" spans="1:21" x14ac:dyDescent="0.2">
      <c r="A37" s="342"/>
      <c r="B37" s="342"/>
      <c r="C37" s="343"/>
      <c r="D37" s="321">
        <v>6</v>
      </c>
      <c r="E37" s="492" t="str">
        <f>PEP!D14</f>
        <v>Plan national de contingence dans le secteur agricole en cas d'evenement climatique extreme élaboré  et diffusé</v>
      </c>
      <c r="F37" s="492"/>
      <c r="G37" s="322"/>
      <c r="H37" s="323">
        <f>+PEP!O14</f>
        <v>1</v>
      </c>
      <c r="I37" s="312">
        <f>SUM(J37:U37)</f>
        <v>0</v>
      </c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</row>
    <row r="38" spans="1:21" x14ac:dyDescent="0.2">
      <c r="A38" s="342"/>
      <c r="B38" s="342"/>
      <c r="C38" s="343"/>
      <c r="D38" s="321">
        <f>D37</f>
        <v>6</v>
      </c>
      <c r="E38" s="492" t="str">
        <f>E37</f>
        <v>Plan national de contingence dans le secteur agricole en cas d'evenement climatique extreme élaboré  et diffusé</v>
      </c>
      <c r="F38" s="492"/>
      <c r="G38" s="322" t="s">
        <v>208</v>
      </c>
      <c r="H38" s="323">
        <f>+PEP!E14:E14</f>
        <v>150000</v>
      </c>
      <c r="I38" s="323">
        <f t="shared" ref="I38:U38" si="14">SUM(I39:I41)</f>
        <v>0</v>
      </c>
      <c r="J38" s="323">
        <f t="shared" si="14"/>
        <v>0</v>
      </c>
      <c r="K38" s="323">
        <f t="shared" si="14"/>
        <v>0</v>
      </c>
      <c r="L38" s="323">
        <f t="shared" si="14"/>
        <v>0</v>
      </c>
      <c r="M38" s="323">
        <f t="shared" si="14"/>
        <v>0</v>
      </c>
      <c r="N38" s="323">
        <f t="shared" si="14"/>
        <v>0</v>
      </c>
      <c r="O38" s="323">
        <f t="shared" si="14"/>
        <v>0</v>
      </c>
      <c r="P38" s="323">
        <f t="shared" si="14"/>
        <v>0</v>
      </c>
      <c r="Q38" s="323">
        <f t="shared" si="14"/>
        <v>0</v>
      </c>
      <c r="R38" s="323">
        <f t="shared" si="14"/>
        <v>0</v>
      </c>
      <c r="S38" s="323">
        <f t="shared" si="14"/>
        <v>0</v>
      </c>
      <c r="T38" s="323">
        <f t="shared" si="14"/>
        <v>0</v>
      </c>
      <c r="U38" s="323">
        <f t="shared" si="14"/>
        <v>0</v>
      </c>
    </row>
    <row r="39" spans="1:21" s="317" customFormat="1" x14ac:dyDescent="0.2">
      <c r="A39" s="342"/>
      <c r="B39" s="342"/>
      <c r="C39" s="343"/>
      <c r="D39" s="314"/>
      <c r="E39" s="314" t="s">
        <v>211</v>
      </c>
      <c r="F39" s="314"/>
      <c r="G39" s="315"/>
      <c r="H39" s="316"/>
      <c r="I39" s="316">
        <f>SUM(J39:U39)</f>
        <v>0</v>
      </c>
      <c r="J39" s="316"/>
      <c r="K39" s="318"/>
      <c r="L39" s="316"/>
      <c r="M39" s="316"/>
      <c r="N39" s="316"/>
      <c r="O39" s="316"/>
      <c r="P39" s="316"/>
      <c r="Q39" s="316"/>
      <c r="R39" s="316"/>
      <c r="S39" s="316"/>
      <c r="T39" s="316"/>
      <c r="U39" s="316"/>
    </row>
    <row r="40" spans="1:21" s="317" customFormat="1" ht="13.5" customHeight="1" x14ac:dyDescent="0.2">
      <c r="A40" s="342"/>
      <c r="B40" s="342"/>
      <c r="C40" s="343"/>
      <c r="D40" s="314"/>
      <c r="E40" s="345" t="s">
        <v>209</v>
      </c>
      <c r="F40" s="314"/>
      <c r="G40" s="315"/>
      <c r="H40" s="316"/>
      <c r="I40" s="316">
        <f t="shared" ref="I40:I41" si="15">SUM(J40:U40)</f>
        <v>0</v>
      </c>
      <c r="J40" s="316"/>
      <c r="K40" s="316"/>
      <c r="L40" s="318"/>
      <c r="M40" s="318"/>
      <c r="N40" s="318"/>
      <c r="O40" s="316"/>
      <c r="P40" s="316"/>
      <c r="Q40" s="316"/>
      <c r="R40" s="316"/>
      <c r="S40" s="316"/>
      <c r="T40" s="316"/>
      <c r="U40" s="316"/>
    </row>
    <row r="41" spans="1:21" s="317" customFormat="1" ht="13.5" customHeight="1" x14ac:dyDescent="0.2">
      <c r="A41" s="342"/>
      <c r="B41" s="342"/>
      <c r="C41" s="343"/>
      <c r="D41" s="314"/>
      <c r="E41" s="345" t="s">
        <v>212</v>
      </c>
      <c r="F41" s="314"/>
      <c r="G41" s="315"/>
      <c r="H41" s="316"/>
      <c r="I41" s="316">
        <f t="shared" si="15"/>
        <v>0</v>
      </c>
      <c r="J41" s="316"/>
      <c r="K41" s="316"/>
      <c r="L41" s="316"/>
      <c r="M41" s="316"/>
      <c r="N41" s="316"/>
      <c r="O41" s="318"/>
      <c r="P41" s="318"/>
      <c r="Q41" s="318"/>
      <c r="R41" s="318"/>
      <c r="S41" s="318"/>
      <c r="T41" s="318"/>
      <c r="U41" s="318"/>
    </row>
    <row r="42" spans="1:21" x14ac:dyDescent="0.2">
      <c r="A42" s="342"/>
      <c r="B42" s="342"/>
      <c r="C42" s="343"/>
      <c r="D42" s="321">
        <v>7</v>
      </c>
      <c r="E42" s="492" t="str">
        <f>PEP!D15</f>
        <v>Comités de Gestion de Bassins Versants (CGBV) renforces</v>
      </c>
      <c r="F42" s="492"/>
      <c r="G42" s="322"/>
      <c r="H42" s="323">
        <f>+PEP!O15</f>
        <v>3</v>
      </c>
      <c r="I42" s="312">
        <f>SUM(J42:U42)</f>
        <v>0</v>
      </c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</row>
    <row r="43" spans="1:21" x14ac:dyDescent="0.2">
      <c r="A43" s="342"/>
      <c r="B43" s="342"/>
      <c r="C43" s="343"/>
      <c r="D43" s="321">
        <f>D42</f>
        <v>7</v>
      </c>
      <c r="E43" s="492" t="str">
        <f>E42</f>
        <v>Comités de Gestion de Bassins Versants (CGBV) renforces</v>
      </c>
      <c r="F43" s="492"/>
      <c r="G43" s="322" t="s">
        <v>208</v>
      </c>
      <c r="H43" s="323">
        <f>+PEP!E15</f>
        <v>450000</v>
      </c>
      <c r="I43" s="323">
        <f>SUM(I44:I46)</f>
        <v>90000</v>
      </c>
      <c r="J43" s="323">
        <f t="shared" ref="J43:U43" si="16">SUM(J44:J46)</f>
        <v>0</v>
      </c>
      <c r="K43" s="323">
        <f t="shared" si="16"/>
        <v>0</v>
      </c>
      <c r="L43" s="323">
        <f t="shared" si="16"/>
        <v>0</v>
      </c>
      <c r="M43" s="323">
        <f t="shared" si="16"/>
        <v>0</v>
      </c>
      <c r="N43" s="323">
        <f t="shared" si="16"/>
        <v>0</v>
      </c>
      <c r="O43" s="323">
        <f t="shared" si="16"/>
        <v>27000</v>
      </c>
      <c r="P43" s="323">
        <f t="shared" si="16"/>
        <v>0</v>
      </c>
      <c r="Q43" s="323">
        <f t="shared" si="16"/>
        <v>0</v>
      </c>
      <c r="R43" s="323">
        <f t="shared" si="16"/>
        <v>27000</v>
      </c>
      <c r="S43" s="323">
        <f t="shared" si="16"/>
        <v>0</v>
      </c>
      <c r="T43" s="323">
        <f t="shared" si="16"/>
        <v>0</v>
      </c>
      <c r="U43" s="323">
        <f t="shared" si="16"/>
        <v>36000</v>
      </c>
    </row>
    <row r="44" spans="1:21" s="317" customFormat="1" x14ac:dyDescent="0.2">
      <c r="A44" s="342"/>
      <c r="B44" s="342"/>
      <c r="C44" s="343"/>
      <c r="D44" s="314"/>
      <c r="E44" s="314" t="s">
        <v>211</v>
      </c>
      <c r="F44" s="314"/>
      <c r="G44" s="315"/>
      <c r="H44" s="316"/>
      <c r="I44" s="316">
        <f>SUM(J44:U44)</f>
        <v>0</v>
      </c>
      <c r="J44" s="316"/>
      <c r="K44" s="318"/>
      <c r="L44" s="316"/>
      <c r="M44" s="316"/>
      <c r="N44" s="316"/>
      <c r="O44" s="316"/>
      <c r="P44" s="316"/>
      <c r="Q44" s="316"/>
      <c r="R44" s="316"/>
      <c r="S44" s="316"/>
      <c r="T44" s="316"/>
      <c r="U44" s="316"/>
    </row>
    <row r="45" spans="1:21" s="317" customFormat="1" ht="13.5" customHeight="1" x14ac:dyDescent="0.2">
      <c r="A45" s="342"/>
      <c r="B45" s="342"/>
      <c r="C45" s="343"/>
      <c r="D45" s="314"/>
      <c r="E45" s="345" t="s">
        <v>209</v>
      </c>
      <c r="F45" s="314"/>
      <c r="G45" s="315"/>
      <c r="H45" s="316"/>
      <c r="I45" s="316">
        <f t="shared" ref="I45" si="17">SUM(J45:U45)</f>
        <v>0</v>
      </c>
      <c r="J45" s="316"/>
      <c r="K45" s="316"/>
      <c r="L45" s="318"/>
      <c r="M45" s="318"/>
      <c r="N45" s="318"/>
      <c r="O45" s="316"/>
      <c r="P45" s="316"/>
      <c r="Q45" s="316"/>
      <c r="R45" s="316"/>
      <c r="S45" s="316"/>
      <c r="T45" s="316"/>
      <c r="U45" s="316"/>
    </row>
    <row r="46" spans="1:21" s="317" customFormat="1" ht="13.5" customHeight="1" x14ac:dyDescent="0.2">
      <c r="A46" s="342"/>
      <c r="B46" s="342"/>
      <c r="C46" s="343"/>
      <c r="D46" s="314"/>
      <c r="E46" s="345" t="s">
        <v>212</v>
      </c>
      <c r="F46" s="314"/>
      <c r="G46" s="315"/>
      <c r="H46" s="316"/>
      <c r="I46" s="316">
        <f>SUM(J46:U46)</f>
        <v>90000</v>
      </c>
      <c r="J46" s="316"/>
      <c r="K46" s="316"/>
      <c r="L46" s="316"/>
      <c r="M46" s="316"/>
      <c r="N46" s="316"/>
      <c r="O46" s="318">
        <f>+PEP!$P$15*0.3</f>
        <v>27000</v>
      </c>
      <c r="P46" s="318"/>
      <c r="Q46" s="318"/>
      <c r="R46" s="318">
        <f>+PEP!$P$15*0.3</f>
        <v>27000</v>
      </c>
      <c r="S46" s="318"/>
      <c r="T46" s="318"/>
      <c r="U46" s="318">
        <f>+PEP!$P$15*0.4</f>
        <v>36000</v>
      </c>
    </row>
    <row r="47" spans="1:21" s="309" customFormat="1" x14ac:dyDescent="0.2">
      <c r="A47" s="339"/>
      <c r="B47" s="339"/>
      <c r="C47" s="335" t="str">
        <f>POA!C5</f>
        <v>Composante 2</v>
      </c>
      <c r="D47" s="307"/>
      <c r="E47" s="307"/>
      <c r="F47" s="307"/>
      <c r="G47" s="307"/>
      <c r="H47" s="308">
        <f>+H49+H54+H58</f>
        <v>26200000</v>
      </c>
      <c r="I47" s="308">
        <f>+I49+I54+I58</f>
        <v>802100</v>
      </c>
      <c r="J47" s="308">
        <f t="shared" ref="J47:U47" si="18">+J49+J54+J58+J63</f>
        <v>290000</v>
      </c>
      <c r="K47" s="308">
        <f t="shared" si="18"/>
        <v>342700</v>
      </c>
      <c r="L47" s="308">
        <f t="shared" si="18"/>
        <v>290000</v>
      </c>
      <c r="M47" s="308">
        <f t="shared" si="18"/>
        <v>342700</v>
      </c>
      <c r="N47" s="308">
        <f t="shared" si="18"/>
        <v>290000</v>
      </c>
      <c r="O47" s="308">
        <f t="shared" si="18"/>
        <v>342700</v>
      </c>
      <c r="P47" s="308">
        <f t="shared" si="18"/>
        <v>290000</v>
      </c>
      <c r="Q47" s="308">
        <f t="shared" si="18"/>
        <v>742700</v>
      </c>
      <c r="R47" s="308">
        <f t="shared" si="18"/>
        <v>290000</v>
      </c>
      <c r="S47" s="308">
        <f t="shared" si="18"/>
        <v>942700</v>
      </c>
      <c r="T47" s="308">
        <f t="shared" si="18"/>
        <v>290000</v>
      </c>
      <c r="U47" s="308">
        <f t="shared" si="18"/>
        <v>1290000</v>
      </c>
    </row>
    <row r="48" spans="1:21" x14ac:dyDescent="0.2">
      <c r="A48" s="342"/>
      <c r="B48" s="342"/>
      <c r="C48" s="343"/>
      <c r="D48" s="321">
        <v>8</v>
      </c>
      <c r="E48" s="492" t="str">
        <f>PEP!D18</f>
        <v>Systèmes communautaires d'alerte précoce aux inondations développés</v>
      </c>
      <c r="F48" s="492"/>
      <c r="G48" s="322"/>
      <c r="H48" s="323">
        <f>+PEP!O18</f>
        <v>3</v>
      </c>
      <c r="I48" s="312">
        <f>SUM(J48:U48)</f>
        <v>0</v>
      </c>
      <c r="J48" s="323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3"/>
    </row>
    <row r="49" spans="1:21" x14ac:dyDescent="0.2">
      <c r="A49" s="342"/>
      <c r="B49" s="342"/>
      <c r="C49" s="343"/>
      <c r="D49" s="321">
        <f>D48</f>
        <v>8</v>
      </c>
      <c r="E49" s="492" t="str">
        <f>E48</f>
        <v>Systèmes communautaires d'alerte précoce aux inondations développés</v>
      </c>
      <c r="F49" s="492"/>
      <c r="G49" s="322" t="s">
        <v>208</v>
      </c>
      <c r="H49" s="323">
        <f>+PEP!E18</f>
        <v>1500000</v>
      </c>
      <c r="I49" s="323">
        <f>SUM(I50:I52)</f>
        <v>150000</v>
      </c>
      <c r="J49" s="323">
        <f t="shared" ref="J49:U49" si="19">SUM(J50:J51)</f>
        <v>0</v>
      </c>
      <c r="K49" s="323">
        <f t="shared" si="19"/>
        <v>0</v>
      </c>
      <c r="L49" s="323">
        <f t="shared" si="19"/>
        <v>0</v>
      </c>
      <c r="M49" s="323">
        <f t="shared" si="19"/>
        <v>0</v>
      </c>
      <c r="N49" s="323">
        <f t="shared" si="19"/>
        <v>0</v>
      </c>
      <c r="O49" s="323">
        <f t="shared" si="19"/>
        <v>0</v>
      </c>
      <c r="P49" s="323">
        <f t="shared" si="19"/>
        <v>0</v>
      </c>
      <c r="Q49" s="323">
        <f t="shared" si="19"/>
        <v>0</v>
      </c>
      <c r="R49" s="323">
        <f t="shared" si="19"/>
        <v>0</v>
      </c>
      <c r="S49" s="323">
        <f t="shared" si="19"/>
        <v>0</v>
      </c>
      <c r="T49" s="323">
        <f t="shared" si="19"/>
        <v>0</v>
      </c>
      <c r="U49" s="323">
        <f t="shared" si="19"/>
        <v>0</v>
      </c>
    </row>
    <row r="50" spans="1:21" s="317" customFormat="1" x14ac:dyDescent="0.2">
      <c r="A50" s="342"/>
      <c r="B50" s="342"/>
      <c r="C50" s="343"/>
      <c r="D50" s="314"/>
      <c r="E50" s="314" t="s">
        <v>211</v>
      </c>
      <c r="F50" s="314"/>
      <c r="G50" s="315"/>
      <c r="H50" s="316"/>
      <c r="I50" s="316">
        <f>SUM(J50:U50)</f>
        <v>0</v>
      </c>
      <c r="J50" s="316"/>
      <c r="K50" s="318"/>
      <c r="L50" s="316"/>
      <c r="M50" s="316"/>
      <c r="N50" s="316"/>
      <c r="O50" s="316"/>
      <c r="P50" s="316"/>
      <c r="Q50" s="316"/>
      <c r="R50" s="316"/>
      <c r="S50" s="316"/>
      <c r="T50" s="316"/>
      <c r="U50" s="316"/>
    </row>
    <row r="51" spans="1:21" s="317" customFormat="1" ht="13.5" customHeight="1" x14ac:dyDescent="0.2">
      <c r="A51" s="342"/>
      <c r="B51" s="342"/>
      <c r="C51" s="343"/>
      <c r="D51" s="314"/>
      <c r="E51" s="345" t="s">
        <v>209</v>
      </c>
      <c r="F51" s="314"/>
      <c r="G51" s="315"/>
      <c r="H51" s="316"/>
      <c r="I51" s="316">
        <f t="shared" ref="I51:I52" si="20">SUM(J51:U51)</f>
        <v>0</v>
      </c>
      <c r="J51" s="316"/>
      <c r="K51" s="316"/>
      <c r="L51" s="318"/>
      <c r="M51" s="318"/>
      <c r="N51" s="318"/>
      <c r="O51" s="316"/>
      <c r="P51" s="316"/>
      <c r="Q51" s="316"/>
      <c r="R51" s="316"/>
      <c r="S51" s="316"/>
      <c r="T51" s="316"/>
      <c r="U51" s="316"/>
    </row>
    <row r="52" spans="1:21" s="317" customFormat="1" ht="13.5" customHeight="1" x14ac:dyDescent="0.2">
      <c r="A52" s="342"/>
      <c r="B52" s="342"/>
      <c r="C52" s="343"/>
      <c r="D52" s="314"/>
      <c r="E52" s="345" t="s">
        <v>212</v>
      </c>
      <c r="F52" s="314"/>
      <c r="G52" s="315"/>
      <c r="H52" s="316"/>
      <c r="I52" s="316">
        <f t="shared" si="20"/>
        <v>150000</v>
      </c>
      <c r="J52" s="316"/>
      <c r="K52" s="316"/>
      <c r="L52" s="316"/>
      <c r="M52" s="316"/>
      <c r="N52" s="316"/>
      <c r="O52" s="318">
        <f>+PEP!$P$18*0.5</f>
        <v>75000</v>
      </c>
      <c r="P52" s="318"/>
      <c r="Q52" s="318"/>
      <c r="R52" s="318">
        <f>+PEP!$P$18*0.5</f>
        <v>75000</v>
      </c>
      <c r="S52" s="318"/>
      <c r="T52" s="318"/>
      <c r="U52" s="318"/>
    </row>
    <row r="53" spans="1:21" x14ac:dyDescent="0.2">
      <c r="A53" s="342"/>
      <c r="B53" s="342"/>
      <c r="C53" s="343"/>
      <c r="D53" s="321">
        <v>9</v>
      </c>
      <c r="E53" s="492" t="str">
        <f>PEP!D19</f>
        <v>Infrastructures de protection de bassins versants - Amont</v>
      </c>
      <c r="F53" s="492"/>
      <c r="G53" s="322"/>
      <c r="H53" s="323">
        <f>+PEP!O19</f>
        <v>571</v>
      </c>
      <c r="I53" s="312">
        <f>SUM(J53:U53)</f>
        <v>29</v>
      </c>
      <c r="J53" s="323"/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>
        <v>29</v>
      </c>
    </row>
    <row r="54" spans="1:21" x14ac:dyDescent="0.2">
      <c r="A54" s="342"/>
      <c r="B54" s="342"/>
      <c r="C54" s="343"/>
      <c r="D54" s="321">
        <f>D53</f>
        <v>9</v>
      </c>
      <c r="E54" s="492" t="str">
        <f>E53</f>
        <v>Infrastructures de protection de bassins versants - Amont</v>
      </c>
      <c r="F54" s="492"/>
      <c r="G54" s="322" t="s">
        <v>208</v>
      </c>
      <c r="H54" s="323">
        <f>+PEP!E19</f>
        <v>5270000</v>
      </c>
      <c r="I54" s="323">
        <f t="shared" ref="I54:U54" si="21">SUM(I55:I56)</f>
        <v>263500</v>
      </c>
      <c r="J54" s="323">
        <f t="shared" si="21"/>
        <v>0</v>
      </c>
      <c r="K54" s="323">
        <f t="shared" si="21"/>
        <v>52700</v>
      </c>
      <c r="L54" s="323">
        <f t="shared" si="21"/>
        <v>0</v>
      </c>
      <c r="M54" s="323">
        <f t="shared" si="21"/>
        <v>52700</v>
      </c>
      <c r="N54" s="323">
        <f t="shared" si="21"/>
        <v>0</v>
      </c>
      <c r="O54" s="323">
        <f t="shared" si="21"/>
        <v>52700</v>
      </c>
      <c r="P54" s="323">
        <f t="shared" si="21"/>
        <v>0</v>
      </c>
      <c r="Q54" s="323">
        <f t="shared" si="21"/>
        <v>52700</v>
      </c>
      <c r="R54" s="323">
        <f t="shared" si="21"/>
        <v>0</v>
      </c>
      <c r="S54" s="323">
        <f t="shared" si="21"/>
        <v>52700</v>
      </c>
      <c r="T54" s="323">
        <f t="shared" si="21"/>
        <v>0</v>
      </c>
      <c r="U54" s="323">
        <f t="shared" si="21"/>
        <v>0</v>
      </c>
    </row>
    <row r="55" spans="1:21" x14ac:dyDescent="0.2">
      <c r="A55" s="342"/>
      <c r="B55" s="342"/>
      <c r="C55" s="343"/>
      <c r="D55" s="314"/>
      <c r="E55" s="345" t="s">
        <v>215</v>
      </c>
      <c r="F55" s="314"/>
      <c r="G55" s="315"/>
      <c r="H55" s="316"/>
      <c r="I55" s="316">
        <f t="shared" ref="I55:I56" si="22">SUM(J55:U55)</f>
        <v>0</v>
      </c>
      <c r="J55" s="318"/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</row>
    <row r="56" spans="1:21" x14ac:dyDescent="0.2">
      <c r="A56" s="342"/>
      <c r="B56" s="342"/>
      <c r="C56" s="343"/>
      <c r="D56" s="314"/>
      <c r="E56" s="345" t="s">
        <v>213</v>
      </c>
      <c r="F56" s="314"/>
      <c r="G56" s="315"/>
      <c r="H56" s="316"/>
      <c r="I56" s="316">
        <f t="shared" si="22"/>
        <v>263500</v>
      </c>
      <c r="J56" s="316"/>
      <c r="K56" s="318">
        <f>+PEP!$P$19*0.2</f>
        <v>52700</v>
      </c>
      <c r="L56" s="318"/>
      <c r="M56" s="318">
        <f>+PEP!$P$19*0.2</f>
        <v>52700</v>
      </c>
      <c r="N56" s="318"/>
      <c r="O56" s="318">
        <f>+PEP!$P$19*0.2</f>
        <v>52700</v>
      </c>
      <c r="P56" s="318"/>
      <c r="Q56" s="318">
        <f>+PEP!$P$19*0.2</f>
        <v>52700</v>
      </c>
      <c r="R56" s="318"/>
      <c r="S56" s="318">
        <f>+PEP!$P$19*0.2</f>
        <v>52700</v>
      </c>
      <c r="T56" s="318"/>
      <c r="U56" s="318"/>
    </row>
    <row r="57" spans="1:21" x14ac:dyDescent="0.2">
      <c r="A57" s="342"/>
      <c r="B57" s="342"/>
      <c r="C57" s="343"/>
      <c r="D57" s="321">
        <v>10</v>
      </c>
      <c r="E57" s="492" t="str">
        <f>PEP!D24</f>
        <v>Infrastructures de protection de bassins versants - Aval</v>
      </c>
      <c r="F57" s="492"/>
      <c r="G57" s="322"/>
      <c r="H57" s="323">
        <f>+PEP!O24</f>
        <v>5</v>
      </c>
      <c r="I57" s="312">
        <f>SUM(J57:U57)</f>
        <v>0</v>
      </c>
      <c r="J57" s="323"/>
      <c r="K57" s="323"/>
      <c r="L57" s="323"/>
      <c r="M57" s="323"/>
      <c r="N57" s="323"/>
      <c r="O57" s="323"/>
      <c r="P57" s="323"/>
      <c r="Q57" s="323"/>
      <c r="R57" s="323"/>
      <c r="S57" s="323"/>
      <c r="T57" s="323"/>
      <c r="U57" s="323"/>
    </row>
    <row r="58" spans="1:21" x14ac:dyDescent="0.2">
      <c r="A58" s="342"/>
      <c r="B58" s="342"/>
      <c r="C58" s="343"/>
      <c r="D58" s="321">
        <f>D57</f>
        <v>10</v>
      </c>
      <c r="E58" s="492" t="str">
        <f>E57</f>
        <v>Infrastructures de protection de bassins versants - Aval</v>
      </c>
      <c r="F58" s="492"/>
      <c r="G58" s="322" t="s">
        <v>208</v>
      </c>
      <c r="H58" s="323">
        <f>+PEP!E24</f>
        <v>19430000</v>
      </c>
      <c r="I58" s="323">
        <f>SUM(I59:I60)</f>
        <v>388600</v>
      </c>
      <c r="J58" s="323">
        <f t="shared" ref="J58:U58" si="23">SUM(J62:J64)</f>
        <v>145000</v>
      </c>
      <c r="K58" s="323">
        <f t="shared" si="23"/>
        <v>145000</v>
      </c>
      <c r="L58" s="323">
        <f t="shared" si="23"/>
        <v>145000</v>
      </c>
      <c r="M58" s="323">
        <f t="shared" si="23"/>
        <v>145000</v>
      </c>
      <c r="N58" s="323">
        <f t="shared" si="23"/>
        <v>145000</v>
      </c>
      <c r="O58" s="323">
        <f t="shared" si="23"/>
        <v>145000</v>
      </c>
      <c r="P58" s="323">
        <f t="shared" si="23"/>
        <v>145000</v>
      </c>
      <c r="Q58" s="323">
        <f t="shared" si="23"/>
        <v>345000</v>
      </c>
      <c r="R58" s="323">
        <f t="shared" si="23"/>
        <v>145000</v>
      </c>
      <c r="S58" s="323">
        <f t="shared" si="23"/>
        <v>445000</v>
      </c>
      <c r="T58" s="323">
        <f t="shared" si="23"/>
        <v>145000</v>
      </c>
      <c r="U58" s="323">
        <f t="shared" si="23"/>
        <v>645000</v>
      </c>
    </row>
    <row r="59" spans="1:21" x14ac:dyDescent="0.2">
      <c r="A59" s="342"/>
      <c r="B59" s="342"/>
      <c r="C59" s="343"/>
      <c r="D59" s="314"/>
      <c r="E59" s="345" t="s">
        <v>215</v>
      </c>
      <c r="F59" s="314"/>
      <c r="G59" s="315"/>
      <c r="H59" s="316"/>
      <c r="I59" s="316">
        <f t="shared" ref="I59:I60" si="24">SUM(J59:U59)</f>
        <v>0</v>
      </c>
      <c r="J59" s="318"/>
      <c r="K59" s="318"/>
      <c r="L59" s="318"/>
      <c r="M59" s="318"/>
      <c r="N59" s="318"/>
      <c r="O59" s="318"/>
      <c r="P59" s="318"/>
      <c r="Q59" s="316"/>
      <c r="R59" s="316"/>
      <c r="S59" s="316"/>
      <c r="T59" s="316"/>
      <c r="U59" s="316"/>
    </row>
    <row r="60" spans="1:21" x14ac:dyDescent="0.2">
      <c r="A60" s="342"/>
      <c r="B60" s="342"/>
      <c r="C60" s="343"/>
      <c r="D60" s="314"/>
      <c r="E60" s="345" t="s">
        <v>214</v>
      </c>
      <c r="F60" s="314"/>
      <c r="G60" s="315"/>
      <c r="H60" s="316"/>
      <c r="I60" s="316">
        <f t="shared" si="24"/>
        <v>388600</v>
      </c>
      <c r="J60" s="316"/>
      <c r="K60" s="316"/>
      <c r="L60" s="316"/>
      <c r="M60" s="316"/>
      <c r="N60" s="316"/>
      <c r="O60" s="316"/>
      <c r="P60" s="316"/>
      <c r="Q60" s="318">
        <f>+PEP!$P$24*0.2</f>
        <v>77720</v>
      </c>
      <c r="R60" s="318"/>
      <c r="S60" s="318">
        <f>+PEP!$P$24*0.5</f>
        <v>194300</v>
      </c>
      <c r="T60" s="318"/>
      <c r="U60" s="318">
        <f>+PEP!$P$24*0.3</f>
        <v>116580</v>
      </c>
    </row>
    <row r="61" spans="1:21" s="309" customFormat="1" x14ac:dyDescent="0.2">
      <c r="A61" s="339"/>
      <c r="B61" s="339"/>
      <c r="C61" s="335" t="str">
        <f>PEP!B27</f>
        <v>Composante 3</v>
      </c>
      <c r="D61" s="307"/>
      <c r="E61" s="307"/>
      <c r="F61" s="307"/>
      <c r="G61" s="307"/>
      <c r="H61" s="308">
        <f>+H63</f>
        <v>10000000</v>
      </c>
      <c r="I61" s="308">
        <f>+I63</f>
        <v>1000000</v>
      </c>
      <c r="J61" s="308">
        <f t="shared" ref="J61:U61" si="25">+J63+J68+J72+J77</f>
        <v>145000</v>
      </c>
      <c r="K61" s="308">
        <f t="shared" si="25"/>
        <v>145000</v>
      </c>
      <c r="L61" s="308">
        <f t="shared" si="25"/>
        <v>145000</v>
      </c>
      <c r="M61" s="308">
        <f t="shared" si="25"/>
        <v>145000</v>
      </c>
      <c r="N61" s="308">
        <f t="shared" si="25"/>
        <v>145000</v>
      </c>
      <c r="O61" s="308">
        <f t="shared" si="25"/>
        <v>145000</v>
      </c>
      <c r="P61" s="308">
        <f t="shared" si="25"/>
        <v>145000</v>
      </c>
      <c r="Q61" s="308">
        <f t="shared" si="25"/>
        <v>345000</v>
      </c>
      <c r="R61" s="308">
        <f t="shared" si="25"/>
        <v>145000</v>
      </c>
      <c r="S61" s="308">
        <f t="shared" si="25"/>
        <v>457000</v>
      </c>
      <c r="T61" s="308">
        <f t="shared" si="25"/>
        <v>145000</v>
      </c>
      <c r="U61" s="308">
        <f t="shared" si="25"/>
        <v>693000</v>
      </c>
    </row>
    <row r="62" spans="1:21" x14ac:dyDescent="0.2">
      <c r="A62" s="342"/>
      <c r="B62" s="342"/>
      <c r="C62" s="343"/>
      <c r="D62" s="321">
        <v>11</v>
      </c>
      <c r="E62" s="492" t="str">
        <f>PEP!D27</f>
        <v>Faculté d'Agronomie et Médecine Vétérinaire construite et équipée</v>
      </c>
      <c r="F62" s="492"/>
      <c r="G62" s="322"/>
      <c r="H62" s="323">
        <f>+PEP!O27</f>
        <v>1</v>
      </c>
      <c r="I62" s="312">
        <f>SUM(J62:U62)</f>
        <v>0</v>
      </c>
      <c r="J62" s="323"/>
      <c r="K62" s="323"/>
      <c r="L62" s="323"/>
      <c r="M62" s="323"/>
      <c r="N62" s="323"/>
      <c r="O62" s="323"/>
      <c r="P62" s="323"/>
      <c r="Q62" s="323"/>
      <c r="R62" s="323"/>
      <c r="S62" s="323"/>
      <c r="T62" s="323"/>
      <c r="U62" s="323"/>
    </row>
    <row r="63" spans="1:21" x14ac:dyDescent="0.2">
      <c r="A63" s="342"/>
      <c r="B63" s="342"/>
      <c r="C63" s="343"/>
      <c r="D63" s="321">
        <f>D62</f>
        <v>11</v>
      </c>
      <c r="E63" s="492" t="str">
        <f>E62</f>
        <v>Faculté d'Agronomie et Médecine Vétérinaire construite et équipée</v>
      </c>
      <c r="F63" s="492"/>
      <c r="G63" s="322" t="s">
        <v>208</v>
      </c>
      <c r="H63" s="323">
        <f>PEP!E27</f>
        <v>10000000</v>
      </c>
      <c r="I63" s="323">
        <f>SUM(I64:I65)</f>
        <v>1000000</v>
      </c>
      <c r="J63" s="323">
        <f t="shared" ref="J63:U63" si="26">SUM(J64:J67)</f>
        <v>145000</v>
      </c>
      <c r="K63" s="323">
        <f t="shared" si="26"/>
        <v>145000</v>
      </c>
      <c r="L63" s="323">
        <f t="shared" si="26"/>
        <v>145000</v>
      </c>
      <c r="M63" s="323">
        <f t="shared" si="26"/>
        <v>145000</v>
      </c>
      <c r="N63" s="323">
        <f t="shared" si="26"/>
        <v>145000</v>
      </c>
      <c r="O63" s="323">
        <f t="shared" si="26"/>
        <v>145000</v>
      </c>
      <c r="P63" s="323">
        <f t="shared" si="26"/>
        <v>145000</v>
      </c>
      <c r="Q63" s="323">
        <f t="shared" si="26"/>
        <v>345000</v>
      </c>
      <c r="R63" s="323">
        <f t="shared" si="26"/>
        <v>145000</v>
      </c>
      <c r="S63" s="323">
        <f t="shared" si="26"/>
        <v>445000</v>
      </c>
      <c r="T63" s="323">
        <f t="shared" si="26"/>
        <v>145000</v>
      </c>
      <c r="U63" s="323">
        <f t="shared" si="26"/>
        <v>645000</v>
      </c>
    </row>
    <row r="64" spans="1:21" x14ac:dyDescent="0.2">
      <c r="A64" s="342"/>
      <c r="B64" s="342"/>
      <c r="C64" s="343"/>
      <c r="D64" s="314"/>
      <c r="E64" s="345" t="s">
        <v>215</v>
      </c>
      <c r="F64" s="314"/>
      <c r="G64" s="315"/>
      <c r="H64" s="316"/>
      <c r="I64" s="316">
        <f t="shared" ref="I64:I65" si="27">SUM(J64:U64)</f>
        <v>0</v>
      </c>
      <c r="J64" s="318"/>
      <c r="K64" s="318"/>
      <c r="L64" s="318"/>
      <c r="M64" s="318"/>
      <c r="N64" s="318"/>
      <c r="O64" s="316"/>
      <c r="P64" s="316"/>
      <c r="Q64" s="316"/>
      <c r="R64" s="316"/>
      <c r="S64" s="316"/>
      <c r="T64" s="316"/>
      <c r="U64" s="316"/>
    </row>
    <row r="65" spans="1:21" x14ac:dyDescent="0.2">
      <c r="A65" s="342"/>
      <c r="B65" s="342"/>
      <c r="C65" s="343"/>
      <c r="D65" s="314"/>
      <c r="E65" s="345" t="s">
        <v>214</v>
      </c>
      <c r="F65" s="314"/>
      <c r="G65" s="315"/>
      <c r="H65" s="316"/>
      <c r="I65" s="316">
        <f t="shared" si="27"/>
        <v>1000000</v>
      </c>
      <c r="J65" s="316"/>
      <c r="K65" s="316"/>
      <c r="L65" s="316"/>
      <c r="M65" s="316"/>
      <c r="N65" s="316"/>
      <c r="O65" s="316"/>
      <c r="P65" s="316"/>
      <c r="Q65" s="318">
        <f>+PEP!$P$27*0.2</f>
        <v>200000</v>
      </c>
      <c r="R65" s="318"/>
      <c r="S65" s="318">
        <f>+PEP!$P$27*0.3</f>
        <v>300000</v>
      </c>
      <c r="T65" s="318"/>
      <c r="U65" s="318">
        <f>+PEP!$P$27*0.5</f>
        <v>500000</v>
      </c>
    </row>
    <row r="66" spans="1:21" s="309" customFormat="1" x14ac:dyDescent="0.2">
      <c r="A66" s="339"/>
      <c r="B66" s="339"/>
      <c r="C66" s="335" t="str">
        <f>PEP!D28</f>
        <v>Gestion</v>
      </c>
      <c r="D66" s="307"/>
      <c r="E66" s="307"/>
      <c r="F66" s="307"/>
      <c r="G66" s="307"/>
      <c r="H66" s="308">
        <f>+PEP!E28</f>
        <v>4350000</v>
      </c>
      <c r="I66" s="308">
        <f>I67</f>
        <v>870000</v>
      </c>
      <c r="J66" s="325">
        <f t="shared" ref="J66:U66" si="28">J67</f>
        <v>72500</v>
      </c>
      <c r="K66" s="325">
        <f t="shared" si="28"/>
        <v>72500</v>
      </c>
      <c r="L66" s="325">
        <f t="shared" si="28"/>
        <v>72500</v>
      </c>
      <c r="M66" s="325">
        <f t="shared" si="28"/>
        <v>72500</v>
      </c>
      <c r="N66" s="325">
        <f t="shared" si="28"/>
        <v>72500</v>
      </c>
      <c r="O66" s="325">
        <f t="shared" si="28"/>
        <v>72500</v>
      </c>
      <c r="P66" s="325">
        <f t="shared" si="28"/>
        <v>72500</v>
      </c>
      <c r="Q66" s="325">
        <f t="shared" si="28"/>
        <v>72500</v>
      </c>
      <c r="R66" s="325">
        <f t="shared" si="28"/>
        <v>72500</v>
      </c>
      <c r="S66" s="325">
        <f t="shared" si="28"/>
        <v>72500</v>
      </c>
      <c r="T66" s="325">
        <f t="shared" si="28"/>
        <v>72500</v>
      </c>
      <c r="U66" s="325">
        <f t="shared" si="28"/>
        <v>72500</v>
      </c>
    </row>
    <row r="67" spans="1:21" s="317" customFormat="1" x14ac:dyDescent="0.2">
      <c r="A67" s="342"/>
      <c r="B67" s="342"/>
      <c r="C67" s="343"/>
      <c r="D67" s="314"/>
      <c r="E67" s="314"/>
      <c r="F67" s="314"/>
      <c r="G67" s="315"/>
      <c r="H67" s="316"/>
      <c r="I67" s="316">
        <f>SUM(J67:U67)</f>
        <v>870000</v>
      </c>
      <c r="J67" s="320">
        <f>+PEP!$P$28/12</f>
        <v>72500</v>
      </c>
      <c r="K67" s="320">
        <f>+PEP!$P$28/12</f>
        <v>72500</v>
      </c>
      <c r="L67" s="320">
        <f>+PEP!$P$28/12</f>
        <v>72500</v>
      </c>
      <c r="M67" s="320">
        <f>+PEP!$P$28/12</f>
        <v>72500</v>
      </c>
      <c r="N67" s="320">
        <f>+PEP!$P$28/12</f>
        <v>72500</v>
      </c>
      <c r="O67" s="320">
        <f>+PEP!$P$28/12</f>
        <v>72500</v>
      </c>
      <c r="P67" s="320">
        <f>+PEP!$P$28/12</f>
        <v>72500</v>
      </c>
      <c r="Q67" s="320">
        <f>+PEP!$P$28/12</f>
        <v>72500</v>
      </c>
      <c r="R67" s="320">
        <f>+PEP!$P$28/12</f>
        <v>72500</v>
      </c>
      <c r="S67" s="320">
        <f>+PEP!$P$28/12</f>
        <v>72500</v>
      </c>
      <c r="T67" s="320">
        <f>+PEP!$P$28/12</f>
        <v>72500</v>
      </c>
      <c r="U67" s="320">
        <f>+PEP!$P$28/12</f>
        <v>72500</v>
      </c>
    </row>
    <row r="68" spans="1:21" s="317" customFormat="1" x14ac:dyDescent="0.2">
      <c r="A68" s="342"/>
      <c r="B68" s="342"/>
      <c r="C68" s="335" t="s">
        <v>210</v>
      </c>
      <c r="D68" s="307"/>
      <c r="E68" s="307"/>
      <c r="F68" s="307"/>
      <c r="G68" s="307"/>
      <c r="H68" s="308">
        <f>+PEP!E29</f>
        <v>300000</v>
      </c>
      <c r="I68" s="308">
        <f>I69</f>
        <v>60000</v>
      </c>
      <c r="J68" s="325">
        <f t="shared" ref="J68:U70" si="29">J69</f>
        <v>0</v>
      </c>
      <c r="K68" s="325">
        <f t="shared" si="29"/>
        <v>0</v>
      </c>
      <c r="L68" s="325">
        <f t="shared" si="29"/>
        <v>0</v>
      </c>
      <c r="M68" s="325">
        <f t="shared" si="29"/>
        <v>0</v>
      </c>
      <c r="N68" s="325">
        <f t="shared" si="29"/>
        <v>0</v>
      </c>
      <c r="O68" s="325">
        <f t="shared" si="29"/>
        <v>0</v>
      </c>
      <c r="P68" s="325">
        <f t="shared" si="29"/>
        <v>0</v>
      </c>
      <c r="Q68" s="325">
        <f t="shared" si="29"/>
        <v>0</v>
      </c>
      <c r="R68" s="325">
        <f t="shared" si="29"/>
        <v>0</v>
      </c>
      <c r="S68" s="325">
        <f t="shared" si="29"/>
        <v>12000</v>
      </c>
      <c r="T68" s="325">
        <f t="shared" si="29"/>
        <v>0</v>
      </c>
      <c r="U68" s="325">
        <f t="shared" si="29"/>
        <v>48000</v>
      </c>
    </row>
    <row r="69" spans="1:21" s="317" customFormat="1" x14ac:dyDescent="0.2">
      <c r="A69" s="342"/>
      <c r="B69" s="342"/>
      <c r="C69" s="343"/>
      <c r="D69" s="314"/>
      <c r="E69" s="314"/>
      <c r="F69" s="314"/>
      <c r="G69" s="315"/>
      <c r="H69" s="316"/>
      <c r="I69" s="316">
        <f>SUM(J69:U69)</f>
        <v>60000</v>
      </c>
      <c r="J69" s="319"/>
      <c r="K69" s="319"/>
      <c r="L69" s="319"/>
      <c r="M69" s="319"/>
      <c r="N69" s="319"/>
      <c r="O69" s="319"/>
      <c r="P69" s="319"/>
      <c r="Q69" s="319"/>
      <c r="R69" s="319"/>
      <c r="S69" s="320">
        <f>+PEP!$P$29*0.2</f>
        <v>12000</v>
      </c>
      <c r="T69" s="320"/>
      <c r="U69" s="320">
        <f>+PEP!$P$29*0.8</f>
        <v>48000</v>
      </c>
    </row>
    <row r="70" spans="1:21" s="317" customFormat="1" x14ac:dyDescent="0.2">
      <c r="A70" s="342"/>
      <c r="B70" s="342"/>
      <c r="C70" s="335" t="str">
        <f>PEP!D30</f>
        <v>Evaluation</v>
      </c>
      <c r="D70" s="307"/>
      <c r="E70" s="307"/>
      <c r="F70" s="307"/>
      <c r="G70" s="307"/>
      <c r="H70" s="308">
        <f>+PEP!E30</f>
        <v>600000</v>
      </c>
      <c r="I70" s="308">
        <f>I71</f>
        <v>120000</v>
      </c>
      <c r="J70" s="325">
        <f t="shared" si="29"/>
        <v>0</v>
      </c>
      <c r="K70" s="325">
        <f t="shared" si="29"/>
        <v>0</v>
      </c>
      <c r="L70" s="325">
        <f t="shared" si="29"/>
        <v>0</v>
      </c>
      <c r="M70" s="325">
        <f t="shared" si="29"/>
        <v>0</v>
      </c>
      <c r="N70" s="325">
        <f t="shared" si="29"/>
        <v>0</v>
      </c>
      <c r="O70" s="325">
        <f t="shared" si="29"/>
        <v>0</v>
      </c>
      <c r="P70" s="325">
        <f t="shared" si="29"/>
        <v>0</v>
      </c>
      <c r="Q70" s="325">
        <f t="shared" si="29"/>
        <v>0</v>
      </c>
      <c r="R70" s="325">
        <f t="shared" si="29"/>
        <v>0</v>
      </c>
      <c r="S70" s="325">
        <f t="shared" si="29"/>
        <v>0</v>
      </c>
      <c r="T70" s="325">
        <f t="shared" si="29"/>
        <v>0</v>
      </c>
      <c r="U70" s="325">
        <f t="shared" si="29"/>
        <v>120000</v>
      </c>
    </row>
    <row r="71" spans="1:21" s="317" customFormat="1" x14ac:dyDescent="0.2">
      <c r="A71" s="342"/>
      <c r="B71" s="342"/>
      <c r="C71" s="343"/>
      <c r="D71" s="314"/>
      <c r="E71" s="314"/>
      <c r="F71" s="314"/>
      <c r="G71" s="315"/>
      <c r="H71" s="316"/>
      <c r="I71" s="316">
        <f>SUM(J71:U71)</f>
        <v>120000</v>
      </c>
      <c r="J71" s="319"/>
      <c r="K71" s="319"/>
      <c r="L71" s="319"/>
      <c r="M71" s="319"/>
      <c r="N71" s="319"/>
      <c r="O71" s="319"/>
      <c r="P71" s="319"/>
      <c r="Q71" s="319"/>
      <c r="R71" s="319"/>
      <c r="S71" s="320"/>
      <c r="T71" s="320"/>
      <c r="U71" s="320">
        <f>+PEP!P30</f>
        <v>120000</v>
      </c>
    </row>
    <row r="72" spans="1:21" x14ac:dyDescent="0.2">
      <c r="A72" s="293"/>
      <c r="B72" s="293"/>
      <c r="C72" s="293"/>
      <c r="D72" s="293"/>
      <c r="E72" s="293"/>
      <c r="F72" s="293"/>
    </row>
    <row r="73" spans="1:21" x14ac:dyDescent="0.2">
      <c r="A73" s="293"/>
      <c r="B73" s="293"/>
      <c r="C73" s="293"/>
      <c r="D73" s="293"/>
      <c r="E73" s="293"/>
      <c r="F73" s="293"/>
    </row>
    <row r="74" spans="1:21" x14ac:dyDescent="0.2">
      <c r="A74" s="293"/>
      <c r="B74" s="293"/>
      <c r="C74" s="293"/>
      <c r="D74" s="293"/>
      <c r="E74" s="293"/>
      <c r="F74" s="293"/>
    </row>
    <row r="75" spans="1:21" x14ac:dyDescent="0.2">
      <c r="A75" s="293"/>
      <c r="B75" s="293"/>
      <c r="C75" s="293"/>
      <c r="D75" s="293"/>
      <c r="E75" s="293"/>
      <c r="F75" s="293"/>
    </row>
    <row r="76" spans="1:21" x14ac:dyDescent="0.2">
      <c r="A76" s="293"/>
      <c r="B76" s="293"/>
      <c r="C76" s="293"/>
      <c r="D76" s="293"/>
      <c r="E76" s="293"/>
      <c r="F76" s="293"/>
    </row>
    <row r="77" spans="1:21" x14ac:dyDescent="0.2">
      <c r="A77" s="293"/>
      <c r="B77" s="293"/>
      <c r="C77" s="293"/>
      <c r="D77" s="293"/>
      <c r="E77" s="293"/>
      <c r="F77" s="293"/>
    </row>
    <row r="78" spans="1:21" x14ac:dyDescent="0.2">
      <c r="A78" s="293"/>
      <c r="B78" s="293"/>
      <c r="C78" s="293"/>
      <c r="D78" s="293"/>
      <c r="E78" s="293"/>
      <c r="F78" s="293"/>
    </row>
    <row r="79" spans="1:21" x14ac:dyDescent="0.2">
      <c r="A79" s="293"/>
      <c r="B79" s="293"/>
      <c r="C79" s="293"/>
      <c r="D79" s="293"/>
      <c r="E79" s="293"/>
      <c r="F79" s="293"/>
    </row>
    <row r="80" spans="1:21" x14ac:dyDescent="0.2">
      <c r="A80" s="293"/>
      <c r="B80" s="293"/>
      <c r="C80" s="293"/>
      <c r="D80" s="293"/>
      <c r="E80" s="293"/>
      <c r="F80" s="293"/>
    </row>
  </sheetData>
  <mergeCells count="16">
    <mergeCell ref="E29:F29"/>
    <mergeCell ref="E30:F30"/>
    <mergeCell ref="E32:F32"/>
    <mergeCell ref="E33:F33"/>
    <mergeCell ref="E37:F37"/>
    <mergeCell ref="E38:F38"/>
    <mergeCell ref="E42:F42"/>
    <mergeCell ref="E43:F43"/>
    <mergeCell ref="E48:F48"/>
    <mergeCell ref="E49:F49"/>
    <mergeCell ref="E63:F63"/>
    <mergeCell ref="E53:F53"/>
    <mergeCell ref="E54:F54"/>
    <mergeCell ref="E57:F57"/>
    <mergeCell ref="E58:F58"/>
    <mergeCell ref="E62:F62"/>
  </mergeCells>
  <pageMargins left="0.7" right="0.7" top="0.75" bottom="0.75" header="0.3" footer="0.3"/>
  <pageSetup scale="49" orientation="landscape" r:id="rId1"/>
  <ignoredErrors>
    <ignoredError sqref="H8 H25:H34 H44:Q45 H64:N65 H48:H52 J48:Q52 H62 J62:N63 H24 J24:R24 J25:R34 H37:H43 J37:Q42 S18:U37 J53:N53 U38:U42 S38:T42 R38:R42 T53 R53:S53 O53:Q53 O62:S63 O64:S65 T64:U65 T62:U63 U53 H66:H68 H70 H21:R23 H20 J20:R20 H16:R19 H15 J15:R15 S15:U17 S4:U12 U48:U52 S48:T52 R48:R52 H14:R14 S14:U14 T54:U60 O54:S60 J54:N60 H53:H60 H12:R12 H11 J11:R11 H4 J4:R4 H5 J5:R5 H6 J6:R6 H7 J7:R7 H10 H9 J9:R9 J10:R10 H46 J46:Q46 U44:U46 S44:T46 R44:R46 J8:R8" unlockedFormula="1"/>
    <ignoredError sqref="I62:I63 O69:U71 I66:U68 I69:K71 I24:I42 I20 I15 I48:I60" formula="1" unlockedFormula="1"/>
    <ignoredError sqref="L69:N7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IV70"/>
  <sheetViews>
    <sheetView zoomScaleNormal="100" workbookViewId="0">
      <selection activeCell="G9" sqref="G9:G10"/>
    </sheetView>
  </sheetViews>
  <sheetFormatPr defaultRowHeight="12.75" x14ac:dyDescent="0.25"/>
  <cols>
    <col min="1" max="1" width="7" style="88" customWidth="1"/>
    <col min="2" max="2" width="14" style="88" customWidth="1"/>
    <col min="3" max="3" width="14.85546875" style="88" customWidth="1"/>
    <col min="4" max="4" width="46" style="89" customWidth="1"/>
    <col min="5" max="5" width="17.28515625" style="88" customWidth="1"/>
    <col min="6" max="6" width="9.7109375" style="266" customWidth="1"/>
    <col min="7" max="7" width="10.28515625" style="88" customWidth="1"/>
    <col min="8" max="8" width="11.85546875" style="89" customWidth="1"/>
    <col min="9" max="9" width="11.42578125" style="88" customWidth="1"/>
    <col min="10" max="12" width="9.140625" style="88" customWidth="1"/>
    <col min="13" max="13" width="13.140625" style="88" customWidth="1"/>
    <col min="14" max="14" width="12.42578125" style="88" customWidth="1"/>
    <col min="15" max="15" width="17.42578125" style="88" customWidth="1"/>
    <col min="16" max="16" width="9.85546875" style="88" customWidth="1"/>
    <col min="17" max="17" width="10.140625" style="88" customWidth="1"/>
    <col min="18" max="18" width="30.5703125" style="88" customWidth="1"/>
    <col min="19" max="19" width="15" style="88" customWidth="1"/>
    <col min="20" max="20" width="15.85546875" style="88" customWidth="1"/>
    <col min="21" max="21" width="12.85546875" style="88" customWidth="1"/>
    <col min="22" max="22" width="9.5703125" style="88" customWidth="1"/>
    <col min="23" max="23" width="16.85546875" style="88" customWidth="1"/>
    <col min="24" max="24" width="15.7109375" style="88" customWidth="1"/>
    <col min="25" max="25" width="9.28515625" style="88" customWidth="1"/>
    <col min="26" max="26" width="11.42578125" style="88" customWidth="1"/>
    <col min="27" max="27" width="10.7109375" style="88" customWidth="1"/>
    <col min="28" max="28" width="28.140625" style="88" customWidth="1"/>
    <col min="29" max="29" width="11" style="88" customWidth="1"/>
    <col min="30" max="30" width="10.28515625" style="88" customWidth="1"/>
    <col min="31" max="31" width="9.5703125" style="88" customWidth="1"/>
    <col min="32" max="32" width="8.28515625" style="88" customWidth="1"/>
    <col min="33" max="33" width="7.85546875" style="88" customWidth="1"/>
    <col min="34" max="34" width="9.7109375" style="88" customWidth="1"/>
    <col min="35" max="35" width="7.85546875" style="88" customWidth="1"/>
    <col min="36" max="36" width="8.5703125" style="88" customWidth="1"/>
    <col min="37" max="37" width="9.28515625" style="88" customWidth="1"/>
    <col min="38" max="38" width="9.140625" style="88" customWidth="1"/>
    <col min="39" max="39" width="9" style="88" customWidth="1"/>
    <col min="40" max="40" width="8.28515625" style="88" customWidth="1"/>
    <col min="41" max="41" width="10" style="88" customWidth="1"/>
    <col min="42" max="42" width="10.28515625" style="88" customWidth="1"/>
    <col min="43" max="43" width="9" style="88" customWidth="1"/>
    <col min="44" max="45" width="9.140625" style="88" customWidth="1"/>
    <col min="46" max="46" width="10.28515625" style="88" customWidth="1"/>
    <col min="47" max="48" width="9.140625" style="88"/>
    <col min="49" max="49" width="10.140625" style="88" customWidth="1"/>
    <col min="50" max="51" width="10.7109375" style="88" customWidth="1"/>
    <col min="52" max="55" width="11" style="88" customWidth="1"/>
    <col min="56" max="56" width="19.5703125" style="88" customWidth="1"/>
    <col min="57" max="57" width="18.85546875" style="88" customWidth="1"/>
    <col min="58" max="61" width="11" style="88" customWidth="1"/>
    <col min="62" max="62" width="15.42578125" style="88" customWidth="1"/>
    <col min="63" max="256" width="9.140625" style="88"/>
    <col min="257" max="257" width="28.42578125" style="88" customWidth="1"/>
    <col min="258" max="258" width="12.42578125" style="88" customWidth="1"/>
    <col min="259" max="259" width="15" style="88" customWidth="1"/>
    <col min="260" max="260" width="39" style="88" customWidth="1"/>
    <col min="261" max="261" width="17.28515625" style="88" customWidth="1"/>
    <col min="262" max="262" width="14.5703125" style="88" customWidth="1"/>
    <col min="263" max="263" width="10.28515625" style="88" customWidth="1"/>
    <col min="264" max="264" width="15.28515625" style="88" customWidth="1"/>
    <col min="265" max="265" width="11.42578125" style="88" customWidth="1"/>
    <col min="266" max="266" width="10.7109375" style="88" customWidth="1"/>
    <col min="267" max="268" width="9.140625" style="88" customWidth="1"/>
    <col min="269" max="269" width="13.140625" style="88" customWidth="1"/>
    <col min="270" max="270" width="10.85546875" style="88" customWidth="1"/>
    <col min="271" max="271" width="17.42578125" style="88" customWidth="1"/>
    <col min="272" max="272" width="9.85546875" style="88" customWidth="1"/>
    <col min="273" max="273" width="10.140625" style="88" customWidth="1"/>
    <col min="274" max="274" width="30.5703125" style="88" customWidth="1"/>
    <col min="275" max="275" width="15" style="88" customWidth="1"/>
    <col min="276" max="276" width="15.85546875" style="88" customWidth="1"/>
    <col min="277" max="277" width="12.85546875" style="88" customWidth="1"/>
    <col min="278" max="278" width="9.5703125" style="88" customWidth="1"/>
    <col min="279" max="279" width="16.85546875" style="88" customWidth="1"/>
    <col min="280" max="280" width="15.7109375" style="88" customWidth="1"/>
    <col min="281" max="281" width="9.28515625" style="88" customWidth="1"/>
    <col min="282" max="282" width="11.42578125" style="88" customWidth="1"/>
    <col min="283" max="283" width="10.7109375" style="88" customWidth="1"/>
    <col min="284" max="284" width="28.140625" style="88" customWidth="1"/>
    <col min="285" max="285" width="11" style="88" customWidth="1"/>
    <col min="286" max="286" width="10.28515625" style="88" customWidth="1"/>
    <col min="287" max="287" width="9.5703125" style="88" customWidth="1"/>
    <col min="288" max="288" width="8.28515625" style="88" customWidth="1"/>
    <col min="289" max="289" width="7.85546875" style="88" customWidth="1"/>
    <col min="290" max="290" width="9.7109375" style="88" customWidth="1"/>
    <col min="291" max="291" width="7.85546875" style="88" customWidth="1"/>
    <col min="292" max="292" width="8.5703125" style="88" customWidth="1"/>
    <col min="293" max="293" width="9.28515625" style="88" customWidth="1"/>
    <col min="294" max="294" width="9.140625" style="88" customWidth="1"/>
    <col min="295" max="295" width="9" style="88" customWidth="1"/>
    <col min="296" max="296" width="8.28515625" style="88" customWidth="1"/>
    <col min="297" max="297" width="10" style="88" customWidth="1"/>
    <col min="298" max="298" width="10.28515625" style="88" customWidth="1"/>
    <col min="299" max="299" width="9" style="88" customWidth="1"/>
    <col min="300" max="301" width="9.140625" style="88" customWidth="1"/>
    <col min="302" max="302" width="10.28515625" style="88" customWidth="1"/>
    <col min="303" max="304" width="9.140625" style="88"/>
    <col min="305" max="305" width="10.140625" style="88" customWidth="1"/>
    <col min="306" max="307" width="10.7109375" style="88" customWidth="1"/>
    <col min="308" max="311" width="11" style="88" customWidth="1"/>
    <col min="312" max="312" width="19.5703125" style="88" customWidth="1"/>
    <col min="313" max="313" width="18.85546875" style="88" customWidth="1"/>
    <col min="314" max="317" width="11" style="88" customWidth="1"/>
    <col min="318" max="318" width="15.42578125" style="88" customWidth="1"/>
    <col min="319" max="512" width="9.140625" style="88"/>
    <col min="513" max="513" width="28.42578125" style="88" customWidth="1"/>
    <col min="514" max="514" width="12.42578125" style="88" customWidth="1"/>
    <col min="515" max="515" width="15" style="88" customWidth="1"/>
    <col min="516" max="516" width="39" style="88" customWidth="1"/>
    <col min="517" max="517" width="17.28515625" style="88" customWidth="1"/>
    <col min="518" max="518" width="14.5703125" style="88" customWidth="1"/>
    <col min="519" max="519" width="10.28515625" style="88" customWidth="1"/>
    <col min="520" max="520" width="15.28515625" style="88" customWidth="1"/>
    <col min="521" max="521" width="11.42578125" style="88" customWidth="1"/>
    <col min="522" max="522" width="10.7109375" style="88" customWidth="1"/>
    <col min="523" max="524" width="9.140625" style="88" customWidth="1"/>
    <col min="525" max="525" width="13.140625" style="88" customWidth="1"/>
    <col min="526" max="526" width="10.85546875" style="88" customWidth="1"/>
    <col min="527" max="527" width="17.42578125" style="88" customWidth="1"/>
    <col min="528" max="528" width="9.85546875" style="88" customWidth="1"/>
    <col min="529" max="529" width="10.140625" style="88" customWidth="1"/>
    <col min="530" max="530" width="30.5703125" style="88" customWidth="1"/>
    <col min="531" max="531" width="15" style="88" customWidth="1"/>
    <col min="532" max="532" width="15.85546875" style="88" customWidth="1"/>
    <col min="533" max="533" width="12.85546875" style="88" customWidth="1"/>
    <col min="534" max="534" width="9.5703125" style="88" customWidth="1"/>
    <col min="535" max="535" width="16.85546875" style="88" customWidth="1"/>
    <col min="536" max="536" width="15.7109375" style="88" customWidth="1"/>
    <col min="537" max="537" width="9.28515625" style="88" customWidth="1"/>
    <col min="538" max="538" width="11.42578125" style="88" customWidth="1"/>
    <col min="539" max="539" width="10.7109375" style="88" customWidth="1"/>
    <col min="540" max="540" width="28.140625" style="88" customWidth="1"/>
    <col min="541" max="541" width="11" style="88" customWidth="1"/>
    <col min="542" max="542" width="10.28515625" style="88" customWidth="1"/>
    <col min="543" max="543" width="9.5703125" style="88" customWidth="1"/>
    <col min="544" max="544" width="8.28515625" style="88" customWidth="1"/>
    <col min="545" max="545" width="7.85546875" style="88" customWidth="1"/>
    <col min="546" max="546" width="9.7109375" style="88" customWidth="1"/>
    <col min="547" max="547" width="7.85546875" style="88" customWidth="1"/>
    <col min="548" max="548" width="8.5703125" style="88" customWidth="1"/>
    <col min="549" max="549" width="9.28515625" style="88" customWidth="1"/>
    <col min="550" max="550" width="9.140625" style="88" customWidth="1"/>
    <col min="551" max="551" width="9" style="88" customWidth="1"/>
    <col min="552" max="552" width="8.28515625" style="88" customWidth="1"/>
    <col min="553" max="553" width="10" style="88" customWidth="1"/>
    <col min="554" max="554" width="10.28515625" style="88" customWidth="1"/>
    <col min="555" max="555" width="9" style="88" customWidth="1"/>
    <col min="556" max="557" width="9.140625" style="88" customWidth="1"/>
    <col min="558" max="558" width="10.28515625" style="88" customWidth="1"/>
    <col min="559" max="560" width="9.140625" style="88"/>
    <col min="561" max="561" width="10.140625" style="88" customWidth="1"/>
    <col min="562" max="563" width="10.7109375" style="88" customWidth="1"/>
    <col min="564" max="567" width="11" style="88" customWidth="1"/>
    <col min="568" max="568" width="19.5703125" style="88" customWidth="1"/>
    <col min="569" max="569" width="18.85546875" style="88" customWidth="1"/>
    <col min="570" max="573" width="11" style="88" customWidth="1"/>
    <col min="574" max="574" width="15.42578125" style="88" customWidth="1"/>
    <col min="575" max="768" width="9.140625" style="88"/>
    <col min="769" max="769" width="28.42578125" style="88" customWidth="1"/>
    <col min="770" max="770" width="12.42578125" style="88" customWidth="1"/>
    <col min="771" max="771" width="15" style="88" customWidth="1"/>
    <col min="772" max="772" width="39" style="88" customWidth="1"/>
    <col min="773" max="773" width="17.28515625" style="88" customWidth="1"/>
    <col min="774" max="774" width="14.5703125" style="88" customWidth="1"/>
    <col min="775" max="775" width="10.28515625" style="88" customWidth="1"/>
    <col min="776" max="776" width="15.28515625" style="88" customWidth="1"/>
    <col min="777" max="777" width="11.42578125" style="88" customWidth="1"/>
    <col min="778" max="778" width="10.7109375" style="88" customWidth="1"/>
    <col min="779" max="780" width="9.140625" style="88" customWidth="1"/>
    <col min="781" max="781" width="13.140625" style="88" customWidth="1"/>
    <col min="782" max="782" width="10.85546875" style="88" customWidth="1"/>
    <col min="783" max="783" width="17.42578125" style="88" customWidth="1"/>
    <col min="784" max="784" width="9.85546875" style="88" customWidth="1"/>
    <col min="785" max="785" width="10.140625" style="88" customWidth="1"/>
    <col min="786" max="786" width="30.5703125" style="88" customWidth="1"/>
    <col min="787" max="787" width="15" style="88" customWidth="1"/>
    <col min="788" max="788" width="15.85546875" style="88" customWidth="1"/>
    <col min="789" max="789" width="12.85546875" style="88" customWidth="1"/>
    <col min="790" max="790" width="9.5703125" style="88" customWidth="1"/>
    <col min="791" max="791" width="16.85546875" style="88" customWidth="1"/>
    <col min="792" max="792" width="15.7109375" style="88" customWidth="1"/>
    <col min="793" max="793" width="9.28515625" style="88" customWidth="1"/>
    <col min="794" max="794" width="11.42578125" style="88" customWidth="1"/>
    <col min="795" max="795" width="10.7109375" style="88" customWidth="1"/>
    <col min="796" max="796" width="28.140625" style="88" customWidth="1"/>
    <col min="797" max="797" width="11" style="88" customWidth="1"/>
    <col min="798" max="798" width="10.28515625" style="88" customWidth="1"/>
    <col min="799" max="799" width="9.5703125" style="88" customWidth="1"/>
    <col min="800" max="800" width="8.28515625" style="88" customWidth="1"/>
    <col min="801" max="801" width="7.85546875" style="88" customWidth="1"/>
    <col min="802" max="802" width="9.7109375" style="88" customWidth="1"/>
    <col min="803" max="803" width="7.85546875" style="88" customWidth="1"/>
    <col min="804" max="804" width="8.5703125" style="88" customWidth="1"/>
    <col min="805" max="805" width="9.28515625" style="88" customWidth="1"/>
    <col min="806" max="806" width="9.140625" style="88" customWidth="1"/>
    <col min="807" max="807" width="9" style="88" customWidth="1"/>
    <col min="808" max="808" width="8.28515625" style="88" customWidth="1"/>
    <col min="809" max="809" width="10" style="88" customWidth="1"/>
    <col min="810" max="810" width="10.28515625" style="88" customWidth="1"/>
    <col min="811" max="811" width="9" style="88" customWidth="1"/>
    <col min="812" max="813" width="9.140625" style="88" customWidth="1"/>
    <col min="814" max="814" width="10.28515625" style="88" customWidth="1"/>
    <col min="815" max="816" width="9.140625" style="88"/>
    <col min="817" max="817" width="10.140625" style="88" customWidth="1"/>
    <col min="818" max="819" width="10.7109375" style="88" customWidth="1"/>
    <col min="820" max="823" width="11" style="88" customWidth="1"/>
    <col min="824" max="824" width="19.5703125" style="88" customWidth="1"/>
    <col min="825" max="825" width="18.85546875" style="88" customWidth="1"/>
    <col min="826" max="829" width="11" style="88" customWidth="1"/>
    <col min="830" max="830" width="15.42578125" style="88" customWidth="1"/>
    <col min="831" max="1024" width="9.140625" style="88"/>
    <col min="1025" max="1025" width="28.42578125" style="88" customWidth="1"/>
    <col min="1026" max="1026" width="12.42578125" style="88" customWidth="1"/>
    <col min="1027" max="1027" width="15" style="88" customWidth="1"/>
    <col min="1028" max="1028" width="39" style="88" customWidth="1"/>
    <col min="1029" max="1029" width="17.28515625" style="88" customWidth="1"/>
    <col min="1030" max="1030" width="14.5703125" style="88" customWidth="1"/>
    <col min="1031" max="1031" width="10.28515625" style="88" customWidth="1"/>
    <col min="1032" max="1032" width="15.28515625" style="88" customWidth="1"/>
    <col min="1033" max="1033" width="11.42578125" style="88" customWidth="1"/>
    <col min="1034" max="1034" width="10.7109375" style="88" customWidth="1"/>
    <col min="1035" max="1036" width="9.140625" style="88" customWidth="1"/>
    <col min="1037" max="1037" width="13.140625" style="88" customWidth="1"/>
    <col min="1038" max="1038" width="10.85546875" style="88" customWidth="1"/>
    <col min="1039" max="1039" width="17.42578125" style="88" customWidth="1"/>
    <col min="1040" max="1040" width="9.85546875" style="88" customWidth="1"/>
    <col min="1041" max="1041" width="10.140625" style="88" customWidth="1"/>
    <col min="1042" max="1042" width="30.5703125" style="88" customWidth="1"/>
    <col min="1043" max="1043" width="15" style="88" customWidth="1"/>
    <col min="1044" max="1044" width="15.85546875" style="88" customWidth="1"/>
    <col min="1045" max="1045" width="12.85546875" style="88" customWidth="1"/>
    <col min="1046" max="1046" width="9.5703125" style="88" customWidth="1"/>
    <col min="1047" max="1047" width="16.85546875" style="88" customWidth="1"/>
    <col min="1048" max="1048" width="15.7109375" style="88" customWidth="1"/>
    <col min="1049" max="1049" width="9.28515625" style="88" customWidth="1"/>
    <col min="1050" max="1050" width="11.42578125" style="88" customWidth="1"/>
    <col min="1051" max="1051" width="10.7109375" style="88" customWidth="1"/>
    <col min="1052" max="1052" width="28.140625" style="88" customWidth="1"/>
    <col min="1053" max="1053" width="11" style="88" customWidth="1"/>
    <col min="1054" max="1054" width="10.28515625" style="88" customWidth="1"/>
    <col min="1055" max="1055" width="9.5703125" style="88" customWidth="1"/>
    <col min="1056" max="1056" width="8.28515625" style="88" customWidth="1"/>
    <col min="1057" max="1057" width="7.85546875" style="88" customWidth="1"/>
    <col min="1058" max="1058" width="9.7109375" style="88" customWidth="1"/>
    <col min="1059" max="1059" width="7.85546875" style="88" customWidth="1"/>
    <col min="1060" max="1060" width="8.5703125" style="88" customWidth="1"/>
    <col min="1061" max="1061" width="9.28515625" style="88" customWidth="1"/>
    <col min="1062" max="1062" width="9.140625" style="88" customWidth="1"/>
    <col min="1063" max="1063" width="9" style="88" customWidth="1"/>
    <col min="1064" max="1064" width="8.28515625" style="88" customWidth="1"/>
    <col min="1065" max="1065" width="10" style="88" customWidth="1"/>
    <col min="1066" max="1066" width="10.28515625" style="88" customWidth="1"/>
    <col min="1067" max="1067" width="9" style="88" customWidth="1"/>
    <col min="1068" max="1069" width="9.140625" style="88" customWidth="1"/>
    <col min="1070" max="1070" width="10.28515625" style="88" customWidth="1"/>
    <col min="1071" max="1072" width="9.140625" style="88"/>
    <col min="1073" max="1073" width="10.140625" style="88" customWidth="1"/>
    <col min="1074" max="1075" width="10.7109375" style="88" customWidth="1"/>
    <col min="1076" max="1079" width="11" style="88" customWidth="1"/>
    <col min="1080" max="1080" width="19.5703125" style="88" customWidth="1"/>
    <col min="1081" max="1081" width="18.85546875" style="88" customWidth="1"/>
    <col min="1082" max="1085" width="11" style="88" customWidth="1"/>
    <col min="1086" max="1086" width="15.42578125" style="88" customWidth="1"/>
    <col min="1087" max="1280" width="9.140625" style="88"/>
    <col min="1281" max="1281" width="28.42578125" style="88" customWidth="1"/>
    <col min="1282" max="1282" width="12.42578125" style="88" customWidth="1"/>
    <col min="1283" max="1283" width="15" style="88" customWidth="1"/>
    <col min="1284" max="1284" width="39" style="88" customWidth="1"/>
    <col min="1285" max="1285" width="17.28515625" style="88" customWidth="1"/>
    <col min="1286" max="1286" width="14.5703125" style="88" customWidth="1"/>
    <col min="1287" max="1287" width="10.28515625" style="88" customWidth="1"/>
    <col min="1288" max="1288" width="15.28515625" style="88" customWidth="1"/>
    <col min="1289" max="1289" width="11.42578125" style="88" customWidth="1"/>
    <col min="1290" max="1290" width="10.7109375" style="88" customWidth="1"/>
    <col min="1291" max="1292" width="9.140625" style="88" customWidth="1"/>
    <col min="1293" max="1293" width="13.140625" style="88" customWidth="1"/>
    <col min="1294" max="1294" width="10.85546875" style="88" customWidth="1"/>
    <col min="1295" max="1295" width="17.42578125" style="88" customWidth="1"/>
    <col min="1296" max="1296" width="9.85546875" style="88" customWidth="1"/>
    <col min="1297" max="1297" width="10.140625" style="88" customWidth="1"/>
    <col min="1298" max="1298" width="30.5703125" style="88" customWidth="1"/>
    <col min="1299" max="1299" width="15" style="88" customWidth="1"/>
    <col min="1300" max="1300" width="15.85546875" style="88" customWidth="1"/>
    <col min="1301" max="1301" width="12.85546875" style="88" customWidth="1"/>
    <col min="1302" max="1302" width="9.5703125" style="88" customWidth="1"/>
    <col min="1303" max="1303" width="16.85546875" style="88" customWidth="1"/>
    <col min="1304" max="1304" width="15.7109375" style="88" customWidth="1"/>
    <col min="1305" max="1305" width="9.28515625" style="88" customWidth="1"/>
    <col min="1306" max="1306" width="11.42578125" style="88" customWidth="1"/>
    <col min="1307" max="1307" width="10.7109375" style="88" customWidth="1"/>
    <col min="1308" max="1308" width="28.140625" style="88" customWidth="1"/>
    <col min="1309" max="1309" width="11" style="88" customWidth="1"/>
    <col min="1310" max="1310" width="10.28515625" style="88" customWidth="1"/>
    <col min="1311" max="1311" width="9.5703125" style="88" customWidth="1"/>
    <col min="1312" max="1312" width="8.28515625" style="88" customWidth="1"/>
    <col min="1313" max="1313" width="7.85546875" style="88" customWidth="1"/>
    <col min="1314" max="1314" width="9.7109375" style="88" customWidth="1"/>
    <col min="1315" max="1315" width="7.85546875" style="88" customWidth="1"/>
    <col min="1316" max="1316" width="8.5703125" style="88" customWidth="1"/>
    <col min="1317" max="1317" width="9.28515625" style="88" customWidth="1"/>
    <col min="1318" max="1318" width="9.140625" style="88" customWidth="1"/>
    <col min="1319" max="1319" width="9" style="88" customWidth="1"/>
    <col min="1320" max="1320" width="8.28515625" style="88" customWidth="1"/>
    <col min="1321" max="1321" width="10" style="88" customWidth="1"/>
    <col min="1322" max="1322" width="10.28515625" style="88" customWidth="1"/>
    <col min="1323" max="1323" width="9" style="88" customWidth="1"/>
    <col min="1324" max="1325" width="9.140625" style="88" customWidth="1"/>
    <col min="1326" max="1326" width="10.28515625" style="88" customWidth="1"/>
    <col min="1327" max="1328" width="9.140625" style="88"/>
    <col min="1329" max="1329" width="10.140625" style="88" customWidth="1"/>
    <col min="1330" max="1331" width="10.7109375" style="88" customWidth="1"/>
    <col min="1332" max="1335" width="11" style="88" customWidth="1"/>
    <col min="1336" max="1336" width="19.5703125" style="88" customWidth="1"/>
    <col min="1337" max="1337" width="18.85546875" style="88" customWidth="1"/>
    <col min="1338" max="1341" width="11" style="88" customWidth="1"/>
    <col min="1342" max="1342" width="15.42578125" style="88" customWidth="1"/>
    <col min="1343" max="1536" width="9.140625" style="88"/>
    <col min="1537" max="1537" width="28.42578125" style="88" customWidth="1"/>
    <col min="1538" max="1538" width="12.42578125" style="88" customWidth="1"/>
    <col min="1539" max="1539" width="15" style="88" customWidth="1"/>
    <col min="1540" max="1540" width="39" style="88" customWidth="1"/>
    <col min="1541" max="1541" width="17.28515625" style="88" customWidth="1"/>
    <col min="1542" max="1542" width="14.5703125" style="88" customWidth="1"/>
    <col min="1543" max="1543" width="10.28515625" style="88" customWidth="1"/>
    <col min="1544" max="1544" width="15.28515625" style="88" customWidth="1"/>
    <col min="1545" max="1545" width="11.42578125" style="88" customWidth="1"/>
    <col min="1546" max="1546" width="10.7109375" style="88" customWidth="1"/>
    <col min="1547" max="1548" width="9.140625" style="88" customWidth="1"/>
    <col min="1549" max="1549" width="13.140625" style="88" customWidth="1"/>
    <col min="1550" max="1550" width="10.85546875" style="88" customWidth="1"/>
    <col min="1551" max="1551" width="17.42578125" style="88" customWidth="1"/>
    <col min="1552" max="1552" width="9.85546875" style="88" customWidth="1"/>
    <col min="1553" max="1553" width="10.140625" style="88" customWidth="1"/>
    <col min="1554" max="1554" width="30.5703125" style="88" customWidth="1"/>
    <col min="1555" max="1555" width="15" style="88" customWidth="1"/>
    <col min="1556" max="1556" width="15.85546875" style="88" customWidth="1"/>
    <col min="1557" max="1557" width="12.85546875" style="88" customWidth="1"/>
    <col min="1558" max="1558" width="9.5703125" style="88" customWidth="1"/>
    <col min="1559" max="1559" width="16.85546875" style="88" customWidth="1"/>
    <col min="1560" max="1560" width="15.7109375" style="88" customWidth="1"/>
    <col min="1561" max="1561" width="9.28515625" style="88" customWidth="1"/>
    <col min="1562" max="1562" width="11.42578125" style="88" customWidth="1"/>
    <col min="1563" max="1563" width="10.7109375" style="88" customWidth="1"/>
    <col min="1564" max="1564" width="28.140625" style="88" customWidth="1"/>
    <col min="1565" max="1565" width="11" style="88" customWidth="1"/>
    <col min="1566" max="1566" width="10.28515625" style="88" customWidth="1"/>
    <col min="1567" max="1567" width="9.5703125" style="88" customWidth="1"/>
    <col min="1568" max="1568" width="8.28515625" style="88" customWidth="1"/>
    <col min="1569" max="1569" width="7.85546875" style="88" customWidth="1"/>
    <col min="1570" max="1570" width="9.7109375" style="88" customWidth="1"/>
    <col min="1571" max="1571" width="7.85546875" style="88" customWidth="1"/>
    <col min="1572" max="1572" width="8.5703125" style="88" customWidth="1"/>
    <col min="1573" max="1573" width="9.28515625" style="88" customWidth="1"/>
    <col min="1574" max="1574" width="9.140625" style="88" customWidth="1"/>
    <col min="1575" max="1575" width="9" style="88" customWidth="1"/>
    <col min="1576" max="1576" width="8.28515625" style="88" customWidth="1"/>
    <col min="1577" max="1577" width="10" style="88" customWidth="1"/>
    <col min="1578" max="1578" width="10.28515625" style="88" customWidth="1"/>
    <col min="1579" max="1579" width="9" style="88" customWidth="1"/>
    <col min="1580" max="1581" width="9.140625" style="88" customWidth="1"/>
    <col min="1582" max="1582" width="10.28515625" style="88" customWidth="1"/>
    <col min="1583" max="1584" width="9.140625" style="88"/>
    <col min="1585" max="1585" width="10.140625" style="88" customWidth="1"/>
    <col min="1586" max="1587" width="10.7109375" style="88" customWidth="1"/>
    <col min="1588" max="1591" width="11" style="88" customWidth="1"/>
    <col min="1592" max="1592" width="19.5703125" style="88" customWidth="1"/>
    <col min="1593" max="1593" width="18.85546875" style="88" customWidth="1"/>
    <col min="1594" max="1597" width="11" style="88" customWidth="1"/>
    <col min="1598" max="1598" width="15.42578125" style="88" customWidth="1"/>
    <col min="1599" max="1792" width="9.140625" style="88"/>
    <col min="1793" max="1793" width="28.42578125" style="88" customWidth="1"/>
    <col min="1794" max="1794" width="12.42578125" style="88" customWidth="1"/>
    <col min="1795" max="1795" width="15" style="88" customWidth="1"/>
    <col min="1796" max="1796" width="39" style="88" customWidth="1"/>
    <col min="1797" max="1797" width="17.28515625" style="88" customWidth="1"/>
    <col min="1798" max="1798" width="14.5703125" style="88" customWidth="1"/>
    <col min="1799" max="1799" width="10.28515625" style="88" customWidth="1"/>
    <col min="1800" max="1800" width="15.28515625" style="88" customWidth="1"/>
    <col min="1801" max="1801" width="11.42578125" style="88" customWidth="1"/>
    <col min="1802" max="1802" width="10.7109375" style="88" customWidth="1"/>
    <col min="1803" max="1804" width="9.140625" style="88" customWidth="1"/>
    <col min="1805" max="1805" width="13.140625" style="88" customWidth="1"/>
    <col min="1806" max="1806" width="10.85546875" style="88" customWidth="1"/>
    <col min="1807" max="1807" width="17.42578125" style="88" customWidth="1"/>
    <col min="1808" max="1808" width="9.85546875" style="88" customWidth="1"/>
    <col min="1809" max="1809" width="10.140625" style="88" customWidth="1"/>
    <col min="1810" max="1810" width="30.5703125" style="88" customWidth="1"/>
    <col min="1811" max="1811" width="15" style="88" customWidth="1"/>
    <col min="1812" max="1812" width="15.85546875" style="88" customWidth="1"/>
    <col min="1813" max="1813" width="12.85546875" style="88" customWidth="1"/>
    <col min="1814" max="1814" width="9.5703125" style="88" customWidth="1"/>
    <col min="1815" max="1815" width="16.85546875" style="88" customWidth="1"/>
    <col min="1816" max="1816" width="15.7109375" style="88" customWidth="1"/>
    <col min="1817" max="1817" width="9.28515625" style="88" customWidth="1"/>
    <col min="1818" max="1818" width="11.42578125" style="88" customWidth="1"/>
    <col min="1819" max="1819" width="10.7109375" style="88" customWidth="1"/>
    <col min="1820" max="1820" width="28.140625" style="88" customWidth="1"/>
    <col min="1821" max="1821" width="11" style="88" customWidth="1"/>
    <col min="1822" max="1822" width="10.28515625" style="88" customWidth="1"/>
    <col min="1823" max="1823" width="9.5703125" style="88" customWidth="1"/>
    <col min="1824" max="1824" width="8.28515625" style="88" customWidth="1"/>
    <col min="1825" max="1825" width="7.85546875" style="88" customWidth="1"/>
    <col min="1826" max="1826" width="9.7109375" style="88" customWidth="1"/>
    <col min="1827" max="1827" width="7.85546875" style="88" customWidth="1"/>
    <col min="1828" max="1828" width="8.5703125" style="88" customWidth="1"/>
    <col min="1829" max="1829" width="9.28515625" style="88" customWidth="1"/>
    <col min="1830" max="1830" width="9.140625" style="88" customWidth="1"/>
    <col min="1831" max="1831" width="9" style="88" customWidth="1"/>
    <col min="1832" max="1832" width="8.28515625" style="88" customWidth="1"/>
    <col min="1833" max="1833" width="10" style="88" customWidth="1"/>
    <col min="1834" max="1834" width="10.28515625" style="88" customWidth="1"/>
    <col min="1835" max="1835" width="9" style="88" customWidth="1"/>
    <col min="1836" max="1837" width="9.140625" style="88" customWidth="1"/>
    <col min="1838" max="1838" width="10.28515625" style="88" customWidth="1"/>
    <col min="1839" max="1840" width="9.140625" style="88"/>
    <col min="1841" max="1841" width="10.140625" style="88" customWidth="1"/>
    <col min="1842" max="1843" width="10.7109375" style="88" customWidth="1"/>
    <col min="1844" max="1847" width="11" style="88" customWidth="1"/>
    <col min="1848" max="1848" width="19.5703125" style="88" customWidth="1"/>
    <col min="1849" max="1849" width="18.85546875" style="88" customWidth="1"/>
    <col min="1850" max="1853" width="11" style="88" customWidth="1"/>
    <col min="1854" max="1854" width="15.42578125" style="88" customWidth="1"/>
    <col min="1855" max="2048" width="9.140625" style="88"/>
    <col min="2049" max="2049" width="28.42578125" style="88" customWidth="1"/>
    <col min="2050" max="2050" width="12.42578125" style="88" customWidth="1"/>
    <col min="2051" max="2051" width="15" style="88" customWidth="1"/>
    <col min="2052" max="2052" width="39" style="88" customWidth="1"/>
    <col min="2053" max="2053" width="17.28515625" style="88" customWidth="1"/>
    <col min="2054" max="2054" width="14.5703125" style="88" customWidth="1"/>
    <col min="2055" max="2055" width="10.28515625" style="88" customWidth="1"/>
    <col min="2056" max="2056" width="15.28515625" style="88" customWidth="1"/>
    <col min="2057" max="2057" width="11.42578125" style="88" customWidth="1"/>
    <col min="2058" max="2058" width="10.7109375" style="88" customWidth="1"/>
    <col min="2059" max="2060" width="9.140625" style="88" customWidth="1"/>
    <col min="2061" max="2061" width="13.140625" style="88" customWidth="1"/>
    <col min="2062" max="2062" width="10.85546875" style="88" customWidth="1"/>
    <col min="2063" max="2063" width="17.42578125" style="88" customWidth="1"/>
    <col min="2064" max="2064" width="9.85546875" style="88" customWidth="1"/>
    <col min="2065" max="2065" width="10.140625" style="88" customWidth="1"/>
    <col min="2066" max="2066" width="30.5703125" style="88" customWidth="1"/>
    <col min="2067" max="2067" width="15" style="88" customWidth="1"/>
    <col min="2068" max="2068" width="15.85546875" style="88" customWidth="1"/>
    <col min="2069" max="2069" width="12.85546875" style="88" customWidth="1"/>
    <col min="2070" max="2070" width="9.5703125" style="88" customWidth="1"/>
    <col min="2071" max="2071" width="16.85546875" style="88" customWidth="1"/>
    <col min="2072" max="2072" width="15.7109375" style="88" customWidth="1"/>
    <col min="2073" max="2073" width="9.28515625" style="88" customWidth="1"/>
    <col min="2074" max="2074" width="11.42578125" style="88" customWidth="1"/>
    <col min="2075" max="2075" width="10.7109375" style="88" customWidth="1"/>
    <col min="2076" max="2076" width="28.140625" style="88" customWidth="1"/>
    <col min="2077" max="2077" width="11" style="88" customWidth="1"/>
    <col min="2078" max="2078" width="10.28515625" style="88" customWidth="1"/>
    <col min="2079" max="2079" width="9.5703125" style="88" customWidth="1"/>
    <col min="2080" max="2080" width="8.28515625" style="88" customWidth="1"/>
    <col min="2081" max="2081" width="7.85546875" style="88" customWidth="1"/>
    <col min="2082" max="2082" width="9.7109375" style="88" customWidth="1"/>
    <col min="2083" max="2083" width="7.85546875" style="88" customWidth="1"/>
    <col min="2084" max="2084" width="8.5703125" style="88" customWidth="1"/>
    <col min="2085" max="2085" width="9.28515625" style="88" customWidth="1"/>
    <col min="2086" max="2086" width="9.140625" style="88" customWidth="1"/>
    <col min="2087" max="2087" width="9" style="88" customWidth="1"/>
    <col min="2088" max="2088" width="8.28515625" style="88" customWidth="1"/>
    <col min="2089" max="2089" width="10" style="88" customWidth="1"/>
    <col min="2090" max="2090" width="10.28515625" style="88" customWidth="1"/>
    <col min="2091" max="2091" width="9" style="88" customWidth="1"/>
    <col min="2092" max="2093" width="9.140625" style="88" customWidth="1"/>
    <col min="2094" max="2094" width="10.28515625" style="88" customWidth="1"/>
    <col min="2095" max="2096" width="9.140625" style="88"/>
    <col min="2097" max="2097" width="10.140625" style="88" customWidth="1"/>
    <col min="2098" max="2099" width="10.7109375" style="88" customWidth="1"/>
    <col min="2100" max="2103" width="11" style="88" customWidth="1"/>
    <col min="2104" max="2104" width="19.5703125" style="88" customWidth="1"/>
    <col min="2105" max="2105" width="18.85546875" style="88" customWidth="1"/>
    <col min="2106" max="2109" width="11" style="88" customWidth="1"/>
    <col min="2110" max="2110" width="15.42578125" style="88" customWidth="1"/>
    <col min="2111" max="2304" width="9.140625" style="88"/>
    <col min="2305" max="2305" width="28.42578125" style="88" customWidth="1"/>
    <col min="2306" max="2306" width="12.42578125" style="88" customWidth="1"/>
    <col min="2307" max="2307" width="15" style="88" customWidth="1"/>
    <col min="2308" max="2308" width="39" style="88" customWidth="1"/>
    <col min="2309" max="2309" width="17.28515625" style="88" customWidth="1"/>
    <col min="2310" max="2310" width="14.5703125" style="88" customWidth="1"/>
    <col min="2311" max="2311" width="10.28515625" style="88" customWidth="1"/>
    <col min="2312" max="2312" width="15.28515625" style="88" customWidth="1"/>
    <col min="2313" max="2313" width="11.42578125" style="88" customWidth="1"/>
    <col min="2314" max="2314" width="10.7109375" style="88" customWidth="1"/>
    <col min="2315" max="2316" width="9.140625" style="88" customWidth="1"/>
    <col min="2317" max="2317" width="13.140625" style="88" customWidth="1"/>
    <col min="2318" max="2318" width="10.85546875" style="88" customWidth="1"/>
    <col min="2319" max="2319" width="17.42578125" style="88" customWidth="1"/>
    <col min="2320" max="2320" width="9.85546875" style="88" customWidth="1"/>
    <col min="2321" max="2321" width="10.140625" style="88" customWidth="1"/>
    <col min="2322" max="2322" width="30.5703125" style="88" customWidth="1"/>
    <col min="2323" max="2323" width="15" style="88" customWidth="1"/>
    <col min="2324" max="2324" width="15.85546875" style="88" customWidth="1"/>
    <col min="2325" max="2325" width="12.85546875" style="88" customWidth="1"/>
    <col min="2326" max="2326" width="9.5703125" style="88" customWidth="1"/>
    <col min="2327" max="2327" width="16.85546875" style="88" customWidth="1"/>
    <col min="2328" max="2328" width="15.7109375" style="88" customWidth="1"/>
    <col min="2329" max="2329" width="9.28515625" style="88" customWidth="1"/>
    <col min="2330" max="2330" width="11.42578125" style="88" customWidth="1"/>
    <col min="2331" max="2331" width="10.7109375" style="88" customWidth="1"/>
    <col min="2332" max="2332" width="28.140625" style="88" customWidth="1"/>
    <col min="2333" max="2333" width="11" style="88" customWidth="1"/>
    <col min="2334" max="2334" width="10.28515625" style="88" customWidth="1"/>
    <col min="2335" max="2335" width="9.5703125" style="88" customWidth="1"/>
    <col min="2336" max="2336" width="8.28515625" style="88" customWidth="1"/>
    <col min="2337" max="2337" width="7.85546875" style="88" customWidth="1"/>
    <col min="2338" max="2338" width="9.7109375" style="88" customWidth="1"/>
    <col min="2339" max="2339" width="7.85546875" style="88" customWidth="1"/>
    <col min="2340" max="2340" width="8.5703125" style="88" customWidth="1"/>
    <col min="2341" max="2341" width="9.28515625" style="88" customWidth="1"/>
    <col min="2342" max="2342" width="9.140625" style="88" customWidth="1"/>
    <col min="2343" max="2343" width="9" style="88" customWidth="1"/>
    <col min="2344" max="2344" width="8.28515625" style="88" customWidth="1"/>
    <col min="2345" max="2345" width="10" style="88" customWidth="1"/>
    <col min="2346" max="2346" width="10.28515625" style="88" customWidth="1"/>
    <col min="2347" max="2347" width="9" style="88" customWidth="1"/>
    <col min="2348" max="2349" width="9.140625" style="88" customWidth="1"/>
    <col min="2350" max="2350" width="10.28515625" style="88" customWidth="1"/>
    <col min="2351" max="2352" width="9.140625" style="88"/>
    <col min="2353" max="2353" width="10.140625" style="88" customWidth="1"/>
    <col min="2354" max="2355" width="10.7109375" style="88" customWidth="1"/>
    <col min="2356" max="2359" width="11" style="88" customWidth="1"/>
    <col min="2360" max="2360" width="19.5703125" style="88" customWidth="1"/>
    <col min="2361" max="2361" width="18.85546875" style="88" customWidth="1"/>
    <col min="2362" max="2365" width="11" style="88" customWidth="1"/>
    <col min="2366" max="2366" width="15.42578125" style="88" customWidth="1"/>
    <col min="2367" max="2560" width="9.140625" style="88"/>
    <col min="2561" max="2561" width="28.42578125" style="88" customWidth="1"/>
    <col min="2562" max="2562" width="12.42578125" style="88" customWidth="1"/>
    <col min="2563" max="2563" width="15" style="88" customWidth="1"/>
    <col min="2564" max="2564" width="39" style="88" customWidth="1"/>
    <col min="2565" max="2565" width="17.28515625" style="88" customWidth="1"/>
    <col min="2566" max="2566" width="14.5703125" style="88" customWidth="1"/>
    <col min="2567" max="2567" width="10.28515625" style="88" customWidth="1"/>
    <col min="2568" max="2568" width="15.28515625" style="88" customWidth="1"/>
    <col min="2569" max="2569" width="11.42578125" style="88" customWidth="1"/>
    <col min="2570" max="2570" width="10.7109375" style="88" customWidth="1"/>
    <col min="2571" max="2572" width="9.140625" style="88" customWidth="1"/>
    <col min="2573" max="2573" width="13.140625" style="88" customWidth="1"/>
    <col min="2574" max="2574" width="10.85546875" style="88" customWidth="1"/>
    <col min="2575" max="2575" width="17.42578125" style="88" customWidth="1"/>
    <col min="2576" max="2576" width="9.85546875" style="88" customWidth="1"/>
    <col min="2577" max="2577" width="10.140625" style="88" customWidth="1"/>
    <col min="2578" max="2578" width="30.5703125" style="88" customWidth="1"/>
    <col min="2579" max="2579" width="15" style="88" customWidth="1"/>
    <col min="2580" max="2580" width="15.85546875" style="88" customWidth="1"/>
    <col min="2581" max="2581" width="12.85546875" style="88" customWidth="1"/>
    <col min="2582" max="2582" width="9.5703125" style="88" customWidth="1"/>
    <col min="2583" max="2583" width="16.85546875" style="88" customWidth="1"/>
    <col min="2584" max="2584" width="15.7109375" style="88" customWidth="1"/>
    <col min="2585" max="2585" width="9.28515625" style="88" customWidth="1"/>
    <col min="2586" max="2586" width="11.42578125" style="88" customWidth="1"/>
    <col min="2587" max="2587" width="10.7109375" style="88" customWidth="1"/>
    <col min="2588" max="2588" width="28.140625" style="88" customWidth="1"/>
    <col min="2589" max="2589" width="11" style="88" customWidth="1"/>
    <col min="2590" max="2590" width="10.28515625" style="88" customWidth="1"/>
    <col min="2591" max="2591" width="9.5703125" style="88" customWidth="1"/>
    <col min="2592" max="2592" width="8.28515625" style="88" customWidth="1"/>
    <col min="2593" max="2593" width="7.85546875" style="88" customWidth="1"/>
    <col min="2594" max="2594" width="9.7109375" style="88" customWidth="1"/>
    <col min="2595" max="2595" width="7.85546875" style="88" customWidth="1"/>
    <col min="2596" max="2596" width="8.5703125" style="88" customWidth="1"/>
    <col min="2597" max="2597" width="9.28515625" style="88" customWidth="1"/>
    <col min="2598" max="2598" width="9.140625" style="88" customWidth="1"/>
    <col min="2599" max="2599" width="9" style="88" customWidth="1"/>
    <col min="2600" max="2600" width="8.28515625" style="88" customWidth="1"/>
    <col min="2601" max="2601" width="10" style="88" customWidth="1"/>
    <col min="2602" max="2602" width="10.28515625" style="88" customWidth="1"/>
    <col min="2603" max="2603" width="9" style="88" customWidth="1"/>
    <col min="2604" max="2605" width="9.140625" style="88" customWidth="1"/>
    <col min="2606" max="2606" width="10.28515625" style="88" customWidth="1"/>
    <col min="2607" max="2608" width="9.140625" style="88"/>
    <col min="2609" max="2609" width="10.140625" style="88" customWidth="1"/>
    <col min="2610" max="2611" width="10.7109375" style="88" customWidth="1"/>
    <col min="2612" max="2615" width="11" style="88" customWidth="1"/>
    <col min="2616" max="2616" width="19.5703125" style="88" customWidth="1"/>
    <col min="2617" max="2617" width="18.85546875" style="88" customWidth="1"/>
    <col min="2618" max="2621" width="11" style="88" customWidth="1"/>
    <col min="2622" max="2622" width="15.42578125" style="88" customWidth="1"/>
    <col min="2623" max="2816" width="9.140625" style="88"/>
    <col min="2817" max="2817" width="28.42578125" style="88" customWidth="1"/>
    <col min="2818" max="2818" width="12.42578125" style="88" customWidth="1"/>
    <col min="2819" max="2819" width="15" style="88" customWidth="1"/>
    <col min="2820" max="2820" width="39" style="88" customWidth="1"/>
    <col min="2821" max="2821" width="17.28515625" style="88" customWidth="1"/>
    <col min="2822" max="2822" width="14.5703125" style="88" customWidth="1"/>
    <col min="2823" max="2823" width="10.28515625" style="88" customWidth="1"/>
    <col min="2824" max="2824" width="15.28515625" style="88" customWidth="1"/>
    <col min="2825" max="2825" width="11.42578125" style="88" customWidth="1"/>
    <col min="2826" max="2826" width="10.7109375" style="88" customWidth="1"/>
    <col min="2827" max="2828" width="9.140625" style="88" customWidth="1"/>
    <col min="2829" max="2829" width="13.140625" style="88" customWidth="1"/>
    <col min="2830" max="2830" width="10.85546875" style="88" customWidth="1"/>
    <col min="2831" max="2831" width="17.42578125" style="88" customWidth="1"/>
    <col min="2832" max="2832" width="9.85546875" style="88" customWidth="1"/>
    <col min="2833" max="2833" width="10.140625" style="88" customWidth="1"/>
    <col min="2834" max="2834" width="30.5703125" style="88" customWidth="1"/>
    <col min="2835" max="2835" width="15" style="88" customWidth="1"/>
    <col min="2836" max="2836" width="15.85546875" style="88" customWidth="1"/>
    <col min="2837" max="2837" width="12.85546875" style="88" customWidth="1"/>
    <col min="2838" max="2838" width="9.5703125" style="88" customWidth="1"/>
    <col min="2839" max="2839" width="16.85546875" style="88" customWidth="1"/>
    <col min="2840" max="2840" width="15.7109375" style="88" customWidth="1"/>
    <col min="2841" max="2841" width="9.28515625" style="88" customWidth="1"/>
    <col min="2842" max="2842" width="11.42578125" style="88" customWidth="1"/>
    <col min="2843" max="2843" width="10.7109375" style="88" customWidth="1"/>
    <col min="2844" max="2844" width="28.140625" style="88" customWidth="1"/>
    <col min="2845" max="2845" width="11" style="88" customWidth="1"/>
    <col min="2846" max="2846" width="10.28515625" style="88" customWidth="1"/>
    <col min="2847" max="2847" width="9.5703125" style="88" customWidth="1"/>
    <col min="2848" max="2848" width="8.28515625" style="88" customWidth="1"/>
    <col min="2849" max="2849" width="7.85546875" style="88" customWidth="1"/>
    <col min="2850" max="2850" width="9.7109375" style="88" customWidth="1"/>
    <col min="2851" max="2851" width="7.85546875" style="88" customWidth="1"/>
    <col min="2852" max="2852" width="8.5703125" style="88" customWidth="1"/>
    <col min="2853" max="2853" width="9.28515625" style="88" customWidth="1"/>
    <col min="2854" max="2854" width="9.140625" style="88" customWidth="1"/>
    <col min="2855" max="2855" width="9" style="88" customWidth="1"/>
    <col min="2856" max="2856" width="8.28515625" style="88" customWidth="1"/>
    <col min="2857" max="2857" width="10" style="88" customWidth="1"/>
    <col min="2858" max="2858" width="10.28515625" style="88" customWidth="1"/>
    <col min="2859" max="2859" width="9" style="88" customWidth="1"/>
    <col min="2860" max="2861" width="9.140625" style="88" customWidth="1"/>
    <col min="2862" max="2862" width="10.28515625" style="88" customWidth="1"/>
    <col min="2863" max="2864" width="9.140625" style="88"/>
    <col min="2865" max="2865" width="10.140625" style="88" customWidth="1"/>
    <col min="2866" max="2867" width="10.7109375" style="88" customWidth="1"/>
    <col min="2868" max="2871" width="11" style="88" customWidth="1"/>
    <col min="2872" max="2872" width="19.5703125" style="88" customWidth="1"/>
    <col min="2873" max="2873" width="18.85546875" style="88" customWidth="1"/>
    <col min="2874" max="2877" width="11" style="88" customWidth="1"/>
    <col min="2878" max="2878" width="15.42578125" style="88" customWidth="1"/>
    <col min="2879" max="3072" width="9.140625" style="88"/>
    <col min="3073" max="3073" width="28.42578125" style="88" customWidth="1"/>
    <col min="3074" max="3074" width="12.42578125" style="88" customWidth="1"/>
    <col min="3075" max="3075" width="15" style="88" customWidth="1"/>
    <col min="3076" max="3076" width="39" style="88" customWidth="1"/>
    <col min="3077" max="3077" width="17.28515625" style="88" customWidth="1"/>
    <col min="3078" max="3078" width="14.5703125" style="88" customWidth="1"/>
    <col min="3079" max="3079" width="10.28515625" style="88" customWidth="1"/>
    <col min="3080" max="3080" width="15.28515625" style="88" customWidth="1"/>
    <col min="3081" max="3081" width="11.42578125" style="88" customWidth="1"/>
    <col min="3082" max="3082" width="10.7109375" style="88" customWidth="1"/>
    <col min="3083" max="3084" width="9.140625" style="88" customWidth="1"/>
    <col min="3085" max="3085" width="13.140625" style="88" customWidth="1"/>
    <col min="3086" max="3086" width="10.85546875" style="88" customWidth="1"/>
    <col min="3087" max="3087" width="17.42578125" style="88" customWidth="1"/>
    <col min="3088" max="3088" width="9.85546875" style="88" customWidth="1"/>
    <col min="3089" max="3089" width="10.140625" style="88" customWidth="1"/>
    <col min="3090" max="3090" width="30.5703125" style="88" customWidth="1"/>
    <col min="3091" max="3091" width="15" style="88" customWidth="1"/>
    <col min="3092" max="3092" width="15.85546875" style="88" customWidth="1"/>
    <col min="3093" max="3093" width="12.85546875" style="88" customWidth="1"/>
    <col min="3094" max="3094" width="9.5703125" style="88" customWidth="1"/>
    <col min="3095" max="3095" width="16.85546875" style="88" customWidth="1"/>
    <col min="3096" max="3096" width="15.7109375" style="88" customWidth="1"/>
    <col min="3097" max="3097" width="9.28515625" style="88" customWidth="1"/>
    <col min="3098" max="3098" width="11.42578125" style="88" customWidth="1"/>
    <col min="3099" max="3099" width="10.7109375" style="88" customWidth="1"/>
    <col min="3100" max="3100" width="28.140625" style="88" customWidth="1"/>
    <col min="3101" max="3101" width="11" style="88" customWidth="1"/>
    <col min="3102" max="3102" width="10.28515625" style="88" customWidth="1"/>
    <col min="3103" max="3103" width="9.5703125" style="88" customWidth="1"/>
    <col min="3104" max="3104" width="8.28515625" style="88" customWidth="1"/>
    <col min="3105" max="3105" width="7.85546875" style="88" customWidth="1"/>
    <col min="3106" max="3106" width="9.7109375" style="88" customWidth="1"/>
    <col min="3107" max="3107" width="7.85546875" style="88" customWidth="1"/>
    <col min="3108" max="3108" width="8.5703125" style="88" customWidth="1"/>
    <col min="3109" max="3109" width="9.28515625" style="88" customWidth="1"/>
    <col min="3110" max="3110" width="9.140625" style="88" customWidth="1"/>
    <col min="3111" max="3111" width="9" style="88" customWidth="1"/>
    <col min="3112" max="3112" width="8.28515625" style="88" customWidth="1"/>
    <col min="3113" max="3113" width="10" style="88" customWidth="1"/>
    <col min="3114" max="3114" width="10.28515625" style="88" customWidth="1"/>
    <col min="3115" max="3115" width="9" style="88" customWidth="1"/>
    <col min="3116" max="3117" width="9.140625" style="88" customWidth="1"/>
    <col min="3118" max="3118" width="10.28515625" style="88" customWidth="1"/>
    <col min="3119" max="3120" width="9.140625" style="88"/>
    <col min="3121" max="3121" width="10.140625" style="88" customWidth="1"/>
    <col min="3122" max="3123" width="10.7109375" style="88" customWidth="1"/>
    <col min="3124" max="3127" width="11" style="88" customWidth="1"/>
    <col min="3128" max="3128" width="19.5703125" style="88" customWidth="1"/>
    <col min="3129" max="3129" width="18.85546875" style="88" customWidth="1"/>
    <col min="3130" max="3133" width="11" style="88" customWidth="1"/>
    <col min="3134" max="3134" width="15.42578125" style="88" customWidth="1"/>
    <col min="3135" max="3328" width="9.140625" style="88"/>
    <col min="3329" max="3329" width="28.42578125" style="88" customWidth="1"/>
    <col min="3330" max="3330" width="12.42578125" style="88" customWidth="1"/>
    <col min="3331" max="3331" width="15" style="88" customWidth="1"/>
    <col min="3332" max="3332" width="39" style="88" customWidth="1"/>
    <col min="3333" max="3333" width="17.28515625" style="88" customWidth="1"/>
    <col min="3334" max="3334" width="14.5703125" style="88" customWidth="1"/>
    <col min="3335" max="3335" width="10.28515625" style="88" customWidth="1"/>
    <col min="3336" max="3336" width="15.28515625" style="88" customWidth="1"/>
    <col min="3337" max="3337" width="11.42578125" style="88" customWidth="1"/>
    <col min="3338" max="3338" width="10.7109375" style="88" customWidth="1"/>
    <col min="3339" max="3340" width="9.140625" style="88" customWidth="1"/>
    <col min="3341" max="3341" width="13.140625" style="88" customWidth="1"/>
    <col min="3342" max="3342" width="10.85546875" style="88" customWidth="1"/>
    <col min="3343" max="3343" width="17.42578125" style="88" customWidth="1"/>
    <col min="3344" max="3344" width="9.85546875" style="88" customWidth="1"/>
    <col min="3345" max="3345" width="10.140625" style="88" customWidth="1"/>
    <col min="3346" max="3346" width="30.5703125" style="88" customWidth="1"/>
    <col min="3347" max="3347" width="15" style="88" customWidth="1"/>
    <col min="3348" max="3348" width="15.85546875" style="88" customWidth="1"/>
    <col min="3349" max="3349" width="12.85546875" style="88" customWidth="1"/>
    <col min="3350" max="3350" width="9.5703125" style="88" customWidth="1"/>
    <col min="3351" max="3351" width="16.85546875" style="88" customWidth="1"/>
    <col min="3352" max="3352" width="15.7109375" style="88" customWidth="1"/>
    <col min="3353" max="3353" width="9.28515625" style="88" customWidth="1"/>
    <col min="3354" max="3354" width="11.42578125" style="88" customWidth="1"/>
    <col min="3355" max="3355" width="10.7109375" style="88" customWidth="1"/>
    <col min="3356" max="3356" width="28.140625" style="88" customWidth="1"/>
    <col min="3357" max="3357" width="11" style="88" customWidth="1"/>
    <col min="3358" max="3358" width="10.28515625" style="88" customWidth="1"/>
    <col min="3359" max="3359" width="9.5703125" style="88" customWidth="1"/>
    <col min="3360" max="3360" width="8.28515625" style="88" customWidth="1"/>
    <col min="3361" max="3361" width="7.85546875" style="88" customWidth="1"/>
    <col min="3362" max="3362" width="9.7109375" style="88" customWidth="1"/>
    <col min="3363" max="3363" width="7.85546875" style="88" customWidth="1"/>
    <col min="3364" max="3364" width="8.5703125" style="88" customWidth="1"/>
    <col min="3365" max="3365" width="9.28515625" style="88" customWidth="1"/>
    <col min="3366" max="3366" width="9.140625" style="88" customWidth="1"/>
    <col min="3367" max="3367" width="9" style="88" customWidth="1"/>
    <col min="3368" max="3368" width="8.28515625" style="88" customWidth="1"/>
    <col min="3369" max="3369" width="10" style="88" customWidth="1"/>
    <col min="3370" max="3370" width="10.28515625" style="88" customWidth="1"/>
    <col min="3371" max="3371" width="9" style="88" customWidth="1"/>
    <col min="3372" max="3373" width="9.140625" style="88" customWidth="1"/>
    <col min="3374" max="3374" width="10.28515625" style="88" customWidth="1"/>
    <col min="3375" max="3376" width="9.140625" style="88"/>
    <col min="3377" max="3377" width="10.140625" style="88" customWidth="1"/>
    <col min="3378" max="3379" width="10.7109375" style="88" customWidth="1"/>
    <col min="3380" max="3383" width="11" style="88" customWidth="1"/>
    <col min="3384" max="3384" width="19.5703125" style="88" customWidth="1"/>
    <col min="3385" max="3385" width="18.85546875" style="88" customWidth="1"/>
    <col min="3386" max="3389" width="11" style="88" customWidth="1"/>
    <col min="3390" max="3390" width="15.42578125" style="88" customWidth="1"/>
    <col min="3391" max="3584" width="9.140625" style="88"/>
    <col min="3585" max="3585" width="28.42578125" style="88" customWidth="1"/>
    <col min="3586" max="3586" width="12.42578125" style="88" customWidth="1"/>
    <col min="3587" max="3587" width="15" style="88" customWidth="1"/>
    <col min="3588" max="3588" width="39" style="88" customWidth="1"/>
    <col min="3589" max="3589" width="17.28515625" style="88" customWidth="1"/>
    <col min="3590" max="3590" width="14.5703125" style="88" customWidth="1"/>
    <col min="3591" max="3591" width="10.28515625" style="88" customWidth="1"/>
    <col min="3592" max="3592" width="15.28515625" style="88" customWidth="1"/>
    <col min="3593" max="3593" width="11.42578125" style="88" customWidth="1"/>
    <col min="3594" max="3594" width="10.7109375" style="88" customWidth="1"/>
    <col min="3595" max="3596" width="9.140625" style="88" customWidth="1"/>
    <col min="3597" max="3597" width="13.140625" style="88" customWidth="1"/>
    <col min="3598" max="3598" width="10.85546875" style="88" customWidth="1"/>
    <col min="3599" max="3599" width="17.42578125" style="88" customWidth="1"/>
    <col min="3600" max="3600" width="9.85546875" style="88" customWidth="1"/>
    <col min="3601" max="3601" width="10.140625" style="88" customWidth="1"/>
    <col min="3602" max="3602" width="30.5703125" style="88" customWidth="1"/>
    <col min="3603" max="3603" width="15" style="88" customWidth="1"/>
    <col min="3604" max="3604" width="15.85546875" style="88" customWidth="1"/>
    <col min="3605" max="3605" width="12.85546875" style="88" customWidth="1"/>
    <col min="3606" max="3606" width="9.5703125" style="88" customWidth="1"/>
    <col min="3607" max="3607" width="16.85546875" style="88" customWidth="1"/>
    <col min="3608" max="3608" width="15.7109375" style="88" customWidth="1"/>
    <col min="3609" max="3609" width="9.28515625" style="88" customWidth="1"/>
    <col min="3610" max="3610" width="11.42578125" style="88" customWidth="1"/>
    <col min="3611" max="3611" width="10.7109375" style="88" customWidth="1"/>
    <col min="3612" max="3612" width="28.140625" style="88" customWidth="1"/>
    <col min="3613" max="3613" width="11" style="88" customWidth="1"/>
    <col min="3614" max="3614" width="10.28515625" style="88" customWidth="1"/>
    <col min="3615" max="3615" width="9.5703125" style="88" customWidth="1"/>
    <col min="3616" max="3616" width="8.28515625" style="88" customWidth="1"/>
    <col min="3617" max="3617" width="7.85546875" style="88" customWidth="1"/>
    <col min="3618" max="3618" width="9.7109375" style="88" customWidth="1"/>
    <col min="3619" max="3619" width="7.85546875" style="88" customWidth="1"/>
    <col min="3620" max="3620" width="8.5703125" style="88" customWidth="1"/>
    <col min="3621" max="3621" width="9.28515625" style="88" customWidth="1"/>
    <col min="3622" max="3622" width="9.140625" style="88" customWidth="1"/>
    <col min="3623" max="3623" width="9" style="88" customWidth="1"/>
    <col min="3624" max="3624" width="8.28515625" style="88" customWidth="1"/>
    <col min="3625" max="3625" width="10" style="88" customWidth="1"/>
    <col min="3626" max="3626" width="10.28515625" style="88" customWidth="1"/>
    <col min="3627" max="3627" width="9" style="88" customWidth="1"/>
    <col min="3628" max="3629" width="9.140625" style="88" customWidth="1"/>
    <col min="3630" max="3630" width="10.28515625" style="88" customWidth="1"/>
    <col min="3631" max="3632" width="9.140625" style="88"/>
    <col min="3633" max="3633" width="10.140625" style="88" customWidth="1"/>
    <col min="3634" max="3635" width="10.7109375" style="88" customWidth="1"/>
    <col min="3636" max="3639" width="11" style="88" customWidth="1"/>
    <col min="3640" max="3640" width="19.5703125" style="88" customWidth="1"/>
    <col min="3641" max="3641" width="18.85546875" style="88" customWidth="1"/>
    <col min="3642" max="3645" width="11" style="88" customWidth="1"/>
    <col min="3646" max="3646" width="15.42578125" style="88" customWidth="1"/>
    <col min="3647" max="3840" width="9.140625" style="88"/>
    <col min="3841" max="3841" width="28.42578125" style="88" customWidth="1"/>
    <col min="3842" max="3842" width="12.42578125" style="88" customWidth="1"/>
    <col min="3843" max="3843" width="15" style="88" customWidth="1"/>
    <col min="3844" max="3844" width="39" style="88" customWidth="1"/>
    <col min="3845" max="3845" width="17.28515625" style="88" customWidth="1"/>
    <col min="3846" max="3846" width="14.5703125" style="88" customWidth="1"/>
    <col min="3847" max="3847" width="10.28515625" style="88" customWidth="1"/>
    <col min="3848" max="3848" width="15.28515625" style="88" customWidth="1"/>
    <col min="3849" max="3849" width="11.42578125" style="88" customWidth="1"/>
    <col min="3850" max="3850" width="10.7109375" style="88" customWidth="1"/>
    <col min="3851" max="3852" width="9.140625" style="88" customWidth="1"/>
    <col min="3853" max="3853" width="13.140625" style="88" customWidth="1"/>
    <col min="3854" max="3854" width="10.85546875" style="88" customWidth="1"/>
    <col min="3855" max="3855" width="17.42578125" style="88" customWidth="1"/>
    <col min="3856" max="3856" width="9.85546875" style="88" customWidth="1"/>
    <col min="3857" max="3857" width="10.140625" style="88" customWidth="1"/>
    <col min="3858" max="3858" width="30.5703125" style="88" customWidth="1"/>
    <col min="3859" max="3859" width="15" style="88" customWidth="1"/>
    <col min="3860" max="3860" width="15.85546875" style="88" customWidth="1"/>
    <col min="3861" max="3861" width="12.85546875" style="88" customWidth="1"/>
    <col min="3862" max="3862" width="9.5703125" style="88" customWidth="1"/>
    <col min="3863" max="3863" width="16.85546875" style="88" customWidth="1"/>
    <col min="3864" max="3864" width="15.7109375" style="88" customWidth="1"/>
    <col min="3865" max="3865" width="9.28515625" style="88" customWidth="1"/>
    <col min="3866" max="3866" width="11.42578125" style="88" customWidth="1"/>
    <col min="3867" max="3867" width="10.7109375" style="88" customWidth="1"/>
    <col min="3868" max="3868" width="28.140625" style="88" customWidth="1"/>
    <col min="3869" max="3869" width="11" style="88" customWidth="1"/>
    <col min="3870" max="3870" width="10.28515625" style="88" customWidth="1"/>
    <col min="3871" max="3871" width="9.5703125" style="88" customWidth="1"/>
    <col min="3872" max="3872" width="8.28515625" style="88" customWidth="1"/>
    <col min="3873" max="3873" width="7.85546875" style="88" customWidth="1"/>
    <col min="3874" max="3874" width="9.7109375" style="88" customWidth="1"/>
    <col min="3875" max="3875" width="7.85546875" style="88" customWidth="1"/>
    <col min="3876" max="3876" width="8.5703125" style="88" customWidth="1"/>
    <col min="3877" max="3877" width="9.28515625" style="88" customWidth="1"/>
    <col min="3878" max="3878" width="9.140625" style="88" customWidth="1"/>
    <col min="3879" max="3879" width="9" style="88" customWidth="1"/>
    <col min="3880" max="3880" width="8.28515625" style="88" customWidth="1"/>
    <col min="3881" max="3881" width="10" style="88" customWidth="1"/>
    <col min="3882" max="3882" width="10.28515625" style="88" customWidth="1"/>
    <col min="3883" max="3883" width="9" style="88" customWidth="1"/>
    <col min="3884" max="3885" width="9.140625" style="88" customWidth="1"/>
    <col min="3886" max="3886" width="10.28515625" style="88" customWidth="1"/>
    <col min="3887" max="3888" width="9.140625" style="88"/>
    <col min="3889" max="3889" width="10.140625" style="88" customWidth="1"/>
    <col min="3890" max="3891" width="10.7109375" style="88" customWidth="1"/>
    <col min="3892" max="3895" width="11" style="88" customWidth="1"/>
    <col min="3896" max="3896" width="19.5703125" style="88" customWidth="1"/>
    <col min="3897" max="3897" width="18.85546875" style="88" customWidth="1"/>
    <col min="3898" max="3901" width="11" style="88" customWidth="1"/>
    <col min="3902" max="3902" width="15.42578125" style="88" customWidth="1"/>
    <col min="3903" max="4096" width="9.140625" style="88"/>
    <col min="4097" max="4097" width="28.42578125" style="88" customWidth="1"/>
    <col min="4098" max="4098" width="12.42578125" style="88" customWidth="1"/>
    <col min="4099" max="4099" width="15" style="88" customWidth="1"/>
    <col min="4100" max="4100" width="39" style="88" customWidth="1"/>
    <col min="4101" max="4101" width="17.28515625" style="88" customWidth="1"/>
    <col min="4102" max="4102" width="14.5703125" style="88" customWidth="1"/>
    <col min="4103" max="4103" width="10.28515625" style="88" customWidth="1"/>
    <col min="4104" max="4104" width="15.28515625" style="88" customWidth="1"/>
    <col min="4105" max="4105" width="11.42578125" style="88" customWidth="1"/>
    <col min="4106" max="4106" width="10.7109375" style="88" customWidth="1"/>
    <col min="4107" max="4108" width="9.140625" style="88" customWidth="1"/>
    <col min="4109" max="4109" width="13.140625" style="88" customWidth="1"/>
    <col min="4110" max="4110" width="10.85546875" style="88" customWidth="1"/>
    <col min="4111" max="4111" width="17.42578125" style="88" customWidth="1"/>
    <col min="4112" max="4112" width="9.85546875" style="88" customWidth="1"/>
    <col min="4113" max="4113" width="10.140625" style="88" customWidth="1"/>
    <col min="4114" max="4114" width="30.5703125" style="88" customWidth="1"/>
    <col min="4115" max="4115" width="15" style="88" customWidth="1"/>
    <col min="4116" max="4116" width="15.85546875" style="88" customWidth="1"/>
    <col min="4117" max="4117" width="12.85546875" style="88" customWidth="1"/>
    <col min="4118" max="4118" width="9.5703125" style="88" customWidth="1"/>
    <col min="4119" max="4119" width="16.85546875" style="88" customWidth="1"/>
    <col min="4120" max="4120" width="15.7109375" style="88" customWidth="1"/>
    <col min="4121" max="4121" width="9.28515625" style="88" customWidth="1"/>
    <col min="4122" max="4122" width="11.42578125" style="88" customWidth="1"/>
    <col min="4123" max="4123" width="10.7109375" style="88" customWidth="1"/>
    <col min="4124" max="4124" width="28.140625" style="88" customWidth="1"/>
    <col min="4125" max="4125" width="11" style="88" customWidth="1"/>
    <col min="4126" max="4126" width="10.28515625" style="88" customWidth="1"/>
    <col min="4127" max="4127" width="9.5703125" style="88" customWidth="1"/>
    <col min="4128" max="4128" width="8.28515625" style="88" customWidth="1"/>
    <col min="4129" max="4129" width="7.85546875" style="88" customWidth="1"/>
    <col min="4130" max="4130" width="9.7109375" style="88" customWidth="1"/>
    <col min="4131" max="4131" width="7.85546875" style="88" customWidth="1"/>
    <col min="4132" max="4132" width="8.5703125" style="88" customWidth="1"/>
    <col min="4133" max="4133" width="9.28515625" style="88" customWidth="1"/>
    <col min="4134" max="4134" width="9.140625" style="88" customWidth="1"/>
    <col min="4135" max="4135" width="9" style="88" customWidth="1"/>
    <col min="4136" max="4136" width="8.28515625" style="88" customWidth="1"/>
    <col min="4137" max="4137" width="10" style="88" customWidth="1"/>
    <col min="4138" max="4138" width="10.28515625" style="88" customWidth="1"/>
    <col min="4139" max="4139" width="9" style="88" customWidth="1"/>
    <col min="4140" max="4141" width="9.140625" style="88" customWidth="1"/>
    <col min="4142" max="4142" width="10.28515625" style="88" customWidth="1"/>
    <col min="4143" max="4144" width="9.140625" style="88"/>
    <col min="4145" max="4145" width="10.140625" style="88" customWidth="1"/>
    <col min="4146" max="4147" width="10.7109375" style="88" customWidth="1"/>
    <col min="4148" max="4151" width="11" style="88" customWidth="1"/>
    <col min="4152" max="4152" width="19.5703125" style="88" customWidth="1"/>
    <col min="4153" max="4153" width="18.85546875" style="88" customWidth="1"/>
    <col min="4154" max="4157" width="11" style="88" customWidth="1"/>
    <col min="4158" max="4158" width="15.42578125" style="88" customWidth="1"/>
    <col min="4159" max="4352" width="9.140625" style="88"/>
    <col min="4353" max="4353" width="28.42578125" style="88" customWidth="1"/>
    <col min="4354" max="4354" width="12.42578125" style="88" customWidth="1"/>
    <col min="4355" max="4355" width="15" style="88" customWidth="1"/>
    <col min="4356" max="4356" width="39" style="88" customWidth="1"/>
    <col min="4357" max="4357" width="17.28515625" style="88" customWidth="1"/>
    <col min="4358" max="4358" width="14.5703125" style="88" customWidth="1"/>
    <col min="4359" max="4359" width="10.28515625" style="88" customWidth="1"/>
    <col min="4360" max="4360" width="15.28515625" style="88" customWidth="1"/>
    <col min="4361" max="4361" width="11.42578125" style="88" customWidth="1"/>
    <col min="4362" max="4362" width="10.7109375" style="88" customWidth="1"/>
    <col min="4363" max="4364" width="9.140625" style="88" customWidth="1"/>
    <col min="4365" max="4365" width="13.140625" style="88" customWidth="1"/>
    <col min="4366" max="4366" width="10.85546875" style="88" customWidth="1"/>
    <col min="4367" max="4367" width="17.42578125" style="88" customWidth="1"/>
    <col min="4368" max="4368" width="9.85546875" style="88" customWidth="1"/>
    <col min="4369" max="4369" width="10.140625" style="88" customWidth="1"/>
    <col min="4370" max="4370" width="30.5703125" style="88" customWidth="1"/>
    <col min="4371" max="4371" width="15" style="88" customWidth="1"/>
    <col min="4372" max="4372" width="15.85546875" style="88" customWidth="1"/>
    <col min="4373" max="4373" width="12.85546875" style="88" customWidth="1"/>
    <col min="4374" max="4374" width="9.5703125" style="88" customWidth="1"/>
    <col min="4375" max="4375" width="16.85546875" style="88" customWidth="1"/>
    <col min="4376" max="4376" width="15.7109375" style="88" customWidth="1"/>
    <col min="4377" max="4377" width="9.28515625" style="88" customWidth="1"/>
    <col min="4378" max="4378" width="11.42578125" style="88" customWidth="1"/>
    <col min="4379" max="4379" width="10.7109375" style="88" customWidth="1"/>
    <col min="4380" max="4380" width="28.140625" style="88" customWidth="1"/>
    <col min="4381" max="4381" width="11" style="88" customWidth="1"/>
    <col min="4382" max="4382" width="10.28515625" style="88" customWidth="1"/>
    <col min="4383" max="4383" width="9.5703125" style="88" customWidth="1"/>
    <col min="4384" max="4384" width="8.28515625" style="88" customWidth="1"/>
    <col min="4385" max="4385" width="7.85546875" style="88" customWidth="1"/>
    <col min="4386" max="4386" width="9.7109375" style="88" customWidth="1"/>
    <col min="4387" max="4387" width="7.85546875" style="88" customWidth="1"/>
    <col min="4388" max="4388" width="8.5703125" style="88" customWidth="1"/>
    <col min="4389" max="4389" width="9.28515625" style="88" customWidth="1"/>
    <col min="4390" max="4390" width="9.140625" style="88" customWidth="1"/>
    <col min="4391" max="4391" width="9" style="88" customWidth="1"/>
    <col min="4392" max="4392" width="8.28515625" style="88" customWidth="1"/>
    <col min="4393" max="4393" width="10" style="88" customWidth="1"/>
    <col min="4394" max="4394" width="10.28515625" style="88" customWidth="1"/>
    <col min="4395" max="4395" width="9" style="88" customWidth="1"/>
    <col min="4396" max="4397" width="9.140625" style="88" customWidth="1"/>
    <col min="4398" max="4398" width="10.28515625" style="88" customWidth="1"/>
    <col min="4399" max="4400" width="9.140625" style="88"/>
    <col min="4401" max="4401" width="10.140625" style="88" customWidth="1"/>
    <col min="4402" max="4403" width="10.7109375" style="88" customWidth="1"/>
    <col min="4404" max="4407" width="11" style="88" customWidth="1"/>
    <col min="4408" max="4408" width="19.5703125" style="88" customWidth="1"/>
    <col min="4409" max="4409" width="18.85546875" style="88" customWidth="1"/>
    <col min="4410" max="4413" width="11" style="88" customWidth="1"/>
    <col min="4414" max="4414" width="15.42578125" style="88" customWidth="1"/>
    <col min="4415" max="4608" width="9.140625" style="88"/>
    <col min="4609" max="4609" width="28.42578125" style="88" customWidth="1"/>
    <col min="4610" max="4610" width="12.42578125" style="88" customWidth="1"/>
    <col min="4611" max="4611" width="15" style="88" customWidth="1"/>
    <col min="4612" max="4612" width="39" style="88" customWidth="1"/>
    <col min="4613" max="4613" width="17.28515625" style="88" customWidth="1"/>
    <col min="4614" max="4614" width="14.5703125" style="88" customWidth="1"/>
    <col min="4615" max="4615" width="10.28515625" style="88" customWidth="1"/>
    <col min="4616" max="4616" width="15.28515625" style="88" customWidth="1"/>
    <col min="4617" max="4617" width="11.42578125" style="88" customWidth="1"/>
    <col min="4618" max="4618" width="10.7109375" style="88" customWidth="1"/>
    <col min="4619" max="4620" width="9.140625" style="88" customWidth="1"/>
    <col min="4621" max="4621" width="13.140625" style="88" customWidth="1"/>
    <col min="4622" max="4622" width="10.85546875" style="88" customWidth="1"/>
    <col min="4623" max="4623" width="17.42578125" style="88" customWidth="1"/>
    <col min="4624" max="4624" width="9.85546875" style="88" customWidth="1"/>
    <col min="4625" max="4625" width="10.140625" style="88" customWidth="1"/>
    <col min="4626" max="4626" width="30.5703125" style="88" customWidth="1"/>
    <col min="4627" max="4627" width="15" style="88" customWidth="1"/>
    <col min="4628" max="4628" width="15.85546875" style="88" customWidth="1"/>
    <col min="4629" max="4629" width="12.85546875" style="88" customWidth="1"/>
    <col min="4630" max="4630" width="9.5703125" style="88" customWidth="1"/>
    <col min="4631" max="4631" width="16.85546875" style="88" customWidth="1"/>
    <col min="4632" max="4632" width="15.7109375" style="88" customWidth="1"/>
    <col min="4633" max="4633" width="9.28515625" style="88" customWidth="1"/>
    <col min="4634" max="4634" width="11.42578125" style="88" customWidth="1"/>
    <col min="4635" max="4635" width="10.7109375" style="88" customWidth="1"/>
    <col min="4636" max="4636" width="28.140625" style="88" customWidth="1"/>
    <col min="4637" max="4637" width="11" style="88" customWidth="1"/>
    <col min="4638" max="4638" width="10.28515625" style="88" customWidth="1"/>
    <col min="4639" max="4639" width="9.5703125" style="88" customWidth="1"/>
    <col min="4640" max="4640" width="8.28515625" style="88" customWidth="1"/>
    <col min="4641" max="4641" width="7.85546875" style="88" customWidth="1"/>
    <col min="4642" max="4642" width="9.7109375" style="88" customWidth="1"/>
    <col min="4643" max="4643" width="7.85546875" style="88" customWidth="1"/>
    <col min="4644" max="4644" width="8.5703125" style="88" customWidth="1"/>
    <col min="4645" max="4645" width="9.28515625" style="88" customWidth="1"/>
    <col min="4646" max="4646" width="9.140625" style="88" customWidth="1"/>
    <col min="4647" max="4647" width="9" style="88" customWidth="1"/>
    <col min="4648" max="4648" width="8.28515625" style="88" customWidth="1"/>
    <col min="4649" max="4649" width="10" style="88" customWidth="1"/>
    <col min="4650" max="4650" width="10.28515625" style="88" customWidth="1"/>
    <col min="4651" max="4651" width="9" style="88" customWidth="1"/>
    <col min="4652" max="4653" width="9.140625" style="88" customWidth="1"/>
    <col min="4654" max="4654" width="10.28515625" style="88" customWidth="1"/>
    <col min="4655" max="4656" width="9.140625" style="88"/>
    <col min="4657" max="4657" width="10.140625" style="88" customWidth="1"/>
    <col min="4658" max="4659" width="10.7109375" style="88" customWidth="1"/>
    <col min="4660" max="4663" width="11" style="88" customWidth="1"/>
    <col min="4664" max="4664" width="19.5703125" style="88" customWidth="1"/>
    <col min="4665" max="4665" width="18.85546875" style="88" customWidth="1"/>
    <col min="4666" max="4669" width="11" style="88" customWidth="1"/>
    <col min="4670" max="4670" width="15.42578125" style="88" customWidth="1"/>
    <col min="4671" max="4864" width="9.140625" style="88"/>
    <col min="4865" max="4865" width="28.42578125" style="88" customWidth="1"/>
    <col min="4866" max="4866" width="12.42578125" style="88" customWidth="1"/>
    <col min="4867" max="4867" width="15" style="88" customWidth="1"/>
    <col min="4868" max="4868" width="39" style="88" customWidth="1"/>
    <col min="4869" max="4869" width="17.28515625" style="88" customWidth="1"/>
    <col min="4870" max="4870" width="14.5703125" style="88" customWidth="1"/>
    <col min="4871" max="4871" width="10.28515625" style="88" customWidth="1"/>
    <col min="4872" max="4872" width="15.28515625" style="88" customWidth="1"/>
    <col min="4873" max="4873" width="11.42578125" style="88" customWidth="1"/>
    <col min="4874" max="4874" width="10.7109375" style="88" customWidth="1"/>
    <col min="4875" max="4876" width="9.140625" style="88" customWidth="1"/>
    <col min="4877" max="4877" width="13.140625" style="88" customWidth="1"/>
    <col min="4878" max="4878" width="10.85546875" style="88" customWidth="1"/>
    <col min="4879" max="4879" width="17.42578125" style="88" customWidth="1"/>
    <col min="4880" max="4880" width="9.85546875" style="88" customWidth="1"/>
    <col min="4881" max="4881" width="10.140625" style="88" customWidth="1"/>
    <col min="4882" max="4882" width="30.5703125" style="88" customWidth="1"/>
    <col min="4883" max="4883" width="15" style="88" customWidth="1"/>
    <col min="4884" max="4884" width="15.85546875" style="88" customWidth="1"/>
    <col min="4885" max="4885" width="12.85546875" style="88" customWidth="1"/>
    <col min="4886" max="4886" width="9.5703125" style="88" customWidth="1"/>
    <col min="4887" max="4887" width="16.85546875" style="88" customWidth="1"/>
    <col min="4888" max="4888" width="15.7109375" style="88" customWidth="1"/>
    <col min="4889" max="4889" width="9.28515625" style="88" customWidth="1"/>
    <col min="4890" max="4890" width="11.42578125" style="88" customWidth="1"/>
    <col min="4891" max="4891" width="10.7109375" style="88" customWidth="1"/>
    <col min="4892" max="4892" width="28.140625" style="88" customWidth="1"/>
    <col min="4893" max="4893" width="11" style="88" customWidth="1"/>
    <col min="4894" max="4894" width="10.28515625" style="88" customWidth="1"/>
    <col min="4895" max="4895" width="9.5703125" style="88" customWidth="1"/>
    <col min="4896" max="4896" width="8.28515625" style="88" customWidth="1"/>
    <col min="4897" max="4897" width="7.85546875" style="88" customWidth="1"/>
    <col min="4898" max="4898" width="9.7109375" style="88" customWidth="1"/>
    <col min="4899" max="4899" width="7.85546875" style="88" customWidth="1"/>
    <col min="4900" max="4900" width="8.5703125" style="88" customWidth="1"/>
    <col min="4901" max="4901" width="9.28515625" style="88" customWidth="1"/>
    <col min="4902" max="4902" width="9.140625" style="88" customWidth="1"/>
    <col min="4903" max="4903" width="9" style="88" customWidth="1"/>
    <col min="4904" max="4904" width="8.28515625" style="88" customWidth="1"/>
    <col min="4905" max="4905" width="10" style="88" customWidth="1"/>
    <col min="4906" max="4906" width="10.28515625" style="88" customWidth="1"/>
    <col min="4907" max="4907" width="9" style="88" customWidth="1"/>
    <col min="4908" max="4909" width="9.140625" style="88" customWidth="1"/>
    <col min="4910" max="4910" width="10.28515625" style="88" customWidth="1"/>
    <col min="4911" max="4912" width="9.140625" style="88"/>
    <col min="4913" max="4913" width="10.140625" style="88" customWidth="1"/>
    <col min="4914" max="4915" width="10.7109375" style="88" customWidth="1"/>
    <col min="4916" max="4919" width="11" style="88" customWidth="1"/>
    <col min="4920" max="4920" width="19.5703125" style="88" customWidth="1"/>
    <col min="4921" max="4921" width="18.85546875" style="88" customWidth="1"/>
    <col min="4922" max="4925" width="11" style="88" customWidth="1"/>
    <col min="4926" max="4926" width="15.42578125" style="88" customWidth="1"/>
    <col min="4927" max="5120" width="9.140625" style="88"/>
    <col min="5121" max="5121" width="28.42578125" style="88" customWidth="1"/>
    <col min="5122" max="5122" width="12.42578125" style="88" customWidth="1"/>
    <col min="5123" max="5123" width="15" style="88" customWidth="1"/>
    <col min="5124" max="5124" width="39" style="88" customWidth="1"/>
    <col min="5125" max="5125" width="17.28515625" style="88" customWidth="1"/>
    <col min="5126" max="5126" width="14.5703125" style="88" customWidth="1"/>
    <col min="5127" max="5127" width="10.28515625" style="88" customWidth="1"/>
    <col min="5128" max="5128" width="15.28515625" style="88" customWidth="1"/>
    <col min="5129" max="5129" width="11.42578125" style="88" customWidth="1"/>
    <col min="5130" max="5130" width="10.7109375" style="88" customWidth="1"/>
    <col min="5131" max="5132" width="9.140625" style="88" customWidth="1"/>
    <col min="5133" max="5133" width="13.140625" style="88" customWidth="1"/>
    <col min="5134" max="5134" width="10.85546875" style="88" customWidth="1"/>
    <col min="5135" max="5135" width="17.42578125" style="88" customWidth="1"/>
    <col min="5136" max="5136" width="9.85546875" style="88" customWidth="1"/>
    <col min="5137" max="5137" width="10.140625" style="88" customWidth="1"/>
    <col min="5138" max="5138" width="30.5703125" style="88" customWidth="1"/>
    <col min="5139" max="5139" width="15" style="88" customWidth="1"/>
    <col min="5140" max="5140" width="15.85546875" style="88" customWidth="1"/>
    <col min="5141" max="5141" width="12.85546875" style="88" customWidth="1"/>
    <col min="5142" max="5142" width="9.5703125" style="88" customWidth="1"/>
    <col min="5143" max="5143" width="16.85546875" style="88" customWidth="1"/>
    <col min="5144" max="5144" width="15.7109375" style="88" customWidth="1"/>
    <col min="5145" max="5145" width="9.28515625" style="88" customWidth="1"/>
    <col min="5146" max="5146" width="11.42578125" style="88" customWidth="1"/>
    <col min="5147" max="5147" width="10.7109375" style="88" customWidth="1"/>
    <col min="5148" max="5148" width="28.140625" style="88" customWidth="1"/>
    <col min="5149" max="5149" width="11" style="88" customWidth="1"/>
    <col min="5150" max="5150" width="10.28515625" style="88" customWidth="1"/>
    <col min="5151" max="5151" width="9.5703125" style="88" customWidth="1"/>
    <col min="5152" max="5152" width="8.28515625" style="88" customWidth="1"/>
    <col min="5153" max="5153" width="7.85546875" style="88" customWidth="1"/>
    <col min="5154" max="5154" width="9.7109375" style="88" customWidth="1"/>
    <col min="5155" max="5155" width="7.85546875" style="88" customWidth="1"/>
    <col min="5156" max="5156" width="8.5703125" style="88" customWidth="1"/>
    <col min="5157" max="5157" width="9.28515625" style="88" customWidth="1"/>
    <col min="5158" max="5158" width="9.140625" style="88" customWidth="1"/>
    <col min="5159" max="5159" width="9" style="88" customWidth="1"/>
    <col min="5160" max="5160" width="8.28515625" style="88" customWidth="1"/>
    <col min="5161" max="5161" width="10" style="88" customWidth="1"/>
    <col min="5162" max="5162" width="10.28515625" style="88" customWidth="1"/>
    <col min="5163" max="5163" width="9" style="88" customWidth="1"/>
    <col min="5164" max="5165" width="9.140625" style="88" customWidth="1"/>
    <col min="5166" max="5166" width="10.28515625" style="88" customWidth="1"/>
    <col min="5167" max="5168" width="9.140625" style="88"/>
    <col min="5169" max="5169" width="10.140625" style="88" customWidth="1"/>
    <col min="5170" max="5171" width="10.7109375" style="88" customWidth="1"/>
    <col min="5172" max="5175" width="11" style="88" customWidth="1"/>
    <col min="5176" max="5176" width="19.5703125" style="88" customWidth="1"/>
    <col min="5177" max="5177" width="18.85546875" style="88" customWidth="1"/>
    <col min="5178" max="5181" width="11" style="88" customWidth="1"/>
    <col min="5182" max="5182" width="15.42578125" style="88" customWidth="1"/>
    <col min="5183" max="5376" width="9.140625" style="88"/>
    <col min="5377" max="5377" width="28.42578125" style="88" customWidth="1"/>
    <col min="5378" max="5378" width="12.42578125" style="88" customWidth="1"/>
    <col min="5379" max="5379" width="15" style="88" customWidth="1"/>
    <col min="5380" max="5380" width="39" style="88" customWidth="1"/>
    <col min="5381" max="5381" width="17.28515625" style="88" customWidth="1"/>
    <col min="5382" max="5382" width="14.5703125" style="88" customWidth="1"/>
    <col min="5383" max="5383" width="10.28515625" style="88" customWidth="1"/>
    <col min="5384" max="5384" width="15.28515625" style="88" customWidth="1"/>
    <col min="5385" max="5385" width="11.42578125" style="88" customWidth="1"/>
    <col min="5386" max="5386" width="10.7109375" style="88" customWidth="1"/>
    <col min="5387" max="5388" width="9.140625" style="88" customWidth="1"/>
    <col min="5389" max="5389" width="13.140625" style="88" customWidth="1"/>
    <col min="5390" max="5390" width="10.85546875" style="88" customWidth="1"/>
    <col min="5391" max="5391" width="17.42578125" style="88" customWidth="1"/>
    <col min="5392" max="5392" width="9.85546875" style="88" customWidth="1"/>
    <col min="5393" max="5393" width="10.140625" style="88" customWidth="1"/>
    <col min="5394" max="5394" width="30.5703125" style="88" customWidth="1"/>
    <col min="5395" max="5395" width="15" style="88" customWidth="1"/>
    <col min="5396" max="5396" width="15.85546875" style="88" customWidth="1"/>
    <col min="5397" max="5397" width="12.85546875" style="88" customWidth="1"/>
    <col min="5398" max="5398" width="9.5703125" style="88" customWidth="1"/>
    <col min="5399" max="5399" width="16.85546875" style="88" customWidth="1"/>
    <col min="5400" max="5400" width="15.7109375" style="88" customWidth="1"/>
    <col min="5401" max="5401" width="9.28515625" style="88" customWidth="1"/>
    <col min="5402" max="5402" width="11.42578125" style="88" customWidth="1"/>
    <col min="5403" max="5403" width="10.7109375" style="88" customWidth="1"/>
    <col min="5404" max="5404" width="28.140625" style="88" customWidth="1"/>
    <col min="5405" max="5405" width="11" style="88" customWidth="1"/>
    <col min="5406" max="5406" width="10.28515625" style="88" customWidth="1"/>
    <col min="5407" max="5407" width="9.5703125" style="88" customWidth="1"/>
    <col min="5408" max="5408" width="8.28515625" style="88" customWidth="1"/>
    <col min="5409" max="5409" width="7.85546875" style="88" customWidth="1"/>
    <col min="5410" max="5410" width="9.7109375" style="88" customWidth="1"/>
    <col min="5411" max="5411" width="7.85546875" style="88" customWidth="1"/>
    <col min="5412" max="5412" width="8.5703125" style="88" customWidth="1"/>
    <col min="5413" max="5413" width="9.28515625" style="88" customWidth="1"/>
    <col min="5414" max="5414" width="9.140625" style="88" customWidth="1"/>
    <col min="5415" max="5415" width="9" style="88" customWidth="1"/>
    <col min="5416" max="5416" width="8.28515625" style="88" customWidth="1"/>
    <col min="5417" max="5417" width="10" style="88" customWidth="1"/>
    <col min="5418" max="5418" width="10.28515625" style="88" customWidth="1"/>
    <col min="5419" max="5419" width="9" style="88" customWidth="1"/>
    <col min="5420" max="5421" width="9.140625" style="88" customWidth="1"/>
    <col min="5422" max="5422" width="10.28515625" style="88" customWidth="1"/>
    <col min="5423" max="5424" width="9.140625" style="88"/>
    <col min="5425" max="5425" width="10.140625" style="88" customWidth="1"/>
    <col min="5426" max="5427" width="10.7109375" style="88" customWidth="1"/>
    <col min="5428" max="5431" width="11" style="88" customWidth="1"/>
    <col min="5432" max="5432" width="19.5703125" style="88" customWidth="1"/>
    <col min="5433" max="5433" width="18.85546875" style="88" customWidth="1"/>
    <col min="5434" max="5437" width="11" style="88" customWidth="1"/>
    <col min="5438" max="5438" width="15.42578125" style="88" customWidth="1"/>
    <col min="5439" max="5632" width="9.140625" style="88"/>
    <col min="5633" max="5633" width="28.42578125" style="88" customWidth="1"/>
    <col min="5634" max="5634" width="12.42578125" style="88" customWidth="1"/>
    <col min="5635" max="5635" width="15" style="88" customWidth="1"/>
    <col min="5636" max="5636" width="39" style="88" customWidth="1"/>
    <col min="5637" max="5637" width="17.28515625" style="88" customWidth="1"/>
    <col min="5638" max="5638" width="14.5703125" style="88" customWidth="1"/>
    <col min="5639" max="5639" width="10.28515625" style="88" customWidth="1"/>
    <col min="5640" max="5640" width="15.28515625" style="88" customWidth="1"/>
    <col min="5641" max="5641" width="11.42578125" style="88" customWidth="1"/>
    <col min="5642" max="5642" width="10.7109375" style="88" customWidth="1"/>
    <col min="5643" max="5644" width="9.140625" style="88" customWidth="1"/>
    <col min="5645" max="5645" width="13.140625" style="88" customWidth="1"/>
    <col min="5646" max="5646" width="10.85546875" style="88" customWidth="1"/>
    <col min="5647" max="5647" width="17.42578125" style="88" customWidth="1"/>
    <col min="5648" max="5648" width="9.85546875" style="88" customWidth="1"/>
    <col min="5649" max="5649" width="10.140625" style="88" customWidth="1"/>
    <col min="5650" max="5650" width="30.5703125" style="88" customWidth="1"/>
    <col min="5651" max="5651" width="15" style="88" customWidth="1"/>
    <col min="5652" max="5652" width="15.85546875" style="88" customWidth="1"/>
    <col min="5653" max="5653" width="12.85546875" style="88" customWidth="1"/>
    <col min="5654" max="5654" width="9.5703125" style="88" customWidth="1"/>
    <col min="5655" max="5655" width="16.85546875" style="88" customWidth="1"/>
    <col min="5656" max="5656" width="15.7109375" style="88" customWidth="1"/>
    <col min="5657" max="5657" width="9.28515625" style="88" customWidth="1"/>
    <col min="5658" max="5658" width="11.42578125" style="88" customWidth="1"/>
    <col min="5659" max="5659" width="10.7109375" style="88" customWidth="1"/>
    <col min="5660" max="5660" width="28.140625" style="88" customWidth="1"/>
    <col min="5661" max="5661" width="11" style="88" customWidth="1"/>
    <col min="5662" max="5662" width="10.28515625" style="88" customWidth="1"/>
    <col min="5663" max="5663" width="9.5703125" style="88" customWidth="1"/>
    <col min="5664" max="5664" width="8.28515625" style="88" customWidth="1"/>
    <col min="5665" max="5665" width="7.85546875" style="88" customWidth="1"/>
    <col min="5666" max="5666" width="9.7109375" style="88" customWidth="1"/>
    <col min="5667" max="5667" width="7.85546875" style="88" customWidth="1"/>
    <col min="5668" max="5668" width="8.5703125" style="88" customWidth="1"/>
    <col min="5669" max="5669" width="9.28515625" style="88" customWidth="1"/>
    <col min="5670" max="5670" width="9.140625" style="88" customWidth="1"/>
    <col min="5671" max="5671" width="9" style="88" customWidth="1"/>
    <col min="5672" max="5672" width="8.28515625" style="88" customWidth="1"/>
    <col min="5673" max="5673" width="10" style="88" customWidth="1"/>
    <col min="5674" max="5674" width="10.28515625" style="88" customWidth="1"/>
    <col min="5675" max="5675" width="9" style="88" customWidth="1"/>
    <col min="5676" max="5677" width="9.140625" style="88" customWidth="1"/>
    <col min="5678" max="5678" width="10.28515625" style="88" customWidth="1"/>
    <col min="5679" max="5680" width="9.140625" style="88"/>
    <col min="5681" max="5681" width="10.140625" style="88" customWidth="1"/>
    <col min="5682" max="5683" width="10.7109375" style="88" customWidth="1"/>
    <col min="5684" max="5687" width="11" style="88" customWidth="1"/>
    <col min="5688" max="5688" width="19.5703125" style="88" customWidth="1"/>
    <col min="5689" max="5689" width="18.85546875" style="88" customWidth="1"/>
    <col min="5690" max="5693" width="11" style="88" customWidth="1"/>
    <col min="5694" max="5694" width="15.42578125" style="88" customWidth="1"/>
    <col min="5695" max="5888" width="9.140625" style="88"/>
    <col min="5889" max="5889" width="28.42578125" style="88" customWidth="1"/>
    <col min="5890" max="5890" width="12.42578125" style="88" customWidth="1"/>
    <col min="5891" max="5891" width="15" style="88" customWidth="1"/>
    <col min="5892" max="5892" width="39" style="88" customWidth="1"/>
    <col min="5893" max="5893" width="17.28515625" style="88" customWidth="1"/>
    <col min="5894" max="5894" width="14.5703125" style="88" customWidth="1"/>
    <col min="5895" max="5895" width="10.28515625" style="88" customWidth="1"/>
    <col min="5896" max="5896" width="15.28515625" style="88" customWidth="1"/>
    <col min="5897" max="5897" width="11.42578125" style="88" customWidth="1"/>
    <col min="5898" max="5898" width="10.7109375" style="88" customWidth="1"/>
    <col min="5899" max="5900" width="9.140625" style="88" customWidth="1"/>
    <col min="5901" max="5901" width="13.140625" style="88" customWidth="1"/>
    <col min="5902" max="5902" width="10.85546875" style="88" customWidth="1"/>
    <col min="5903" max="5903" width="17.42578125" style="88" customWidth="1"/>
    <col min="5904" max="5904" width="9.85546875" style="88" customWidth="1"/>
    <col min="5905" max="5905" width="10.140625" style="88" customWidth="1"/>
    <col min="5906" max="5906" width="30.5703125" style="88" customWidth="1"/>
    <col min="5907" max="5907" width="15" style="88" customWidth="1"/>
    <col min="5908" max="5908" width="15.85546875" style="88" customWidth="1"/>
    <col min="5909" max="5909" width="12.85546875" style="88" customWidth="1"/>
    <col min="5910" max="5910" width="9.5703125" style="88" customWidth="1"/>
    <col min="5911" max="5911" width="16.85546875" style="88" customWidth="1"/>
    <col min="5912" max="5912" width="15.7109375" style="88" customWidth="1"/>
    <col min="5913" max="5913" width="9.28515625" style="88" customWidth="1"/>
    <col min="5914" max="5914" width="11.42578125" style="88" customWidth="1"/>
    <col min="5915" max="5915" width="10.7109375" style="88" customWidth="1"/>
    <col min="5916" max="5916" width="28.140625" style="88" customWidth="1"/>
    <col min="5917" max="5917" width="11" style="88" customWidth="1"/>
    <col min="5918" max="5918" width="10.28515625" style="88" customWidth="1"/>
    <col min="5919" max="5919" width="9.5703125" style="88" customWidth="1"/>
    <col min="5920" max="5920" width="8.28515625" style="88" customWidth="1"/>
    <col min="5921" max="5921" width="7.85546875" style="88" customWidth="1"/>
    <col min="5922" max="5922" width="9.7109375" style="88" customWidth="1"/>
    <col min="5923" max="5923" width="7.85546875" style="88" customWidth="1"/>
    <col min="5924" max="5924" width="8.5703125" style="88" customWidth="1"/>
    <col min="5925" max="5925" width="9.28515625" style="88" customWidth="1"/>
    <col min="5926" max="5926" width="9.140625" style="88" customWidth="1"/>
    <col min="5927" max="5927" width="9" style="88" customWidth="1"/>
    <col min="5928" max="5928" width="8.28515625" style="88" customWidth="1"/>
    <col min="5929" max="5929" width="10" style="88" customWidth="1"/>
    <col min="5930" max="5930" width="10.28515625" style="88" customWidth="1"/>
    <col min="5931" max="5931" width="9" style="88" customWidth="1"/>
    <col min="5932" max="5933" width="9.140625" style="88" customWidth="1"/>
    <col min="5934" max="5934" width="10.28515625" style="88" customWidth="1"/>
    <col min="5935" max="5936" width="9.140625" style="88"/>
    <col min="5937" max="5937" width="10.140625" style="88" customWidth="1"/>
    <col min="5938" max="5939" width="10.7109375" style="88" customWidth="1"/>
    <col min="5940" max="5943" width="11" style="88" customWidth="1"/>
    <col min="5944" max="5944" width="19.5703125" style="88" customWidth="1"/>
    <col min="5945" max="5945" width="18.85546875" style="88" customWidth="1"/>
    <col min="5946" max="5949" width="11" style="88" customWidth="1"/>
    <col min="5950" max="5950" width="15.42578125" style="88" customWidth="1"/>
    <col min="5951" max="6144" width="9.140625" style="88"/>
    <col min="6145" max="6145" width="28.42578125" style="88" customWidth="1"/>
    <col min="6146" max="6146" width="12.42578125" style="88" customWidth="1"/>
    <col min="6147" max="6147" width="15" style="88" customWidth="1"/>
    <col min="6148" max="6148" width="39" style="88" customWidth="1"/>
    <col min="6149" max="6149" width="17.28515625" style="88" customWidth="1"/>
    <col min="6150" max="6150" width="14.5703125" style="88" customWidth="1"/>
    <col min="6151" max="6151" width="10.28515625" style="88" customWidth="1"/>
    <col min="6152" max="6152" width="15.28515625" style="88" customWidth="1"/>
    <col min="6153" max="6153" width="11.42578125" style="88" customWidth="1"/>
    <col min="6154" max="6154" width="10.7109375" style="88" customWidth="1"/>
    <col min="6155" max="6156" width="9.140625" style="88" customWidth="1"/>
    <col min="6157" max="6157" width="13.140625" style="88" customWidth="1"/>
    <col min="6158" max="6158" width="10.85546875" style="88" customWidth="1"/>
    <col min="6159" max="6159" width="17.42578125" style="88" customWidth="1"/>
    <col min="6160" max="6160" width="9.85546875" style="88" customWidth="1"/>
    <col min="6161" max="6161" width="10.140625" style="88" customWidth="1"/>
    <col min="6162" max="6162" width="30.5703125" style="88" customWidth="1"/>
    <col min="6163" max="6163" width="15" style="88" customWidth="1"/>
    <col min="6164" max="6164" width="15.85546875" style="88" customWidth="1"/>
    <col min="6165" max="6165" width="12.85546875" style="88" customWidth="1"/>
    <col min="6166" max="6166" width="9.5703125" style="88" customWidth="1"/>
    <col min="6167" max="6167" width="16.85546875" style="88" customWidth="1"/>
    <col min="6168" max="6168" width="15.7109375" style="88" customWidth="1"/>
    <col min="6169" max="6169" width="9.28515625" style="88" customWidth="1"/>
    <col min="6170" max="6170" width="11.42578125" style="88" customWidth="1"/>
    <col min="6171" max="6171" width="10.7109375" style="88" customWidth="1"/>
    <col min="6172" max="6172" width="28.140625" style="88" customWidth="1"/>
    <col min="6173" max="6173" width="11" style="88" customWidth="1"/>
    <col min="6174" max="6174" width="10.28515625" style="88" customWidth="1"/>
    <col min="6175" max="6175" width="9.5703125" style="88" customWidth="1"/>
    <col min="6176" max="6176" width="8.28515625" style="88" customWidth="1"/>
    <col min="6177" max="6177" width="7.85546875" style="88" customWidth="1"/>
    <col min="6178" max="6178" width="9.7109375" style="88" customWidth="1"/>
    <col min="6179" max="6179" width="7.85546875" style="88" customWidth="1"/>
    <col min="6180" max="6180" width="8.5703125" style="88" customWidth="1"/>
    <col min="6181" max="6181" width="9.28515625" style="88" customWidth="1"/>
    <col min="6182" max="6182" width="9.140625" style="88" customWidth="1"/>
    <col min="6183" max="6183" width="9" style="88" customWidth="1"/>
    <col min="6184" max="6184" width="8.28515625" style="88" customWidth="1"/>
    <col min="6185" max="6185" width="10" style="88" customWidth="1"/>
    <col min="6186" max="6186" width="10.28515625" style="88" customWidth="1"/>
    <col min="6187" max="6187" width="9" style="88" customWidth="1"/>
    <col min="6188" max="6189" width="9.140625" style="88" customWidth="1"/>
    <col min="6190" max="6190" width="10.28515625" style="88" customWidth="1"/>
    <col min="6191" max="6192" width="9.140625" style="88"/>
    <col min="6193" max="6193" width="10.140625" style="88" customWidth="1"/>
    <col min="6194" max="6195" width="10.7109375" style="88" customWidth="1"/>
    <col min="6196" max="6199" width="11" style="88" customWidth="1"/>
    <col min="6200" max="6200" width="19.5703125" style="88" customWidth="1"/>
    <col min="6201" max="6201" width="18.85546875" style="88" customWidth="1"/>
    <col min="6202" max="6205" width="11" style="88" customWidth="1"/>
    <col min="6206" max="6206" width="15.42578125" style="88" customWidth="1"/>
    <col min="6207" max="6400" width="9.140625" style="88"/>
    <col min="6401" max="6401" width="28.42578125" style="88" customWidth="1"/>
    <col min="6402" max="6402" width="12.42578125" style="88" customWidth="1"/>
    <col min="6403" max="6403" width="15" style="88" customWidth="1"/>
    <col min="6404" max="6404" width="39" style="88" customWidth="1"/>
    <col min="6405" max="6405" width="17.28515625" style="88" customWidth="1"/>
    <col min="6406" max="6406" width="14.5703125" style="88" customWidth="1"/>
    <col min="6407" max="6407" width="10.28515625" style="88" customWidth="1"/>
    <col min="6408" max="6408" width="15.28515625" style="88" customWidth="1"/>
    <col min="6409" max="6409" width="11.42578125" style="88" customWidth="1"/>
    <col min="6410" max="6410" width="10.7109375" style="88" customWidth="1"/>
    <col min="6411" max="6412" width="9.140625" style="88" customWidth="1"/>
    <col min="6413" max="6413" width="13.140625" style="88" customWidth="1"/>
    <col min="6414" max="6414" width="10.85546875" style="88" customWidth="1"/>
    <col min="6415" max="6415" width="17.42578125" style="88" customWidth="1"/>
    <col min="6416" max="6416" width="9.85546875" style="88" customWidth="1"/>
    <col min="6417" max="6417" width="10.140625" style="88" customWidth="1"/>
    <col min="6418" max="6418" width="30.5703125" style="88" customWidth="1"/>
    <col min="6419" max="6419" width="15" style="88" customWidth="1"/>
    <col min="6420" max="6420" width="15.85546875" style="88" customWidth="1"/>
    <col min="6421" max="6421" width="12.85546875" style="88" customWidth="1"/>
    <col min="6422" max="6422" width="9.5703125" style="88" customWidth="1"/>
    <col min="6423" max="6423" width="16.85546875" style="88" customWidth="1"/>
    <col min="6424" max="6424" width="15.7109375" style="88" customWidth="1"/>
    <col min="6425" max="6425" width="9.28515625" style="88" customWidth="1"/>
    <col min="6426" max="6426" width="11.42578125" style="88" customWidth="1"/>
    <col min="6427" max="6427" width="10.7109375" style="88" customWidth="1"/>
    <col min="6428" max="6428" width="28.140625" style="88" customWidth="1"/>
    <col min="6429" max="6429" width="11" style="88" customWidth="1"/>
    <col min="6430" max="6430" width="10.28515625" style="88" customWidth="1"/>
    <col min="6431" max="6431" width="9.5703125" style="88" customWidth="1"/>
    <col min="6432" max="6432" width="8.28515625" style="88" customWidth="1"/>
    <col min="6433" max="6433" width="7.85546875" style="88" customWidth="1"/>
    <col min="6434" max="6434" width="9.7109375" style="88" customWidth="1"/>
    <col min="6435" max="6435" width="7.85546875" style="88" customWidth="1"/>
    <col min="6436" max="6436" width="8.5703125" style="88" customWidth="1"/>
    <col min="6437" max="6437" width="9.28515625" style="88" customWidth="1"/>
    <col min="6438" max="6438" width="9.140625" style="88" customWidth="1"/>
    <col min="6439" max="6439" width="9" style="88" customWidth="1"/>
    <col min="6440" max="6440" width="8.28515625" style="88" customWidth="1"/>
    <col min="6441" max="6441" width="10" style="88" customWidth="1"/>
    <col min="6442" max="6442" width="10.28515625" style="88" customWidth="1"/>
    <col min="6443" max="6443" width="9" style="88" customWidth="1"/>
    <col min="6444" max="6445" width="9.140625" style="88" customWidth="1"/>
    <col min="6446" max="6446" width="10.28515625" style="88" customWidth="1"/>
    <col min="6447" max="6448" width="9.140625" style="88"/>
    <col min="6449" max="6449" width="10.140625" style="88" customWidth="1"/>
    <col min="6450" max="6451" width="10.7109375" style="88" customWidth="1"/>
    <col min="6452" max="6455" width="11" style="88" customWidth="1"/>
    <col min="6456" max="6456" width="19.5703125" style="88" customWidth="1"/>
    <col min="6457" max="6457" width="18.85546875" style="88" customWidth="1"/>
    <col min="6458" max="6461" width="11" style="88" customWidth="1"/>
    <col min="6462" max="6462" width="15.42578125" style="88" customWidth="1"/>
    <col min="6463" max="6656" width="9.140625" style="88"/>
    <col min="6657" max="6657" width="28.42578125" style="88" customWidth="1"/>
    <col min="6658" max="6658" width="12.42578125" style="88" customWidth="1"/>
    <col min="6659" max="6659" width="15" style="88" customWidth="1"/>
    <col min="6660" max="6660" width="39" style="88" customWidth="1"/>
    <col min="6661" max="6661" width="17.28515625" style="88" customWidth="1"/>
    <col min="6662" max="6662" width="14.5703125" style="88" customWidth="1"/>
    <col min="6663" max="6663" width="10.28515625" style="88" customWidth="1"/>
    <col min="6664" max="6664" width="15.28515625" style="88" customWidth="1"/>
    <col min="6665" max="6665" width="11.42578125" style="88" customWidth="1"/>
    <col min="6666" max="6666" width="10.7109375" style="88" customWidth="1"/>
    <col min="6667" max="6668" width="9.140625" style="88" customWidth="1"/>
    <col min="6669" max="6669" width="13.140625" style="88" customWidth="1"/>
    <col min="6670" max="6670" width="10.85546875" style="88" customWidth="1"/>
    <col min="6671" max="6671" width="17.42578125" style="88" customWidth="1"/>
    <col min="6672" max="6672" width="9.85546875" style="88" customWidth="1"/>
    <col min="6673" max="6673" width="10.140625" style="88" customWidth="1"/>
    <col min="6674" max="6674" width="30.5703125" style="88" customWidth="1"/>
    <col min="6675" max="6675" width="15" style="88" customWidth="1"/>
    <col min="6676" max="6676" width="15.85546875" style="88" customWidth="1"/>
    <col min="6677" max="6677" width="12.85546875" style="88" customWidth="1"/>
    <col min="6678" max="6678" width="9.5703125" style="88" customWidth="1"/>
    <col min="6679" max="6679" width="16.85546875" style="88" customWidth="1"/>
    <col min="6680" max="6680" width="15.7109375" style="88" customWidth="1"/>
    <col min="6681" max="6681" width="9.28515625" style="88" customWidth="1"/>
    <col min="6682" max="6682" width="11.42578125" style="88" customWidth="1"/>
    <col min="6683" max="6683" width="10.7109375" style="88" customWidth="1"/>
    <col min="6684" max="6684" width="28.140625" style="88" customWidth="1"/>
    <col min="6685" max="6685" width="11" style="88" customWidth="1"/>
    <col min="6686" max="6686" width="10.28515625" style="88" customWidth="1"/>
    <col min="6687" max="6687" width="9.5703125" style="88" customWidth="1"/>
    <col min="6688" max="6688" width="8.28515625" style="88" customWidth="1"/>
    <col min="6689" max="6689" width="7.85546875" style="88" customWidth="1"/>
    <col min="6690" max="6690" width="9.7109375" style="88" customWidth="1"/>
    <col min="6691" max="6691" width="7.85546875" style="88" customWidth="1"/>
    <col min="6692" max="6692" width="8.5703125" style="88" customWidth="1"/>
    <col min="6693" max="6693" width="9.28515625" style="88" customWidth="1"/>
    <col min="6694" max="6694" width="9.140625" style="88" customWidth="1"/>
    <col min="6695" max="6695" width="9" style="88" customWidth="1"/>
    <col min="6696" max="6696" width="8.28515625" style="88" customWidth="1"/>
    <col min="6697" max="6697" width="10" style="88" customWidth="1"/>
    <col min="6698" max="6698" width="10.28515625" style="88" customWidth="1"/>
    <col min="6699" max="6699" width="9" style="88" customWidth="1"/>
    <col min="6700" max="6701" width="9.140625" style="88" customWidth="1"/>
    <col min="6702" max="6702" width="10.28515625" style="88" customWidth="1"/>
    <col min="6703" max="6704" width="9.140625" style="88"/>
    <col min="6705" max="6705" width="10.140625" style="88" customWidth="1"/>
    <col min="6706" max="6707" width="10.7109375" style="88" customWidth="1"/>
    <col min="6708" max="6711" width="11" style="88" customWidth="1"/>
    <col min="6712" max="6712" width="19.5703125" style="88" customWidth="1"/>
    <col min="6713" max="6713" width="18.85546875" style="88" customWidth="1"/>
    <col min="6714" max="6717" width="11" style="88" customWidth="1"/>
    <col min="6718" max="6718" width="15.42578125" style="88" customWidth="1"/>
    <col min="6719" max="6912" width="9.140625" style="88"/>
    <col min="6913" max="6913" width="28.42578125" style="88" customWidth="1"/>
    <col min="6914" max="6914" width="12.42578125" style="88" customWidth="1"/>
    <col min="6915" max="6915" width="15" style="88" customWidth="1"/>
    <col min="6916" max="6916" width="39" style="88" customWidth="1"/>
    <col min="6917" max="6917" width="17.28515625" style="88" customWidth="1"/>
    <col min="6918" max="6918" width="14.5703125" style="88" customWidth="1"/>
    <col min="6919" max="6919" width="10.28515625" style="88" customWidth="1"/>
    <col min="6920" max="6920" width="15.28515625" style="88" customWidth="1"/>
    <col min="6921" max="6921" width="11.42578125" style="88" customWidth="1"/>
    <col min="6922" max="6922" width="10.7109375" style="88" customWidth="1"/>
    <col min="6923" max="6924" width="9.140625" style="88" customWidth="1"/>
    <col min="6925" max="6925" width="13.140625" style="88" customWidth="1"/>
    <col min="6926" max="6926" width="10.85546875" style="88" customWidth="1"/>
    <col min="6927" max="6927" width="17.42578125" style="88" customWidth="1"/>
    <col min="6928" max="6928" width="9.85546875" style="88" customWidth="1"/>
    <col min="6929" max="6929" width="10.140625" style="88" customWidth="1"/>
    <col min="6930" max="6930" width="30.5703125" style="88" customWidth="1"/>
    <col min="6931" max="6931" width="15" style="88" customWidth="1"/>
    <col min="6932" max="6932" width="15.85546875" style="88" customWidth="1"/>
    <col min="6933" max="6933" width="12.85546875" style="88" customWidth="1"/>
    <col min="6934" max="6934" width="9.5703125" style="88" customWidth="1"/>
    <col min="6935" max="6935" width="16.85546875" style="88" customWidth="1"/>
    <col min="6936" max="6936" width="15.7109375" style="88" customWidth="1"/>
    <col min="6937" max="6937" width="9.28515625" style="88" customWidth="1"/>
    <col min="6938" max="6938" width="11.42578125" style="88" customWidth="1"/>
    <col min="6939" max="6939" width="10.7109375" style="88" customWidth="1"/>
    <col min="6940" max="6940" width="28.140625" style="88" customWidth="1"/>
    <col min="6941" max="6941" width="11" style="88" customWidth="1"/>
    <col min="6942" max="6942" width="10.28515625" style="88" customWidth="1"/>
    <col min="6943" max="6943" width="9.5703125" style="88" customWidth="1"/>
    <col min="6944" max="6944" width="8.28515625" style="88" customWidth="1"/>
    <col min="6945" max="6945" width="7.85546875" style="88" customWidth="1"/>
    <col min="6946" max="6946" width="9.7109375" style="88" customWidth="1"/>
    <col min="6947" max="6947" width="7.85546875" style="88" customWidth="1"/>
    <col min="6948" max="6948" width="8.5703125" style="88" customWidth="1"/>
    <col min="6949" max="6949" width="9.28515625" style="88" customWidth="1"/>
    <col min="6950" max="6950" width="9.140625" style="88" customWidth="1"/>
    <col min="6951" max="6951" width="9" style="88" customWidth="1"/>
    <col min="6952" max="6952" width="8.28515625" style="88" customWidth="1"/>
    <col min="6953" max="6953" width="10" style="88" customWidth="1"/>
    <col min="6954" max="6954" width="10.28515625" style="88" customWidth="1"/>
    <col min="6955" max="6955" width="9" style="88" customWidth="1"/>
    <col min="6956" max="6957" width="9.140625" style="88" customWidth="1"/>
    <col min="6958" max="6958" width="10.28515625" style="88" customWidth="1"/>
    <col min="6959" max="6960" width="9.140625" style="88"/>
    <col min="6961" max="6961" width="10.140625" style="88" customWidth="1"/>
    <col min="6962" max="6963" width="10.7109375" style="88" customWidth="1"/>
    <col min="6964" max="6967" width="11" style="88" customWidth="1"/>
    <col min="6968" max="6968" width="19.5703125" style="88" customWidth="1"/>
    <col min="6969" max="6969" width="18.85546875" style="88" customWidth="1"/>
    <col min="6970" max="6973" width="11" style="88" customWidth="1"/>
    <col min="6974" max="6974" width="15.42578125" style="88" customWidth="1"/>
    <col min="6975" max="7168" width="9.140625" style="88"/>
    <col min="7169" max="7169" width="28.42578125" style="88" customWidth="1"/>
    <col min="7170" max="7170" width="12.42578125" style="88" customWidth="1"/>
    <col min="7171" max="7171" width="15" style="88" customWidth="1"/>
    <col min="7172" max="7172" width="39" style="88" customWidth="1"/>
    <col min="7173" max="7173" width="17.28515625" style="88" customWidth="1"/>
    <col min="7174" max="7174" width="14.5703125" style="88" customWidth="1"/>
    <col min="7175" max="7175" width="10.28515625" style="88" customWidth="1"/>
    <col min="7176" max="7176" width="15.28515625" style="88" customWidth="1"/>
    <col min="7177" max="7177" width="11.42578125" style="88" customWidth="1"/>
    <col min="7178" max="7178" width="10.7109375" style="88" customWidth="1"/>
    <col min="7179" max="7180" width="9.140625" style="88" customWidth="1"/>
    <col min="7181" max="7181" width="13.140625" style="88" customWidth="1"/>
    <col min="7182" max="7182" width="10.85546875" style="88" customWidth="1"/>
    <col min="7183" max="7183" width="17.42578125" style="88" customWidth="1"/>
    <col min="7184" max="7184" width="9.85546875" style="88" customWidth="1"/>
    <col min="7185" max="7185" width="10.140625" style="88" customWidth="1"/>
    <col min="7186" max="7186" width="30.5703125" style="88" customWidth="1"/>
    <col min="7187" max="7187" width="15" style="88" customWidth="1"/>
    <col min="7188" max="7188" width="15.85546875" style="88" customWidth="1"/>
    <col min="7189" max="7189" width="12.85546875" style="88" customWidth="1"/>
    <col min="7190" max="7190" width="9.5703125" style="88" customWidth="1"/>
    <col min="7191" max="7191" width="16.85546875" style="88" customWidth="1"/>
    <col min="7192" max="7192" width="15.7109375" style="88" customWidth="1"/>
    <col min="7193" max="7193" width="9.28515625" style="88" customWidth="1"/>
    <col min="7194" max="7194" width="11.42578125" style="88" customWidth="1"/>
    <col min="7195" max="7195" width="10.7109375" style="88" customWidth="1"/>
    <col min="7196" max="7196" width="28.140625" style="88" customWidth="1"/>
    <col min="7197" max="7197" width="11" style="88" customWidth="1"/>
    <col min="7198" max="7198" width="10.28515625" style="88" customWidth="1"/>
    <col min="7199" max="7199" width="9.5703125" style="88" customWidth="1"/>
    <col min="7200" max="7200" width="8.28515625" style="88" customWidth="1"/>
    <col min="7201" max="7201" width="7.85546875" style="88" customWidth="1"/>
    <col min="7202" max="7202" width="9.7109375" style="88" customWidth="1"/>
    <col min="7203" max="7203" width="7.85546875" style="88" customWidth="1"/>
    <col min="7204" max="7204" width="8.5703125" style="88" customWidth="1"/>
    <col min="7205" max="7205" width="9.28515625" style="88" customWidth="1"/>
    <col min="7206" max="7206" width="9.140625" style="88" customWidth="1"/>
    <col min="7207" max="7207" width="9" style="88" customWidth="1"/>
    <col min="7208" max="7208" width="8.28515625" style="88" customWidth="1"/>
    <col min="7209" max="7209" width="10" style="88" customWidth="1"/>
    <col min="7210" max="7210" width="10.28515625" style="88" customWidth="1"/>
    <col min="7211" max="7211" width="9" style="88" customWidth="1"/>
    <col min="7212" max="7213" width="9.140625" style="88" customWidth="1"/>
    <col min="7214" max="7214" width="10.28515625" style="88" customWidth="1"/>
    <col min="7215" max="7216" width="9.140625" style="88"/>
    <col min="7217" max="7217" width="10.140625" style="88" customWidth="1"/>
    <col min="7218" max="7219" width="10.7109375" style="88" customWidth="1"/>
    <col min="7220" max="7223" width="11" style="88" customWidth="1"/>
    <col min="7224" max="7224" width="19.5703125" style="88" customWidth="1"/>
    <col min="7225" max="7225" width="18.85546875" style="88" customWidth="1"/>
    <col min="7226" max="7229" width="11" style="88" customWidth="1"/>
    <col min="7230" max="7230" width="15.42578125" style="88" customWidth="1"/>
    <col min="7231" max="7424" width="9.140625" style="88"/>
    <col min="7425" max="7425" width="28.42578125" style="88" customWidth="1"/>
    <col min="7426" max="7426" width="12.42578125" style="88" customWidth="1"/>
    <col min="7427" max="7427" width="15" style="88" customWidth="1"/>
    <col min="7428" max="7428" width="39" style="88" customWidth="1"/>
    <col min="7429" max="7429" width="17.28515625" style="88" customWidth="1"/>
    <col min="7430" max="7430" width="14.5703125" style="88" customWidth="1"/>
    <col min="7431" max="7431" width="10.28515625" style="88" customWidth="1"/>
    <col min="7432" max="7432" width="15.28515625" style="88" customWidth="1"/>
    <col min="7433" max="7433" width="11.42578125" style="88" customWidth="1"/>
    <col min="7434" max="7434" width="10.7109375" style="88" customWidth="1"/>
    <col min="7435" max="7436" width="9.140625" style="88" customWidth="1"/>
    <col min="7437" max="7437" width="13.140625" style="88" customWidth="1"/>
    <col min="7438" max="7438" width="10.85546875" style="88" customWidth="1"/>
    <col min="7439" max="7439" width="17.42578125" style="88" customWidth="1"/>
    <col min="7440" max="7440" width="9.85546875" style="88" customWidth="1"/>
    <col min="7441" max="7441" width="10.140625" style="88" customWidth="1"/>
    <col min="7442" max="7442" width="30.5703125" style="88" customWidth="1"/>
    <col min="7443" max="7443" width="15" style="88" customWidth="1"/>
    <col min="7444" max="7444" width="15.85546875" style="88" customWidth="1"/>
    <col min="7445" max="7445" width="12.85546875" style="88" customWidth="1"/>
    <col min="7446" max="7446" width="9.5703125" style="88" customWidth="1"/>
    <col min="7447" max="7447" width="16.85546875" style="88" customWidth="1"/>
    <col min="7448" max="7448" width="15.7109375" style="88" customWidth="1"/>
    <col min="7449" max="7449" width="9.28515625" style="88" customWidth="1"/>
    <col min="7450" max="7450" width="11.42578125" style="88" customWidth="1"/>
    <col min="7451" max="7451" width="10.7109375" style="88" customWidth="1"/>
    <col min="7452" max="7452" width="28.140625" style="88" customWidth="1"/>
    <col min="7453" max="7453" width="11" style="88" customWidth="1"/>
    <col min="7454" max="7454" width="10.28515625" style="88" customWidth="1"/>
    <col min="7455" max="7455" width="9.5703125" style="88" customWidth="1"/>
    <col min="7456" max="7456" width="8.28515625" style="88" customWidth="1"/>
    <col min="7457" max="7457" width="7.85546875" style="88" customWidth="1"/>
    <col min="7458" max="7458" width="9.7109375" style="88" customWidth="1"/>
    <col min="7459" max="7459" width="7.85546875" style="88" customWidth="1"/>
    <col min="7460" max="7460" width="8.5703125" style="88" customWidth="1"/>
    <col min="7461" max="7461" width="9.28515625" style="88" customWidth="1"/>
    <col min="7462" max="7462" width="9.140625" style="88" customWidth="1"/>
    <col min="7463" max="7463" width="9" style="88" customWidth="1"/>
    <col min="7464" max="7464" width="8.28515625" style="88" customWidth="1"/>
    <col min="7465" max="7465" width="10" style="88" customWidth="1"/>
    <col min="7466" max="7466" width="10.28515625" style="88" customWidth="1"/>
    <col min="7467" max="7467" width="9" style="88" customWidth="1"/>
    <col min="7468" max="7469" width="9.140625" style="88" customWidth="1"/>
    <col min="7470" max="7470" width="10.28515625" style="88" customWidth="1"/>
    <col min="7471" max="7472" width="9.140625" style="88"/>
    <col min="7473" max="7473" width="10.140625" style="88" customWidth="1"/>
    <col min="7474" max="7475" width="10.7109375" style="88" customWidth="1"/>
    <col min="7476" max="7479" width="11" style="88" customWidth="1"/>
    <col min="7480" max="7480" width="19.5703125" style="88" customWidth="1"/>
    <col min="7481" max="7481" width="18.85546875" style="88" customWidth="1"/>
    <col min="7482" max="7485" width="11" style="88" customWidth="1"/>
    <col min="7486" max="7486" width="15.42578125" style="88" customWidth="1"/>
    <col min="7487" max="7680" width="9.140625" style="88"/>
    <col min="7681" max="7681" width="28.42578125" style="88" customWidth="1"/>
    <col min="7682" max="7682" width="12.42578125" style="88" customWidth="1"/>
    <col min="7683" max="7683" width="15" style="88" customWidth="1"/>
    <col min="7684" max="7684" width="39" style="88" customWidth="1"/>
    <col min="7685" max="7685" width="17.28515625" style="88" customWidth="1"/>
    <col min="7686" max="7686" width="14.5703125" style="88" customWidth="1"/>
    <col min="7687" max="7687" width="10.28515625" style="88" customWidth="1"/>
    <col min="7688" max="7688" width="15.28515625" style="88" customWidth="1"/>
    <col min="7689" max="7689" width="11.42578125" style="88" customWidth="1"/>
    <col min="7690" max="7690" width="10.7109375" style="88" customWidth="1"/>
    <col min="7691" max="7692" width="9.140625" style="88" customWidth="1"/>
    <col min="7693" max="7693" width="13.140625" style="88" customWidth="1"/>
    <col min="7694" max="7694" width="10.85546875" style="88" customWidth="1"/>
    <col min="7695" max="7695" width="17.42578125" style="88" customWidth="1"/>
    <col min="7696" max="7696" width="9.85546875" style="88" customWidth="1"/>
    <col min="7697" max="7697" width="10.140625" style="88" customWidth="1"/>
    <col min="7698" max="7698" width="30.5703125" style="88" customWidth="1"/>
    <col min="7699" max="7699" width="15" style="88" customWidth="1"/>
    <col min="7700" max="7700" width="15.85546875" style="88" customWidth="1"/>
    <col min="7701" max="7701" width="12.85546875" style="88" customWidth="1"/>
    <col min="7702" max="7702" width="9.5703125" style="88" customWidth="1"/>
    <col min="7703" max="7703" width="16.85546875" style="88" customWidth="1"/>
    <col min="7704" max="7704" width="15.7109375" style="88" customWidth="1"/>
    <col min="7705" max="7705" width="9.28515625" style="88" customWidth="1"/>
    <col min="7706" max="7706" width="11.42578125" style="88" customWidth="1"/>
    <col min="7707" max="7707" width="10.7109375" style="88" customWidth="1"/>
    <col min="7708" max="7708" width="28.140625" style="88" customWidth="1"/>
    <col min="7709" max="7709" width="11" style="88" customWidth="1"/>
    <col min="7710" max="7710" width="10.28515625" style="88" customWidth="1"/>
    <col min="7711" max="7711" width="9.5703125" style="88" customWidth="1"/>
    <col min="7712" max="7712" width="8.28515625" style="88" customWidth="1"/>
    <col min="7713" max="7713" width="7.85546875" style="88" customWidth="1"/>
    <col min="7714" max="7714" width="9.7109375" style="88" customWidth="1"/>
    <col min="7715" max="7715" width="7.85546875" style="88" customWidth="1"/>
    <col min="7716" max="7716" width="8.5703125" style="88" customWidth="1"/>
    <col min="7717" max="7717" width="9.28515625" style="88" customWidth="1"/>
    <col min="7718" max="7718" width="9.140625" style="88" customWidth="1"/>
    <col min="7719" max="7719" width="9" style="88" customWidth="1"/>
    <col min="7720" max="7720" width="8.28515625" style="88" customWidth="1"/>
    <col min="7721" max="7721" width="10" style="88" customWidth="1"/>
    <col min="7722" max="7722" width="10.28515625" style="88" customWidth="1"/>
    <col min="7723" max="7723" width="9" style="88" customWidth="1"/>
    <col min="7724" max="7725" width="9.140625" style="88" customWidth="1"/>
    <col min="7726" max="7726" width="10.28515625" style="88" customWidth="1"/>
    <col min="7727" max="7728" width="9.140625" style="88"/>
    <col min="7729" max="7729" width="10.140625" style="88" customWidth="1"/>
    <col min="7730" max="7731" width="10.7109375" style="88" customWidth="1"/>
    <col min="7732" max="7735" width="11" style="88" customWidth="1"/>
    <col min="7736" max="7736" width="19.5703125" style="88" customWidth="1"/>
    <col min="7737" max="7737" width="18.85546875" style="88" customWidth="1"/>
    <col min="7738" max="7741" width="11" style="88" customWidth="1"/>
    <col min="7742" max="7742" width="15.42578125" style="88" customWidth="1"/>
    <col min="7743" max="7936" width="9.140625" style="88"/>
    <col min="7937" max="7937" width="28.42578125" style="88" customWidth="1"/>
    <col min="7938" max="7938" width="12.42578125" style="88" customWidth="1"/>
    <col min="7939" max="7939" width="15" style="88" customWidth="1"/>
    <col min="7940" max="7940" width="39" style="88" customWidth="1"/>
    <col min="7941" max="7941" width="17.28515625" style="88" customWidth="1"/>
    <col min="7942" max="7942" width="14.5703125" style="88" customWidth="1"/>
    <col min="7943" max="7943" width="10.28515625" style="88" customWidth="1"/>
    <col min="7944" max="7944" width="15.28515625" style="88" customWidth="1"/>
    <col min="7945" max="7945" width="11.42578125" style="88" customWidth="1"/>
    <col min="7946" max="7946" width="10.7109375" style="88" customWidth="1"/>
    <col min="7947" max="7948" width="9.140625" style="88" customWidth="1"/>
    <col min="7949" max="7949" width="13.140625" style="88" customWidth="1"/>
    <col min="7950" max="7950" width="10.85546875" style="88" customWidth="1"/>
    <col min="7951" max="7951" width="17.42578125" style="88" customWidth="1"/>
    <col min="7952" max="7952" width="9.85546875" style="88" customWidth="1"/>
    <col min="7953" max="7953" width="10.140625" style="88" customWidth="1"/>
    <col min="7954" max="7954" width="30.5703125" style="88" customWidth="1"/>
    <col min="7955" max="7955" width="15" style="88" customWidth="1"/>
    <col min="7956" max="7956" width="15.85546875" style="88" customWidth="1"/>
    <col min="7957" max="7957" width="12.85546875" style="88" customWidth="1"/>
    <col min="7958" max="7958" width="9.5703125" style="88" customWidth="1"/>
    <col min="7959" max="7959" width="16.85546875" style="88" customWidth="1"/>
    <col min="7960" max="7960" width="15.7109375" style="88" customWidth="1"/>
    <col min="7961" max="7961" width="9.28515625" style="88" customWidth="1"/>
    <col min="7962" max="7962" width="11.42578125" style="88" customWidth="1"/>
    <col min="7963" max="7963" width="10.7109375" style="88" customWidth="1"/>
    <col min="7964" max="7964" width="28.140625" style="88" customWidth="1"/>
    <col min="7965" max="7965" width="11" style="88" customWidth="1"/>
    <col min="7966" max="7966" width="10.28515625" style="88" customWidth="1"/>
    <col min="7967" max="7967" width="9.5703125" style="88" customWidth="1"/>
    <col min="7968" max="7968" width="8.28515625" style="88" customWidth="1"/>
    <col min="7969" max="7969" width="7.85546875" style="88" customWidth="1"/>
    <col min="7970" max="7970" width="9.7109375" style="88" customWidth="1"/>
    <col min="7971" max="7971" width="7.85546875" style="88" customWidth="1"/>
    <col min="7972" max="7972" width="8.5703125" style="88" customWidth="1"/>
    <col min="7973" max="7973" width="9.28515625" style="88" customWidth="1"/>
    <col min="7974" max="7974" width="9.140625" style="88" customWidth="1"/>
    <col min="7975" max="7975" width="9" style="88" customWidth="1"/>
    <col min="7976" max="7976" width="8.28515625" style="88" customWidth="1"/>
    <col min="7977" max="7977" width="10" style="88" customWidth="1"/>
    <col min="7978" max="7978" width="10.28515625" style="88" customWidth="1"/>
    <col min="7979" max="7979" width="9" style="88" customWidth="1"/>
    <col min="7980" max="7981" width="9.140625" style="88" customWidth="1"/>
    <col min="7982" max="7982" width="10.28515625" style="88" customWidth="1"/>
    <col min="7983" max="7984" width="9.140625" style="88"/>
    <col min="7985" max="7985" width="10.140625" style="88" customWidth="1"/>
    <col min="7986" max="7987" width="10.7109375" style="88" customWidth="1"/>
    <col min="7988" max="7991" width="11" style="88" customWidth="1"/>
    <col min="7992" max="7992" width="19.5703125" style="88" customWidth="1"/>
    <col min="7993" max="7993" width="18.85546875" style="88" customWidth="1"/>
    <col min="7994" max="7997" width="11" style="88" customWidth="1"/>
    <col min="7998" max="7998" width="15.42578125" style="88" customWidth="1"/>
    <col min="7999" max="8192" width="9.140625" style="88"/>
    <col min="8193" max="8193" width="28.42578125" style="88" customWidth="1"/>
    <col min="8194" max="8194" width="12.42578125" style="88" customWidth="1"/>
    <col min="8195" max="8195" width="15" style="88" customWidth="1"/>
    <col min="8196" max="8196" width="39" style="88" customWidth="1"/>
    <col min="8197" max="8197" width="17.28515625" style="88" customWidth="1"/>
    <col min="8198" max="8198" width="14.5703125" style="88" customWidth="1"/>
    <col min="8199" max="8199" width="10.28515625" style="88" customWidth="1"/>
    <col min="8200" max="8200" width="15.28515625" style="88" customWidth="1"/>
    <col min="8201" max="8201" width="11.42578125" style="88" customWidth="1"/>
    <col min="8202" max="8202" width="10.7109375" style="88" customWidth="1"/>
    <col min="8203" max="8204" width="9.140625" style="88" customWidth="1"/>
    <col min="8205" max="8205" width="13.140625" style="88" customWidth="1"/>
    <col min="8206" max="8206" width="10.85546875" style="88" customWidth="1"/>
    <col min="8207" max="8207" width="17.42578125" style="88" customWidth="1"/>
    <col min="8208" max="8208" width="9.85546875" style="88" customWidth="1"/>
    <col min="8209" max="8209" width="10.140625" style="88" customWidth="1"/>
    <col min="8210" max="8210" width="30.5703125" style="88" customWidth="1"/>
    <col min="8211" max="8211" width="15" style="88" customWidth="1"/>
    <col min="8212" max="8212" width="15.85546875" style="88" customWidth="1"/>
    <col min="8213" max="8213" width="12.85546875" style="88" customWidth="1"/>
    <col min="8214" max="8214" width="9.5703125" style="88" customWidth="1"/>
    <col min="8215" max="8215" width="16.85546875" style="88" customWidth="1"/>
    <col min="8216" max="8216" width="15.7109375" style="88" customWidth="1"/>
    <col min="8217" max="8217" width="9.28515625" style="88" customWidth="1"/>
    <col min="8218" max="8218" width="11.42578125" style="88" customWidth="1"/>
    <col min="8219" max="8219" width="10.7109375" style="88" customWidth="1"/>
    <col min="8220" max="8220" width="28.140625" style="88" customWidth="1"/>
    <col min="8221" max="8221" width="11" style="88" customWidth="1"/>
    <col min="8222" max="8222" width="10.28515625" style="88" customWidth="1"/>
    <col min="8223" max="8223" width="9.5703125" style="88" customWidth="1"/>
    <col min="8224" max="8224" width="8.28515625" style="88" customWidth="1"/>
    <col min="8225" max="8225" width="7.85546875" style="88" customWidth="1"/>
    <col min="8226" max="8226" width="9.7109375" style="88" customWidth="1"/>
    <col min="8227" max="8227" width="7.85546875" style="88" customWidth="1"/>
    <col min="8228" max="8228" width="8.5703125" style="88" customWidth="1"/>
    <col min="8229" max="8229" width="9.28515625" style="88" customWidth="1"/>
    <col min="8230" max="8230" width="9.140625" style="88" customWidth="1"/>
    <col min="8231" max="8231" width="9" style="88" customWidth="1"/>
    <col min="8232" max="8232" width="8.28515625" style="88" customWidth="1"/>
    <col min="8233" max="8233" width="10" style="88" customWidth="1"/>
    <col min="8234" max="8234" width="10.28515625" style="88" customWidth="1"/>
    <col min="8235" max="8235" width="9" style="88" customWidth="1"/>
    <col min="8236" max="8237" width="9.140625" style="88" customWidth="1"/>
    <col min="8238" max="8238" width="10.28515625" style="88" customWidth="1"/>
    <col min="8239" max="8240" width="9.140625" style="88"/>
    <col min="8241" max="8241" width="10.140625" style="88" customWidth="1"/>
    <col min="8242" max="8243" width="10.7109375" style="88" customWidth="1"/>
    <col min="8244" max="8247" width="11" style="88" customWidth="1"/>
    <col min="8248" max="8248" width="19.5703125" style="88" customWidth="1"/>
    <col min="8249" max="8249" width="18.85546875" style="88" customWidth="1"/>
    <col min="8250" max="8253" width="11" style="88" customWidth="1"/>
    <col min="8254" max="8254" width="15.42578125" style="88" customWidth="1"/>
    <col min="8255" max="8448" width="9.140625" style="88"/>
    <col min="8449" max="8449" width="28.42578125" style="88" customWidth="1"/>
    <col min="8450" max="8450" width="12.42578125" style="88" customWidth="1"/>
    <col min="8451" max="8451" width="15" style="88" customWidth="1"/>
    <col min="8452" max="8452" width="39" style="88" customWidth="1"/>
    <col min="8453" max="8453" width="17.28515625" style="88" customWidth="1"/>
    <col min="8454" max="8454" width="14.5703125" style="88" customWidth="1"/>
    <col min="8455" max="8455" width="10.28515625" style="88" customWidth="1"/>
    <col min="8456" max="8456" width="15.28515625" style="88" customWidth="1"/>
    <col min="8457" max="8457" width="11.42578125" style="88" customWidth="1"/>
    <col min="8458" max="8458" width="10.7109375" style="88" customWidth="1"/>
    <col min="8459" max="8460" width="9.140625" style="88" customWidth="1"/>
    <col min="8461" max="8461" width="13.140625" style="88" customWidth="1"/>
    <col min="8462" max="8462" width="10.85546875" style="88" customWidth="1"/>
    <col min="8463" max="8463" width="17.42578125" style="88" customWidth="1"/>
    <col min="8464" max="8464" width="9.85546875" style="88" customWidth="1"/>
    <col min="8465" max="8465" width="10.140625" style="88" customWidth="1"/>
    <col min="8466" max="8466" width="30.5703125" style="88" customWidth="1"/>
    <col min="8467" max="8467" width="15" style="88" customWidth="1"/>
    <col min="8468" max="8468" width="15.85546875" style="88" customWidth="1"/>
    <col min="8469" max="8469" width="12.85546875" style="88" customWidth="1"/>
    <col min="8470" max="8470" width="9.5703125" style="88" customWidth="1"/>
    <col min="8471" max="8471" width="16.85546875" style="88" customWidth="1"/>
    <col min="8472" max="8472" width="15.7109375" style="88" customWidth="1"/>
    <col min="8473" max="8473" width="9.28515625" style="88" customWidth="1"/>
    <col min="8474" max="8474" width="11.42578125" style="88" customWidth="1"/>
    <col min="8475" max="8475" width="10.7109375" style="88" customWidth="1"/>
    <col min="8476" max="8476" width="28.140625" style="88" customWidth="1"/>
    <col min="8477" max="8477" width="11" style="88" customWidth="1"/>
    <col min="8478" max="8478" width="10.28515625" style="88" customWidth="1"/>
    <col min="8479" max="8479" width="9.5703125" style="88" customWidth="1"/>
    <col min="8480" max="8480" width="8.28515625" style="88" customWidth="1"/>
    <col min="8481" max="8481" width="7.85546875" style="88" customWidth="1"/>
    <col min="8482" max="8482" width="9.7109375" style="88" customWidth="1"/>
    <col min="8483" max="8483" width="7.85546875" style="88" customWidth="1"/>
    <col min="8484" max="8484" width="8.5703125" style="88" customWidth="1"/>
    <col min="8485" max="8485" width="9.28515625" style="88" customWidth="1"/>
    <col min="8486" max="8486" width="9.140625" style="88" customWidth="1"/>
    <col min="8487" max="8487" width="9" style="88" customWidth="1"/>
    <col min="8488" max="8488" width="8.28515625" style="88" customWidth="1"/>
    <col min="8489" max="8489" width="10" style="88" customWidth="1"/>
    <col min="8490" max="8490" width="10.28515625" style="88" customWidth="1"/>
    <col min="8491" max="8491" width="9" style="88" customWidth="1"/>
    <col min="8492" max="8493" width="9.140625" style="88" customWidth="1"/>
    <col min="8494" max="8494" width="10.28515625" style="88" customWidth="1"/>
    <col min="8495" max="8496" width="9.140625" style="88"/>
    <col min="8497" max="8497" width="10.140625" style="88" customWidth="1"/>
    <col min="8498" max="8499" width="10.7109375" style="88" customWidth="1"/>
    <col min="8500" max="8503" width="11" style="88" customWidth="1"/>
    <col min="8504" max="8504" width="19.5703125" style="88" customWidth="1"/>
    <col min="8505" max="8505" width="18.85546875" style="88" customWidth="1"/>
    <col min="8506" max="8509" width="11" style="88" customWidth="1"/>
    <col min="8510" max="8510" width="15.42578125" style="88" customWidth="1"/>
    <col min="8511" max="8704" width="9.140625" style="88"/>
    <col min="8705" max="8705" width="28.42578125" style="88" customWidth="1"/>
    <col min="8706" max="8706" width="12.42578125" style="88" customWidth="1"/>
    <col min="8707" max="8707" width="15" style="88" customWidth="1"/>
    <col min="8708" max="8708" width="39" style="88" customWidth="1"/>
    <col min="8709" max="8709" width="17.28515625" style="88" customWidth="1"/>
    <col min="8710" max="8710" width="14.5703125" style="88" customWidth="1"/>
    <col min="8711" max="8711" width="10.28515625" style="88" customWidth="1"/>
    <col min="8712" max="8712" width="15.28515625" style="88" customWidth="1"/>
    <col min="8713" max="8713" width="11.42578125" style="88" customWidth="1"/>
    <col min="8714" max="8714" width="10.7109375" style="88" customWidth="1"/>
    <col min="8715" max="8716" width="9.140625" style="88" customWidth="1"/>
    <col min="8717" max="8717" width="13.140625" style="88" customWidth="1"/>
    <col min="8718" max="8718" width="10.85546875" style="88" customWidth="1"/>
    <col min="8719" max="8719" width="17.42578125" style="88" customWidth="1"/>
    <col min="8720" max="8720" width="9.85546875" style="88" customWidth="1"/>
    <col min="8721" max="8721" width="10.140625" style="88" customWidth="1"/>
    <col min="8722" max="8722" width="30.5703125" style="88" customWidth="1"/>
    <col min="8723" max="8723" width="15" style="88" customWidth="1"/>
    <col min="8724" max="8724" width="15.85546875" style="88" customWidth="1"/>
    <col min="8725" max="8725" width="12.85546875" style="88" customWidth="1"/>
    <col min="8726" max="8726" width="9.5703125" style="88" customWidth="1"/>
    <col min="8727" max="8727" width="16.85546875" style="88" customWidth="1"/>
    <col min="8728" max="8728" width="15.7109375" style="88" customWidth="1"/>
    <col min="8729" max="8729" width="9.28515625" style="88" customWidth="1"/>
    <col min="8730" max="8730" width="11.42578125" style="88" customWidth="1"/>
    <col min="8731" max="8731" width="10.7109375" style="88" customWidth="1"/>
    <col min="8732" max="8732" width="28.140625" style="88" customWidth="1"/>
    <col min="8733" max="8733" width="11" style="88" customWidth="1"/>
    <col min="8734" max="8734" width="10.28515625" style="88" customWidth="1"/>
    <col min="8735" max="8735" width="9.5703125" style="88" customWidth="1"/>
    <col min="8736" max="8736" width="8.28515625" style="88" customWidth="1"/>
    <col min="8737" max="8737" width="7.85546875" style="88" customWidth="1"/>
    <col min="8738" max="8738" width="9.7109375" style="88" customWidth="1"/>
    <col min="8739" max="8739" width="7.85546875" style="88" customWidth="1"/>
    <col min="8740" max="8740" width="8.5703125" style="88" customWidth="1"/>
    <col min="8741" max="8741" width="9.28515625" style="88" customWidth="1"/>
    <col min="8742" max="8742" width="9.140625" style="88" customWidth="1"/>
    <col min="8743" max="8743" width="9" style="88" customWidth="1"/>
    <col min="8744" max="8744" width="8.28515625" style="88" customWidth="1"/>
    <col min="8745" max="8745" width="10" style="88" customWidth="1"/>
    <col min="8746" max="8746" width="10.28515625" style="88" customWidth="1"/>
    <col min="8747" max="8747" width="9" style="88" customWidth="1"/>
    <col min="8748" max="8749" width="9.140625" style="88" customWidth="1"/>
    <col min="8750" max="8750" width="10.28515625" style="88" customWidth="1"/>
    <col min="8751" max="8752" width="9.140625" style="88"/>
    <col min="8753" max="8753" width="10.140625" style="88" customWidth="1"/>
    <col min="8754" max="8755" width="10.7109375" style="88" customWidth="1"/>
    <col min="8756" max="8759" width="11" style="88" customWidth="1"/>
    <col min="8760" max="8760" width="19.5703125" style="88" customWidth="1"/>
    <col min="8761" max="8761" width="18.85546875" style="88" customWidth="1"/>
    <col min="8762" max="8765" width="11" style="88" customWidth="1"/>
    <col min="8766" max="8766" width="15.42578125" style="88" customWidth="1"/>
    <col min="8767" max="8960" width="9.140625" style="88"/>
    <col min="8961" max="8961" width="28.42578125" style="88" customWidth="1"/>
    <col min="8962" max="8962" width="12.42578125" style="88" customWidth="1"/>
    <col min="8963" max="8963" width="15" style="88" customWidth="1"/>
    <col min="8964" max="8964" width="39" style="88" customWidth="1"/>
    <col min="8965" max="8965" width="17.28515625" style="88" customWidth="1"/>
    <col min="8966" max="8966" width="14.5703125" style="88" customWidth="1"/>
    <col min="8967" max="8967" width="10.28515625" style="88" customWidth="1"/>
    <col min="8968" max="8968" width="15.28515625" style="88" customWidth="1"/>
    <col min="8969" max="8969" width="11.42578125" style="88" customWidth="1"/>
    <col min="8970" max="8970" width="10.7109375" style="88" customWidth="1"/>
    <col min="8971" max="8972" width="9.140625" style="88" customWidth="1"/>
    <col min="8973" max="8973" width="13.140625" style="88" customWidth="1"/>
    <col min="8974" max="8974" width="10.85546875" style="88" customWidth="1"/>
    <col min="8975" max="8975" width="17.42578125" style="88" customWidth="1"/>
    <col min="8976" max="8976" width="9.85546875" style="88" customWidth="1"/>
    <col min="8977" max="8977" width="10.140625" style="88" customWidth="1"/>
    <col min="8978" max="8978" width="30.5703125" style="88" customWidth="1"/>
    <col min="8979" max="8979" width="15" style="88" customWidth="1"/>
    <col min="8980" max="8980" width="15.85546875" style="88" customWidth="1"/>
    <col min="8981" max="8981" width="12.85546875" style="88" customWidth="1"/>
    <col min="8982" max="8982" width="9.5703125" style="88" customWidth="1"/>
    <col min="8983" max="8983" width="16.85546875" style="88" customWidth="1"/>
    <col min="8984" max="8984" width="15.7109375" style="88" customWidth="1"/>
    <col min="8985" max="8985" width="9.28515625" style="88" customWidth="1"/>
    <col min="8986" max="8986" width="11.42578125" style="88" customWidth="1"/>
    <col min="8987" max="8987" width="10.7109375" style="88" customWidth="1"/>
    <col min="8988" max="8988" width="28.140625" style="88" customWidth="1"/>
    <col min="8989" max="8989" width="11" style="88" customWidth="1"/>
    <col min="8990" max="8990" width="10.28515625" style="88" customWidth="1"/>
    <col min="8991" max="8991" width="9.5703125" style="88" customWidth="1"/>
    <col min="8992" max="8992" width="8.28515625" style="88" customWidth="1"/>
    <col min="8993" max="8993" width="7.85546875" style="88" customWidth="1"/>
    <col min="8994" max="8994" width="9.7109375" style="88" customWidth="1"/>
    <col min="8995" max="8995" width="7.85546875" style="88" customWidth="1"/>
    <col min="8996" max="8996" width="8.5703125" style="88" customWidth="1"/>
    <col min="8997" max="8997" width="9.28515625" style="88" customWidth="1"/>
    <col min="8998" max="8998" width="9.140625" style="88" customWidth="1"/>
    <col min="8999" max="8999" width="9" style="88" customWidth="1"/>
    <col min="9000" max="9000" width="8.28515625" style="88" customWidth="1"/>
    <col min="9001" max="9001" width="10" style="88" customWidth="1"/>
    <col min="9002" max="9002" width="10.28515625" style="88" customWidth="1"/>
    <col min="9003" max="9003" width="9" style="88" customWidth="1"/>
    <col min="9004" max="9005" width="9.140625" style="88" customWidth="1"/>
    <col min="9006" max="9006" width="10.28515625" style="88" customWidth="1"/>
    <col min="9007" max="9008" width="9.140625" style="88"/>
    <col min="9009" max="9009" width="10.140625" style="88" customWidth="1"/>
    <col min="9010" max="9011" width="10.7109375" style="88" customWidth="1"/>
    <col min="9012" max="9015" width="11" style="88" customWidth="1"/>
    <col min="9016" max="9016" width="19.5703125" style="88" customWidth="1"/>
    <col min="9017" max="9017" width="18.85546875" style="88" customWidth="1"/>
    <col min="9018" max="9021" width="11" style="88" customWidth="1"/>
    <col min="9022" max="9022" width="15.42578125" style="88" customWidth="1"/>
    <col min="9023" max="9216" width="9.140625" style="88"/>
    <col min="9217" max="9217" width="28.42578125" style="88" customWidth="1"/>
    <col min="9218" max="9218" width="12.42578125" style="88" customWidth="1"/>
    <col min="9219" max="9219" width="15" style="88" customWidth="1"/>
    <col min="9220" max="9220" width="39" style="88" customWidth="1"/>
    <col min="9221" max="9221" width="17.28515625" style="88" customWidth="1"/>
    <col min="9222" max="9222" width="14.5703125" style="88" customWidth="1"/>
    <col min="9223" max="9223" width="10.28515625" style="88" customWidth="1"/>
    <col min="9224" max="9224" width="15.28515625" style="88" customWidth="1"/>
    <col min="9225" max="9225" width="11.42578125" style="88" customWidth="1"/>
    <col min="9226" max="9226" width="10.7109375" style="88" customWidth="1"/>
    <col min="9227" max="9228" width="9.140625" style="88" customWidth="1"/>
    <col min="9229" max="9229" width="13.140625" style="88" customWidth="1"/>
    <col min="9230" max="9230" width="10.85546875" style="88" customWidth="1"/>
    <col min="9231" max="9231" width="17.42578125" style="88" customWidth="1"/>
    <col min="9232" max="9232" width="9.85546875" style="88" customWidth="1"/>
    <col min="9233" max="9233" width="10.140625" style="88" customWidth="1"/>
    <col min="9234" max="9234" width="30.5703125" style="88" customWidth="1"/>
    <col min="9235" max="9235" width="15" style="88" customWidth="1"/>
    <col min="9236" max="9236" width="15.85546875" style="88" customWidth="1"/>
    <col min="9237" max="9237" width="12.85546875" style="88" customWidth="1"/>
    <col min="9238" max="9238" width="9.5703125" style="88" customWidth="1"/>
    <col min="9239" max="9239" width="16.85546875" style="88" customWidth="1"/>
    <col min="9240" max="9240" width="15.7109375" style="88" customWidth="1"/>
    <col min="9241" max="9241" width="9.28515625" style="88" customWidth="1"/>
    <col min="9242" max="9242" width="11.42578125" style="88" customWidth="1"/>
    <col min="9243" max="9243" width="10.7109375" style="88" customWidth="1"/>
    <col min="9244" max="9244" width="28.140625" style="88" customWidth="1"/>
    <col min="9245" max="9245" width="11" style="88" customWidth="1"/>
    <col min="9246" max="9246" width="10.28515625" style="88" customWidth="1"/>
    <col min="9247" max="9247" width="9.5703125" style="88" customWidth="1"/>
    <col min="9248" max="9248" width="8.28515625" style="88" customWidth="1"/>
    <col min="9249" max="9249" width="7.85546875" style="88" customWidth="1"/>
    <col min="9250" max="9250" width="9.7109375" style="88" customWidth="1"/>
    <col min="9251" max="9251" width="7.85546875" style="88" customWidth="1"/>
    <col min="9252" max="9252" width="8.5703125" style="88" customWidth="1"/>
    <col min="9253" max="9253" width="9.28515625" style="88" customWidth="1"/>
    <col min="9254" max="9254" width="9.140625" style="88" customWidth="1"/>
    <col min="9255" max="9255" width="9" style="88" customWidth="1"/>
    <col min="9256" max="9256" width="8.28515625" style="88" customWidth="1"/>
    <col min="9257" max="9257" width="10" style="88" customWidth="1"/>
    <col min="9258" max="9258" width="10.28515625" style="88" customWidth="1"/>
    <col min="9259" max="9259" width="9" style="88" customWidth="1"/>
    <col min="9260" max="9261" width="9.140625" style="88" customWidth="1"/>
    <col min="9262" max="9262" width="10.28515625" style="88" customWidth="1"/>
    <col min="9263" max="9264" width="9.140625" style="88"/>
    <col min="9265" max="9265" width="10.140625" style="88" customWidth="1"/>
    <col min="9266" max="9267" width="10.7109375" style="88" customWidth="1"/>
    <col min="9268" max="9271" width="11" style="88" customWidth="1"/>
    <col min="9272" max="9272" width="19.5703125" style="88" customWidth="1"/>
    <col min="9273" max="9273" width="18.85546875" style="88" customWidth="1"/>
    <col min="9274" max="9277" width="11" style="88" customWidth="1"/>
    <col min="9278" max="9278" width="15.42578125" style="88" customWidth="1"/>
    <col min="9279" max="9472" width="9.140625" style="88"/>
    <col min="9473" max="9473" width="28.42578125" style="88" customWidth="1"/>
    <col min="9474" max="9474" width="12.42578125" style="88" customWidth="1"/>
    <col min="9475" max="9475" width="15" style="88" customWidth="1"/>
    <col min="9476" max="9476" width="39" style="88" customWidth="1"/>
    <col min="9477" max="9477" width="17.28515625" style="88" customWidth="1"/>
    <col min="9478" max="9478" width="14.5703125" style="88" customWidth="1"/>
    <col min="9479" max="9479" width="10.28515625" style="88" customWidth="1"/>
    <col min="9480" max="9480" width="15.28515625" style="88" customWidth="1"/>
    <col min="9481" max="9481" width="11.42578125" style="88" customWidth="1"/>
    <col min="9482" max="9482" width="10.7109375" style="88" customWidth="1"/>
    <col min="9483" max="9484" width="9.140625" style="88" customWidth="1"/>
    <col min="9485" max="9485" width="13.140625" style="88" customWidth="1"/>
    <col min="9486" max="9486" width="10.85546875" style="88" customWidth="1"/>
    <col min="9487" max="9487" width="17.42578125" style="88" customWidth="1"/>
    <col min="9488" max="9488" width="9.85546875" style="88" customWidth="1"/>
    <col min="9489" max="9489" width="10.140625" style="88" customWidth="1"/>
    <col min="9490" max="9490" width="30.5703125" style="88" customWidth="1"/>
    <col min="9491" max="9491" width="15" style="88" customWidth="1"/>
    <col min="9492" max="9492" width="15.85546875" style="88" customWidth="1"/>
    <col min="9493" max="9493" width="12.85546875" style="88" customWidth="1"/>
    <col min="9494" max="9494" width="9.5703125" style="88" customWidth="1"/>
    <col min="9495" max="9495" width="16.85546875" style="88" customWidth="1"/>
    <col min="9496" max="9496" width="15.7109375" style="88" customWidth="1"/>
    <col min="9497" max="9497" width="9.28515625" style="88" customWidth="1"/>
    <col min="9498" max="9498" width="11.42578125" style="88" customWidth="1"/>
    <col min="9499" max="9499" width="10.7109375" style="88" customWidth="1"/>
    <col min="9500" max="9500" width="28.140625" style="88" customWidth="1"/>
    <col min="9501" max="9501" width="11" style="88" customWidth="1"/>
    <col min="9502" max="9502" width="10.28515625" style="88" customWidth="1"/>
    <col min="9503" max="9503" width="9.5703125" style="88" customWidth="1"/>
    <col min="9504" max="9504" width="8.28515625" style="88" customWidth="1"/>
    <col min="9505" max="9505" width="7.85546875" style="88" customWidth="1"/>
    <col min="9506" max="9506" width="9.7109375" style="88" customWidth="1"/>
    <col min="9507" max="9507" width="7.85546875" style="88" customWidth="1"/>
    <col min="9508" max="9508" width="8.5703125" style="88" customWidth="1"/>
    <col min="9509" max="9509" width="9.28515625" style="88" customWidth="1"/>
    <col min="9510" max="9510" width="9.140625" style="88" customWidth="1"/>
    <col min="9511" max="9511" width="9" style="88" customWidth="1"/>
    <col min="9512" max="9512" width="8.28515625" style="88" customWidth="1"/>
    <col min="9513" max="9513" width="10" style="88" customWidth="1"/>
    <col min="9514" max="9514" width="10.28515625" style="88" customWidth="1"/>
    <col min="9515" max="9515" width="9" style="88" customWidth="1"/>
    <col min="9516" max="9517" width="9.140625" style="88" customWidth="1"/>
    <col min="9518" max="9518" width="10.28515625" style="88" customWidth="1"/>
    <col min="9519" max="9520" width="9.140625" style="88"/>
    <col min="9521" max="9521" width="10.140625" style="88" customWidth="1"/>
    <col min="9522" max="9523" width="10.7109375" style="88" customWidth="1"/>
    <col min="9524" max="9527" width="11" style="88" customWidth="1"/>
    <col min="9528" max="9528" width="19.5703125" style="88" customWidth="1"/>
    <col min="9529" max="9529" width="18.85546875" style="88" customWidth="1"/>
    <col min="9530" max="9533" width="11" style="88" customWidth="1"/>
    <col min="9534" max="9534" width="15.42578125" style="88" customWidth="1"/>
    <col min="9535" max="9728" width="9.140625" style="88"/>
    <col min="9729" max="9729" width="28.42578125" style="88" customWidth="1"/>
    <col min="9730" max="9730" width="12.42578125" style="88" customWidth="1"/>
    <col min="9731" max="9731" width="15" style="88" customWidth="1"/>
    <col min="9732" max="9732" width="39" style="88" customWidth="1"/>
    <col min="9733" max="9733" width="17.28515625" style="88" customWidth="1"/>
    <col min="9734" max="9734" width="14.5703125" style="88" customWidth="1"/>
    <col min="9735" max="9735" width="10.28515625" style="88" customWidth="1"/>
    <col min="9736" max="9736" width="15.28515625" style="88" customWidth="1"/>
    <col min="9737" max="9737" width="11.42578125" style="88" customWidth="1"/>
    <col min="9738" max="9738" width="10.7109375" style="88" customWidth="1"/>
    <col min="9739" max="9740" width="9.140625" style="88" customWidth="1"/>
    <col min="9741" max="9741" width="13.140625" style="88" customWidth="1"/>
    <col min="9742" max="9742" width="10.85546875" style="88" customWidth="1"/>
    <col min="9743" max="9743" width="17.42578125" style="88" customWidth="1"/>
    <col min="9744" max="9744" width="9.85546875" style="88" customWidth="1"/>
    <col min="9745" max="9745" width="10.140625" style="88" customWidth="1"/>
    <col min="9746" max="9746" width="30.5703125" style="88" customWidth="1"/>
    <col min="9747" max="9747" width="15" style="88" customWidth="1"/>
    <col min="9748" max="9748" width="15.85546875" style="88" customWidth="1"/>
    <col min="9749" max="9749" width="12.85546875" style="88" customWidth="1"/>
    <col min="9750" max="9750" width="9.5703125" style="88" customWidth="1"/>
    <col min="9751" max="9751" width="16.85546875" style="88" customWidth="1"/>
    <col min="9752" max="9752" width="15.7109375" style="88" customWidth="1"/>
    <col min="9753" max="9753" width="9.28515625" style="88" customWidth="1"/>
    <col min="9754" max="9754" width="11.42578125" style="88" customWidth="1"/>
    <col min="9755" max="9755" width="10.7109375" style="88" customWidth="1"/>
    <col min="9756" max="9756" width="28.140625" style="88" customWidth="1"/>
    <col min="9757" max="9757" width="11" style="88" customWidth="1"/>
    <col min="9758" max="9758" width="10.28515625" style="88" customWidth="1"/>
    <col min="9759" max="9759" width="9.5703125" style="88" customWidth="1"/>
    <col min="9760" max="9760" width="8.28515625" style="88" customWidth="1"/>
    <col min="9761" max="9761" width="7.85546875" style="88" customWidth="1"/>
    <col min="9762" max="9762" width="9.7109375" style="88" customWidth="1"/>
    <col min="9763" max="9763" width="7.85546875" style="88" customWidth="1"/>
    <col min="9764" max="9764" width="8.5703125" style="88" customWidth="1"/>
    <col min="9765" max="9765" width="9.28515625" style="88" customWidth="1"/>
    <col min="9766" max="9766" width="9.140625" style="88" customWidth="1"/>
    <col min="9767" max="9767" width="9" style="88" customWidth="1"/>
    <col min="9768" max="9768" width="8.28515625" style="88" customWidth="1"/>
    <col min="9769" max="9769" width="10" style="88" customWidth="1"/>
    <col min="9770" max="9770" width="10.28515625" style="88" customWidth="1"/>
    <col min="9771" max="9771" width="9" style="88" customWidth="1"/>
    <col min="9772" max="9773" width="9.140625" style="88" customWidth="1"/>
    <col min="9774" max="9774" width="10.28515625" style="88" customWidth="1"/>
    <col min="9775" max="9776" width="9.140625" style="88"/>
    <col min="9777" max="9777" width="10.140625" style="88" customWidth="1"/>
    <col min="9778" max="9779" width="10.7109375" style="88" customWidth="1"/>
    <col min="9780" max="9783" width="11" style="88" customWidth="1"/>
    <col min="9784" max="9784" width="19.5703125" style="88" customWidth="1"/>
    <col min="9785" max="9785" width="18.85546875" style="88" customWidth="1"/>
    <col min="9786" max="9789" width="11" style="88" customWidth="1"/>
    <col min="9790" max="9790" width="15.42578125" style="88" customWidth="1"/>
    <col min="9791" max="9984" width="9.140625" style="88"/>
    <col min="9985" max="9985" width="28.42578125" style="88" customWidth="1"/>
    <col min="9986" max="9986" width="12.42578125" style="88" customWidth="1"/>
    <col min="9987" max="9987" width="15" style="88" customWidth="1"/>
    <col min="9988" max="9988" width="39" style="88" customWidth="1"/>
    <col min="9989" max="9989" width="17.28515625" style="88" customWidth="1"/>
    <col min="9990" max="9990" width="14.5703125" style="88" customWidth="1"/>
    <col min="9991" max="9991" width="10.28515625" style="88" customWidth="1"/>
    <col min="9992" max="9992" width="15.28515625" style="88" customWidth="1"/>
    <col min="9993" max="9993" width="11.42578125" style="88" customWidth="1"/>
    <col min="9994" max="9994" width="10.7109375" style="88" customWidth="1"/>
    <col min="9995" max="9996" width="9.140625" style="88" customWidth="1"/>
    <col min="9997" max="9997" width="13.140625" style="88" customWidth="1"/>
    <col min="9998" max="9998" width="10.85546875" style="88" customWidth="1"/>
    <col min="9999" max="9999" width="17.42578125" style="88" customWidth="1"/>
    <col min="10000" max="10000" width="9.85546875" style="88" customWidth="1"/>
    <col min="10001" max="10001" width="10.140625" style="88" customWidth="1"/>
    <col min="10002" max="10002" width="30.5703125" style="88" customWidth="1"/>
    <col min="10003" max="10003" width="15" style="88" customWidth="1"/>
    <col min="10004" max="10004" width="15.85546875" style="88" customWidth="1"/>
    <col min="10005" max="10005" width="12.85546875" style="88" customWidth="1"/>
    <col min="10006" max="10006" width="9.5703125" style="88" customWidth="1"/>
    <col min="10007" max="10007" width="16.85546875" style="88" customWidth="1"/>
    <col min="10008" max="10008" width="15.7109375" style="88" customWidth="1"/>
    <col min="10009" max="10009" width="9.28515625" style="88" customWidth="1"/>
    <col min="10010" max="10010" width="11.42578125" style="88" customWidth="1"/>
    <col min="10011" max="10011" width="10.7109375" style="88" customWidth="1"/>
    <col min="10012" max="10012" width="28.140625" style="88" customWidth="1"/>
    <col min="10013" max="10013" width="11" style="88" customWidth="1"/>
    <col min="10014" max="10014" width="10.28515625" style="88" customWidth="1"/>
    <col min="10015" max="10015" width="9.5703125" style="88" customWidth="1"/>
    <col min="10016" max="10016" width="8.28515625" style="88" customWidth="1"/>
    <col min="10017" max="10017" width="7.85546875" style="88" customWidth="1"/>
    <col min="10018" max="10018" width="9.7109375" style="88" customWidth="1"/>
    <col min="10019" max="10019" width="7.85546875" style="88" customWidth="1"/>
    <col min="10020" max="10020" width="8.5703125" style="88" customWidth="1"/>
    <col min="10021" max="10021" width="9.28515625" style="88" customWidth="1"/>
    <col min="10022" max="10022" width="9.140625" style="88" customWidth="1"/>
    <col min="10023" max="10023" width="9" style="88" customWidth="1"/>
    <col min="10024" max="10024" width="8.28515625" style="88" customWidth="1"/>
    <col min="10025" max="10025" width="10" style="88" customWidth="1"/>
    <col min="10026" max="10026" width="10.28515625" style="88" customWidth="1"/>
    <col min="10027" max="10027" width="9" style="88" customWidth="1"/>
    <col min="10028" max="10029" width="9.140625" style="88" customWidth="1"/>
    <col min="10030" max="10030" width="10.28515625" style="88" customWidth="1"/>
    <col min="10031" max="10032" width="9.140625" style="88"/>
    <col min="10033" max="10033" width="10.140625" style="88" customWidth="1"/>
    <col min="10034" max="10035" width="10.7109375" style="88" customWidth="1"/>
    <col min="10036" max="10039" width="11" style="88" customWidth="1"/>
    <col min="10040" max="10040" width="19.5703125" style="88" customWidth="1"/>
    <col min="10041" max="10041" width="18.85546875" style="88" customWidth="1"/>
    <col min="10042" max="10045" width="11" style="88" customWidth="1"/>
    <col min="10046" max="10046" width="15.42578125" style="88" customWidth="1"/>
    <col min="10047" max="10240" width="9.140625" style="88"/>
    <col min="10241" max="10241" width="28.42578125" style="88" customWidth="1"/>
    <col min="10242" max="10242" width="12.42578125" style="88" customWidth="1"/>
    <col min="10243" max="10243" width="15" style="88" customWidth="1"/>
    <col min="10244" max="10244" width="39" style="88" customWidth="1"/>
    <col min="10245" max="10245" width="17.28515625" style="88" customWidth="1"/>
    <col min="10246" max="10246" width="14.5703125" style="88" customWidth="1"/>
    <col min="10247" max="10247" width="10.28515625" style="88" customWidth="1"/>
    <col min="10248" max="10248" width="15.28515625" style="88" customWidth="1"/>
    <col min="10249" max="10249" width="11.42578125" style="88" customWidth="1"/>
    <col min="10250" max="10250" width="10.7109375" style="88" customWidth="1"/>
    <col min="10251" max="10252" width="9.140625" style="88" customWidth="1"/>
    <col min="10253" max="10253" width="13.140625" style="88" customWidth="1"/>
    <col min="10254" max="10254" width="10.85546875" style="88" customWidth="1"/>
    <col min="10255" max="10255" width="17.42578125" style="88" customWidth="1"/>
    <col min="10256" max="10256" width="9.85546875" style="88" customWidth="1"/>
    <col min="10257" max="10257" width="10.140625" style="88" customWidth="1"/>
    <col min="10258" max="10258" width="30.5703125" style="88" customWidth="1"/>
    <col min="10259" max="10259" width="15" style="88" customWidth="1"/>
    <col min="10260" max="10260" width="15.85546875" style="88" customWidth="1"/>
    <col min="10261" max="10261" width="12.85546875" style="88" customWidth="1"/>
    <col min="10262" max="10262" width="9.5703125" style="88" customWidth="1"/>
    <col min="10263" max="10263" width="16.85546875" style="88" customWidth="1"/>
    <col min="10264" max="10264" width="15.7109375" style="88" customWidth="1"/>
    <col min="10265" max="10265" width="9.28515625" style="88" customWidth="1"/>
    <col min="10266" max="10266" width="11.42578125" style="88" customWidth="1"/>
    <col min="10267" max="10267" width="10.7109375" style="88" customWidth="1"/>
    <col min="10268" max="10268" width="28.140625" style="88" customWidth="1"/>
    <col min="10269" max="10269" width="11" style="88" customWidth="1"/>
    <col min="10270" max="10270" width="10.28515625" style="88" customWidth="1"/>
    <col min="10271" max="10271" width="9.5703125" style="88" customWidth="1"/>
    <col min="10272" max="10272" width="8.28515625" style="88" customWidth="1"/>
    <col min="10273" max="10273" width="7.85546875" style="88" customWidth="1"/>
    <col min="10274" max="10274" width="9.7109375" style="88" customWidth="1"/>
    <col min="10275" max="10275" width="7.85546875" style="88" customWidth="1"/>
    <col min="10276" max="10276" width="8.5703125" style="88" customWidth="1"/>
    <col min="10277" max="10277" width="9.28515625" style="88" customWidth="1"/>
    <col min="10278" max="10278" width="9.140625" style="88" customWidth="1"/>
    <col min="10279" max="10279" width="9" style="88" customWidth="1"/>
    <col min="10280" max="10280" width="8.28515625" style="88" customWidth="1"/>
    <col min="10281" max="10281" width="10" style="88" customWidth="1"/>
    <col min="10282" max="10282" width="10.28515625" style="88" customWidth="1"/>
    <col min="10283" max="10283" width="9" style="88" customWidth="1"/>
    <col min="10284" max="10285" width="9.140625" style="88" customWidth="1"/>
    <col min="10286" max="10286" width="10.28515625" style="88" customWidth="1"/>
    <col min="10287" max="10288" width="9.140625" style="88"/>
    <col min="10289" max="10289" width="10.140625" style="88" customWidth="1"/>
    <col min="10290" max="10291" width="10.7109375" style="88" customWidth="1"/>
    <col min="10292" max="10295" width="11" style="88" customWidth="1"/>
    <col min="10296" max="10296" width="19.5703125" style="88" customWidth="1"/>
    <col min="10297" max="10297" width="18.85546875" style="88" customWidth="1"/>
    <col min="10298" max="10301" width="11" style="88" customWidth="1"/>
    <col min="10302" max="10302" width="15.42578125" style="88" customWidth="1"/>
    <col min="10303" max="10496" width="9.140625" style="88"/>
    <col min="10497" max="10497" width="28.42578125" style="88" customWidth="1"/>
    <col min="10498" max="10498" width="12.42578125" style="88" customWidth="1"/>
    <col min="10499" max="10499" width="15" style="88" customWidth="1"/>
    <col min="10500" max="10500" width="39" style="88" customWidth="1"/>
    <col min="10501" max="10501" width="17.28515625" style="88" customWidth="1"/>
    <col min="10502" max="10502" width="14.5703125" style="88" customWidth="1"/>
    <col min="10503" max="10503" width="10.28515625" style="88" customWidth="1"/>
    <col min="10504" max="10504" width="15.28515625" style="88" customWidth="1"/>
    <col min="10505" max="10505" width="11.42578125" style="88" customWidth="1"/>
    <col min="10506" max="10506" width="10.7109375" style="88" customWidth="1"/>
    <col min="10507" max="10508" width="9.140625" style="88" customWidth="1"/>
    <col min="10509" max="10509" width="13.140625" style="88" customWidth="1"/>
    <col min="10510" max="10510" width="10.85546875" style="88" customWidth="1"/>
    <col min="10511" max="10511" width="17.42578125" style="88" customWidth="1"/>
    <col min="10512" max="10512" width="9.85546875" style="88" customWidth="1"/>
    <col min="10513" max="10513" width="10.140625" style="88" customWidth="1"/>
    <col min="10514" max="10514" width="30.5703125" style="88" customWidth="1"/>
    <col min="10515" max="10515" width="15" style="88" customWidth="1"/>
    <col min="10516" max="10516" width="15.85546875" style="88" customWidth="1"/>
    <col min="10517" max="10517" width="12.85546875" style="88" customWidth="1"/>
    <col min="10518" max="10518" width="9.5703125" style="88" customWidth="1"/>
    <col min="10519" max="10519" width="16.85546875" style="88" customWidth="1"/>
    <col min="10520" max="10520" width="15.7109375" style="88" customWidth="1"/>
    <col min="10521" max="10521" width="9.28515625" style="88" customWidth="1"/>
    <col min="10522" max="10522" width="11.42578125" style="88" customWidth="1"/>
    <col min="10523" max="10523" width="10.7109375" style="88" customWidth="1"/>
    <col min="10524" max="10524" width="28.140625" style="88" customWidth="1"/>
    <col min="10525" max="10525" width="11" style="88" customWidth="1"/>
    <col min="10526" max="10526" width="10.28515625" style="88" customWidth="1"/>
    <col min="10527" max="10527" width="9.5703125" style="88" customWidth="1"/>
    <col min="10528" max="10528" width="8.28515625" style="88" customWidth="1"/>
    <col min="10529" max="10529" width="7.85546875" style="88" customWidth="1"/>
    <col min="10530" max="10530" width="9.7109375" style="88" customWidth="1"/>
    <col min="10531" max="10531" width="7.85546875" style="88" customWidth="1"/>
    <col min="10532" max="10532" width="8.5703125" style="88" customWidth="1"/>
    <col min="10533" max="10533" width="9.28515625" style="88" customWidth="1"/>
    <col min="10534" max="10534" width="9.140625" style="88" customWidth="1"/>
    <col min="10535" max="10535" width="9" style="88" customWidth="1"/>
    <col min="10536" max="10536" width="8.28515625" style="88" customWidth="1"/>
    <col min="10537" max="10537" width="10" style="88" customWidth="1"/>
    <col min="10538" max="10538" width="10.28515625" style="88" customWidth="1"/>
    <col min="10539" max="10539" width="9" style="88" customWidth="1"/>
    <col min="10540" max="10541" width="9.140625" style="88" customWidth="1"/>
    <col min="10542" max="10542" width="10.28515625" style="88" customWidth="1"/>
    <col min="10543" max="10544" width="9.140625" style="88"/>
    <col min="10545" max="10545" width="10.140625" style="88" customWidth="1"/>
    <col min="10546" max="10547" width="10.7109375" style="88" customWidth="1"/>
    <col min="10548" max="10551" width="11" style="88" customWidth="1"/>
    <col min="10552" max="10552" width="19.5703125" style="88" customWidth="1"/>
    <col min="10553" max="10553" width="18.85546875" style="88" customWidth="1"/>
    <col min="10554" max="10557" width="11" style="88" customWidth="1"/>
    <col min="10558" max="10558" width="15.42578125" style="88" customWidth="1"/>
    <col min="10559" max="10752" width="9.140625" style="88"/>
    <col min="10753" max="10753" width="28.42578125" style="88" customWidth="1"/>
    <col min="10754" max="10754" width="12.42578125" style="88" customWidth="1"/>
    <col min="10755" max="10755" width="15" style="88" customWidth="1"/>
    <col min="10756" max="10756" width="39" style="88" customWidth="1"/>
    <col min="10757" max="10757" width="17.28515625" style="88" customWidth="1"/>
    <col min="10758" max="10758" width="14.5703125" style="88" customWidth="1"/>
    <col min="10759" max="10759" width="10.28515625" style="88" customWidth="1"/>
    <col min="10760" max="10760" width="15.28515625" style="88" customWidth="1"/>
    <col min="10761" max="10761" width="11.42578125" style="88" customWidth="1"/>
    <col min="10762" max="10762" width="10.7109375" style="88" customWidth="1"/>
    <col min="10763" max="10764" width="9.140625" style="88" customWidth="1"/>
    <col min="10765" max="10765" width="13.140625" style="88" customWidth="1"/>
    <col min="10766" max="10766" width="10.85546875" style="88" customWidth="1"/>
    <col min="10767" max="10767" width="17.42578125" style="88" customWidth="1"/>
    <col min="10768" max="10768" width="9.85546875" style="88" customWidth="1"/>
    <col min="10769" max="10769" width="10.140625" style="88" customWidth="1"/>
    <col min="10770" max="10770" width="30.5703125" style="88" customWidth="1"/>
    <col min="10771" max="10771" width="15" style="88" customWidth="1"/>
    <col min="10772" max="10772" width="15.85546875" style="88" customWidth="1"/>
    <col min="10773" max="10773" width="12.85546875" style="88" customWidth="1"/>
    <col min="10774" max="10774" width="9.5703125" style="88" customWidth="1"/>
    <col min="10775" max="10775" width="16.85546875" style="88" customWidth="1"/>
    <col min="10776" max="10776" width="15.7109375" style="88" customWidth="1"/>
    <col min="10777" max="10777" width="9.28515625" style="88" customWidth="1"/>
    <col min="10778" max="10778" width="11.42578125" style="88" customWidth="1"/>
    <col min="10779" max="10779" width="10.7109375" style="88" customWidth="1"/>
    <col min="10780" max="10780" width="28.140625" style="88" customWidth="1"/>
    <col min="10781" max="10781" width="11" style="88" customWidth="1"/>
    <col min="10782" max="10782" width="10.28515625" style="88" customWidth="1"/>
    <col min="10783" max="10783" width="9.5703125" style="88" customWidth="1"/>
    <col min="10784" max="10784" width="8.28515625" style="88" customWidth="1"/>
    <col min="10785" max="10785" width="7.85546875" style="88" customWidth="1"/>
    <col min="10786" max="10786" width="9.7109375" style="88" customWidth="1"/>
    <col min="10787" max="10787" width="7.85546875" style="88" customWidth="1"/>
    <col min="10788" max="10788" width="8.5703125" style="88" customWidth="1"/>
    <col min="10789" max="10789" width="9.28515625" style="88" customWidth="1"/>
    <col min="10790" max="10790" width="9.140625" style="88" customWidth="1"/>
    <col min="10791" max="10791" width="9" style="88" customWidth="1"/>
    <col min="10792" max="10792" width="8.28515625" style="88" customWidth="1"/>
    <col min="10793" max="10793" width="10" style="88" customWidth="1"/>
    <col min="10794" max="10794" width="10.28515625" style="88" customWidth="1"/>
    <col min="10795" max="10795" width="9" style="88" customWidth="1"/>
    <col min="10796" max="10797" width="9.140625" style="88" customWidth="1"/>
    <col min="10798" max="10798" width="10.28515625" style="88" customWidth="1"/>
    <col min="10799" max="10800" width="9.140625" style="88"/>
    <col min="10801" max="10801" width="10.140625" style="88" customWidth="1"/>
    <col min="10802" max="10803" width="10.7109375" style="88" customWidth="1"/>
    <col min="10804" max="10807" width="11" style="88" customWidth="1"/>
    <col min="10808" max="10808" width="19.5703125" style="88" customWidth="1"/>
    <col min="10809" max="10809" width="18.85546875" style="88" customWidth="1"/>
    <col min="10810" max="10813" width="11" style="88" customWidth="1"/>
    <col min="10814" max="10814" width="15.42578125" style="88" customWidth="1"/>
    <col min="10815" max="11008" width="9.140625" style="88"/>
    <col min="11009" max="11009" width="28.42578125" style="88" customWidth="1"/>
    <col min="11010" max="11010" width="12.42578125" style="88" customWidth="1"/>
    <col min="11011" max="11011" width="15" style="88" customWidth="1"/>
    <col min="11012" max="11012" width="39" style="88" customWidth="1"/>
    <col min="11013" max="11013" width="17.28515625" style="88" customWidth="1"/>
    <col min="11014" max="11014" width="14.5703125" style="88" customWidth="1"/>
    <col min="11015" max="11015" width="10.28515625" style="88" customWidth="1"/>
    <col min="11016" max="11016" width="15.28515625" style="88" customWidth="1"/>
    <col min="11017" max="11017" width="11.42578125" style="88" customWidth="1"/>
    <col min="11018" max="11018" width="10.7109375" style="88" customWidth="1"/>
    <col min="11019" max="11020" width="9.140625" style="88" customWidth="1"/>
    <col min="11021" max="11021" width="13.140625" style="88" customWidth="1"/>
    <col min="11022" max="11022" width="10.85546875" style="88" customWidth="1"/>
    <col min="11023" max="11023" width="17.42578125" style="88" customWidth="1"/>
    <col min="11024" max="11024" width="9.85546875" style="88" customWidth="1"/>
    <col min="11025" max="11025" width="10.140625" style="88" customWidth="1"/>
    <col min="11026" max="11026" width="30.5703125" style="88" customWidth="1"/>
    <col min="11027" max="11027" width="15" style="88" customWidth="1"/>
    <col min="11028" max="11028" width="15.85546875" style="88" customWidth="1"/>
    <col min="11029" max="11029" width="12.85546875" style="88" customWidth="1"/>
    <col min="11030" max="11030" width="9.5703125" style="88" customWidth="1"/>
    <col min="11031" max="11031" width="16.85546875" style="88" customWidth="1"/>
    <col min="11032" max="11032" width="15.7109375" style="88" customWidth="1"/>
    <col min="11033" max="11033" width="9.28515625" style="88" customWidth="1"/>
    <col min="11034" max="11034" width="11.42578125" style="88" customWidth="1"/>
    <col min="11035" max="11035" width="10.7109375" style="88" customWidth="1"/>
    <col min="11036" max="11036" width="28.140625" style="88" customWidth="1"/>
    <col min="11037" max="11037" width="11" style="88" customWidth="1"/>
    <col min="11038" max="11038" width="10.28515625" style="88" customWidth="1"/>
    <col min="11039" max="11039" width="9.5703125" style="88" customWidth="1"/>
    <col min="11040" max="11040" width="8.28515625" style="88" customWidth="1"/>
    <col min="11041" max="11041" width="7.85546875" style="88" customWidth="1"/>
    <col min="11042" max="11042" width="9.7109375" style="88" customWidth="1"/>
    <col min="11043" max="11043" width="7.85546875" style="88" customWidth="1"/>
    <col min="11044" max="11044" width="8.5703125" style="88" customWidth="1"/>
    <col min="11045" max="11045" width="9.28515625" style="88" customWidth="1"/>
    <col min="11046" max="11046" width="9.140625" style="88" customWidth="1"/>
    <col min="11047" max="11047" width="9" style="88" customWidth="1"/>
    <col min="11048" max="11048" width="8.28515625" style="88" customWidth="1"/>
    <col min="11049" max="11049" width="10" style="88" customWidth="1"/>
    <col min="11050" max="11050" width="10.28515625" style="88" customWidth="1"/>
    <col min="11051" max="11051" width="9" style="88" customWidth="1"/>
    <col min="11052" max="11053" width="9.140625" style="88" customWidth="1"/>
    <col min="11054" max="11054" width="10.28515625" style="88" customWidth="1"/>
    <col min="11055" max="11056" width="9.140625" style="88"/>
    <col min="11057" max="11057" width="10.140625" style="88" customWidth="1"/>
    <col min="11058" max="11059" width="10.7109375" style="88" customWidth="1"/>
    <col min="11060" max="11063" width="11" style="88" customWidth="1"/>
    <col min="11064" max="11064" width="19.5703125" style="88" customWidth="1"/>
    <col min="11065" max="11065" width="18.85546875" style="88" customWidth="1"/>
    <col min="11066" max="11069" width="11" style="88" customWidth="1"/>
    <col min="11070" max="11070" width="15.42578125" style="88" customWidth="1"/>
    <col min="11071" max="11264" width="9.140625" style="88"/>
    <col min="11265" max="11265" width="28.42578125" style="88" customWidth="1"/>
    <col min="11266" max="11266" width="12.42578125" style="88" customWidth="1"/>
    <col min="11267" max="11267" width="15" style="88" customWidth="1"/>
    <col min="11268" max="11268" width="39" style="88" customWidth="1"/>
    <col min="11269" max="11269" width="17.28515625" style="88" customWidth="1"/>
    <col min="11270" max="11270" width="14.5703125" style="88" customWidth="1"/>
    <col min="11271" max="11271" width="10.28515625" style="88" customWidth="1"/>
    <col min="11272" max="11272" width="15.28515625" style="88" customWidth="1"/>
    <col min="11273" max="11273" width="11.42578125" style="88" customWidth="1"/>
    <col min="11274" max="11274" width="10.7109375" style="88" customWidth="1"/>
    <col min="11275" max="11276" width="9.140625" style="88" customWidth="1"/>
    <col min="11277" max="11277" width="13.140625" style="88" customWidth="1"/>
    <col min="11278" max="11278" width="10.85546875" style="88" customWidth="1"/>
    <col min="11279" max="11279" width="17.42578125" style="88" customWidth="1"/>
    <col min="11280" max="11280" width="9.85546875" style="88" customWidth="1"/>
    <col min="11281" max="11281" width="10.140625" style="88" customWidth="1"/>
    <col min="11282" max="11282" width="30.5703125" style="88" customWidth="1"/>
    <col min="11283" max="11283" width="15" style="88" customWidth="1"/>
    <col min="11284" max="11284" width="15.85546875" style="88" customWidth="1"/>
    <col min="11285" max="11285" width="12.85546875" style="88" customWidth="1"/>
    <col min="11286" max="11286" width="9.5703125" style="88" customWidth="1"/>
    <col min="11287" max="11287" width="16.85546875" style="88" customWidth="1"/>
    <col min="11288" max="11288" width="15.7109375" style="88" customWidth="1"/>
    <col min="11289" max="11289" width="9.28515625" style="88" customWidth="1"/>
    <col min="11290" max="11290" width="11.42578125" style="88" customWidth="1"/>
    <col min="11291" max="11291" width="10.7109375" style="88" customWidth="1"/>
    <col min="11292" max="11292" width="28.140625" style="88" customWidth="1"/>
    <col min="11293" max="11293" width="11" style="88" customWidth="1"/>
    <col min="11294" max="11294" width="10.28515625" style="88" customWidth="1"/>
    <col min="11295" max="11295" width="9.5703125" style="88" customWidth="1"/>
    <col min="11296" max="11296" width="8.28515625" style="88" customWidth="1"/>
    <col min="11297" max="11297" width="7.85546875" style="88" customWidth="1"/>
    <col min="11298" max="11298" width="9.7109375" style="88" customWidth="1"/>
    <col min="11299" max="11299" width="7.85546875" style="88" customWidth="1"/>
    <col min="11300" max="11300" width="8.5703125" style="88" customWidth="1"/>
    <col min="11301" max="11301" width="9.28515625" style="88" customWidth="1"/>
    <col min="11302" max="11302" width="9.140625" style="88" customWidth="1"/>
    <col min="11303" max="11303" width="9" style="88" customWidth="1"/>
    <col min="11304" max="11304" width="8.28515625" style="88" customWidth="1"/>
    <col min="11305" max="11305" width="10" style="88" customWidth="1"/>
    <col min="11306" max="11306" width="10.28515625" style="88" customWidth="1"/>
    <col min="11307" max="11307" width="9" style="88" customWidth="1"/>
    <col min="11308" max="11309" width="9.140625" style="88" customWidth="1"/>
    <col min="11310" max="11310" width="10.28515625" style="88" customWidth="1"/>
    <col min="11311" max="11312" width="9.140625" style="88"/>
    <col min="11313" max="11313" width="10.140625" style="88" customWidth="1"/>
    <col min="11314" max="11315" width="10.7109375" style="88" customWidth="1"/>
    <col min="11316" max="11319" width="11" style="88" customWidth="1"/>
    <col min="11320" max="11320" width="19.5703125" style="88" customWidth="1"/>
    <col min="11321" max="11321" width="18.85546875" style="88" customWidth="1"/>
    <col min="11322" max="11325" width="11" style="88" customWidth="1"/>
    <col min="11326" max="11326" width="15.42578125" style="88" customWidth="1"/>
    <col min="11327" max="11520" width="9.140625" style="88"/>
    <col min="11521" max="11521" width="28.42578125" style="88" customWidth="1"/>
    <col min="11522" max="11522" width="12.42578125" style="88" customWidth="1"/>
    <col min="11523" max="11523" width="15" style="88" customWidth="1"/>
    <col min="11524" max="11524" width="39" style="88" customWidth="1"/>
    <col min="11525" max="11525" width="17.28515625" style="88" customWidth="1"/>
    <col min="11526" max="11526" width="14.5703125" style="88" customWidth="1"/>
    <col min="11527" max="11527" width="10.28515625" style="88" customWidth="1"/>
    <col min="11528" max="11528" width="15.28515625" style="88" customWidth="1"/>
    <col min="11529" max="11529" width="11.42578125" style="88" customWidth="1"/>
    <col min="11530" max="11530" width="10.7109375" style="88" customWidth="1"/>
    <col min="11531" max="11532" width="9.140625" style="88" customWidth="1"/>
    <col min="11533" max="11533" width="13.140625" style="88" customWidth="1"/>
    <col min="11534" max="11534" width="10.85546875" style="88" customWidth="1"/>
    <col min="11535" max="11535" width="17.42578125" style="88" customWidth="1"/>
    <col min="11536" max="11536" width="9.85546875" style="88" customWidth="1"/>
    <col min="11537" max="11537" width="10.140625" style="88" customWidth="1"/>
    <col min="11538" max="11538" width="30.5703125" style="88" customWidth="1"/>
    <col min="11539" max="11539" width="15" style="88" customWidth="1"/>
    <col min="11540" max="11540" width="15.85546875" style="88" customWidth="1"/>
    <col min="11541" max="11541" width="12.85546875" style="88" customWidth="1"/>
    <col min="11542" max="11542" width="9.5703125" style="88" customWidth="1"/>
    <col min="11543" max="11543" width="16.85546875" style="88" customWidth="1"/>
    <col min="11544" max="11544" width="15.7109375" style="88" customWidth="1"/>
    <col min="11545" max="11545" width="9.28515625" style="88" customWidth="1"/>
    <col min="11546" max="11546" width="11.42578125" style="88" customWidth="1"/>
    <col min="11547" max="11547" width="10.7109375" style="88" customWidth="1"/>
    <col min="11548" max="11548" width="28.140625" style="88" customWidth="1"/>
    <col min="11549" max="11549" width="11" style="88" customWidth="1"/>
    <col min="11550" max="11550" width="10.28515625" style="88" customWidth="1"/>
    <col min="11551" max="11551" width="9.5703125" style="88" customWidth="1"/>
    <col min="11552" max="11552" width="8.28515625" style="88" customWidth="1"/>
    <col min="11553" max="11553" width="7.85546875" style="88" customWidth="1"/>
    <col min="11554" max="11554" width="9.7109375" style="88" customWidth="1"/>
    <col min="11555" max="11555" width="7.85546875" style="88" customWidth="1"/>
    <col min="11556" max="11556" width="8.5703125" style="88" customWidth="1"/>
    <col min="11557" max="11557" width="9.28515625" style="88" customWidth="1"/>
    <col min="11558" max="11558" width="9.140625" style="88" customWidth="1"/>
    <col min="11559" max="11559" width="9" style="88" customWidth="1"/>
    <col min="11560" max="11560" width="8.28515625" style="88" customWidth="1"/>
    <col min="11561" max="11561" width="10" style="88" customWidth="1"/>
    <col min="11562" max="11562" width="10.28515625" style="88" customWidth="1"/>
    <col min="11563" max="11563" width="9" style="88" customWidth="1"/>
    <col min="11564" max="11565" width="9.140625" style="88" customWidth="1"/>
    <col min="11566" max="11566" width="10.28515625" style="88" customWidth="1"/>
    <col min="11567" max="11568" width="9.140625" style="88"/>
    <col min="11569" max="11569" width="10.140625" style="88" customWidth="1"/>
    <col min="11570" max="11571" width="10.7109375" style="88" customWidth="1"/>
    <col min="11572" max="11575" width="11" style="88" customWidth="1"/>
    <col min="11576" max="11576" width="19.5703125" style="88" customWidth="1"/>
    <col min="11577" max="11577" width="18.85546875" style="88" customWidth="1"/>
    <col min="11578" max="11581" width="11" style="88" customWidth="1"/>
    <col min="11582" max="11582" width="15.42578125" style="88" customWidth="1"/>
    <col min="11583" max="11776" width="9.140625" style="88"/>
    <col min="11777" max="11777" width="28.42578125" style="88" customWidth="1"/>
    <col min="11778" max="11778" width="12.42578125" style="88" customWidth="1"/>
    <col min="11779" max="11779" width="15" style="88" customWidth="1"/>
    <col min="11780" max="11780" width="39" style="88" customWidth="1"/>
    <col min="11781" max="11781" width="17.28515625" style="88" customWidth="1"/>
    <col min="11782" max="11782" width="14.5703125" style="88" customWidth="1"/>
    <col min="11783" max="11783" width="10.28515625" style="88" customWidth="1"/>
    <col min="11784" max="11784" width="15.28515625" style="88" customWidth="1"/>
    <col min="11785" max="11785" width="11.42578125" style="88" customWidth="1"/>
    <col min="11786" max="11786" width="10.7109375" style="88" customWidth="1"/>
    <col min="11787" max="11788" width="9.140625" style="88" customWidth="1"/>
    <col min="11789" max="11789" width="13.140625" style="88" customWidth="1"/>
    <col min="11790" max="11790" width="10.85546875" style="88" customWidth="1"/>
    <col min="11791" max="11791" width="17.42578125" style="88" customWidth="1"/>
    <col min="11792" max="11792" width="9.85546875" style="88" customWidth="1"/>
    <col min="11793" max="11793" width="10.140625" style="88" customWidth="1"/>
    <col min="11794" max="11794" width="30.5703125" style="88" customWidth="1"/>
    <col min="11795" max="11795" width="15" style="88" customWidth="1"/>
    <col min="11796" max="11796" width="15.85546875" style="88" customWidth="1"/>
    <col min="11797" max="11797" width="12.85546875" style="88" customWidth="1"/>
    <col min="11798" max="11798" width="9.5703125" style="88" customWidth="1"/>
    <col min="11799" max="11799" width="16.85546875" style="88" customWidth="1"/>
    <col min="11800" max="11800" width="15.7109375" style="88" customWidth="1"/>
    <col min="11801" max="11801" width="9.28515625" style="88" customWidth="1"/>
    <col min="11802" max="11802" width="11.42578125" style="88" customWidth="1"/>
    <col min="11803" max="11803" width="10.7109375" style="88" customWidth="1"/>
    <col min="11804" max="11804" width="28.140625" style="88" customWidth="1"/>
    <col min="11805" max="11805" width="11" style="88" customWidth="1"/>
    <col min="11806" max="11806" width="10.28515625" style="88" customWidth="1"/>
    <col min="11807" max="11807" width="9.5703125" style="88" customWidth="1"/>
    <col min="11808" max="11808" width="8.28515625" style="88" customWidth="1"/>
    <col min="11809" max="11809" width="7.85546875" style="88" customWidth="1"/>
    <col min="11810" max="11810" width="9.7109375" style="88" customWidth="1"/>
    <col min="11811" max="11811" width="7.85546875" style="88" customWidth="1"/>
    <col min="11812" max="11812" width="8.5703125" style="88" customWidth="1"/>
    <col min="11813" max="11813" width="9.28515625" style="88" customWidth="1"/>
    <col min="11814" max="11814" width="9.140625" style="88" customWidth="1"/>
    <col min="11815" max="11815" width="9" style="88" customWidth="1"/>
    <col min="11816" max="11816" width="8.28515625" style="88" customWidth="1"/>
    <col min="11817" max="11817" width="10" style="88" customWidth="1"/>
    <col min="11818" max="11818" width="10.28515625" style="88" customWidth="1"/>
    <col min="11819" max="11819" width="9" style="88" customWidth="1"/>
    <col min="11820" max="11821" width="9.140625" style="88" customWidth="1"/>
    <col min="11822" max="11822" width="10.28515625" style="88" customWidth="1"/>
    <col min="11823" max="11824" width="9.140625" style="88"/>
    <col min="11825" max="11825" width="10.140625" style="88" customWidth="1"/>
    <col min="11826" max="11827" width="10.7109375" style="88" customWidth="1"/>
    <col min="11828" max="11831" width="11" style="88" customWidth="1"/>
    <col min="11832" max="11832" width="19.5703125" style="88" customWidth="1"/>
    <col min="11833" max="11833" width="18.85546875" style="88" customWidth="1"/>
    <col min="11834" max="11837" width="11" style="88" customWidth="1"/>
    <col min="11838" max="11838" width="15.42578125" style="88" customWidth="1"/>
    <col min="11839" max="12032" width="9.140625" style="88"/>
    <col min="12033" max="12033" width="28.42578125" style="88" customWidth="1"/>
    <col min="12034" max="12034" width="12.42578125" style="88" customWidth="1"/>
    <col min="12035" max="12035" width="15" style="88" customWidth="1"/>
    <col min="12036" max="12036" width="39" style="88" customWidth="1"/>
    <col min="12037" max="12037" width="17.28515625" style="88" customWidth="1"/>
    <col min="12038" max="12038" width="14.5703125" style="88" customWidth="1"/>
    <col min="12039" max="12039" width="10.28515625" style="88" customWidth="1"/>
    <col min="12040" max="12040" width="15.28515625" style="88" customWidth="1"/>
    <col min="12041" max="12041" width="11.42578125" style="88" customWidth="1"/>
    <col min="12042" max="12042" width="10.7109375" style="88" customWidth="1"/>
    <col min="12043" max="12044" width="9.140625" style="88" customWidth="1"/>
    <col min="12045" max="12045" width="13.140625" style="88" customWidth="1"/>
    <col min="12046" max="12046" width="10.85546875" style="88" customWidth="1"/>
    <col min="12047" max="12047" width="17.42578125" style="88" customWidth="1"/>
    <col min="12048" max="12048" width="9.85546875" style="88" customWidth="1"/>
    <col min="12049" max="12049" width="10.140625" style="88" customWidth="1"/>
    <col min="12050" max="12050" width="30.5703125" style="88" customWidth="1"/>
    <col min="12051" max="12051" width="15" style="88" customWidth="1"/>
    <col min="12052" max="12052" width="15.85546875" style="88" customWidth="1"/>
    <col min="12053" max="12053" width="12.85546875" style="88" customWidth="1"/>
    <col min="12054" max="12054" width="9.5703125" style="88" customWidth="1"/>
    <col min="12055" max="12055" width="16.85546875" style="88" customWidth="1"/>
    <col min="12056" max="12056" width="15.7109375" style="88" customWidth="1"/>
    <col min="12057" max="12057" width="9.28515625" style="88" customWidth="1"/>
    <col min="12058" max="12058" width="11.42578125" style="88" customWidth="1"/>
    <col min="12059" max="12059" width="10.7109375" style="88" customWidth="1"/>
    <col min="12060" max="12060" width="28.140625" style="88" customWidth="1"/>
    <col min="12061" max="12061" width="11" style="88" customWidth="1"/>
    <col min="12062" max="12062" width="10.28515625" style="88" customWidth="1"/>
    <col min="12063" max="12063" width="9.5703125" style="88" customWidth="1"/>
    <col min="12064" max="12064" width="8.28515625" style="88" customWidth="1"/>
    <col min="12065" max="12065" width="7.85546875" style="88" customWidth="1"/>
    <col min="12066" max="12066" width="9.7109375" style="88" customWidth="1"/>
    <col min="12067" max="12067" width="7.85546875" style="88" customWidth="1"/>
    <col min="12068" max="12068" width="8.5703125" style="88" customWidth="1"/>
    <col min="12069" max="12069" width="9.28515625" style="88" customWidth="1"/>
    <col min="12070" max="12070" width="9.140625" style="88" customWidth="1"/>
    <col min="12071" max="12071" width="9" style="88" customWidth="1"/>
    <col min="12072" max="12072" width="8.28515625" style="88" customWidth="1"/>
    <col min="12073" max="12073" width="10" style="88" customWidth="1"/>
    <col min="12074" max="12074" width="10.28515625" style="88" customWidth="1"/>
    <col min="12075" max="12075" width="9" style="88" customWidth="1"/>
    <col min="12076" max="12077" width="9.140625" style="88" customWidth="1"/>
    <col min="12078" max="12078" width="10.28515625" style="88" customWidth="1"/>
    <col min="12079" max="12080" width="9.140625" style="88"/>
    <col min="12081" max="12081" width="10.140625" style="88" customWidth="1"/>
    <col min="12082" max="12083" width="10.7109375" style="88" customWidth="1"/>
    <col min="12084" max="12087" width="11" style="88" customWidth="1"/>
    <col min="12088" max="12088" width="19.5703125" style="88" customWidth="1"/>
    <col min="12089" max="12089" width="18.85546875" style="88" customWidth="1"/>
    <col min="12090" max="12093" width="11" style="88" customWidth="1"/>
    <col min="12094" max="12094" width="15.42578125" style="88" customWidth="1"/>
    <col min="12095" max="12288" width="9.140625" style="88"/>
    <col min="12289" max="12289" width="28.42578125" style="88" customWidth="1"/>
    <col min="12290" max="12290" width="12.42578125" style="88" customWidth="1"/>
    <col min="12291" max="12291" width="15" style="88" customWidth="1"/>
    <col min="12292" max="12292" width="39" style="88" customWidth="1"/>
    <col min="12293" max="12293" width="17.28515625" style="88" customWidth="1"/>
    <col min="12294" max="12294" width="14.5703125" style="88" customWidth="1"/>
    <col min="12295" max="12295" width="10.28515625" style="88" customWidth="1"/>
    <col min="12296" max="12296" width="15.28515625" style="88" customWidth="1"/>
    <col min="12297" max="12297" width="11.42578125" style="88" customWidth="1"/>
    <col min="12298" max="12298" width="10.7109375" style="88" customWidth="1"/>
    <col min="12299" max="12300" width="9.140625" style="88" customWidth="1"/>
    <col min="12301" max="12301" width="13.140625" style="88" customWidth="1"/>
    <col min="12302" max="12302" width="10.85546875" style="88" customWidth="1"/>
    <col min="12303" max="12303" width="17.42578125" style="88" customWidth="1"/>
    <col min="12304" max="12304" width="9.85546875" style="88" customWidth="1"/>
    <col min="12305" max="12305" width="10.140625" style="88" customWidth="1"/>
    <col min="12306" max="12306" width="30.5703125" style="88" customWidth="1"/>
    <col min="12307" max="12307" width="15" style="88" customWidth="1"/>
    <col min="12308" max="12308" width="15.85546875" style="88" customWidth="1"/>
    <col min="12309" max="12309" width="12.85546875" style="88" customWidth="1"/>
    <col min="12310" max="12310" width="9.5703125" style="88" customWidth="1"/>
    <col min="12311" max="12311" width="16.85546875" style="88" customWidth="1"/>
    <col min="12312" max="12312" width="15.7109375" style="88" customWidth="1"/>
    <col min="12313" max="12313" width="9.28515625" style="88" customWidth="1"/>
    <col min="12314" max="12314" width="11.42578125" style="88" customWidth="1"/>
    <col min="12315" max="12315" width="10.7109375" style="88" customWidth="1"/>
    <col min="12316" max="12316" width="28.140625" style="88" customWidth="1"/>
    <col min="12317" max="12317" width="11" style="88" customWidth="1"/>
    <col min="12318" max="12318" width="10.28515625" style="88" customWidth="1"/>
    <col min="12319" max="12319" width="9.5703125" style="88" customWidth="1"/>
    <col min="12320" max="12320" width="8.28515625" style="88" customWidth="1"/>
    <col min="12321" max="12321" width="7.85546875" style="88" customWidth="1"/>
    <col min="12322" max="12322" width="9.7109375" style="88" customWidth="1"/>
    <col min="12323" max="12323" width="7.85546875" style="88" customWidth="1"/>
    <col min="12324" max="12324" width="8.5703125" style="88" customWidth="1"/>
    <col min="12325" max="12325" width="9.28515625" style="88" customWidth="1"/>
    <col min="12326" max="12326" width="9.140625" style="88" customWidth="1"/>
    <col min="12327" max="12327" width="9" style="88" customWidth="1"/>
    <col min="12328" max="12328" width="8.28515625" style="88" customWidth="1"/>
    <col min="12329" max="12329" width="10" style="88" customWidth="1"/>
    <col min="12330" max="12330" width="10.28515625" style="88" customWidth="1"/>
    <col min="12331" max="12331" width="9" style="88" customWidth="1"/>
    <col min="12332" max="12333" width="9.140625" style="88" customWidth="1"/>
    <col min="12334" max="12334" width="10.28515625" style="88" customWidth="1"/>
    <col min="12335" max="12336" width="9.140625" style="88"/>
    <col min="12337" max="12337" width="10.140625" style="88" customWidth="1"/>
    <col min="12338" max="12339" width="10.7109375" style="88" customWidth="1"/>
    <col min="12340" max="12343" width="11" style="88" customWidth="1"/>
    <col min="12344" max="12344" width="19.5703125" style="88" customWidth="1"/>
    <col min="12345" max="12345" width="18.85546875" style="88" customWidth="1"/>
    <col min="12346" max="12349" width="11" style="88" customWidth="1"/>
    <col min="12350" max="12350" width="15.42578125" style="88" customWidth="1"/>
    <col min="12351" max="12544" width="9.140625" style="88"/>
    <col min="12545" max="12545" width="28.42578125" style="88" customWidth="1"/>
    <col min="12546" max="12546" width="12.42578125" style="88" customWidth="1"/>
    <col min="12547" max="12547" width="15" style="88" customWidth="1"/>
    <col min="12548" max="12548" width="39" style="88" customWidth="1"/>
    <col min="12549" max="12549" width="17.28515625" style="88" customWidth="1"/>
    <col min="12550" max="12550" width="14.5703125" style="88" customWidth="1"/>
    <col min="12551" max="12551" width="10.28515625" style="88" customWidth="1"/>
    <col min="12552" max="12552" width="15.28515625" style="88" customWidth="1"/>
    <col min="12553" max="12553" width="11.42578125" style="88" customWidth="1"/>
    <col min="12554" max="12554" width="10.7109375" style="88" customWidth="1"/>
    <col min="12555" max="12556" width="9.140625" style="88" customWidth="1"/>
    <col min="12557" max="12557" width="13.140625" style="88" customWidth="1"/>
    <col min="12558" max="12558" width="10.85546875" style="88" customWidth="1"/>
    <col min="12559" max="12559" width="17.42578125" style="88" customWidth="1"/>
    <col min="12560" max="12560" width="9.85546875" style="88" customWidth="1"/>
    <col min="12561" max="12561" width="10.140625" style="88" customWidth="1"/>
    <col min="12562" max="12562" width="30.5703125" style="88" customWidth="1"/>
    <col min="12563" max="12563" width="15" style="88" customWidth="1"/>
    <col min="12564" max="12564" width="15.85546875" style="88" customWidth="1"/>
    <col min="12565" max="12565" width="12.85546875" style="88" customWidth="1"/>
    <col min="12566" max="12566" width="9.5703125" style="88" customWidth="1"/>
    <col min="12567" max="12567" width="16.85546875" style="88" customWidth="1"/>
    <col min="12568" max="12568" width="15.7109375" style="88" customWidth="1"/>
    <col min="12569" max="12569" width="9.28515625" style="88" customWidth="1"/>
    <col min="12570" max="12570" width="11.42578125" style="88" customWidth="1"/>
    <col min="12571" max="12571" width="10.7109375" style="88" customWidth="1"/>
    <col min="12572" max="12572" width="28.140625" style="88" customWidth="1"/>
    <col min="12573" max="12573" width="11" style="88" customWidth="1"/>
    <col min="12574" max="12574" width="10.28515625" style="88" customWidth="1"/>
    <col min="12575" max="12575" width="9.5703125" style="88" customWidth="1"/>
    <col min="12576" max="12576" width="8.28515625" style="88" customWidth="1"/>
    <col min="12577" max="12577" width="7.85546875" style="88" customWidth="1"/>
    <col min="12578" max="12578" width="9.7109375" style="88" customWidth="1"/>
    <col min="12579" max="12579" width="7.85546875" style="88" customWidth="1"/>
    <col min="12580" max="12580" width="8.5703125" style="88" customWidth="1"/>
    <col min="12581" max="12581" width="9.28515625" style="88" customWidth="1"/>
    <col min="12582" max="12582" width="9.140625" style="88" customWidth="1"/>
    <col min="12583" max="12583" width="9" style="88" customWidth="1"/>
    <col min="12584" max="12584" width="8.28515625" style="88" customWidth="1"/>
    <col min="12585" max="12585" width="10" style="88" customWidth="1"/>
    <col min="12586" max="12586" width="10.28515625" style="88" customWidth="1"/>
    <col min="12587" max="12587" width="9" style="88" customWidth="1"/>
    <col min="12588" max="12589" width="9.140625" style="88" customWidth="1"/>
    <col min="12590" max="12590" width="10.28515625" style="88" customWidth="1"/>
    <col min="12591" max="12592" width="9.140625" style="88"/>
    <col min="12593" max="12593" width="10.140625" style="88" customWidth="1"/>
    <col min="12594" max="12595" width="10.7109375" style="88" customWidth="1"/>
    <col min="12596" max="12599" width="11" style="88" customWidth="1"/>
    <col min="12600" max="12600" width="19.5703125" style="88" customWidth="1"/>
    <col min="12601" max="12601" width="18.85546875" style="88" customWidth="1"/>
    <col min="12602" max="12605" width="11" style="88" customWidth="1"/>
    <col min="12606" max="12606" width="15.42578125" style="88" customWidth="1"/>
    <col min="12607" max="12800" width="9.140625" style="88"/>
    <col min="12801" max="12801" width="28.42578125" style="88" customWidth="1"/>
    <col min="12802" max="12802" width="12.42578125" style="88" customWidth="1"/>
    <col min="12803" max="12803" width="15" style="88" customWidth="1"/>
    <col min="12804" max="12804" width="39" style="88" customWidth="1"/>
    <col min="12805" max="12805" width="17.28515625" style="88" customWidth="1"/>
    <col min="12806" max="12806" width="14.5703125" style="88" customWidth="1"/>
    <col min="12807" max="12807" width="10.28515625" style="88" customWidth="1"/>
    <col min="12808" max="12808" width="15.28515625" style="88" customWidth="1"/>
    <col min="12809" max="12809" width="11.42578125" style="88" customWidth="1"/>
    <col min="12810" max="12810" width="10.7109375" style="88" customWidth="1"/>
    <col min="12811" max="12812" width="9.140625" style="88" customWidth="1"/>
    <col min="12813" max="12813" width="13.140625" style="88" customWidth="1"/>
    <col min="12814" max="12814" width="10.85546875" style="88" customWidth="1"/>
    <col min="12815" max="12815" width="17.42578125" style="88" customWidth="1"/>
    <col min="12816" max="12816" width="9.85546875" style="88" customWidth="1"/>
    <col min="12817" max="12817" width="10.140625" style="88" customWidth="1"/>
    <col min="12818" max="12818" width="30.5703125" style="88" customWidth="1"/>
    <col min="12819" max="12819" width="15" style="88" customWidth="1"/>
    <col min="12820" max="12820" width="15.85546875" style="88" customWidth="1"/>
    <col min="12821" max="12821" width="12.85546875" style="88" customWidth="1"/>
    <col min="12822" max="12822" width="9.5703125" style="88" customWidth="1"/>
    <col min="12823" max="12823" width="16.85546875" style="88" customWidth="1"/>
    <col min="12824" max="12824" width="15.7109375" style="88" customWidth="1"/>
    <col min="12825" max="12825" width="9.28515625" style="88" customWidth="1"/>
    <col min="12826" max="12826" width="11.42578125" style="88" customWidth="1"/>
    <col min="12827" max="12827" width="10.7109375" style="88" customWidth="1"/>
    <col min="12828" max="12828" width="28.140625" style="88" customWidth="1"/>
    <col min="12829" max="12829" width="11" style="88" customWidth="1"/>
    <col min="12830" max="12830" width="10.28515625" style="88" customWidth="1"/>
    <col min="12831" max="12831" width="9.5703125" style="88" customWidth="1"/>
    <col min="12832" max="12832" width="8.28515625" style="88" customWidth="1"/>
    <col min="12833" max="12833" width="7.85546875" style="88" customWidth="1"/>
    <col min="12834" max="12834" width="9.7109375" style="88" customWidth="1"/>
    <col min="12835" max="12835" width="7.85546875" style="88" customWidth="1"/>
    <col min="12836" max="12836" width="8.5703125" style="88" customWidth="1"/>
    <col min="12837" max="12837" width="9.28515625" style="88" customWidth="1"/>
    <col min="12838" max="12838" width="9.140625" style="88" customWidth="1"/>
    <col min="12839" max="12839" width="9" style="88" customWidth="1"/>
    <col min="12840" max="12840" width="8.28515625" style="88" customWidth="1"/>
    <col min="12841" max="12841" width="10" style="88" customWidth="1"/>
    <col min="12842" max="12842" width="10.28515625" style="88" customWidth="1"/>
    <col min="12843" max="12843" width="9" style="88" customWidth="1"/>
    <col min="12844" max="12845" width="9.140625" style="88" customWidth="1"/>
    <col min="12846" max="12846" width="10.28515625" style="88" customWidth="1"/>
    <col min="12847" max="12848" width="9.140625" style="88"/>
    <col min="12849" max="12849" width="10.140625" style="88" customWidth="1"/>
    <col min="12850" max="12851" width="10.7109375" style="88" customWidth="1"/>
    <col min="12852" max="12855" width="11" style="88" customWidth="1"/>
    <col min="12856" max="12856" width="19.5703125" style="88" customWidth="1"/>
    <col min="12857" max="12857" width="18.85546875" style="88" customWidth="1"/>
    <col min="12858" max="12861" width="11" style="88" customWidth="1"/>
    <col min="12862" max="12862" width="15.42578125" style="88" customWidth="1"/>
    <col min="12863" max="13056" width="9.140625" style="88"/>
    <col min="13057" max="13057" width="28.42578125" style="88" customWidth="1"/>
    <col min="13058" max="13058" width="12.42578125" style="88" customWidth="1"/>
    <col min="13059" max="13059" width="15" style="88" customWidth="1"/>
    <col min="13060" max="13060" width="39" style="88" customWidth="1"/>
    <col min="13061" max="13061" width="17.28515625" style="88" customWidth="1"/>
    <col min="13062" max="13062" width="14.5703125" style="88" customWidth="1"/>
    <col min="13063" max="13063" width="10.28515625" style="88" customWidth="1"/>
    <col min="13064" max="13064" width="15.28515625" style="88" customWidth="1"/>
    <col min="13065" max="13065" width="11.42578125" style="88" customWidth="1"/>
    <col min="13066" max="13066" width="10.7109375" style="88" customWidth="1"/>
    <col min="13067" max="13068" width="9.140625" style="88" customWidth="1"/>
    <col min="13069" max="13069" width="13.140625" style="88" customWidth="1"/>
    <col min="13070" max="13070" width="10.85546875" style="88" customWidth="1"/>
    <col min="13071" max="13071" width="17.42578125" style="88" customWidth="1"/>
    <col min="13072" max="13072" width="9.85546875" style="88" customWidth="1"/>
    <col min="13073" max="13073" width="10.140625" style="88" customWidth="1"/>
    <col min="13074" max="13074" width="30.5703125" style="88" customWidth="1"/>
    <col min="13075" max="13075" width="15" style="88" customWidth="1"/>
    <col min="13076" max="13076" width="15.85546875" style="88" customWidth="1"/>
    <col min="13077" max="13077" width="12.85546875" style="88" customWidth="1"/>
    <col min="13078" max="13078" width="9.5703125" style="88" customWidth="1"/>
    <col min="13079" max="13079" width="16.85546875" style="88" customWidth="1"/>
    <col min="13080" max="13080" width="15.7109375" style="88" customWidth="1"/>
    <col min="13081" max="13081" width="9.28515625" style="88" customWidth="1"/>
    <col min="13082" max="13082" width="11.42578125" style="88" customWidth="1"/>
    <col min="13083" max="13083" width="10.7109375" style="88" customWidth="1"/>
    <col min="13084" max="13084" width="28.140625" style="88" customWidth="1"/>
    <col min="13085" max="13085" width="11" style="88" customWidth="1"/>
    <col min="13086" max="13086" width="10.28515625" style="88" customWidth="1"/>
    <col min="13087" max="13087" width="9.5703125" style="88" customWidth="1"/>
    <col min="13088" max="13088" width="8.28515625" style="88" customWidth="1"/>
    <col min="13089" max="13089" width="7.85546875" style="88" customWidth="1"/>
    <col min="13090" max="13090" width="9.7109375" style="88" customWidth="1"/>
    <col min="13091" max="13091" width="7.85546875" style="88" customWidth="1"/>
    <col min="13092" max="13092" width="8.5703125" style="88" customWidth="1"/>
    <col min="13093" max="13093" width="9.28515625" style="88" customWidth="1"/>
    <col min="13094" max="13094" width="9.140625" style="88" customWidth="1"/>
    <col min="13095" max="13095" width="9" style="88" customWidth="1"/>
    <col min="13096" max="13096" width="8.28515625" style="88" customWidth="1"/>
    <col min="13097" max="13097" width="10" style="88" customWidth="1"/>
    <col min="13098" max="13098" width="10.28515625" style="88" customWidth="1"/>
    <col min="13099" max="13099" width="9" style="88" customWidth="1"/>
    <col min="13100" max="13101" width="9.140625" style="88" customWidth="1"/>
    <col min="13102" max="13102" width="10.28515625" style="88" customWidth="1"/>
    <col min="13103" max="13104" width="9.140625" style="88"/>
    <col min="13105" max="13105" width="10.140625" style="88" customWidth="1"/>
    <col min="13106" max="13107" width="10.7109375" style="88" customWidth="1"/>
    <col min="13108" max="13111" width="11" style="88" customWidth="1"/>
    <col min="13112" max="13112" width="19.5703125" style="88" customWidth="1"/>
    <col min="13113" max="13113" width="18.85546875" style="88" customWidth="1"/>
    <col min="13114" max="13117" width="11" style="88" customWidth="1"/>
    <col min="13118" max="13118" width="15.42578125" style="88" customWidth="1"/>
    <col min="13119" max="13312" width="9.140625" style="88"/>
    <col min="13313" max="13313" width="28.42578125" style="88" customWidth="1"/>
    <col min="13314" max="13314" width="12.42578125" style="88" customWidth="1"/>
    <col min="13315" max="13315" width="15" style="88" customWidth="1"/>
    <col min="13316" max="13316" width="39" style="88" customWidth="1"/>
    <col min="13317" max="13317" width="17.28515625" style="88" customWidth="1"/>
    <col min="13318" max="13318" width="14.5703125" style="88" customWidth="1"/>
    <col min="13319" max="13319" width="10.28515625" style="88" customWidth="1"/>
    <col min="13320" max="13320" width="15.28515625" style="88" customWidth="1"/>
    <col min="13321" max="13321" width="11.42578125" style="88" customWidth="1"/>
    <col min="13322" max="13322" width="10.7109375" style="88" customWidth="1"/>
    <col min="13323" max="13324" width="9.140625" style="88" customWidth="1"/>
    <col min="13325" max="13325" width="13.140625" style="88" customWidth="1"/>
    <col min="13326" max="13326" width="10.85546875" style="88" customWidth="1"/>
    <col min="13327" max="13327" width="17.42578125" style="88" customWidth="1"/>
    <col min="13328" max="13328" width="9.85546875" style="88" customWidth="1"/>
    <col min="13329" max="13329" width="10.140625" style="88" customWidth="1"/>
    <col min="13330" max="13330" width="30.5703125" style="88" customWidth="1"/>
    <col min="13331" max="13331" width="15" style="88" customWidth="1"/>
    <col min="13332" max="13332" width="15.85546875" style="88" customWidth="1"/>
    <col min="13333" max="13333" width="12.85546875" style="88" customWidth="1"/>
    <col min="13334" max="13334" width="9.5703125" style="88" customWidth="1"/>
    <col min="13335" max="13335" width="16.85546875" style="88" customWidth="1"/>
    <col min="13336" max="13336" width="15.7109375" style="88" customWidth="1"/>
    <col min="13337" max="13337" width="9.28515625" style="88" customWidth="1"/>
    <col min="13338" max="13338" width="11.42578125" style="88" customWidth="1"/>
    <col min="13339" max="13339" width="10.7109375" style="88" customWidth="1"/>
    <col min="13340" max="13340" width="28.140625" style="88" customWidth="1"/>
    <col min="13341" max="13341" width="11" style="88" customWidth="1"/>
    <col min="13342" max="13342" width="10.28515625" style="88" customWidth="1"/>
    <col min="13343" max="13343" width="9.5703125" style="88" customWidth="1"/>
    <col min="13344" max="13344" width="8.28515625" style="88" customWidth="1"/>
    <col min="13345" max="13345" width="7.85546875" style="88" customWidth="1"/>
    <col min="13346" max="13346" width="9.7109375" style="88" customWidth="1"/>
    <col min="13347" max="13347" width="7.85546875" style="88" customWidth="1"/>
    <col min="13348" max="13348" width="8.5703125" style="88" customWidth="1"/>
    <col min="13349" max="13349" width="9.28515625" style="88" customWidth="1"/>
    <col min="13350" max="13350" width="9.140625" style="88" customWidth="1"/>
    <col min="13351" max="13351" width="9" style="88" customWidth="1"/>
    <col min="13352" max="13352" width="8.28515625" style="88" customWidth="1"/>
    <col min="13353" max="13353" width="10" style="88" customWidth="1"/>
    <col min="13354" max="13354" width="10.28515625" style="88" customWidth="1"/>
    <col min="13355" max="13355" width="9" style="88" customWidth="1"/>
    <col min="13356" max="13357" width="9.140625" style="88" customWidth="1"/>
    <col min="13358" max="13358" width="10.28515625" style="88" customWidth="1"/>
    <col min="13359" max="13360" width="9.140625" style="88"/>
    <col min="13361" max="13361" width="10.140625" style="88" customWidth="1"/>
    <col min="13362" max="13363" width="10.7109375" style="88" customWidth="1"/>
    <col min="13364" max="13367" width="11" style="88" customWidth="1"/>
    <col min="13368" max="13368" width="19.5703125" style="88" customWidth="1"/>
    <col min="13369" max="13369" width="18.85546875" style="88" customWidth="1"/>
    <col min="13370" max="13373" width="11" style="88" customWidth="1"/>
    <col min="13374" max="13374" width="15.42578125" style="88" customWidth="1"/>
    <col min="13375" max="13568" width="9.140625" style="88"/>
    <col min="13569" max="13569" width="28.42578125" style="88" customWidth="1"/>
    <col min="13570" max="13570" width="12.42578125" style="88" customWidth="1"/>
    <col min="13571" max="13571" width="15" style="88" customWidth="1"/>
    <col min="13572" max="13572" width="39" style="88" customWidth="1"/>
    <col min="13573" max="13573" width="17.28515625" style="88" customWidth="1"/>
    <col min="13574" max="13574" width="14.5703125" style="88" customWidth="1"/>
    <col min="13575" max="13575" width="10.28515625" style="88" customWidth="1"/>
    <col min="13576" max="13576" width="15.28515625" style="88" customWidth="1"/>
    <col min="13577" max="13577" width="11.42578125" style="88" customWidth="1"/>
    <col min="13578" max="13578" width="10.7109375" style="88" customWidth="1"/>
    <col min="13579" max="13580" width="9.140625" style="88" customWidth="1"/>
    <col min="13581" max="13581" width="13.140625" style="88" customWidth="1"/>
    <col min="13582" max="13582" width="10.85546875" style="88" customWidth="1"/>
    <col min="13583" max="13583" width="17.42578125" style="88" customWidth="1"/>
    <col min="13584" max="13584" width="9.85546875" style="88" customWidth="1"/>
    <col min="13585" max="13585" width="10.140625" style="88" customWidth="1"/>
    <col min="13586" max="13586" width="30.5703125" style="88" customWidth="1"/>
    <col min="13587" max="13587" width="15" style="88" customWidth="1"/>
    <col min="13588" max="13588" width="15.85546875" style="88" customWidth="1"/>
    <col min="13589" max="13589" width="12.85546875" style="88" customWidth="1"/>
    <col min="13590" max="13590" width="9.5703125" style="88" customWidth="1"/>
    <col min="13591" max="13591" width="16.85546875" style="88" customWidth="1"/>
    <col min="13592" max="13592" width="15.7109375" style="88" customWidth="1"/>
    <col min="13593" max="13593" width="9.28515625" style="88" customWidth="1"/>
    <col min="13594" max="13594" width="11.42578125" style="88" customWidth="1"/>
    <col min="13595" max="13595" width="10.7109375" style="88" customWidth="1"/>
    <col min="13596" max="13596" width="28.140625" style="88" customWidth="1"/>
    <col min="13597" max="13597" width="11" style="88" customWidth="1"/>
    <col min="13598" max="13598" width="10.28515625" style="88" customWidth="1"/>
    <col min="13599" max="13599" width="9.5703125" style="88" customWidth="1"/>
    <col min="13600" max="13600" width="8.28515625" style="88" customWidth="1"/>
    <col min="13601" max="13601" width="7.85546875" style="88" customWidth="1"/>
    <col min="13602" max="13602" width="9.7109375" style="88" customWidth="1"/>
    <col min="13603" max="13603" width="7.85546875" style="88" customWidth="1"/>
    <col min="13604" max="13604" width="8.5703125" style="88" customWidth="1"/>
    <col min="13605" max="13605" width="9.28515625" style="88" customWidth="1"/>
    <col min="13606" max="13606" width="9.140625" style="88" customWidth="1"/>
    <col min="13607" max="13607" width="9" style="88" customWidth="1"/>
    <col min="13608" max="13608" width="8.28515625" style="88" customWidth="1"/>
    <col min="13609" max="13609" width="10" style="88" customWidth="1"/>
    <col min="13610" max="13610" width="10.28515625" style="88" customWidth="1"/>
    <col min="13611" max="13611" width="9" style="88" customWidth="1"/>
    <col min="13612" max="13613" width="9.140625" style="88" customWidth="1"/>
    <col min="13614" max="13614" width="10.28515625" style="88" customWidth="1"/>
    <col min="13615" max="13616" width="9.140625" style="88"/>
    <col min="13617" max="13617" width="10.140625" style="88" customWidth="1"/>
    <col min="13618" max="13619" width="10.7109375" style="88" customWidth="1"/>
    <col min="13620" max="13623" width="11" style="88" customWidth="1"/>
    <col min="13624" max="13624" width="19.5703125" style="88" customWidth="1"/>
    <col min="13625" max="13625" width="18.85546875" style="88" customWidth="1"/>
    <col min="13626" max="13629" width="11" style="88" customWidth="1"/>
    <col min="13630" max="13630" width="15.42578125" style="88" customWidth="1"/>
    <col min="13631" max="13824" width="9.140625" style="88"/>
    <col min="13825" max="13825" width="28.42578125" style="88" customWidth="1"/>
    <col min="13826" max="13826" width="12.42578125" style="88" customWidth="1"/>
    <col min="13827" max="13827" width="15" style="88" customWidth="1"/>
    <col min="13828" max="13828" width="39" style="88" customWidth="1"/>
    <col min="13829" max="13829" width="17.28515625" style="88" customWidth="1"/>
    <col min="13830" max="13830" width="14.5703125" style="88" customWidth="1"/>
    <col min="13831" max="13831" width="10.28515625" style="88" customWidth="1"/>
    <col min="13832" max="13832" width="15.28515625" style="88" customWidth="1"/>
    <col min="13833" max="13833" width="11.42578125" style="88" customWidth="1"/>
    <col min="13834" max="13834" width="10.7109375" style="88" customWidth="1"/>
    <col min="13835" max="13836" width="9.140625" style="88" customWidth="1"/>
    <col min="13837" max="13837" width="13.140625" style="88" customWidth="1"/>
    <col min="13838" max="13838" width="10.85546875" style="88" customWidth="1"/>
    <col min="13839" max="13839" width="17.42578125" style="88" customWidth="1"/>
    <col min="13840" max="13840" width="9.85546875" style="88" customWidth="1"/>
    <col min="13841" max="13841" width="10.140625" style="88" customWidth="1"/>
    <col min="13842" max="13842" width="30.5703125" style="88" customWidth="1"/>
    <col min="13843" max="13843" width="15" style="88" customWidth="1"/>
    <col min="13844" max="13844" width="15.85546875" style="88" customWidth="1"/>
    <col min="13845" max="13845" width="12.85546875" style="88" customWidth="1"/>
    <col min="13846" max="13846" width="9.5703125" style="88" customWidth="1"/>
    <col min="13847" max="13847" width="16.85546875" style="88" customWidth="1"/>
    <col min="13848" max="13848" width="15.7109375" style="88" customWidth="1"/>
    <col min="13849" max="13849" width="9.28515625" style="88" customWidth="1"/>
    <col min="13850" max="13850" width="11.42578125" style="88" customWidth="1"/>
    <col min="13851" max="13851" width="10.7109375" style="88" customWidth="1"/>
    <col min="13852" max="13852" width="28.140625" style="88" customWidth="1"/>
    <col min="13853" max="13853" width="11" style="88" customWidth="1"/>
    <col min="13854" max="13854" width="10.28515625" style="88" customWidth="1"/>
    <col min="13855" max="13855" width="9.5703125" style="88" customWidth="1"/>
    <col min="13856" max="13856" width="8.28515625" style="88" customWidth="1"/>
    <col min="13857" max="13857" width="7.85546875" style="88" customWidth="1"/>
    <col min="13858" max="13858" width="9.7109375" style="88" customWidth="1"/>
    <col min="13859" max="13859" width="7.85546875" style="88" customWidth="1"/>
    <col min="13860" max="13860" width="8.5703125" style="88" customWidth="1"/>
    <col min="13861" max="13861" width="9.28515625" style="88" customWidth="1"/>
    <col min="13862" max="13862" width="9.140625" style="88" customWidth="1"/>
    <col min="13863" max="13863" width="9" style="88" customWidth="1"/>
    <col min="13864" max="13864" width="8.28515625" style="88" customWidth="1"/>
    <col min="13865" max="13865" width="10" style="88" customWidth="1"/>
    <col min="13866" max="13866" width="10.28515625" style="88" customWidth="1"/>
    <col min="13867" max="13867" width="9" style="88" customWidth="1"/>
    <col min="13868" max="13869" width="9.140625" style="88" customWidth="1"/>
    <col min="13870" max="13870" width="10.28515625" style="88" customWidth="1"/>
    <col min="13871" max="13872" width="9.140625" style="88"/>
    <col min="13873" max="13873" width="10.140625" style="88" customWidth="1"/>
    <col min="13874" max="13875" width="10.7109375" style="88" customWidth="1"/>
    <col min="13876" max="13879" width="11" style="88" customWidth="1"/>
    <col min="13880" max="13880" width="19.5703125" style="88" customWidth="1"/>
    <col min="13881" max="13881" width="18.85546875" style="88" customWidth="1"/>
    <col min="13882" max="13885" width="11" style="88" customWidth="1"/>
    <col min="13886" max="13886" width="15.42578125" style="88" customWidth="1"/>
    <col min="13887" max="14080" width="9.140625" style="88"/>
    <col min="14081" max="14081" width="28.42578125" style="88" customWidth="1"/>
    <col min="14082" max="14082" width="12.42578125" style="88" customWidth="1"/>
    <col min="14083" max="14083" width="15" style="88" customWidth="1"/>
    <col min="14084" max="14084" width="39" style="88" customWidth="1"/>
    <col min="14085" max="14085" width="17.28515625" style="88" customWidth="1"/>
    <col min="14086" max="14086" width="14.5703125" style="88" customWidth="1"/>
    <col min="14087" max="14087" width="10.28515625" style="88" customWidth="1"/>
    <col min="14088" max="14088" width="15.28515625" style="88" customWidth="1"/>
    <col min="14089" max="14089" width="11.42578125" style="88" customWidth="1"/>
    <col min="14090" max="14090" width="10.7109375" style="88" customWidth="1"/>
    <col min="14091" max="14092" width="9.140625" style="88" customWidth="1"/>
    <col min="14093" max="14093" width="13.140625" style="88" customWidth="1"/>
    <col min="14094" max="14094" width="10.85546875" style="88" customWidth="1"/>
    <col min="14095" max="14095" width="17.42578125" style="88" customWidth="1"/>
    <col min="14096" max="14096" width="9.85546875" style="88" customWidth="1"/>
    <col min="14097" max="14097" width="10.140625" style="88" customWidth="1"/>
    <col min="14098" max="14098" width="30.5703125" style="88" customWidth="1"/>
    <col min="14099" max="14099" width="15" style="88" customWidth="1"/>
    <col min="14100" max="14100" width="15.85546875" style="88" customWidth="1"/>
    <col min="14101" max="14101" width="12.85546875" style="88" customWidth="1"/>
    <col min="14102" max="14102" width="9.5703125" style="88" customWidth="1"/>
    <col min="14103" max="14103" width="16.85546875" style="88" customWidth="1"/>
    <col min="14104" max="14104" width="15.7109375" style="88" customWidth="1"/>
    <col min="14105" max="14105" width="9.28515625" style="88" customWidth="1"/>
    <col min="14106" max="14106" width="11.42578125" style="88" customWidth="1"/>
    <col min="14107" max="14107" width="10.7109375" style="88" customWidth="1"/>
    <col min="14108" max="14108" width="28.140625" style="88" customWidth="1"/>
    <col min="14109" max="14109" width="11" style="88" customWidth="1"/>
    <col min="14110" max="14110" width="10.28515625" style="88" customWidth="1"/>
    <col min="14111" max="14111" width="9.5703125" style="88" customWidth="1"/>
    <col min="14112" max="14112" width="8.28515625" style="88" customWidth="1"/>
    <col min="14113" max="14113" width="7.85546875" style="88" customWidth="1"/>
    <col min="14114" max="14114" width="9.7109375" style="88" customWidth="1"/>
    <col min="14115" max="14115" width="7.85546875" style="88" customWidth="1"/>
    <col min="14116" max="14116" width="8.5703125" style="88" customWidth="1"/>
    <col min="14117" max="14117" width="9.28515625" style="88" customWidth="1"/>
    <col min="14118" max="14118" width="9.140625" style="88" customWidth="1"/>
    <col min="14119" max="14119" width="9" style="88" customWidth="1"/>
    <col min="14120" max="14120" width="8.28515625" style="88" customWidth="1"/>
    <col min="14121" max="14121" width="10" style="88" customWidth="1"/>
    <col min="14122" max="14122" width="10.28515625" style="88" customWidth="1"/>
    <col min="14123" max="14123" width="9" style="88" customWidth="1"/>
    <col min="14124" max="14125" width="9.140625" style="88" customWidth="1"/>
    <col min="14126" max="14126" width="10.28515625" style="88" customWidth="1"/>
    <col min="14127" max="14128" width="9.140625" style="88"/>
    <col min="14129" max="14129" width="10.140625" style="88" customWidth="1"/>
    <col min="14130" max="14131" width="10.7109375" style="88" customWidth="1"/>
    <col min="14132" max="14135" width="11" style="88" customWidth="1"/>
    <col min="14136" max="14136" width="19.5703125" style="88" customWidth="1"/>
    <col min="14137" max="14137" width="18.85546875" style="88" customWidth="1"/>
    <col min="14138" max="14141" width="11" style="88" customWidth="1"/>
    <col min="14142" max="14142" width="15.42578125" style="88" customWidth="1"/>
    <col min="14143" max="14336" width="9.140625" style="88"/>
    <col min="14337" max="14337" width="28.42578125" style="88" customWidth="1"/>
    <col min="14338" max="14338" width="12.42578125" style="88" customWidth="1"/>
    <col min="14339" max="14339" width="15" style="88" customWidth="1"/>
    <col min="14340" max="14340" width="39" style="88" customWidth="1"/>
    <col min="14341" max="14341" width="17.28515625" style="88" customWidth="1"/>
    <col min="14342" max="14342" width="14.5703125" style="88" customWidth="1"/>
    <col min="14343" max="14343" width="10.28515625" style="88" customWidth="1"/>
    <col min="14344" max="14344" width="15.28515625" style="88" customWidth="1"/>
    <col min="14345" max="14345" width="11.42578125" style="88" customWidth="1"/>
    <col min="14346" max="14346" width="10.7109375" style="88" customWidth="1"/>
    <col min="14347" max="14348" width="9.140625" style="88" customWidth="1"/>
    <col min="14349" max="14349" width="13.140625" style="88" customWidth="1"/>
    <col min="14350" max="14350" width="10.85546875" style="88" customWidth="1"/>
    <col min="14351" max="14351" width="17.42578125" style="88" customWidth="1"/>
    <col min="14352" max="14352" width="9.85546875" style="88" customWidth="1"/>
    <col min="14353" max="14353" width="10.140625" style="88" customWidth="1"/>
    <col min="14354" max="14354" width="30.5703125" style="88" customWidth="1"/>
    <col min="14355" max="14355" width="15" style="88" customWidth="1"/>
    <col min="14356" max="14356" width="15.85546875" style="88" customWidth="1"/>
    <col min="14357" max="14357" width="12.85546875" style="88" customWidth="1"/>
    <col min="14358" max="14358" width="9.5703125" style="88" customWidth="1"/>
    <col min="14359" max="14359" width="16.85546875" style="88" customWidth="1"/>
    <col min="14360" max="14360" width="15.7109375" style="88" customWidth="1"/>
    <col min="14361" max="14361" width="9.28515625" style="88" customWidth="1"/>
    <col min="14362" max="14362" width="11.42578125" style="88" customWidth="1"/>
    <col min="14363" max="14363" width="10.7109375" style="88" customWidth="1"/>
    <col min="14364" max="14364" width="28.140625" style="88" customWidth="1"/>
    <col min="14365" max="14365" width="11" style="88" customWidth="1"/>
    <col min="14366" max="14366" width="10.28515625" style="88" customWidth="1"/>
    <col min="14367" max="14367" width="9.5703125" style="88" customWidth="1"/>
    <col min="14368" max="14368" width="8.28515625" style="88" customWidth="1"/>
    <col min="14369" max="14369" width="7.85546875" style="88" customWidth="1"/>
    <col min="14370" max="14370" width="9.7109375" style="88" customWidth="1"/>
    <col min="14371" max="14371" width="7.85546875" style="88" customWidth="1"/>
    <col min="14372" max="14372" width="8.5703125" style="88" customWidth="1"/>
    <col min="14373" max="14373" width="9.28515625" style="88" customWidth="1"/>
    <col min="14374" max="14374" width="9.140625" style="88" customWidth="1"/>
    <col min="14375" max="14375" width="9" style="88" customWidth="1"/>
    <col min="14376" max="14376" width="8.28515625" style="88" customWidth="1"/>
    <col min="14377" max="14377" width="10" style="88" customWidth="1"/>
    <col min="14378" max="14378" width="10.28515625" style="88" customWidth="1"/>
    <col min="14379" max="14379" width="9" style="88" customWidth="1"/>
    <col min="14380" max="14381" width="9.140625" style="88" customWidth="1"/>
    <col min="14382" max="14382" width="10.28515625" style="88" customWidth="1"/>
    <col min="14383" max="14384" width="9.140625" style="88"/>
    <col min="14385" max="14385" width="10.140625" style="88" customWidth="1"/>
    <col min="14386" max="14387" width="10.7109375" style="88" customWidth="1"/>
    <col min="14388" max="14391" width="11" style="88" customWidth="1"/>
    <col min="14392" max="14392" width="19.5703125" style="88" customWidth="1"/>
    <col min="14393" max="14393" width="18.85546875" style="88" customWidth="1"/>
    <col min="14394" max="14397" width="11" style="88" customWidth="1"/>
    <col min="14398" max="14398" width="15.42578125" style="88" customWidth="1"/>
    <col min="14399" max="14592" width="9.140625" style="88"/>
    <col min="14593" max="14593" width="28.42578125" style="88" customWidth="1"/>
    <col min="14594" max="14594" width="12.42578125" style="88" customWidth="1"/>
    <col min="14595" max="14595" width="15" style="88" customWidth="1"/>
    <col min="14596" max="14596" width="39" style="88" customWidth="1"/>
    <col min="14597" max="14597" width="17.28515625" style="88" customWidth="1"/>
    <col min="14598" max="14598" width="14.5703125" style="88" customWidth="1"/>
    <col min="14599" max="14599" width="10.28515625" style="88" customWidth="1"/>
    <col min="14600" max="14600" width="15.28515625" style="88" customWidth="1"/>
    <col min="14601" max="14601" width="11.42578125" style="88" customWidth="1"/>
    <col min="14602" max="14602" width="10.7109375" style="88" customWidth="1"/>
    <col min="14603" max="14604" width="9.140625" style="88" customWidth="1"/>
    <col min="14605" max="14605" width="13.140625" style="88" customWidth="1"/>
    <col min="14606" max="14606" width="10.85546875" style="88" customWidth="1"/>
    <col min="14607" max="14607" width="17.42578125" style="88" customWidth="1"/>
    <col min="14608" max="14608" width="9.85546875" style="88" customWidth="1"/>
    <col min="14609" max="14609" width="10.140625" style="88" customWidth="1"/>
    <col min="14610" max="14610" width="30.5703125" style="88" customWidth="1"/>
    <col min="14611" max="14611" width="15" style="88" customWidth="1"/>
    <col min="14612" max="14612" width="15.85546875" style="88" customWidth="1"/>
    <col min="14613" max="14613" width="12.85546875" style="88" customWidth="1"/>
    <col min="14614" max="14614" width="9.5703125" style="88" customWidth="1"/>
    <col min="14615" max="14615" width="16.85546875" style="88" customWidth="1"/>
    <col min="14616" max="14616" width="15.7109375" style="88" customWidth="1"/>
    <col min="14617" max="14617" width="9.28515625" style="88" customWidth="1"/>
    <col min="14618" max="14618" width="11.42578125" style="88" customWidth="1"/>
    <col min="14619" max="14619" width="10.7109375" style="88" customWidth="1"/>
    <col min="14620" max="14620" width="28.140625" style="88" customWidth="1"/>
    <col min="14621" max="14621" width="11" style="88" customWidth="1"/>
    <col min="14622" max="14622" width="10.28515625" style="88" customWidth="1"/>
    <col min="14623" max="14623" width="9.5703125" style="88" customWidth="1"/>
    <col min="14624" max="14624" width="8.28515625" style="88" customWidth="1"/>
    <col min="14625" max="14625" width="7.85546875" style="88" customWidth="1"/>
    <col min="14626" max="14626" width="9.7109375" style="88" customWidth="1"/>
    <col min="14627" max="14627" width="7.85546875" style="88" customWidth="1"/>
    <col min="14628" max="14628" width="8.5703125" style="88" customWidth="1"/>
    <col min="14629" max="14629" width="9.28515625" style="88" customWidth="1"/>
    <col min="14630" max="14630" width="9.140625" style="88" customWidth="1"/>
    <col min="14631" max="14631" width="9" style="88" customWidth="1"/>
    <col min="14632" max="14632" width="8.28515625" style="88" customWidth="1"/>
    <col min="14633" max="14633" width="10" style="88" customWidth="1"/>
    <col min="14634" max="14634" width="10.28515625" style="88" customWidth="1"/>
    <col min="14635" max="14635" width="9" style="88" customWidth="1"/>
    <col min="14636" max="14637" width="9.140625" style="88" customWidth="1"/>
    <col min="14638" max="14638" width="10.28515625" style="88" customWidth="1"/>
    <col min="14639" max="14640" width="9.140625" style="88"/>
    <col min="14641" max="14641" width="10.140625" style="88" customWidth="1"/>
    <col min="14642" max="14643" width="10.7109375" style="88" customWidth="1"/>
    <col min="14644" max="14647" width="11" style="88" customWidth="1"/>
    <col min="14648" max="14648" width="19.5703125" style="88" customWidth="1"/>
    <col min="14649" max="14649" width="18.85546875" style="88" customWidth="1"/>
    <col min="14650" max="14653" width="11" style="88" customWidth="1"/>
    <col min="14654" max="14654" width="15.42578125" style="88" customWidth="1"/>
    <col min="14655" max="14848" width="9.140625" style="88"/>
    <col min="14849" max="14849" width="28.42578125" style="88" customWidth="1"/>
    <col min="14850" max="14850" width="12.42578125" style="88" customWidth="1"/>
    <col min="14851" max="14851" width="15" style="88" customWidth="1"/>
    <col min="14852" max="14852" width="39" style="88" customWidth="1"/>
    <col min="14853" max="14853" width="17.28515625" style="88" customWidth="1"/>
    <col min="14854" max="14854" width="14.5703125" style="88" customWidth="1"/>
    <col min="14855" max="14855" width="10.28515625" style="88" customWidth="1"/>
    <col min="14856" max="14856" width="15.28515625" style="88" customWidth="1"/>
    <col min="14857" max="14857" width="11.42578125" style="88" customWidth="1"/>
    <col min="14858" max="14858" width="10.7109375" style="88" customWidth="1"/>
    <col min="14859" max="14860" width="9.140625" style="88" customWidth="1"/>
    <col min="14861" max="14861" width="13.140625" style="88" customWidth="1"/>
    <col min="14862" max="14862" width="10.85546875" style="88" customWidth="1"/>
    <col min="14863" max="14863" width="17.42578125" style="88" customWidth="1"/>
    <col min="14864" max="14864" width="9.85546875" style="88" customWidth="1"/>
    <col min="14865" max="14865" width="10.140625" style="88" customWidth="1"/>
    <col min="14866" max="14866" width="30.5703125" style="88" customWidth="1"/>
    <col min="14867" max="14867" width="15" style="88" customWidth="1"/>
    <col min="14868" max="14868" width="15.85546875" style="88" customWidth="1"/>
    <col min="14869" max="14869" width="12.85546875" style="88" customWidth="1"/>
    <col min="14870" max="14870" width="9.5703125" style="88" customWidth="1"/>
    <col min="14871" max="14871" width="16.85546875" style="88" customWidth="1"/>
    <col min="14872" max="14872" width="15.7109375" style="88" customWidth="1"/>
    <col min="14873" max="14873" width="9.28515625" style="88" customWidth="1"/>
    <col min="14874" max="14874" width="11.42578125" style="88" customWidth="1"/>
    <col min="14875" max="14875" width="10.7109375" style="88" customWidth="1"/>
    <col min="14876" max="14876" width="28.140625" style="88" customWidth="1"/>
    <col min="14877" max="14877" width="11" style="88" customWidth="1"/>
    <col min="14878" max="14878" width="10.28515625" style="88" customWidth="1"/>
    <col min="14879" max="14879" width="9.5703125" style="88" customWidth="1"/>
    <col min="14880" max="14880" width="8.28515625" style="88" customWidth="1"/>
    <col min="14881" max="14881" width="7.85546875" style="88" customWidth="1"/>
    <col min="14882" max="14882" width="9.7109375" style="88" customWidth="1"/>
    <col min="14883" max="14883" width="7.85546875" style="88" customWidth="1"/>
    <col min="14884" max="14884" width="8.5703125" style="88" customWidth="1"/>
    <col min="14885" max="14885" width="9.28515625" style="88" customWidth="1"/>
    <col min="14886" max="14886" width="9.140625" style="88" customWidth="1"/>
    <col min="14887" max="14887" width="9" style="88" customWidth="1"/>
    <col min="14888" max="14888" width="8.28515625" style="88" customWidth="1"/>
    <col min="14889" max="14889" width="10" style="88" customWidth="1"/>
    <col min="14890" max="14890" width="10.28515625" style="88" customWidth="1"/>
    <col min="14891" max="14891" width="9" style="88" customWidth="1"/>
    <col min="14892" max="14893" width="9.140625" style="88" customWidth="1"/>
    <col min="14894" max="14894" width="10.28515625" style="88" customWidth="1"/>
    <col min="14895" max="14896" width="9.140625" style="88"/>
    <col min="14897" max="14897" width="10.140625" style="88" customWidth="1"/>
    <col min="14898" max="14899" width="10.7109375" style="88" customWidth="1"/>
    <col min="14900" max="14903" width="11" style="88" customWidth="1"/>
    <col min="14904" max="14904" width="19.5703125" style="88" customWidth="1"/>
    <col min="14905" max="14905" width="18.85546875" style="88" customWidth="1"/>
    <col min="14906" max="14909" width="11" style="88" customWidth="1"/>
    <col min="14910" max="14910" width="15.42578125" style="88" customWidth="1"/>
    <col min="14911" max="15104" width="9.140625" style="88"/>
    <col min="15105" max="15105" width="28.42578125" style="88" customWidth="1"/>
    <col min="15106" max="15106" width="12.42578125" style="88" customWidth="1"/>
    <col min="15107" max="15107" width="15" style="88" customWidth="1"/>
    <col min="15108" max="15108" width="39" style="88" customWidth="1"/>
    <col min="15109" max="15109" width="17.28515625" style="88" customWidth="1"/>
    <col min="15110" max="15110" width="14.5703125" style="88" customWidth="1"/>
    <col min="15111" max="15111" width="10.28515625" style="88" customWidth="1"/>
    <col min="15112" max="15112" width="15.28515625" style="88" customWidth="1"/>
    <col min="15113" max="15113" width="11.42578125" style="88" customWidth="1"/>
    <col min="15114" max="15114" width="10.7109375" style="88" customWidth="1"/>
    <col min="15115" max="15116" width="9.140625" style="88" customWidth="1"/>
    <col min="15117" max="15117" width="13.140625" style="88" customWidth="1"/>
    <col min="15118" max="15118" width="10.85546875" style="88" customWidth="1"/>
    <col min="15119" max="15119" width="17.42578125" style="88" customWidth="1"/>
    <col min="15120" max="15120" width="9.85546875" style="88" customWidth="1"/>
    <col min="15121" max="15121" width="10.140625" style="88" customWidth="1"/>
    <col min="15122" max="15122" width="30.5703125" style="88" customWidth="1"/>
    <col min="15123" max="15123" width="15" style="88" customWidth="1"/>
    <col min="15124" max="15124" width="15.85546875" style="88" customWidth="1"/>
    <col min="15125" max="15125" width="12.85546875" style="88" customWidth="1"/>
    <col min="15126" max="15126" width="9.5703125" style="88" customWidth="1"/>
    <col min="15127" max="15127" width="16.85546875" style="88" customWidth="1"/>
    <col min="15128" max="15128" width="15.7109375" style="88" customWidth="1"/>
    <col min="15129" max="15129" width="9.28515625" style="88" customWidth="1"/>
    <col min="15130" max="15130" width="11.42578125" style="88" customWidth="1"/>
    <col min="15131" max="15131" width="10.7109375" style="88" customWidth="1"/>
    <col min="15132" max="15132" width="28.140625" style="88" customWidth="1"/>
    <col min="15133" max="15133" width="11" style="88" customWidth="1"/>
    <col min="15134" max="15134" width="10.28515625" style="88" customWidth="1"/>
    <col min="15135" max="15135" width="9.5703125" style="88" customWidth="1"/>
    <col min="15136" max="15136" width="8.28515625" style="88" customWidth="1"/>
    <col min="15137" max="15137" width="7.85546875" style="88" customWidth="1"/>
    <col min="15138" max="15138" width="9.7109375" style="88" customWidth="1"/>
    <col min="15139" max="15139" width="7.85546875" style="88" customWidth="1"/>
    <col min="15140" max="15140" width="8.5703125" style="88" customWidth="1"/>
    <col min="15141" max="15141" width="9.28515625" style="88" customWidth="1"/>
    <col min="15142" max="15142" width="9.140625" style="88" customWidth="1"/>
    <col min="15143" max="15143" width="9" style="88" customWidth="1"/>
    <col min="15144" max="15144" width="8.28515625" style="88" customWidth="1"/>
    <col min="15145" max="15145" width="10" style="88" customWidth="1"/>
    <col min="15146" max="15146" width="10.28515625" style="88" customWidth="1"/>
    <col min="15147" max="15147" width="9" style="88" customWidth="1"/>
    <col min="15148" max="15149" width="9.140625" style="88" customWidth="1"/>
    <col min="15150" max="15150" width="10.28515625" style="88" customWidth="1"/>
    <col min="15151" max="15152" width="9.140625" style="88"/>
    <col min="15153" max="15153" width="10.140625" style="88" customWidth="1"/>
    <col min="15154" max="15155" width="10.7109375" style="88" customWidth="1"/>
    <col min="15156" max="15159" width="11" style="88" customWidth="1"/>
    <col min="15160" max="15160" width="19.5703125" style="88" customWidth="1"/>
    <col min="15161" max="15161" width="18.85546875" style="88" customWidth="1"/>
    <col min="15162" max="15165" width="11" style="88" customWidth="1"/>
    <col min="15166" max="15166" width="15.42578125" style="88" customWidth="1"/>
    <col min="15167" max="15360" width="9.140625" style="88"/>
    <col min="15361" max="15361" width="28.42578125" style="88" customWidth="1"/>
    <col min="15362" max="15362" width="12.42578125" style="88" customWidth="1"/>
    <col min="15363" max="15363" width="15" style="88" customWidth="1"/>
    <col min="15364" max="15364" width="39" style="88" customWidth="1"/>
    <col min="15365" max="15365" width="17.28515625" style="88" customWidth="1"/>
    <col min="15366" max="15366" width="14.5703125" style="88" customWidth="1"/>
    <col min="15367" max="15367" width="10.28515625" style="88" customWidth="1"/>
    <col min="15368" max="15368" width="15.28515625" style="88" customWidth="1"/>
    <col min="15369" max="15369" width="11.42578125" style="88" customWidth="1"/>
    <col min="15370" max="15370" width="10.7109375" style="88" customWidth="1"/>
    <col min="15371" max="15372" width="9.140625" style="88" customWidth="1"/>
    <col min="15373" max="15373" width="13.140625" style="88" customWidth="1"/>
    <col min="15374" max="15374" width="10.85546875" style="88" customWidth="1"/>
    <col min="15375" max="15375" width="17.42578125" style="88" customWidth="1"/>
    <col min="15376" max="15376" width="9.85546875" style="88" customWidth="1"/>
    <col min="15377" max="15377" width="10.140625" style="88" customWidth="1"/>
    <col min="15378" max="15378" width="30.5703125" style="88" customWidth="1"/>
    <col min="15379" max="15379" width="15" style="88" customWidth="1"/>
    <col min="15380" max="15380" width="15.85546875" style="88" customWidth="1"/>
    <col min="15381" max="15381" width="12.85546875" style="88" customWidth="1"/>
    <col min="15382" max="15382" width="9.5703125" style="88" customWidth="1"/>
    <col min="15383" max="15383" width="16.85546875" style="88" customWidth="1"/>
    <col min="15384" max="15384" width="15.7109375" style="88" customWidth="1"/>
    <col min="15385" max="15385" width="9.28515625" style="88" customWidth="1"/>
    <col min="15386" max="15386" width="11.42578125" style="88" customWidth="1"/>
    <col min="15387" max="15387" width="10.7109375" style="88" customWidth="1"/>
    <col min="15388" max="15388" width="28.140625" style="88" customWidth="1"/>
    <col min="15389" max="15389" width="11" style="88" customWidth="1"/>
    <col min="15390" max="15390" width="10.28515625" style="88" customWidth="1"/>
    <col min="15391" max="15391" width="9.5703125" style="88" customWidth="1"/>
    <col min="15392" max="15392" width="8.28515625" style="88" customWidth="1"/>
    <col min="15393" max="15393" width="7.85546875" style="88" customWidth="1"/>
    <col min="15394" max="15394" width="9.7109375" style="88" customWidth="1"/>
    <col min="15395" max="15395" width="7.85546875" style="88" customWidth="1"/>
    <col min="15396" max="15396" width="8.5703125" style="88" customWidth="1"/>
    <col min="15397" max="15397" width="9.28515625" style="88" customWidth="1"/>
    <col min="15398" max="15398" width="9.140625" style="88" customWidth="1"/>
    <col min="15399" max="15399" width="9" style="88" customWidth="1"/>
    <col min="15400" max="15400" width="8.28515625" style="88" customWidth="1"/>
    <col min="15401" max="15401" width="10" style="88" customWidth="1"/>
    <col min="15402" max="15402" width="10.28515625" style="88" customWidth="1"/>
    <col min="15403" max="15403" width="9" style="88" customWidth="1"/>
    <col min="15404" max="15405" width="9.140625" style="88" customWidth="1"/>
    <col min="15406" max="15406" width="10.28515625" style="88" customWidth="1"/>
    <col min="15407" max="15408" width="9.140625" style="88"/>
    <col min="15409" max="15409" width="10.140625" style="88" customWidth="1"/>
    <col min="15410" max="15411" width="10.7109375" style="88" customWidth="1"/>
    <col min="15412" max="15415" width="11" style="88" customWidth="1"/>
    <col min="15416" max="15416" width="19.5703125" style="88" customWidth="1"/>
    <col min="15417" max="15417" width="18.85546875" style="88" customWidth="1"/>
    <col min="15418" max="15421" width="11" style="88" customWidth="1"/>
    <col min="15422" max="15422" width="15.42578125" style="88" customWidth="1"/>
    <col min="15423" max="15616" width="9.140625" style="88"/>
    <col min="15617" max="15617" width="28.42578125" style="88" customWidth="1"/>
    <col min="15618" max="15618" width="12.42578125" style="88" customWidth="1"/>
    <col min="15619" max="15619" width="15" style="88" customWidth="1"/>
    <col min="15620" max="15620" width="39" style="88" customWidth="1"/>
    <col min="15621" max="15621" width="17.28515625" style="88" customWidth="1"/>
    <col min="15622" max="15622" width="14.5703125" style="88" customWidth="1"/>
    <col min="15623" max="15623" width="10.28515625" style="88" customWidth="1"/>
    <col min="15624" max="15624" width="15.28515625" style="88" customWidth="1"/>
    <col min="15625" max="15625" width="11.42578125" style="88" customWidth="1"/>
    <col min="15626" max="15626" width="10.7109375" style="88" customWidth="1"/>
    <col min="15627" max="15628" width="9.140625" style="88" customWidth="1"/>
    <col min="15629" max="15629" width="13.140625" style="88" customWidth="1"/>
    <col min="15630" max="15630" width="10.85546875" style="88" customWidth="1"/>
    <col min="15631" max="15631" width="17.42578125" style="88" customWidth="1"/>
    <col min="15632" max="15632" width="9.85546875" style="88" customWidth="1"/>
    <col min="15633" max="15633" width="10.140625" style="88" customWidth="1"/>
    <col min="15634" max="15634" width="30.5703125" style="88" customWidth="1"/>
    <col min="15635" max="15635" width="15" style="88" customWidth="1"/>
    <col min="15636" max="15636" width="15.85546875" style="88" customWidth="1"/>
    <col min="15637" max="15637" width="12.85546875" style="88" customWidth="1"/>
    <col min="15638" max="15638" width="9.5703125" style="88" customWidth="1"/>
    <col min="15639" max="15639" width="16.85546875" style="88" customWidth="1"/>
    <col min="15640" max="15640" width="15.7109375" style="88" customWidth="1"/>
    <col min="15641" max="15641" width="9.28515625" style="88" customWidth="1"/>
    <col min="15642" max="15642" width="11.42578125" style="88" customWidth="1"/>
    <col min="15643" max="15643" width="10.7109375" style="88" customWidth="1"/>
    <col min="15644" max="15644" width="28.140625" style="88" customWidth="1"/>
    <col min="15645" max="15645" width="11" style="88" customWidth="1"/>
    <col min="15646" max="15646" width="10.28515625" style="88" customWidth="1"/>
    <col min="15647" max="15647" width="9.5703125" style="88" customWidth="1"/>
    <col min="15648" max="15648" width="8.28515625" style="88" customWidth="1"/>
    <col min="15649" max="15649" width="7.85546875" style="88" customWidth="1"/>
    <col min="15650" max="15650" width="9.7109375" style="88" customWidth="1"/>
    <col min="15651" max="15651" width="7.85546875" style="88" customWidth="1"/>
    <col min="15652" max="15652" width="8.5703125" style="88" customWidth="1"/>
    <col min="15653" max="15653" width="9.28515625" style="88" customWidth="1"/>
    <col min="15654" max="15654" width="9.140625" style="88" customWidth="1"/>
    <col min="15655" max="15655" width="9" style="88" customWidth="1"/>
    <col min="15656" max="15656" width="8.28515625" style="88" customWidth="1"/>
    <col min="15657" max="15657" width="10" style="88" customWidth="1"/>
    <col min="15658" max="15658" width="10.28515625" style="88" customWidth="1"/>
    <col min="15659" max="15659" width="9" style="88" customWidth="1"/>
    <col min="15660" max="15661" width="9.140625" style="88" customWidth="1"/>
    <col min="15662" max="15662" width="10.28515625" style="88" customWidth="1"/>
    <col min="15663" max="15664" width="9.140625" style="88"/>
    <col min="15665" max="15665" width="10.140625" style="88" customWidth="1"/>
    <col min="15666" max="15667" width="10.7109375" style="88" customWidth="1"/>
    <col min="15668" max="15671" width="11" style="88" customWidth="1"/>
    <col min="15672" max="15672" width="19.5703125" style="88" customWidth="1"/>
    <col min="15673" max="15673" width="18.85546875" style="88" customWidth="1"/>
    <col min="15674" max="15677" width="11" style="88" customWidth="1"/>
    <col min="15678" max="15678" width="15.42578125" style="88" customWidth="1"/>
    <col min="15679" max="15872" width="9.140625" style="88"/>
    <col min="15873" max="15873" width="28.42578125" style="88" customWidth="1"/>
    <col min="15874" max="15874" width="12.42578125" style="88" customWidth="1"/>
    <col min="15875" max="15875" width="15" style="88" customWidth="1"/>
    <col min="15876" max="15876" width="39" style="88" customWidth="1"/>
    <col min="15877" max="15877" width="17.28515625" style="88" customWidth="1"/>
    <col min="15878" max="15878" width="14.5703125" style="88" customWidth="1"/>
    <col min="15879" max="15879" width="10.28515625" style="88" customWidth="1"/>
    <col min="15880" max="15880" width="15.28515625" style="88" customWidth="1"/>
    <col min="15881" max="15881" width="11.42578125" style="88" customWidth="1"/>
    <col min="15882" max="15882" width="10.7109375" style="88" customWidth="1"/>
    <col min="15883" max="15884" width="9.140625" style="88" customWidth="1"/>
    <col min="15885" max="15885" width="13.140625" style="88" customWidth="1"/>
    <col min="15886" max="15886" width="10.85546875" style="88" customWidth="1"/>
    <col min="15887" max="15887" width="17.42578125" style="88" customWidth="1"/>
    <col min="15888" max="15888" width="9.85546875" style="88" customWidth="1"/>
    <col min="15889" max="15889" width="10.140625" style="88" customWidth="1"/>
    <col min="15890" max="15890" width="30.5703125" style="88" customWidth="1"/>
    <col min="15891" max="15891" width="15" style="88" customWidth="1"/>
    <col min="15892" max="15892" width="15.85546875" style="88" customWidth="1"/>
    <col min="15893" max="15893" width="12.85546875" style="88" customWidth="1"/>
    <col min="15894" max="15894" width="9.5703125" style="88" customWidth="1"/>
    <col min="15895" max="15895" width="16.85546875" style="88" customWidth="1"/>
    <col min="15896" max="15896" width="15.7109375" style="88" customWidth="1"/>
    <col min="15897" max="15897" width="9.28515625" style="88" customWidth="1"/>
    <col min="15898" max="15898" width="11.42578125" style="88" customWidth="1"/>
    <col min="15899" max="15899" width="10.7109375" style="88" customWidth="1"/>
    <col min="15900" max="15900" width="28.140625" style="88" customWidth="1"/>
    <col min="15901" max="15901" width="11" style="88" customWidth="1"/>
    <col min="15902" max="15902" width="10.28515625" style="88" customWidth="1"/>
    <col min="15903" max="15903" width="9.5703125" style="88" customWidth="1"/>
    <col min="15904" max="15904" width="8.28515625" style="88" customWidth="1"/>
    <col min="15905" max="15905" width="7.85546875" style="88" customWidth="1"/>
    <col min="15906" max="15906" width="9.7109375" style="88" customWidth="1"/>
    <col min="15907" max="15907" width="7.85546875" style="88" customWidth="1"/>
    <col min="15908" max="15908" width="8.5703125" style="88" customWidth="1"/>
    <col min="15909" max="15909" width="9.28515625" style="88" customWidth="1"/>
    <col min="15910" max="15910" width="9.140625" style="88" customWidth="1"/>
    <col min="15911" max="15911" width="9" style="88" customWidth="1"/>
    <col min="15912" max="15912" width="8.28515625" style="88" customWidth="1"/>
    <col min="15913" max="15913" width="10" style="88" customWidth="1"/>
    <col min="15914" max="15914" width="10.28515625" style="88" customWidth="1"/>
    <col min="15915" max="15915" width="9" style="88" customWidth="1"/>
    <col min="15916" max="15917" width="9.140625" style="88" customWidth="1"/>
    <col min="15918" max="15918" width="10.28515625" style="88" customWidth="1"/>
    <col min="15919" max="15920" width="9.140625" style="88"/>
    <col min="15921" max="15921" width="10.140625" style="88" customWidth="1"/>
    <col min="15922" max="15923" width="10.7109375" style="88" customWidth="1"/>
    <col min="15924" max="15927" width="11" style="88" customWidth="1"/>
    <col min="15928" max="15928" width="19.5703125" style="88" customWidth="1"/>
    <col min="15929" max="15929" width="18.85546875" style="88" customWidth="1"/>
    <col min="15930" max="15933" width="11" style="88" customWidth="1"/>
    <col min="15934" max="15934" width="15.42578125" style="88" customWidth="1"/>
    <col min="15935" max="16128" width="9.140625" style="88"/>
    <col min="16129" max="16129" width="28.42578125" style="88" customWidth="1"/>
    <col min="16130" max="16130" width="12.42578125" style="88" customWidth="1"/>
    <col min="16131" max="16131" width="15" style="88" customWidth="1"/>
    <col min="16132" max="16132" width="39" style="88" customWidth="1"/>
    <col min="16133" max="16133" width="17.28515625" style="88" customWidth="1"/>
    <col min="16134" max="16134" width="14.5703125" style="88" customWidth="1"/>
    <col min="16135" max="16135" width="10.28515625" style="88" customWidth="1"/>
    <col min="16136" max="16136" width="15.28515625" style="88" customWidth="1"/>
    <col min="16137" max="16137" width="11.42578125" style="88" customWidth="1"/>
    <col min="16138" max="16138" width="10.7109375" style="88" customWidth="1"/>
    <col min="16139" max="16140" width="9.140625" style="88" customWidth="1"/>
    <col min="16141" max="16141" width="13.140625" style="88" customWidth="1"/>
    <col min="16142" max="16142" width="10.85546875" style="88" customWidth="1"/>
    <col min="16143" max="16143" width="17.42578125" style="88" customWidth="1"/>
    <col min="16144" max="16144" width="9.85546875" style="88" customWidth="1"/>
    <col min="16145" max="16145" width="10.140625" style="88" customWidth="1"/>
    <col min="16146" max="16146" width="30.5703125" style="88" customWidth="1"/>
    <col min="16147" max="16147" width="15" style="88" customWidth="1"/>
    <col min="16148" max="16148" width="15.85546875" style="88" customWidth="1"/>
    <col min="16149" max="16149" width="12.85546875" style="88" customWidth="1"/>
    <col min="16150" max="16150" width="9.5703125" style="88" customWidth="1"/>
    <col min="16151" max="16151" width="16.85546875" style="88" customWidth="1"/>
    <col min="16152" max="16152" width="15.7109375" style="88" customWidth="1"/>
    <col min="16153" max="16153" width="9.28515625" style="88" customWidth="1"/>
    <col min="16154" max="16154" width="11.42578125" style="88" customWidth="1"/>
    <col min="16155" max="16155" width="10.7109375" style="88" customWidth="1"/>
    <col min="16156" max="16156" width="28.140625" style="88" customWidth="1"/>
    <col min="16157" max="16157" width="11" style="88" customWidth="1"/>
    <col min="16158" max="16158" width="10.28515625" style="88" customWidth="1"/>
    <col min="16159" max="16159" width="9.5703125" style="88" customWidth="1"/>
    <col min="16160" max="16160" width="8.28515625" style="88" customWidth="1"/>
    <col min="16161" max="16161" width="7.85546875" style="88" customWidth="1"/>
    <col min="16162" max="16162" width="9.7109375" style="88" customWidth="1"/>
    <col min="16163" max="16163" width="7.85546875" style="88" customWidth="1"/>
    <col min="16164" max="16164" width="8.5703125" style="88" customWidth="1"/>
    <col min="16165" max="16165" width="9.28515625" style="88" customWidth="1"/>
    <col min="16166" max="16166" width="9.140625" style="88" customWidth="1"/>
    <col min="16167" max="16167" width="9" style="88" customWidth="1"/>
    <col min="16168" max="16168" width="8.28515625" style="88" customWidth="1"/>
    <col min="16169" max="16169" width="10" style="88" customWidth="1"/>
    <col min="16170" max="16170" width="10.28515625" style="88" customWidth="1"/>
    <col min="16171" max="16171" width="9" style="88" customWidth="1"/>
    <col min="16172" max="16173" width="9.140625" style="88" customWidth="1"/>
    <col min="16174" max="16174" width="10.28515625" style="88" customWidth="1"/>
    <col min="16175" max="16176" width="9.140625" style="88"/>
    <col min="16177" max="16177" width="10.140625" style="88" customWidth="1"/>
    <col min="16178" max="16179" width="10.7109375" style="88" customWidth="1"/>
    <col min="16180" max="16183" width="11" style="88" customWidth="1"/>
    <col min="16184" max="16184" width="19.5703125" style="88" customWidth="1"/>
    <col min="16185" max="16185" width="18.85546875" style="88" customWidth="1"/>
    <col min="16186" max="16189" width="11" style="88" customWidth="1"/>
    <col min="16190" max="16190" width="15.42578125" style="88" customWidth="1"/>
    <col min="16191" max="16384" width="9.140625" style="88"/>
  </cols>
  <sheetData>
    <row r="1" spans="1:256" x14ac:dyDescent="0.25">
      <c r="A1" s="87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</row>
    <row r="2" spans="1:256" x14ac:dyDescent="0.25">
      <c r="A2" s="91"/>
      <c r="B2" s="549" t="s">
        <v>106</v>
      </c>
      <c r="C2" s="549"/>
      <c r="D2" s="555" t="s">
        <v>161</v>
      </c>
      <c r="E2" s="555"/>
      <c r="F2" s="555"/>
      <c r="G2" s="555"/>
      <c r="H2" s="555"/>
      <c r="I2" s="555"/>
      <c r="J2" s="555"/>
      <c r="K2" s="555"/>
      <c r="L2" s="92"/>
      <c r="M2" s="93"/>
      <c r="N2" s="93"/>
      <c r="O2" s="93"/>
      <c r="P2" s="93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0"/>
      <c r="AR2" s="90"/>
      <c r="AS2" s="90"/>
      <c r="AT2" s="90"/>
    </row>
    <row r="3" spans="1:256" x14ac:dyDescent="0.25">
      <c r="B3" s="549" t="s">
        <v>42</v>
      </c>
      <c r="C3" s="549"/>
      <c r="D3" s="550" t="s">
        <v>162</v>
      </c>
      <c r="E3" s="550"/>
      <c r="F3" s="550"/>
      <c r="G3" s="550"/>
      <c r="H3" s="550"/>
      <c r="I3" s="550"/>
      <c r="J3" s="550"/>
      <c r="K3" s="550"/>
      <c r="L3" s="92"/>
      <c r="M3" s="96"/>
      <c r="N3" s="96"/>
      <c r="O3" s="96"/>
      <c r="P3" s="96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0"/>
      <c r="AR3" s="90"/>
      <c r="AS3" s="90"/>
      <c r="AT3" s="90"/>
    </row>
    <row r="4" spans="1:256" x14ac:dyDescent="0.25">
      <c r="B4" s="549" t="s">
        <v>2</v>
      </c>
      <c r="C4" s="549"/>
      <c r="D4" s="550" t="s">
        <v>163</v>
      </c>
      <c r="E4" s="550"/>
      <c r="F4" s="550"/>
      <c r="G4" s="550"/>
      <c r="H4" s="550"/>
      <c r="I4" s="550"/>
      <c r="J4" s="550"/>
      <c r="K4" s="550"/>
      <c r="L4" s="551"/>
      <c r="M4" s="551"/>
      <c r="N4" s="97"/>
      <c r="O4" s="97"/>
      <c r="P4" s="97"/>
      <c r="Q4" s="98"/>
      <c r="R4" s="98"/>
      <c r="S4" s="98"/>
      <c r="T4" s="98"/>
      <c r="U4" s="98"/>
      <c r="V4" s="98"/>
      <c r="W4" s="98"/>
      <c r="X4" s="98"/>
      <c r="Y4" s="98"/>
      <c r="Z4" s="98"/>
      <c r="AA4" s="552" t="s">
        <v>43</v>
      </c>
      <c r="AB4" s="553"/>
      <c r="AC4" s="554"/>
      <c r="AD4" s="554"/>
      <c r="AE4" s="553"/>
      <c r="AF4" s="99"/>
      <c r="AG4" s="95"/>
      <c r="AH4" s="95"/>
      <c r="AI4" s="95"/>
      <c r="AJ4" s="95"/>
      <c r="AK4" s="95"/>
      <c r="AL4" s="95"/>
      <c r="AM4" s="95"/>
      <c r="AN4" s="90"/>
      <c r="AR4" s="90"/>
      <c r="AS4" s="90"/>
      <c r="AT4" s="90"/>
      <c r="AX4" s="552" t="s">
        <v>43</v>
      </c>
      <c r="AY4" s="553"/>
      <c r="AZ4" s="537"/>
      <c r="BA4" s="538"/>
      <c r="BB4" s="538"/>
      <c r="BC4" s="538"/>
      <c r="BD4" s="539"/>
    </row>
    <row r="5" spans="1:256" x14ac:dyDescent="0.25">
      <c r="B5" s="100"/>
      <c r="C5" s="101"/>
      <c r="D5" s="102"/>
      <c r="E5" s="90"/>
      <c r="F5" s="267"/>
      <c r="G5" s="90"/>
      <c r="H5" s="102"/>
      <c r="I5" s="90"/>
      <c r="J5" s="90"/>
      <c r="K5" s="90"/>
      <c r="L5" s="98"/>
      <c r="M5" s="98"/>
      <c r="N5" s="98"/>
      <c r="O5" s="98"/>
      <c r="P5" s="98"/>
      <c r="Q5" s="98"/>
      <c r="R5" s="98"/>
      <c r="S5" s="98"/>
      <c r="T5" s="98"/>
      <c r="U5" s="98"/>
      <c r="V5" s="103"/>
      <c r="W5" s="103"/>
      <c r="X5" s="103"/>
      <c r="Y5" s="103"/>
      <c r="Z5" s="103"/>
      <c r="AA5" s="103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</row>
    <row r="6" spans="1:256" x14ac:dyDescent="0.25">
      <c r="B6" s="540" t="s">
        <v>119</v>
      </c>
      <c r="C6" s="541"/>
      <c r="D6" s="541"/>
      <c r="E6" s="541"/>
      <c r="F6" s="541"/>
      <c r="G6" s="541"/>
      <c r="H6" s="541"/>
      <c r="I6" s="541"/>
      <c r="J6" s="541"/>
      <c r="K6" s="541"/>
      <c r="L6" s="541"/>
      <c r="M6" s="542"/>
      <c r="N6" s="96"/>
      <c r="O6" s="96"/>
      <c r="P6" s="96"/>
      <c r="Q6" s="98"/>
      <c r="R6" s="98"/>
      <c r="S6" s="98"/>
      <c r="T6" s="98"/>
      <c r="U6" s="98"/>
      <c r="V6" s="103"/>
      <c r="W6" s="103"/>
      <c r="X6" s="103"/>
      <c r="Y6" s="103"/>
      <c r="Z6" s="103"/>
      <c r="AA6" s="103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  <c r="IL6" s="90"/>
      <c r="IM6" s="90"/>
      <c r="IN6" s="90"/>
      <c r="IO6" s="90"/>
      <c r="IP6" s="90"/>
      <c r="IQ6" s="90"/>
      <c r="IR6" s="90"/>
      <c r="IS6" s="90"/>
      <c r="IT6" s="90"/>
      <c r="IU6" s="90"/>
      <c r="IV6" s="90"/>
    </row>
    <row r="7" spans="1:256" ht="13.5" thickBot="1" x14ac:dyDescent="0.3">
      <c r="B7" s="104"/>
      <c r="C7" s="104"/>
      <c r="D7" s="105"/>
      <c r="E7" s="104"/>
      <c r="F7" s="268"/>
      <c r="G7" s="104"/>
      <c r="H7" s="105"/>
      <c r="I7" s="104"/>
      <c r="J7" s="104"/>
      <c r="K7" s="104"/>
      <c r="L7" s="104"/>
      <c r="M7" s="104"/>
      <c r="N7" s="104"/>
      <c r="O7" s="104"/>
      <c r="P7" s="104"/>
      <c r="Q7" s="98"/>
      <c r="R7" s="98"/>
      <c r="S7" s="98"/>
      <c r="T7" s="98"/>
      <c r="U7" s="98"/>
      <c r="V7" s="103"/>
      <c r="W7" s="103"/>
      <c r="X7" s="103"/>
      <c r="Y7" s="103"/>
      <c r="Z7" s="103"/>
      <c r="AA7" s="103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  <c r="IL7" s="90"/>
      <c r="IM7" s="90"/>
      <c r="IN7" s="90"/>
      <c r="IO7" s="90"/>
      <c r="IP7" s="90"/>
      <c r="IQ7" s="90"/>
      <c r="IR7" s="90"/>
      <c r="IS7" s="90"/>
      <c r="IT7" s="90"/>
      <c r="IU7" s="90"/>
      <c r="IV7" s="90"/>
    </row>
    <row r="8" spans="1:256" x14ac:dyDescent="0.25">
      <c r="A8" s="543" t="s">
        <v>44</v>
      </c>
      <c r="B8" s="544"/>
      <c r="C8" s="544"/>
      <c r="D8" s="544"/>
      <c r="E8" s="544"/>
      <c r="F8" s="544"/>
      <c r="G8" s="544"/>
      <c r="H8" s="544"/>
      <c r="I8" s="544"/>
      <c r="J8" s="544"/>
      <c r="K8" s="544"/>
      <c r="L8" s="544"/>
      <c r="M8" s="544"/>
      <c r="N8" s="544"/>
      <c r="O8" s="544"/>
      <c r="P8" s="544"/>
      <c r="Q8" s="544"/>
      <c r="R8" s="545"/>
      <c r="S8" s="545"/>
      <c r="T8" s="546" t="s">
        <v>45</v>
      </c>
      <c r="U8" s="547"/>
      <c r="V8" s="547"/>
      <c r="W8" s="547"/>
      <c r="X8" s="547"/>
      <c r="Y8" s="547"/>
      <c r="Z8" s="547"/>
      <c r="AA8" s="547"/>
      <c r="AB8" s="547"/>
      <c r="AC8" s="547"/>
      <c r="AD8" s="547"/>
      <c r="AE8" s="547"/>
      <c r="AF8" s="547"/>
      <c r="AG8" s="547"/>
      <c r="AH8" s="547"/>
      <c r="AI8" s="547"/>
      <c r="AJ8" s="547"/>
      <c r="AK8" s="547"/>
      <c r="AL8" s="547"/>
      <c r="AM8" s="547"/>
      <c r="AN8" s="547"/>
      <c r="AO8" s="158"/>
      <c r="AP8" s="158"/>
      <c r="AQ8" s="159"/>
      <c r="AR8" s="547" t="s">
        <v>46</v>
      </c>
      <c r="AS8" s="547"/>
      <c r="AT8" s="547"/>
      <c r="AU8" s="547"/>
      <c r="AV8" s="547"/>
      <c r="AW8" s="547"/>
      <c r="AX8" s="547"/>
      <c r="AY8" s="547"/>
      <c r="AZ8" s="547"/>
      <c r="BA8" s="547"/>
      <c r="BB8" s="547"/>
      <c r="BC8" s="547"/>
      <c r="BD8" s="547"/>
      <c r="BE8" s="547"/>
      <c r="BF8" s="547"/>
      <c r="BG8" s="547"/>
      <c r="BH8" s="547"/>
      <c r="BI8" s="547"/>
      <c r="BJ8" s="548"/>
    </row>
    <row r="9" spans="1:256" s="106" customFormat="1" ht="25.5" x14ac:dyDescent="0.25">
      <c r="A9" s="526" t="s">
        <v>107</v>
      </c>
      <c r="B9" s="526" t="s">
        <v>47</v>
      </c>
      <c r="C9" s="526" t="s">
        <v>48</v>
      </c>
      <c r="D9" s="529" t="s">
        <v>49</v>
      </c>
      <c r="E9" s="526" t="s">
        <v>50</v>
      </c>
      <c r="F9" s="526" t="s">
        <v>51</v>
      </c>
      <c r="G9" s="526" t="s">
        <v>52</v>
      </c>
      <c r="H9" s="529" t="s">
        <v>53</v>
      </c>
      <c r="I9" s="526" t="s">
        <v>54</v>
      </c>
      <c r="J9" s="532" t="s">
        <v>55</v>
      </c>
      <c r="K9" s="533"/>
      <c r="L9" s="107" t="s">
        <v>56</v>
      </c>
      <c r="M9" s="534" t="s">
        <v>57</v>
      </c>
      <c r="N9" s="535"/>
      <c r="O9" s="535"/>
      <c r="P9" s="535"/>
      <c r="Q9" s="536"/>
      <c r="R9" s="519" t="s">
        <v>38</v>
      </c>
      <c r="S9" s="521" t="s">
        <v>58</v>
      </c>
      <c r="T9" s="523" t="s">
        <v>111</v>
      </c>
      <c r="U9" s="498"/>
      <c r="V9" s="498"/>
      <c r="W9" s="498"/>
      <c r="X9" s="498"/>
      <c r="Y9" s="498"/>
      <c r="Z9" s="498"/>
      <c r="AA9" s="499"/>
      <c r="AB9" s="524" t="s">
        <v>59</v>
      </c>
      <c r="AC9" s="524" t="s">
        <v>60</v>
      </c>
      <c r="AD9" s="524" t="s">
        <v>61</v>
      </c>
      <c r="AE9" s="512" t="s">
        <v>62</v>
      </c>
      <c r="AF9" s="513"/>
      <c r="AG9" s="514"/>
      <c r="AH9" s="497" t="s">
        <v>63</v>
      </c>
      <c r="AI9" s="498"/>
      <c r="AJ9" s="498"/>
      <c r="AK9" s="515" t="s">
        <v>64</v>
      </c>
      <c r="AL9" s="515"/>
      <c r="AM9" s="515"/>
      <c r="AN9" s="515"/>
      <c r="AO9" s="497" t="s">
        <v>65</v>
      </c>
      <c r="AP9" s="498"/>
      <c r="AQ9" s="516"/>
      <c r="AR9" s="517" t="s">
        <v>66</v>
      </c>
      <c r="AS9" s="517"/>
      <c r="AT9" s="518"/>
      <c r="AU9" s="497" t="s">
        <v>112</v>
      </c>
      <c r="AV9" s="498"/>
      <c r="AW9" s="499"/>
      <c r="AX9" s="497" t="s">
        <v>113</v>
      </c>
      <c r="AY9" s="498"/>
      <c r="AZ9" s="498"/>
      <c r="BA9" s="498"/>
      <c r="BB9" s="498"/>
      <c r="BC9" s="498"/>
      <c r="BD9" s="498"/>
      <c r="BE9" s="498"/>
      <c r="BF9" s="498"/>
      <c r="BG9" s="498"/>
      <c r="BH9" s="498"/>
      <c r="BI9" s="499"/>
      <c r="BJ9" s="500" t="s">
        <v>67</v>
      </c>
    </row>
    <row r="10" spans="1:256" s="106" customFormat="1" ht="140.25" x14ac:dyDescent="0.25">
      <c r="A10" s="527"/>
      <c r="B10" s="528"/>
      <c r="C10" s="527"/>
      <c r="D10" s="556"/>
      <c r="E10" s="527"/>
      <c r="F10" s="527"/>
      <c r="G10" s="528"/>
      <c r="H10" s="530"/>
      <c r="I10" s="531"/>
      <c r="J10" s="108" t="s">
        <v>68</v>
      </c>
      <c r="K10" s="108" t="s">
        <v>191</v>
      </c>
      <c r="L10" s="109" t="s">
        <v>5</v>
      </c>
      <c r="M10" s="107" t="s">
        <v>69</v>
      </c>
      <c r="N10" s="107" t="s">
        <v>70</v>
      </c>
      <c r="O10" s="107" t="s">
        <v>71</v>
      </c>
      <c r="P10" s="107" t="s">
        <v>72</v>
      </c>
      <c r="Q10" s="107" t="s">
        <v>73</v>
      </c>
      <c r="R10" s="520"/>
      <c r="S10" s="522"/>
      <c r="T10" s="110" t="s">
        <v>69</v>
      </c>
      <c r="U10" s="111" t="s">
        <v>70</v>
      </c>
      <c r="V10" s="111" t="s">
        <v>74</v>
      </c>
      <c r="W10" s="111" t="s">
        <v>75</v>
      </c>
      <c r="X10" s="111" t="s">
        <v>76</v>
      </c>
      <c r="Y10" s="111" t="s">
        <v>77</v>
      </c>
      <c r="Z10" s="111" t="s">
        <v>78</v>
      </c>
      <c r="AA10" s="111" t="s">
        <v>79</v>
      </c>
      <c r="AB10" s="525"/>
      <c r="AC10" s="525"/>
      <c r="AD10" s="525"/>
      <c r="AE10" s="112" t="s">
        <v>80</v>
      </c>
      <c r="AF10" s="112" t="s">
        <v>81</v>
      </c>
      <c r="AG10" s="112" t="s">
        <v>82</v>
      </c>
      <c r="AH10" s="113" t="s">
        <v>80</v>
      </c>
      <c r="AI10" s="113" t="s">
        <v>83</v>
      </c>
      <c r="AJ10" s="114" t="s">
        <v>84</v>
      </c>
      <c r="AK10" s="112" t="s">
        <v>85</v>
      </c>
      <c r="AL10" s="112" t="s">
        <v>86</v>
      </c>
      <c r="AM10" s="112" t="s">
        <v>87</v>
      </c>
      <c r="AN10" s="112" t="s">
        <v>84</v>
      </c>
      <c r="AO10" s="115" t="s">
        <v>80</v>
      </c>
      <c r="AP10" s="111" t="s">
        <v>88</v>
      </c>
      <c r="AQ10" s="116" t="s">
        <v>84</v>
      </c>
      <c r="AR10" s="117" t="s">
        <v>89</v>
      </c>
      <c r="AS10" s="117" t="s">
        <v>90</v>
      </c>
      <c r="AT10" s="113" t="s">
        <v>91</v>
      </c>
      <c r="AU10" s="117" t="s">
        <v>89</v>
      </c>
      <c r="AV10" s="117" t="s">
        <v>90</v>
      </c>
      <c r="AW10" s="113" t="s">
        <v>91</v>
      </c>
      <c r="AX10" s="111" t="s">
        <v>92</v>
      </c>
      <c r="AY10" s="111" t="s">
        <v>93</v>
      </c>
      <c r="AZ10" s="111" t="s">
        <v>91</v>
      </c>
      <c r="BA10" s="118" t="s">
        <v>94</v>
      </c>
      <c r="BB10" s="118" t="s">
        <v>95</v>
      </c>
      <c r="BC10" s="118" t="s">
        <v>91</v>
      </c>
      <c r="BD10" s="119" t="s">
        <v>114</v>
      </c>
      <c r="BE10" s="119" t="s">
        <v>115</v>
      </c>
      <c r="BF10" s="111" t="s">
        <v>91</v>
      </c>
      <c r="BG10" s="118" t="s">
        <v>96</v>
      </c>
      <c r="BH10" s="118" t="s">
        <v>97</v>
      </c>
      <c r="BI10" s="118" t="s">
        <v>98</v>
      </c>
      <c r="BJ10" s="501"/>
    </row>
    <row r="11" spans="1:256" x14ac:dyDescent="0.25">
      <c r="A11" s="144" t="s">
        <v>6</v>
      </c>
      <c r="B11" s="160"/>
      <c r="C11" s="160"/>
      <c r="D11" s="161"/>
      <c r="E11" s="162"/>
      <c r="F11" s="269"/>
      <c r="G11" s="160"/>
      <c r="H11" s="161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78" t="s">
        <v>6</v>
      </c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80"/>
      <c r="AL11" s="180"/>
      <c r="AM11" s="180"/>
      <c r="AN11" s="180"/>
      <c r="AO11" s="179"/>
      <c r="AP11" s="179"/>
      <c r="AQ11" s="181"/>
      <c r="AR11" s="179" t="s">
        <v>6</v>
      </c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81"/>
    </row>
    <row r="12" spans="1:256" x14ac:dyDescent="0.25">
      <c r="A12" s="357"/>
      <c r="B12" s="276" t="s">
        <v>129</v>
      </c>
      <c r="C12" s="424" t="s">
        <v>35</v>
      </c>
      <c r="D12" s="425" t="s">
        <v>277</v>
      </c>
      <c r="E12" s="432">
        <v>100000</v>
      </c>
      <c r="F12" s="163" t="s">
        <v>110</v>
      </c>
      <c r="G12" s="425"/>
      <c r="H12" s="121" t="s">
        <v>278</v>
      </c>
      <c r="I12" s="443" t="s">
        <v>99</v>
      </c>
      <c r="J12" s="441">
        <v>1</v>
      </c>
      <c r="K12" s="289"/>
      <c r="L12" s="289"/>
      <c r="M12" s="452"/>
      <c r="N12" s="453" t="s">
        <v>251</v>
      </c>
      <c r="O12" s="454" t="s">
        <v>201</v>
      </c>
      <c r="P12" s="455" t="s">
        <v>120</v>
      </c>
      <c r="Q12" s="456">
        <v>2016</v>
      </c>
      <c r="R12" s="435"/>
      <c r="S12" s="443" t="s">
        <v>100</v>
      </c>
      <c r="T12" s="195"/>
      <c r="U12" s="196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97"/>
      <c r="AK12" s="185"/>
      <c r="AL12" s="185"/>
      <c r="AM12" s="185"/>
      <c r="AN12" s="185"/>
      <c r="AO12" s="185"/>
      <c r="AP12" s="185"/>
      <c r="AQ12" s="186"/>
      <c r="AR12" s="196"/>
      <c r="AS12" s="196"/>
      <c r="AT12" s="185"/>
      <c r="AU12" s="185"/>
      <c r="AV12" s="185"/>
      <c r="AW12" s="185"/>
      <c r="AX12" s="185"/>
      <c r="AY12" s="185"/>
      <c r="AZ12" s="185"/>
      <c r="BA12" s="185"/>
      <c r="BB12" s="185"/>
      <c r="BC12" s="185"/>
      <c r="BD12" s="185"/>
      <c r="BE12" s="185"/>
      <c r="BF12" s="185"/>
      <c r="BG12" s="185"/>
      <c r="BH12" s="185"/>
      <c r="BI12" s="185"/>
      <c r="BJ12" s="186"/>
    </row>
    <row r="13" spans="1:256" x14ac:dyDescent="0.25">
      <c r="A13" s="156" t="s">
        <v>1</v>
      </c>
      <c r="B13" s="154"/>
      <c r="C13" s="154"/>
      <c r="D13" s="155"/>
      <c r="E13" s="218">
        <f>SUM(E12:E12)</f>
        <v>100000</v>
      </c>
      <c r="F13" s="271"/>
      <c r="G13" s="128"/>
      <c r="H13" s="129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91"/>
      <c r="U13" s="191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3"/>
      <c r="AK13" s="185"/>
      <c r="AL13" s="185"/>
      <c r="AM13" s="185"/>
      <c r="AN13" s="185"/>
      <c r="AO13" s="185"/>
      <c r="AP13" s="185"/>
      <c r="AQ13" s="186"/>
      <c r="AR13" s="191"/>
      <c r="AS13" s="191"/>
      <c r="AT13" s="192"/>
      <c r="AU13" s="192"/>
      <c r="AV13" s="192"/>
      <c r="AW13" s="192"/>
      <c r="AX13" s="185"/>
      <c r="AY13" s="185"/>
      <c r="AZ13" s="185"/>
      <c r="BA13" s="185"/>
      <c r="BB13" s="185"/>
      <c r="BC13" s="185"/>
      <c r="BD13" s="185"/>
      <c r="BE13" s="185"/>
      <c r="BF13" s="185"/>
      <c r="BG13" s="185"/>
      <c r="BH13" s="185"/>
      <c r="BI13" s="185"/>
      <c r="BJ13" s="186"/>
    </row>
    <row r="14" spans="1:256" x14ac:dyDescent="0.25">
      <c r="A14" s="219" t="s">
        <v>8</v>
      </c>
      <c r="B14" s="220"/>
      <c r="C14" s="220"/>
      <c r="D14" s="221"/>
      <c r="E14" s="164"/>
      <c r="F14" s="269"/>
      <c r="G14" s="160"/>
      <c r="H14" s="161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78" t="s">
        <v>8</v>
      </c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80"/>
      <c r="AL14" s="180"/>
      <c r="AM14" s="180"/>
      <c r="AN14" s="180"/>
      <c r="AO14" s="179"/>
      <c r="AP14" s="179"/>
      <c r="AQ14" s="181"/>
      <c r="AR14" s="179" t="s">
        <v>8</v>
      </c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81"/>
    </row>
    <row r="15" spans="1:256" ht="25.5" x14ac:dyDescent="0.25">
      <c r="A15" s="123"/>
      <c r="B15" s="126" t="str">
        <f>PEP!B19</f>
        <v>Composante 2</v>
      </c>
      <c r="C15" s="260" t="str">
        <f>PEP!C24</f>
        <v>Produit 10</v>
      </c>
      <c r="D15" s="121" t="s">
        <v>239</v>
      </c>
      <c r="E15" s="148">
        <f>PEP!G24-0.1*PEP!G24</f>
        <v>17487000</v>
      </c>
      <c r="F15" s="163" t="s">
        <v>110</v>
      </c>
      <c r="G15" s="121"/>
      <c r="H15" s="121" t="s">
        <v>241</v>
      </c>
      <c r="I15" s="126" t="s">
        <v>99</v>
      </c>
      <c r="J15" s="176">
        <v>1</v>
      </c>
      <c r="K15" s="120"/>
      <c r="L15" s="124" t="s">
        <v>192</v>
      </c>
      <c r="M15" s="125"/>
      <c r="N15" s="125" t="s">
        <v>198</v>
      </c>
      <c r="O15" s="130" t="s">
        <v>120</v>
      </c>
      <c r="P15" s="120" t="s">
        <v>202</v>
      </c>
      <c r="Q15" s="120">
        <v>2019</v>
      </c>
      <c r="R15" s="122" t="s">
        <v>173</v>
      </c>
      <c r="S15" s="134" t="s">
        <v>100</v>
      </c>
      <c r="T15" s="194"/>
      <c r="U15" s="182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4"/>
      <c r="AK15" s="185"/>
      <c r="AL15" s="185"/>
      <c r="AM15" s="185"/>
      <c r="AN15" s="185"/>
      <c r="AO15" s="185"/>
      <c r="AP15" s="185"/>
      <c r="AQ15" s="186"/>
      <c r="AR15" s="182"/>
      <c r="AS15" s="182"/>
      <c r="AT15" s="183"/>
      <c r="AU15" s="183"/>
      <c r="AV15" s="183"/>
      <c r="AW15" s="183"/>
      <c r="AX15" s="185"/>
      <c r="AY15" s="185"/>
      <c r="AZ15" s="185"/>
      <c r="BA15" s="185"/>
      <c r="BB15" s="185"/>
      <c r="BC15" s="185"/>
      <c r="BD15" s="185"/>
      <c r="BE15" s="185"/>
      <c r="BF15" s="185"/>
      <c r="BG15" s="185"/>
      <c r="BH15" s="185"/>
      <c r="BI15" s="185"/>
      <c r="BJ15" s="186"/>
    </row>
    <row r="16" spans="1:256" ht="25.5" x14ac:dyDescent="0.25">
      <c r="A16" s="123"/>
      <c r="B16" s="276" t="str">
        <f>PEP!B19</f>
        <v>Composante 2</v>
      </c>
      <c r="C16" s="260" t="str">
        <f>PEP!C19</f>
        <v>Produit 9</v>
      </c>
      <c r="D16" s="261" t="s">
        <v>240</v>
      </c>
      <c r="E16" s="149">
        <f>(PEP!E19)-0.1*PEP!E19</f>
        <v>4743000</v>
      </c>
      <c r="F16" s="262" t="s">
        <v>7</v>
      </c>
      <c r="G16" s="261"/>
      <c r="H16" s="356" t="s">
        <v>242</v>
      </c>
      <c r="I16" s="134" t="s">
        <v>99</v>
      </c>
      <c r="J16" s="177">
        <v>0.6</v>
      </c>
      <c r="K16" s="275">
        <v>0.4</v>
      </c>
      <c r="L16" s="260" t="s">
        <v>192</v>
      </c>
      <c r="M16" s="131"/>
      <c r="N16" s="131" t="s">
        <v>251</v>
      </c>
      <c r="O16" s="131" t="s">
        <v>252</v>
      </c>
      <c r="P16" s="120" t="s">
        <v>120</v>
      </c>
      <c r="Q16" s="391" t="s">
        <v>246</v>
      </c>
      <c r="R16" s="127" t="s">
        <v>173</v>
      </c>
      <c r="S16" s="134" t="s">
        <v>100</v>
      </c>
      <c r="T16" s="195"/>
      <c r="U16" s="196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97"/>
      <c r="AK16" s="185"/>
      <c r="AL16" s="185"/>
      <c r="AM16" s="185"/>
      <c r="AN16" s="185"/>
      <c r="AO16" s="185"/>
      <c r="AP16" s="185"/>
      <c r="AQ16" s="186"/>
      <c r="AR16" s="196"/>
      <c r="AS16" s="196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6"/>
    </row>
    <row r="17" spans="1:62" ht="25.5" x14ac:dyDescent="0.25">
      <c r="A17" s="123"/>
      <c r="B17" s="263" t="str">
        <f>PEP!B27</f>
        <v>Composante 3</v>
      </c>
      <c r="C17" s="260" t="str">
        <f>PEP!C27</f>
        <v>Produit 11</v>
      </c>
      <c r="D17" s="261" t="s">
        <v>238</v>
      </c>
      <c r="E17" s="149">
        <f>PEP!G27-0.05*PEP!G27-350000</f>
        <v>9150000</v>
      </c>
      <c r="F17" s="262" t="s">
        <v>110</v>
      </c>
      <c r="G17" s="260"/>
      <c r="H17" s="121" t="s">
        <v>241</v>
      </c>
      <c r="I17" s="134" t="s">
        <v>99</v>
      </c>
      <c r="J17" s="177">
        <v>1</v>
      </c>
      <c r="K17" s="260"/>
      <c r="L17" s="260" t="s">
        <v>192</v>
      </c>
      <c r="M17" s="260"/>
      <c r="N17" s="131" t="s">
        <v>200</v>
      </c>
      <c r="O17" s="278" t="s">
        <v>201</v>
      </c>
      <c r="P17" s="120" t="s">
        <v>202</v>
      </c>
      <c r="Q17" s="391">
        <v>2019</v>
      </c>
      <c r="R17" s="127"/>
      <c r="S17" s="134" t="s">
        <v>100</v>
      </c>
      <c r="T17" s="195"/>
      <c r="U17" s="196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97"/>
      <c r="AK17" s="185"/>
      <c r="AL17" s="185"/>
      <c r="AM17" s="185"/>
      <c r="AN17" s="185"/>
      <c r="AO17" s="185"/>
      <c r="AP17" s="185"/>
      <c r="AQ17" s="186"/>
      <c r="AR17" s="196"/>
      <c r="AS17" s="196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6"/>
    </row>
    <row r="18" spans="1:62" x14ac:dyDescent="0.25">
      <c r="A18" s="156" t="s">
        <v>1</v>
      </c>
      <c r="B18" s="154"/>
      <c r="C18" s="128"/>
      <c r="D18" s="129"/>
      <c r="E18" s="147">
        <f>SUM(E15:E17)</f>
        <v>31380000</v>
      </c>
      <c r="F18" s="271"/>
      <c r="G18" s="128"/>
      <c r="H18" s="129"/>
      <c r="I18" s="128"/>
      <c r="J18" s="128"/>
      <c r="K18" s="128"/>
      <c r="L18" s="128"/>
      <c r="M18" s="128"/>
      <c r="N18" s="128"/>
      <c r="O18" s="279"/>
      <c r="P18" s="128"/>
      <c r="Q18" s="128"/>
      <c r="R18" s="128"/>
      <c r="S18" s="128"/>
      <c r="T18" s="191"/>
      <c r="U18" s="191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3"/>
      <c r="AK18" s="185"/>
      <c r="AL18" s="185"/>
      <c r="AM18" s="185"/>
      <c r="AN18" s="185"/>
      <c r="AO18" s="185"/>
      <c r="AP18" s="185"/>
      <c r="AQ18" s="186"/>
      <c r="AR18" s="191"/>
      <c r="AS18" s="191"/>
      <c r="AT18" s="192"/>
      <c r="AU18" s="192"/>
      <c r="AV18" s="192"/>
      <c r="AW18" s="192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/>
      <c r="BI18" s="185"/>
      <c r="BJ18" s="186"/>
    </row>
    <row r="19" spans="1:62" x14ac:dyDescent="0.25">
      <c r="A19" s="145" t="s">
        <v>101</v>
      </c>
      <c r="B19" s="165"/>
      <c r="C19" s="283"/>
      <c r="D19" s="284"/>
      <c r="E19" s="285"/>
      <c r="F19" s="286"/>
      <c r="G19" s="283"/>
      <c r="H19" s="284"/>
      <c r="I19" s="283"/>
      <c r="J19" s="283"/>
      <c r="K19" s="283"/>
      <c r="L19" s="283"/>
      <c r="M19" s="283"/>
      <c r="N19" s="283"/>
      <c r="O19" s="165"/>
      <c r="P19" s="165"/>
      <c r="Q19" s="165"/>
      <c r="R19" s="165"/>
      <c r="S19" s="165"/>
      <c r="T19" s="198" t="s">
        <v>101</v>
      </c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200"/>
      <c r="AL19" s="200"/>
      <c r="AM19" s="200"/>
      <c r="AN19" s="200"/>
      <c r="AO19" s="199"/>
      <c r="AP19" s="199"/>
      <c r="AQ19" s="201"/>
      <c r="AR19" s="199" t="s">
        <v>101</v>
      </c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201"/>
    </row>
    <row r="20" spans="1:62" s="373" customFormat="1" x14ac:dyDescent="0.25">
      <c r="A20" s="364"/>
      <c r="B20" s="374"/>
      <c r="C20" s="364"/>
      <c r="D20" s="365"/>
      <c r="E20" s="375"/>
      <c r="F20" s="376"/>
      <c r="G20" s="364"/>
      <c r="H20" s="377"/>
      <c r="I20" s="366"/>
      <c r="J20" s="367"/>
      <c r="K20" s="378"/>
      <c r="L20" s="363"/>
      <c r="M20" s="364"/>
      <c r="N20" s="379"/>
      <c r="O20" s="380"/>
      <c r="P20" s="381"/>
      <c r="Q20" s="381"/>
      <c r="R20" s="382"/>
      <c r="S20" s="366"/>
      <c r="T20" s="383"/>
      <c r="U20" s="368"/>
      <c r="V20" s="369"/>
      <c r="W20" s="369"/>
      <c r="X20" s="369"/>
      <c r="Y20" s="369"/>
      <c r="Z20" s="369"/>
      <c r="AA20" s="369"/>
      <c r="AB20" s="369"/>
      <c r="AC20" s="369"/>
      <c r="AD20" s="369"/>
      <c r="AE20" s="369"/>
      <c r="AF20" s="369"/>
      <c r="AG20" s="369"/>
      <c r="AH20" s="369"/>
      <c r="AI20" s="369"/>
      <c r="AJ20" s="370"/>
      <c r="AK20" s="371"/>
      <c r="AL20" s="371"/>
      <c r="AM20" s="371"/>
      <c r="AN20" s="371"/>
      <c r="AO20" s="371"/>
      <c r="AP20" s="371"/>
      <c r="AQ20" s="372"/>
      <c r="AR20" s="368"/>
      <c r="AS20" s="368"/>
      <c r="AT20" s="369"/>
      <c r="AU20" s="369"/>
      <c r="AV20" s="369"/>
      <c r="AW20" s="369"/>
      <c r="AX20" s="371"/>
      <c r="AY20" s="371"/>
      <c r="AZ20" s="371"/>
      <c r="BA20" s="371"/>
      <c r="BB20" s="371"/>
      <c r="BC20" s="371"/>
      <c r="BD20" s="371"/>
      <c r="BE20" s="371"/>
      <c r="BF20" s="371"/>
      <c r="BG20" s="371"/>
      <c r="BH20" s="371"/>
      <c r="BI20" s="371"/>
      <c r="BJ20" s="372"/>
    </row>
    <row r="21" spans="1:62" s="373" customFormat="1" x14ac:dyDescent="0.25">
      <c r="A21" s="364"/>
      <c r="B21" s="374"/>
      <c r="C21" s="364"/>
      <c r="D21" s="365"/>
      <c r="E21" s="375"/>
      <c r="F21" s="376"/>
      <c r="G21" s="364"/>
      <c r="H21" s="365"/>
      <c r="I21" s="366"/>
      <c r="J21" s="367"/>
      <c r="K21" s="364"/>
      <c r="L21" s="364"/>
      <c r="M21" s="364"/>
      <c r="N21" s="364"/>
      <c r="O21" s="384"/>
      <c r="P21" s="381"/>
      <c r="Q21" s="381"/>
      <c r="R21" s="385"/>
      <c r="S21" s="366"/>
      <c r="T21" s="386"/>
      <c r="U21" s="386"/>
      <c r="V21" s="387"/>
      <c r="W21" s="387"/>
      <c r="X21" s="387"/>
      <c r="Y21" s="387"/>
      <c r="Z21" s="387"/>
      <c r="AA21" s="387"/>
      <c r="AB21" s="387"/>
      <c r="AC21" s="387"/>
      <c r="AD21" s="387"/>
      <c r="AE21" s="387"/>
      <c r="AF21" s="387"/>
      <c r="AG21" s="387"/>
      <c r="AH21" s="387"/>
      <c r="AI21" s="387"/>
      <c r="AJ21" s="388"/>
      <c r="AK21" s="371"/>
      <c r="AL21" s="371"/>
      <c r="AM21" s="371"/>
      <c r="AN21" s="371"/>
      <c r="AO21" s="371"/>
      <c r="AP21" s="371"/>
      <c r="AQ21" s="372"/>
      <c r="AR21" s="386"/>
      <c r="AS21" s="386"/>
      <c r="AT21" s="387"/>
      <c r="AU21" s="387"/>
      <c r="AV21" s="387"/>
      <c r="AW21" s="387"/>
      <c r="AX21" s="371"/>
      <c r="AY21" s="371"/>
      <c r="AZ21" s="371"/>
      <c r="BA21" s="371"/>
      <c r="BB21" s="371"/>
      <c r="BC21" s="371"/>
      <c r="BD21" s="371"/>
      <c r="BE21" s="371"/>
      <c r="BF21" s="371"/>
      <c r="BG21" s="371"/>
      <c r="BH21" s="371"/>
      <c r="BI21" s="371"/>
      <c r="BJ21" s="372"/>
    </row>
    <row r="22" spans="1:62" x14ac:dyDescent="0.25">
      <c r="A22" s="156" t="s">
        <v>1</v>
      </c>
      <c r="B22" s="154"/>
      <c r="C22" s="128"/>
      <c r="D22" s="129"/>
      <c r="E22" s="147">
        <f>SUM(E20:E21)</f>
        <v>0</v>
      </c>
      <c r="F22" s="271"/>
      <c r="G22" s="128"/>
      <c r="H22" s="129"/>
      <c r="I22" s="128"/>
      <c r="J22" s="128"/>
      <c r="K22" s="128"/>
      <c r="L22" s="128"/>
      <c r="M22" s="128"/>
      <c r="N22" s="128"/>
      <c r="O22" s="279"/>
      <c r="P22" s="128"/>
      <c r="Q22" s="128"/>
      <c r="R22" s="128"/>
      <c r="S22" s="128"/>
      <c r="T22" s="191"/>
      <c r="U22" s="191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3"/>
      <c r="AK22" s="185"/>
      <c r="AL22" s="185"/>
      <c r="AM22" s="185"/>
      <c r="AN22" s="185"/>
      <c r="AO22" s="185"/>
      <c r="AP22" s="185"/>
      <c r="AQ22" s="186"/>
      <c r="AR22" s="191"/>
      <c r="AS22" s="191"/>
      <c r="AT22" s="192"/>
      <c r="AU22" s="192"/>
      <c r="AV22" s="192"/>
      <c r="AW22" s="192"/>
      <c r="AX22" s="185"/>
      <c r="AY22" s="185"/>
      <c r="AZ22" s="185"/>
      <c r="BA22" s="185"/>
      <c r="BB22" s="185"/>
      <c r="BC22" s="185"/>
      <c r="BD22" s="185"/>
      <c r="BE22" s="185"/>
      <c r="BF22" s="185"/>
      <c r="BG22" s="185"/>
      <c r="BH22" s="185"/>
      <c r="BI22" s="185"/>
      <c r="BJ22" s="186"/>
    </row>
    <row r="23" spans="1:62" x14ac:dyDescent="0.25">
      <c r="A23" s="145" t="s">
        <v>102</v>
      </c>
      <c r="B23" s="165"/>
      <c r="C23" s="283"/>
      <c r="D23" s="284"/>
      <c r="E23" s="285"/>
      <c r="F23" s="286"/>
      <c r="G23" s="283"/>
      <c r="H23" s="284"/>
      <c r="I23" s="283"/>
      <c r="J23" s="283"/>
      <c r="K23" s="283"/>
      <c r="L23" s="283"/>
      <c r="M23" s="283"/>
      <c r="N23" s="283"/>
      <c r="O23" s="165"/>
      <c r="P23" s="165"/>
      <c r="Q23" s="165"/>
      <c r="R23" s="165"/>
      <c r="S23" s="165"/>
      <c r="T23" s="198" t="s">
        <v>102</v>
      </c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200"/>
      <c r="AL23" s="200"/>
      <c r="AM23" s="200"/>
      <c r="AN23" s="200"/>
      <c r="AO23" s="199"/>
      <c r="AP23" s="199"/>
      <c r="AQ23" s="201"/>
      <c r="AR23" s="199" t="s">
        <v>102</v>
      </c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201"/>
    </row>
    <row r="24" spans="1:62" s="373" customFormat="1" ht="25.5" x14ac:dyDescent="0.25">
      <c r="A24" s="364"/>
      <c r="B24" s="458" t="str">
        <f>PEP!B9</f>
        <v>Composante 1</v>
      </c>
      <c r="C24" s="289" t="str">
        <f>PEP!C9</f>
        <v>Produit 3</v>
      </c>
      <c r="D24" s="425" t="s">
        <v>172</v>
      </c>
      <c r="E24" s="459">
        <f>PEP!E9-PEP!I9-500000</f>
        <v>2250000</v>
      </c>
      <c r="F24" s="451" t="s">
        <v>165</v>
      </c>
      <c r="G24" s="289"/>
      <c r="H24" s="132" t="s">
        <v>243</v>
      </c>
      <c r="I24" s="443" t="s">
        <v>99</v>
      </c>
      <c r="J24" s="441">
        <v>0.18</v>
      </c>
      <c r="K24" s="460">
        <v>0.82</v>
      </c>
      <c r="L24" s="448"/>
      <c r="M24" s="461" t="s">
        <v>199</v>
      </c>
      <c r="N24" s="461" t="s">
        <v>200</v>
      </c>
      <c r="O24" s="462" t="s">
        <v>201</v>
      </c>
      <c r="P24" s="454" t="s">
        <v>120</v>
      </c>
      <c r="Q24" s="455" t="s">
        <v>234</v>
      </c>
      <c r="R24" s="456" t="s">
        <v>166</v>
      </c>
      <c r="S24" s="443" t="s">
        <v>100</v>
      </c>
      <c r="T24" s="383"/>
      <c r="U24" s="368"/>
      <c r="V24" s="369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  <c r="AI24" s="369"/>
      <c r="AJ24" s="370"/>
      <c r="AK24" s="371"/>
      <c r="AL24" s="371"/>
      <c r="AM24" s="371"/>
      <c r="AN24" s="371"/>
      <c r="AO24" s="371"/>
      <c r="AP24" s="371"/>
      <c r="AQ24" s="372"/>
      <c r="AR24" s="368"/>
      <c r="AS24" s="368"/>
      <c r="AT24" s="369"/>
      <c r="AU24" s="369"/>
      <c r="AV24" s="369"/>
      <c r="AW24" s="369"/>
      <c r="AX24" s="371"/>
      <c r="AY24" s="371"/>
      <c r="AZ24" s="371"/>
      <c r="BA24" s="371"/>
      <c r="BB24" s="371"/>
      <c r="BC24" s="371"/>
      <c r="BD24" s="371"/>
      <c r="BE24" s="371"/>
      <c r="BF24" s="371"/>
      <c r="BG24" s="371"/>
      <c r="BH24" s="371"/>
      <c r="BI24" s="371"/>
      <c r="BJ24" s="372"/>
    </row>
    <row r="25" spans="1:62" s="373" customFormat="1" ht="25.5" x14ac:dyDescent="0.25">
      <c r="A25" s="364"/>
      <c r="B25" s="458" t="str">
        <f>PEP!B18</f>
        <v>Composante 2</v>
      </c>
      <c r="C25" s="289" t="str">
        <f>PEP!C18</f>
        <v>Produit 8</v>
      </c>
      <c r="D25" s="425" t="s">
        <v>171</v>
      </c>
      <c r="E25" s="459">
        <f>PEP!E18-PPM!E44-E59</f>
        <v>1200000</v>
      </c>
      <c r="F25" s="451" t="s">
        <v>165</v>
      </c>
      <c r="G25" s="289"/>
      <c r="H25" s="132" t="s">
        <v>243</v>
      </c>
      <c r="I25" s="443" t="s">
        <v>99</v>
      </c>
      <c r="J25" s="441">
        <v>1</v>
      </c>
      <c r="K25" s="289"/>
      <c r="L25" s="289"/>
      <c r="M25" s="461" t="s">
        <v>199</v>
      </c>
      <c r="N25" s="461" t="s">
        <v>200</v>
      </c>
      <c r="O25" s="462" t="s">
        <v>201</v>
      </c>
      <c r="P25" s="454" t="s">
        <v>120</v>
      </c>
      <c r="Q25" s="455" t="s">
        <v>234</v>
      </c>
      <c r="R25" s="457"/>
      <c r="S25" s="443" t="s">
        <v>100</v>
      </c>
      <c r="T25" s="386"/>
      <c r="U25" s="386"/>
      <c r="V25" s="387"/>
      <c r="W25" s="387"/>
      <c r="X25" s="387"/>
      <c r="Y25" s="387"/>
      <c r="Z25" s="387"/>
      <c r="AA25" s="387"/>
      <c r="AB25" s="387"/>
      <c r="AC25" s="387"/>
      <c r="AD25" s="387"/>
      <c r="AE25" s="387"/>
      <c r="AF25" s="387"/>
      <c r="AG25" s="387"/>
      <c r="AH25" s="387"/>
      <c r="AI25" s="387"/>
      <c r="AJ25" s="388"/>
      <c r="AK25" s="371"/>
      <c r="AL25" s="371"/>
      <c r="AM25" s="371"/>
      <c r="AN25" s="371"/>
      <c r="AO25" s="371"/>
      <c r="AP25" s="371"/>
      <c r="AQ25" s="372"/>
      <c r="AR25" s="386"/>
      <c r="AS25" s="386"/>
      <c r="AT25" s="387"/>
      <c r="AU25" s="387"/>
      <c r="AV25" s="387"/>
      <c r="AW25" s="387"/>
      <c r="AX25" s="371"/>
      <c r="AY25" s="371"/>
      <c r="AZ25" s="371"/>
      <c r="BA25" s="371"/>
      <c r="BB25" s="371"/>
      <c r="BC25" s="371"/>
      <c r="BD25" s="371"/>
      <c r="BE25" s="371"/>
      <c r="BF25" s="371"/>
      <c r="BG25" s="371"/>
      <c r="BH25" s="371"/>
      <c r="BI25" s="371"/>
      <c r="BJ25" s="372"/>
    </row>
    <row r="26" spans="1:62" x14ac:dyDescent="0.25">
      <c r="A26" s="126"/>
      <c r="B26" s="458" t="str">
        <f>PEP!B3</f>
        <v>Composante 1</v>
      </c>
      <c r="C26" s="448" t="str">
        <f>PEP!C3</f>
        <v>Produit 1</v>
      </c>
      <c r="D26" s="463" t="s">
        <v>164</v>
      </c>
      <c r="E26" s="464">
        <f>PEP!E3-100000</f>
        <v>700000</v>
      </c>
      <c r="F26" s="451" t="s">
        <v>165</v>
      </c>
      <c r="G26" s="132"/>
      <c r="H26" s="132" t="s">
        <v>243</v>
      </c>
      <c r="I26" s="443" t="s">
        <v>99</v>
      </c>
      <c r="J26" s="465">
        <v>1</v>
      </c>
      <c r="K26" s="448"/>
      <c r="L26" s="448"/>
      <c r="M26" s="461" t="s">
        <v>199</v>
      </c>
      <c r="N26" s="461" t="s">
        <v>200</v>
      </c>
      <c r="O26" s="462" t="s">
        <v>201</v>
      </c>
      <c r="P26" s="454" t="s">
        <v>120</v>
      </c>
      <c r="Q26" s="455" t="s">
        <v>228</v>
      </c>
      <c r="R26" s="456"/>
      <c r="S26" s="443" t="s">
        <v>100</v>
      </c>
      <c r="T26" s="194"/>
      <c r="U26" s="182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4"/>
      <c r="AK26" s="185"/>
      <c r="AL26" s="185"/>
      <c r="AM26" s="185"/>
      <c r="AN26" s="185"/>
      <c r="AO26" s="185"/>
      <c r="AP26" s="185"/>
      <c r="AQ26" s="186"/>
      <c r="AR26" s="182"/>
      <c r="AS26" s="182"/>
      <c r="AT26" s="183"/>
      <c r="AU26" s="183"/>
      <c r="AV26" s="183"/>
      <c r="AW26" s="183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6"/>
    </row>
    <row r="27" spans="1:62" ht="25.5" x14ac:dyDescent="0.25">
      <c r="A27" s="126"/>
      <c r="B27" s="276" t="str">
        <f>PEP!B3</f>
        <v>Composante 1</v>
      </c>
      <c r="C27" s="126" t="s">
        <v>253</v>
      </c>
      <c r="D27" s="142" t="s">
        <v>254</v>
      </c>
      <c r="E27" s="146">
        <f>100000+150000+500000</f>
        <v>750000</v>
      </c>
      <c r="F27" s="262" t="s">
        <v>256</v>
      </c>
      <c r="G27" s="143"/>
      <c r="H27" s="262" t="s">
        <v>255</v>
      </c>
      <c r="I27" s="134" t="s">
        <v>99</v>
      </c>
      <c r="J27" s="176">
        <v>1</v>
      </c>
      <c r="K27" s="126"/>
      <c r="L27" s="126"/>
      <c r="M27" s="389" t="s">
        <v>199</v>
      </c>
      <c r="N27" s="389" t="s">
        <v>200</v>
      </c>
      <c r="O27" s="280" t="s">
        <v>201</v>
      </c>
      <c r="P27" s="130" t="s">
        <v>120</v>
      </c>
      <c r="Q27" s="390">
        <v>2020</v>
      </c>
      <c r="R27" s="122" t="s">
        <v>257</v>
      </c>
      <c r="S27" s="134" t="s">
        <v>100</v>
      </c>
      <c r="T27" s="194"/>
      <c r="U27" s="182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4"/>
      <c r="AK27" s="185"/>
      <c r="AL27" s="185"/>
      <c r="AM27" s="185"/>
      <c r="AN27" s="185"/>
      <c r="AO27" s="185"/>
      <c r="AP27" s="185"/>
      <c r="AQ27" s="186"/>
      <c r="AR27" s="182"/>
      <c r="AS27" s="182"/>
      <c r="AT27" s="183"/>
      <c r="AU27" s="183"/>
      <c r="AV27" s="183"/>
      <c r="AW27" s="183"/>
      <c r="AX27" s="185"/>
      <c r="AY27" s="185"/>
      <c r="AZ27" s="185"/>
      <c r="BA27" s="185"/>
      <c r="BB27" s="185"/>
      <c r="BC27" s="185"/>
      <c r="BD27" s="185"/>
      <c r="BE27" s="185"/>
      <c r="BF27" s="185"/>
      <c r="BG27" s="185"/>
      <c r="BH27" s="185"/>
      <c r="BI27" s="185"/>
      <c r="BJ27" s="186"/>
    </row>
    <row r="28" spans="1:62" ht="25.5" x14ac:dyDescent="0.25">
      <c r="A28" s="126"/>
      <c r="B28" s="276" t="str">
        <f>PEP!B8</f>
        <v>Composante 1</v>
      </c>
      <c r="C28" s="260" t="str">
        <f>PEP!C8</f>
        <v>Produit 2</v>
      </c>
      <c r="D28" s="261" t="s">
        <v>175</v>
      </c>
      <c r="E28" s="149">
        <f>PEP!E8</f>
        <v>300000</v>
      </c>
      <c r="F28" s="262" t="s">
        <v>165</v>
      </c>
      <c r="G28" s="260"/>
      <c r="H28" s="143" t="s">
        <v>243</v>
      </c>
      <c r="I28" s="134" t="s">
        <v>99</v>
      </c>
      <c r="J28" s="176">
        <v>1</v>
      </c>
      <c r="K28" s="260"/>
      <c r="L28" s="126"/>
      <c r="M28" s="389" t="s">
        <v>229</v>
      </c>
      <c r="N28" s="389" t="s">
        <v>230</v>
      </c>
      <c r="O28" s="280" t="s">
        <v>231</v>
      </c>
      <c r="P28" s="130" t="s">
        <v>232</v>
      </c>
      <c r="Q28" s="390" t="s">
        <v>233</v>
      </c>
      <c r="R28" s="122"/>
      <c r="S28" s="134" t="s">
        <v>100</v>
      </c>
      <c r="T28" s="194"/>
      <c r="U28" s="182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4"/>
      <c r="AK28" s="185"/>
      <c r="AL28" s="185"/>
      <c r="AM28" s="185"/>
      <c r="AN28" s="185"/>
      <c r="AO28" s="185"/>
      <c r="AP28" s="185"/>
      <c r="AQ28" s="186"/>
      <c r="AR28" s="182"/>
      <c r="AS28" s="182"/>
      <c r="AT28" s="183"/>
      <c r="AU28" s="183"/>
      <c r="AV28" s="183"/>
      <c r="AW28" s="183"/>
      <c r="AX28" s="185"/>
      <c r="AY28" s="185"/>
      <c r="AZ28" s="185"/>
      <c r="BA28" s="185"/>
      <c r="BB28" s="185"/>
      <c r="BC28" s="185"/>
      <c r="BD28" s="185"/>
      <c r="BE28" s="185"/>
      <c r="BF28" s="185"/>
      <c r="BG28" s="185"/>
      <c r="BH28" s="185"/>
      <c r="BI28" s="185"/>
      <c r="BJ28" s="186"/>
    </row>
    <row r="29" spans="1:62" s="166" customFormat="1" ht="25.5" x14ac:dyDescent="0.25">
      <c r="A29" s="132"/>
      <c r="B29" s="276" t="str">
        <f>PEP!B13</f>
        <v>Composante 1</v>
      </c>
      <c r="C29" s="260" t="str">
        <f>PEP!C12</f>
        <v>Produit 4</v>
      </c>
      <c r="D29" s="261" t="s">
        <v>167</v>
      </c>
      <c r="E29" s="288">
        <f>PEP!E12-150000</f>
        <v>150000</v>
      </c>
      <c r="F29" s="262" t="s">
        <v>165</v>
      </c>
      <c r="G29" s="289"/>
      <c r="H29" s="143" t="s">
        <v>243</v>
      </c>
      <c r="I29" s="134" t="s">
        <v>99</v>
      </c>
      <c r="J29" s="177">
        <v>0.5</v>
      </c>
      <c r="K29" s="290">
        <v>0.5</v>
      </c>
      <c r="L29" s="260"/>
      <c r="M29" s="357" t="s">
        <v>236</v>
      </c>
      <c r="N29" s="357" t="s">
        <v>120</v>
      </c>
      <c r="O29" s="282" t="s">
        <v>204</v>
      </c>
      <c r="P29" s="130" t="s">
        <v>205</v>
      </c>
      <c r="Q29" s="390" t="s">
        <v>233</v>
      </c>
      <c r="R29" s="133"/>
      <c r="S29" s="134" t="s">
        <v>100</v>
      </c>
      <c r="T29" s="202"/>
      <c r="U29" s="203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5"/>
      <c r="AK29" s="206"/>
      <c r="AL29" s="206"/>
      <c r="AM29" s="206"/>
      <c r="AN29" s="206"/>
      <c r="AO29" s="206"/>
      <c r="AP29" s="206"/>
      <c r="AQ29" s="207"/>
      <c r="AR29" s="203"/>
      <c r="AS29" s="203"/>
      <c r="AT29" s="204"/>
      <c r="AU29" s="204"/>
      <c r="AV29" s="204"/>
      <c r="AW29" s="204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7"/>
    </row>
    <row r="30" spans="1:62" x14ac:dyDescent="0.25">
      <c r="A30" s="123"/>
      <c r="B30" s="276" t="str">
        <f>PEP!B15</f>
        <v>Composante 1</v>
      </c>
      <c r="C30" s="260" t="str">
        <f>PEP!C14</f>
        <v>Produit 6</v>
      </c>
      <c r="D30" s="261" t="s">
        <v>169</v>
      </c>
      <c r="E30" s="149">
        <f>PEP!E14</f>
        <v>150000</v>
      </c>
      <c r="F30" s="262" t="s">
        <v>165</v>
      </c>
      <c r="G30" s="260"/>
      <c r="H30" s="143" t="s">
        <v>243</v>
      </c>
      <c r="I30" s="134" t="s">
        <v>99</v>
      </c>
      <c r="J30" s="176">
        <v>1</v>
      </c>
      <c r="K30" s="260"/>
      <c r="L30" s="260"/>
      <c r="M30" s="357" t="s">
        <v>199</v>
      </c>
      <c r="N30" s="357" t="s">
        <v>200</v>
      </c>
      <c r="O30" s="280" t="s">
        <v>201</v>
      </c>
      <c r="P30" s="130" t="s">
        <v>120</v>
      </c>
      <c r="Q30" s="390" t="s">
        <v>228</v>
      </c>
      <c r="R30" s="127"/>
      <c r="S30" s="134" t="s">
        <v>100</v>
      </c>
      <c r="T30" s="191"/>
      <c r="U30" s="191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3"/>
      <c r="AK30" s="185"/>
      <c r="AL30" s="185"/>
      <c r="AM30" s="185"/>
      <c r="AN30" s="185"/>
      <c r="AO30" s="185"/>
      <c r="AP30" s="185"/>
      <c r="AQ30" s="186"/>
      <c r="AR30" s="191"/>
      <c r="AS30" s="191"/>
      <c r="AT30" s="192"/>
      <c r="AU30" s="192"/>
      <c r="AV30" s="192"/>
      <c r="AW30" s="192"/>
      <c r="AX30" s="185"/>
      <c r="AY30" s="185"/>
      <c r="AZ30" s="185"/>
      <c r="BA30" s="185"/>
      <c r="BB30" s="185"/>
      <c r="BC30" s="185"/>
      <c r="BD30" s="185"/>
      <c r="BE30" s="185"/>
      <c r="BF30" s="185"/>
      <c r="BG30" s="185"/>
      <c r="BH30" s="185"/>
      <c r="BI30" s="185"/>
      <c r="BJ30" s="186"/>
    </row>
    <row r="31" spans="1:62" ht="25.5" x14ac:dyDescent="0.25">
      <c r="A31" s="123"/>
      <c r="B31" s="276" t="str">
        <f>PEP!B15</f>
        <v>Composante 1</v>
      </c>
      <c r="C31" s="260" t="str">
        <f>PEP!C15</f>
        <v>Produit 7</v>
      </c>
      <c r="D31" s="261" t="s">
        <v>170</v>
      </c>
      <c r="E31" s="149">
        <f>PEP!E15-PEP!I15</f>
        <v>350000</v>
      </c>
      <c r="F31" s="262" t="s">
        <v>165</v>
      </c>
      <c r="G31" s="260"/>
      <c r="H31" s="143" t="s">
        <v>243</v>
      </c>
      <c r="I31" s="134" t="s">
        <v>99</v>
      </c>
      <c r="J31" s="176">
        <v>1</v>
      </c>
      <c r="K31" s="260"/>
      <c r="L31" s="260"/>
      <c r="M31" s="357" t="s">
        <v>199</v>
      </c>
      <c r="N31" s="357" t="s">
        <v>200</v>
      </c>
      <c r="O31" s="280" t="s">
        <v>201</v>
      </c>
      <c r="P31" s="130" t="s">
        <v>120</v>
      </c>
      <c r="Q31" s="390" t="s">
        <v>234</v>
      </c>
      <c r="R31" s="127"/>
      <c r="S31" s="134" t="s">
        <v>100</v>
      </c>
      <c r="T31" s="191"/>
      <c r="U31" s="191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3"/>
      <c r="AK31" s="185"/>
      <c r="AL31" s="185"/>
      <c r="AM31" s="185"/>
      <c r="AN31" s="185"/>
      <c r="AO31" s="185"/>
      <c r="AP31" s="185"/>
      <c r="AQ31" s="186"/>
      <c r="AR31" s="191"/>
      <c r="AS31" s="191"/>
      <c r="AT31" s="192"/>
      <c r="AU31" s="192"/>
      <c r="AV31" s="192"/>
      <c r="AW31" s="192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85"/>
      <c r="BJ31" s="186"/>
    </row>
    <row r="32" spans="1:62" ht="25.5" x14ac:dyDescent="0.25">
      <c r="A32" s="260"/>
      <c r="B32" s="276" t="s">
        <v>24</v>
      </c>
      <c r="C32" s="260" t="str">
        <f>PEP!C24</f>
        <v>Produit 10</v>
      </c>
      <c r="D32" s="261" t="s">
        <v>187</v>
      </c>
      <c r="E32" s="149">
        <f>PEP!G24*0.1</f>
        <v>1943000</v>
      </c>
      <c r="F32" s="262" t="s">
        <v>165</v>
      </c>
      <c r="G32" s="260"/>
      <c r="H32" s="143" t="s">
        <v>243</v>
      </c>
      <c r="I32" s="134" t="s">
        <v>99</v>
      </c>
      <c r="J32" s="177">
        <v>1</v>
      </c>
      <c r="K32" s="260"/>
      <c r="L32" s="260"/>
      <c r="M32" s="260" t="s">
        <v>235</v>
      </c>
      <c r="N32" s="125" t="s">
        <v>198</v>
      </c>
      <c r="O32" s="130" t="s">
        <v>120</v>
      </c>
      <c r="P32" s="120" t="s">
        <v>202</v>
      </c>
      <c r="Q32" s="120">
        <v>2017</v>
      </c>
      <c r="R32" s="127" t="s">
        <v>173</v>
      </c>
      <c r="S32" s="134" t="s">
        <v>100</v>
      </c>
      <c r="T32" s="191"/>
      <c r="U32" s="191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3"/>
      <c r="AK32" s="185"/>
      <c r="AL32" s="185"/>
      <c r="AM32" s="185"/>
      <c r="AN32" s="185"/>
      <c r="AO32" s="185"/>
      <c r="AP32" s="185"/>
      <c r="AQ32" s="186"/>
      <c r="AR32" s="191"/>
      <c r="AS32" s="191"/>
      <c r="AT32" s="192"/>
      <c r="AU32" s="192"/>
      <c r="AV32" s="192"/>
      <c r="AW32" s="192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6"/>
    </row>
    <row r="33" spans="1:62" ht="25.5" x14ac:dyDescent="0.25">
      <c r="A33" s="260"/>
      <c r="B33" s="276" t="s">
        <v>24</v>
      </c>
      <c r="C33" s="260" t="str">
        <f>PEP!C19</f>
        <v>Produit 9</v>
      </c>
      <c r="D33" s="261" t="s">
        <v>188</v>
      </c>
      <c r="E33" s="149">
        <f>PEP!E19*0.1</f>
        <v>527000</v>
      </c>
      <c r="F33" s="262" t="s">
        <v>165</v>
      </c>
      <c r="G33" s="260"/>
      <c r="H33" s="143" t="s">
        <v>243</v>
      </c>
      <c r="I33" s="134" t="s">
        <v>99</v>
      </c>
      <c r="J33" s="177">
        <v>0.6</v>
      </c>
      <c r="K33" s="275">
        <v>0.4</v>
      </c>
      <c r="L33" s="260"/>
      <c r="M33" s="392" t="s">
        <v>235</v>
      </c>
      <c r="N33" s="125" t="s">
        <v>198</v>
      </c>
      <c r="O33" s="130" t="s">
        <v>120</v>
      </c>
      <c r="P33" s="120" t="s">
        <v>202</v>
      </c>
      <c r="Q33" s="120">
        <v>2017</v>
      </c>
      <c r="R33" s="127" t="s">
        <v>173</v>
      </c>
      <c r="S33" s="134" t="s">
        <v>100</v>
      </c>
      <c r="T33" s="191"/>
      <c r="U33" s="191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3"/>
      <c r="AK33" s="185"/>
      <c r="AL33" s="185"/>
      <c r="AM33" s="185"/>
      <c r="AN33" s="185"/>
      <c r="AO33" s="185"/>
      <c r="AP33" s="185"/>
      <c r="AQ33" s="186"/>
      <c r="AR33" s="191"/>
      <c r="AS33" s="191"/>
      <c r="AT33" s="192"/>
      <c r="AU33" s="192"/>
      <c r="AV33" s="192"/>
      <c r="AW33" s="192"/>
      <c r="AX33" s="185"/>
      <c r="AY33" s="185"/>
      <c r="AZ33" s="185"/>
      <c r="BA33" s="185"/>
      <c r="BB33" s="185"/>
      <c r="BC33" s="185"/>
      <c r="BD33" s="185"/>
      <c r="BE33" s="185"/>
      <c r="BF33" s="185"/>
      <c r="BG33" s="185"/>
      <c r="BH33" s="185"/>
      <c r="BI33" s="185"/>
      <c r="BJ33" s="186"/>
    </row>
    <row r="34" spans="1:62" ht="25.5" x14ac:dyDescent="0.25">
      <c r="A34" s="260"/>
      <c r="B34" s="276" t="s">
        <v>129</v>
      </c>
      <c r="C34" s="260" t="str">
        <f>PEP!C27</f>
        <v>Produit 11</v>
      </c>
      <c r="D34" s="261" t="s">
        <v>174</v>
      </c>
      <c r="E34" s="149">
        <v>420000</v>
      </c>
      <c r="F34" s="262" t="s">
        <v>165</v>
      </c>
      <c r="G34" s="260"/>
      <c r="H34" s="143" t="s">
        <v>243</v>
      </c>
      <c r="I34" s="134" t="s">
        <v>99</v>
      </c>
      <c r="J34" s="177">
        <v>1</v>
      </c>
      <c r="K34" s="260"/>
      <c r="L34" s="260"/>
      <c r="M34" s="260" t="s">
        <v>235</v>
      </c>
      <c r="N34" s="131" t="s">
        <v>200</v>
      </c>
      <c r="O34" s="278" t="s">
        <v>201</v>
      </c>
      <c r="P34" s="120" t="s">
        <v>202</v>
      </c>
      <c r="Q34" s="391">
        <v>2019</v>
      </c>
      <c r="R34" s="127"/>
      <c r="S34" s="134" t="s">
        <v>100</v>
      </c>
      <c r="T34" s="191"/>
      <c r="U34" s="191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3"/>
      <c r="AK34" s="185"/>
      <c r="AL34" s="185"/>
      <c r="AM34" s="185"/>
      <c r="AN34" s="185"/>
      <c r="AO34" s="185"/>
      <c r="AP34" s="185"/>
      <c r="AQ34" s="186"/>
      <c r="AR34" s="191"/>
      <c r="AS34" s="191"/>
      <c r="AT34" s="192"/>
      <c r="AU34" s="192"/>
      <c r="AV34" s="192"/>
      <c r="AW34" s="192"/>
      <c r="AX34" s="185"/>
      <c r="AY34" s="185"/>
      <c r="AZ34" s="185"/>
      <c r="BA34" s="185"/>
      <c r="BB34" s="185"/>
      <c r="BC34" s="185"/>
      <c r="BD34" s="185"/>
      <c r="BE34" s="185"/>
      <c r="BF34" s="185"/>
      <c r="BG34" s="185"/>
      <c r="BH34" s="185"/>
      <c r="BI34" s="185"/>
      <c r="BJ34" s="186"/>
    </row>
    <row r="35" spans="1:62" x14ac:dyDescent="0.25">
      <c r="A35" s="424"/>
      <c r="B35" s="276" t="s">
        <v>129</v>
      </c>
      <c r="C35" s="424" t="str">
        <f>PEP!C27</f>
        <v>Produit 11</v>
      </c>
      <c r="D35" s="423" t="s">
        <v>270</v>
      </c>
      <c r="E35" s="149">
        <v>80000</v>
      </c>
      <c r="F35" s="262"/>
      <c r="G35" s="424"/>
      <c r="H35" s="143"/>
      <c r="I35" s="134"/>
      <c r="J35" s="177"/>
      <c r="K35" s="424"/>
      <c r="L35" s="424"/>
      <c r="M35" s="424"/>
      <c r="N35" s="131"/>
      <c r="O35" s="278"/>
      <c r="P35" s="120"/>
      <c r="Q35" s="391"/>
      <c r="R35" s="127"/>
      <c r="S35" s="134"/>
      <c r="T35" s="191"/>
      <c r="U35" s="191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3"/>
      <c r="AK35" s="185"/>
      <c r="AL35" s="185"/>
      <c r="AM35" s="185"/>
      <c r="AN35" s="185"/>
      <c r="AO35" s="185"/>
      <c r="AP35" s="185"/>
      <c r="AQ35" s="186"/>
      <c r="AR35" s="191"/>
      <c r="AS35" s="191"/>
      <c r="AT35" s="192"/>
      <c r="AU35" s="192"/>
      <c r="AV35" s="192"/>
      <c r="AW35" s="192"/>
      <c r="AX35" s="185"/>
      <c r="AY35" s="185"/>
      <c r="AZ35" s="185"/>
      <c r="BA35" s="185"/>
      <c r="BB35" s="185"/>
      <c r="BC35" s="185"/>
      <c r="BD35" s="185"/>
      <c r="BE35" s="185"/>
      <c r="BF35" s="185"/>
      <c r="BG35" s="185"/>
      <c r="BH35" s="185"/>
      <c r="BI35" s="185"/>
      <c r="BJ35" s="186"/>
    </row>
    <row r="36" spans="1:62" x14ac:dyDescent="0.25">
      <c r="A36" s="260"/>
      <c r="B36" s="276" t="s">
        <v>10</v>
      </c>
      <c r="C36" s="260" t="s">
        <v>10</v>
      </c>
      <c r="D36" s="261" t="s">
        <v>176</v>
      </c>
      <c r="E36" s="149">
        <f>PEP!E29</f>
        <v>300000</v>
      </c>
      <c r="F36" s="262" t="s">
        <v>165</v>
      </c>
      <c r="G36" s="260"/>
      <c r="H36" s="143" t="s">
        <v>244</v>
      </c>
      <c r="I36" s="134" t="s">
        <v>99</v>
      </c>
      <c r="J36" s="177">
        <v>1</v>
      </c>
      <c r="K36" s="260"/>
      <c r="L36" s="260"/>
      <c r="M36" s="260" t="s">
        <v>198</v>
      </c>
      <c r="N36" s="260" t="s">
        <v>251</v>
      </c>
      <c r="O36" s="277" t="s">
        <v>200</v>
      </c>
      <c r="P36" s="130" t="s">
        <v>121</v>
      </c>
      <c r="Q36" s="390" t="s">
        <v>234</v>
      </c>
      <c r="R36" s="127"/>
      <c r="S36" s="134" t="s">
        <v>100</v>
      </c>
      <c r="T36" s="191"/>
      <c r="U36" s="191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3"/>
      <c r="AK36" s="185"/>
      <c r="AL36" s="185"/>
      <c r="AM36" s="185"/>
      <c r="AN36" s="185"/>
      <c r="AO36" s="185"/>
      <c r="AP36" s="185"/>
      <c r="AQ36" s="186"/>
      <c r="AR36" s="191"/>
      <c r="AS36" s="191"/>
      <c r="AT36" s="192"/>
      <c r="AU36" s="192"/>
      <c r="AV36" s="192"/>
      <c r="AW36" s="192"/>
      <c r="AX36" s="185"/>
      <c r="AY36" s="185"/>
      <c r="AZ36" s="185"/>
      <c r="BA36" s="185"/>
      <c r="BB36" s="185"/>
      <c r="BC36" s="185"/>
      <c r="BD36" s="185"/>
      <c r="BE36" s="185"/>
      <c r="BF36" s="185"/>
      <c r="BG36" s="185"/>
      <c r="BH36" s="185"/>
      <c r="BI36" s="185"/>
      <c r="BJ36" s="186"/>
    </row>
    <row r="37" spans="1:62" x14ac:dyDescent="0.25">
      <c r="A37" s="427"/>
      <c r="B37" s="276" t="s">
        <v>41</v>
      </c>
      <c r="C37" s="427" t="s">
        <v>41</v>
      </c>
      <c r="D37" s="428" t="s">
        <v>280</v>
      </c>
      <c r="E37" s="149">
        <v>150000</v>
      </c>
      <c r="F37" s="262" t="s">
        <v>165</v>
      </c>
      <c r="G37" s="427"/>
      <c r="H37" s="143" t="s">
        <v>243</v>
      </c>
      <c r="I37" s="134" t="s">
        <v>99</v>
      </c>
      <c r="J37" s="177">
        <v>1</v>
      </c>
      <c r="K37" s="427"/>
      <c r="L37" s="427"/>
      <c r="M37" s="427" t="s">
        <v>287</v>
      </c>
      <c r="N37" s="427" t="s">
        <v>288</v>
      </c>
      <c r="O37" s="277" t="s">
        <v>289</v>
      </c>
      <c r="P37" s="130" t="s">
        <v>203</v>
      </c>
      <c r="Q37" s="390" t="s">
        <v>234</v>
      </c>
      <c r="R37" s="127"/>
      <c r="S37" s="134" t="s">
        <v>100</v>
      </c>
      <c r="T37" s="191"/>
      <c r="U37" s="191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3"/>
      <c r="AK37" s="185"/>
      <c r="AL37" s="185"/>
      <c r="AM37" s="185"/>
      <c r="AN37" s="185"/>
      <c r="AO37" s="185"/>
      <c r="AP37" s="185"/>
      <c r="AQ37" s="186"/>
      <c r="AR37" s="191"/>
      <c r="AS37" s="191"/>
      <c r="AT37" s="192"/>
      <c r="AU37" s="192"/>
      <c r="AV37" s="192"/>
      <c r="AW37" s="192"/>
      <c r="AX37" s="185"/>
      <c r="AY37" s="185"/>
      <c r="AZ37" s="185"/>
      <c r="BA37" s="185"/>
      <c r="BB37" s="185"/>
      <c r="BC37" s="185"/>
      <c r="BD37" s="185"/>
      <c r="BE37" s="185"/>
      <c r="BF37" s="185"/>
      <c r="BG37" s="185"/>
      <c r="BH37" s="185"/>
      <c r="BI37" s="185"/>
      <c r="BJ37" s="186"/>
    </row>
    <row r="38" spans="1:62" ht="25.5" x14ac:dyDescent="0.25">
      <c r="A38" s="260"/>
      <c r="B38" s="276" t="s">
        <v>41</v>
      </c>
      <c r="C38" s="260" t="s">
        <v>41</v>
      </c>
      <c r="D38" s="261" t="s">
        <v>177</v>
      </c>
      <c r="E38" s="149">
        <v>185000</v>
      </c>
      <c r="F38" s="262" t="s">
        <v>165</v>
      </c>
      <c r="G38" s="260"/>
      <c r="H38" s="143" t="s">
        <v>243</v>
      </c>
      <c r="I38" s="134" t="s">
        <v>99</v>
      </c>
      <c r="J38" s="177">
        <v>1</v>
      </c>
      <c r="K38" s="260"/>
      <c r="L38" s="260"/>
      <c r="M38" s="260" t="s">
        <v>232</v>
      </c>
      <c r="N38" s="260" t="s">
        <v>281</v>
      </c>
      <c r="O38" s="277" t="s">
        <v>237</v>
      </c>
      <c r="P38" s="130" t="s">
        <v>282</v>
      </c>
      <c r="Q38" s="390" t="s">
        <v>234</v>
      </c>
      <c r="R38" s="127"/>
      <c r="S38" s="134" t="s">
        <v>100</v>
      </c>
      <c r="T38" s="191"/>
      <c r="U38" s="191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3"/>
      <c r="AK38" s="185"/>
      <c r="AL38" s="185"/>
      <c r="AM38" s="185"/>
      <c r="AN38" s="185"/>
      <c r="AO38" s="185"/>
      <c r="AP38" s="185"/>
      <c r="AQ38" s="186"/>
      <c r="AR38" s="191"/>
      <c r="AS38" s="191"/>
      <c r="AT38" s="192"/>
      <c r="AU38" s="192"/>
      <c r="AV38" s="192"/>
      <c r="AW38" s="192"/>
      <c r="AX38" s="185"/>
      <c r="AY38" s="185"/>
      <c r="AZ38" s="185"/>
      <c r="BA38" s="185"/>
      <c r="BB38" s="185"/>
      <c r="BC38" s="185"/>
      <c r="BD38" s="185"/>
      <c r="BE38" s="185"/>
      <c r="BF38" s="185"/>
      <c r="BG38" s="185"/>
      <c r="BH38" s="185"/>
      <c r="BI38" s="185"/>
      <c r="BJ38" s="186"/>
    </row>
    <row r="39" spans="1:62" ht="25.5" x14ac:dyDescent="0.25">
      <c r="A39" s="427"/>
      <c r="B39" s="276" t="s">
        <v>41</v>
      </c>
      <c r="C39" s="427" t="s">
        <v>41</v>
      </c>
      <c r="D39" s="428" t="s">
        <v>293</v>
      </c>
      <c r="E39" s="149">
        <v>150000</v>
      </c>
      <c r="F39" s="262" t="s">
        <v>165</v>
      </c>
      <c r="G39" s="427"/>
      <c r="H39" s="143" t="s">
        <v>243</v>
      </c>
      <c r="I39" s="134" t="s">
        <v>99</v>
      </c>
      <c r="J39" s="177">
        <v>1</v>
      </c>
      <c r="K39" s="427"/>
      <c r="L39" s="427"/>
      <c r="M39" s="427" t="s">
        <v>232</v>
      </c>
      <c r="N39" s="427" t="s">
        <v>281</v>
      </c>
      <c r="O39" s="277" t="s">
        <v>237</v>
      </c>
      <c r="P39" s="130" t="s">
        <v>282</v>
      </c>
      <c r="Q39" s="390" t="s">
        <v>234</v>
      </c>
      <c r="R39" s="127"/>
      <c r="S39" s="134" t="s">
        <v>100</v>
      </c>
      <c r="T39" s="191"/>
      <c r="U39" s="191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3"/>
      <c r="AK39" s="185"/>
      <c r="AL39" s="185"/>
      <c r="AM39" s="185"/>
      <c r="AN39" s="185"/>
      <c r="AO39" s="185"/>
      <c r="AP39" s="185"/>
      <c r="AQ39" s="186"/>
      <c r="AR39" s="191"/>
      <c r="AS39" s="191"/>
      <c r="AT39" s="192"/>
      <c r="AU39" s="192"/>
      <c r="AV39" s="192"/>
      <c r="AW39" s="192"/>
      <c r="AX39" s="185"/>
      <c r="AY39" s="185"/>
      <c r="AZ39" s="185"/>
      <c r="BA39" s="185"/>
      <c r="BB39" s="185"/>
      <c r="BC39" s="185"/>
      <c r="BD39" s="185"/>
      <c r="BE39" s="185"/>
      <c r="BF39" s="185"/>
      <c r="BG39" s="185"/>
      <c r="BH39" s="185"/>
      <c r="BI39" s="185"/>
      <c r="BJ39" s="186"/>
    </row>
    <row r="40" spans="1:62" ht="25.5" x14ac:dyDescent="0.25">
      <c r="A40" s="427"/>
      <c r="B40" s="276" t="s">
        <v>41</v>
      </c>
      <c r="C40" s="427" t="s">
        <v>41</v>
      </c>
      <c r="D40" s="428" t="s">
        <v>290</v>
      </c>
      <c r="E40" s="149">
        <v>30000</v>
      </c>
      <c r="F40" s="262" t="s">
        <v>165</v>
      </c>
      <c r="G40" s="427"/>
      <c r="H40" s="143" t="s">
        <v>243</v>
      </c>
      <c r="I40" s="134" t="s">
        <v>99</v>
      </c>
      <c r="J40" s="177">
        <v>1</v>
      </c>
      <c r="K40" s="427"/>
      <c r="L40" s="427"/>
      <c r="M40" s="427" t="s">
        <v>283</v>
      </c>
      <c r="N40" s="427" t="s">
        <v>284</v>
      </c>
      <c r="O40" s="427" t="s">
        <v>285</v>
      </c>
      <c r="P40" s="427" t="s">
        <v>286</v>
      </c>
      <c r="Q40" s="390" t="s">
        <v>234</v>
      </c>
      <c r="R40" s="127"/>
      <c r="S40" s="134" t="s">
        <v>100</v>
      </c>
      <c r="T40" s="191"/>
      <c r="U40" s="191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3"/>
      <c r="AK40" s="185"/>
      <c r="AL40" s="185"/>
      <c r="AM40" s="185"/>
      <c r="AN40" s="185"/>
      <c r="AO40" s="185"/>
      <c r="AP40" s="185"/>
      <c r="AQ40" s="186"/>
      <c r="AR40" s="191"/>
      <c r="AS40" s="191"/>
      <c r="AT40" s="192"/>
      <c r="AU40" s="192"/>
      <c r="AV40" s="192"/>
      <c r="AW40" s="192"/>
      <c r="AX40" s="185"/>
      <c r="AY40" s="185"/>
      <c r="AZ40" s="185"/>
      <c r="BA40" s="185"/>
      <c r="BB40" s="185"/>
      <c r="BC40" s="185"/>
      <c r="BD40" s="185"/>
      <c r="BE40" s="185"/>
      <c r="BF40" s="185"/>
      <c r="BG40" s="185"/>
      <c r="BH40" s="185"/>
      <c r="BI40" s="185"/>
      <c r="BJ40" s="186"/>
    </row>
    <row r="41" spans="1:62" ht="25.5" x14ac:dyDescent="0.25">
      <c r="A41" s="260"/>
      <c r="B41" s="122" t="s">
        <v>40</v>
      </c>
      <c r="C41" s="260" t="str">
        <f>B41</f>
        <v>Gestion</v>
      </c>
      <c r="D41" s="261" t="s">
        <v>182</v>
      </c>
      <c r="E41" s="149">
        <f>5000*5*12</f>
        <v>300000</v>
      </c>
      <c r="F41" s="262" t="s">
        <v>165</v>
      </c>
      <c r="G41" s="261"/>
      <c r="H41" s="143" t="s">
        <v>243</v>
      </c>
      <c r="I41" s="134" t="s">
        <v>99</v>
      </c>
      <c r="J41" s="177">
        <v>1</v>
      </c>
      <c r="K41" s="260"/>
      <c r="L41" s="260"/>
      <c r="M41" s="260" t="s">
        <v>227</v>
      </c>
      <c r="N41" s="260" t="s">
        <v>198</v>
      </c>
      <c r="O41" s="281" t="s">
        <v>121</v>
      </c>
      <c r="P41" s="120" t="s">
        <v>201</v>
      </c>
      <c r="Q41" s="391" t="s">
        <v>228</v>
      </c>
      <c r="R41" s="122"/>
      <c r="S41" s="134" t="s">
        <v>100</v>
      </c>
      <c r="T41" s="208"/>
      <c r="U41" s="208"/>
      <c r="V41" s="209"/>
      <c r="W41" s="209"/>
      <c r="X41" s="209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10"/>
      <c r="AK41" s="185"/>
      <c r="AL41" s="185"/>
      <c r="AM41" s="185"/>
      <c r="AN41" s="185"/>
      <c r="AO41" s="185"/>
      <c r="AP41" s="185"/>
      <c r="AQ41" s="186"/>
      <c r="AR41" s="208"/>
      <c r="AS41" s="208"/>
      <c r="AT41" s="209"/>
      <c r="AU41" s="209"/>
      <c r="AV41" s="209"/>
      <c r="AW41" s="209"/>
      <c r="AX41" s="185"/>
      <c r="AY41" s="185"/>
      <c r="AZ41" s="185"/>
      <c r="BA41" s="185"/>
      <c r="BB41" s="185"/>
      <c r="BC41" s="185"/>
      <c r="BD41" s="185"/>
      <c r="BE41" s="185"/>
      <c r="BF41" s="185"/>
      <c r="BG41" s="185"/>
      <c r="BH41" s="185"/>
      <c r="BI41" s="185"/>
      <c r="BJ41" s="186"/>
    </row>
    <row r="42" spans="1:62" x14ac:dyDescent="0.25">
      <c r="A42" s="156" t="s">
        <v>1</v>
      </c>
      <c r="B42" s="154"/>
      <c r="C42" s="128"/>
      <c r="D42" s="129"/>
      <c r="E42" s="150">
        <f>SUM(E24:E41)</f>
        <v>9935000</v>
      </c>
      <c r="F42" s="271"/>
      <c r="G42" s="128"/>
      <c r="H42" s="129"/>
      <c r="I42" s="128"/>
      <c r="J42" s="128"/>
      <c r="K42" s="128"/>
      <c r="L42" s="128"/>
      <c r="M42" s="128"/>
      <c r="N42" s="128"/>
      <c r="O42" s="279"/>
      <c r="P42" s="128"/>
      <c r="Q42" s="128"/>
      <c r="R42" s="128"/>
      <c r="S42" s="128"/>
      <c r="T42" s="191"/>
      <c r="U42" s="191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3"/>
      <c r="AK42" s="185"/>
      <c r="AL42" s="185"/>
      <c r="AM42" s="185"/>
      <c r="AN42" s="185"/>
      <c r="AO42" s="185"/>
      <c r="AP42" s="185"/>
      <c r="AQ42" s="186"/>
      <c r="AR42" s="191"/>
      <c r="AS42" s="191"/>
      <c r="AT42" s="192"/>
      <c r="AU42" s="192"/>
      <c r="AV42" s="192"/>
      <c r="AW42" s="192"/>
      <c r="AX42" s="185"/>
      <c r="AY42" s="185"/>
      <c r="AZ42" s="185"/>
      <c r="BA42" s="185"/>
      <c r="BB42" s="185"/>
      <c r="BC42" s="185"/>
      <c r="BD42" s="185"/>
      <c r="BE42" s="185"/>
      <c r="BF42" s="185"/>
      <c r="BG42" s="185"/>
      <c r="BH42" s="185"/>
      <c r="BI42" s="185"/>
      <c r="BJ42" s="186"/>
    </row>
    <row r="43" spans="1:62" x14ac:dyDescent="0.25">
      <c r="A43" s="145" t="s">
        <v>103</v>
      </c>
      <c r="B43" s="165"/>
      <c r="C43" s="283"/>
      <c r="D43" s="284"/>
      <c r="E43" s="285"/>
      <c r="F43" s="286"/>
      <c r="G43" s="283"/>
      <c r="H43" s="284"/>
      <c r="I43" s="283"/>
      <c r="J43" s="283"/>
      <c r="K43" s="283"/>
      <c r="L43" s="283"/>
      <c r="M43" s="283"/>
      <c r="N43" s="283"/>
      <c r="O43" s="165"/>
      <c r="P43" s="165"/>
      <c r="Q43" s="165"/>
      <c r="R43" s="165"/>
      <c r="S43" s="165"/>
      <c r="T43" s="198" t="s">
        <v>103</v>
      </c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200"/>
      <c r="AL43" s="200"/>
      <c r="AM43" s="200"/>
      <c r="AN43" s="200"/>
      <c r="AO43" s="199"/>
      <c r="AP43" s="199"/>
      <c r="AQ43" s="201"/>
      <c r="AR43" s="199" t="s">
        <v>103</v>
      </c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  <c r="BI43" s="199"/>
      <c r="BJ43" s="201"/>
    </row>
    <row r="44" spans="1:62" x14ac:dyDescent="0.25">
      <c r="A44" s="260"/>
      <c r="B44" s="276" t="str">
        <f>PEP!B19</f>
        <v>Composante 2</v>
      </c>
      <c r="C44" s="260" t="str">
        <f>PEP!C18</f>
        <v>Produit 8</v>
      </c>
      <c r="D44" s="261" t="s">
        <v>178</v>
      </c>
      <c r="E44" s="149">
        <f>70000</f>
        <v>70000</v>
      </c>
      <c r="F44" s="270" t="s">
        <v>189</v>
      </c>
      <c r="G44" s="261"/>
      <c r="H44" s="356" t="s">
        <v>245</v>
      </c>
      <c r="I44" s="134" t="s">
        <v>99</v>
      </c>
      <c r="J44" s="177">
        <v>1</v>
      </c>
      <c r="K44" s="260"/>
      <c r="L44" s="260"/>
      <c r="M44" s="260" t="s">
        <v>226</v>
      </c>
      <c r="N44" s="260" t="s">
        <v>199</v>
      </c>
      <c r="O44" s="281" t="s">
        <v>121</v>
      </c>
      <c r="P44" s="120" t="s">
        <v>201</v>
      </c>
      <c r="Q44" s="391" t="s">
        <v>228</v>
      </c>
      <c r="R44" s="122"/>
      <c r="S44" s="134" t="s">
        <v>100</v>
      </c>
      <c r="T44" s="208"/>
      <c r="U44" s="208"/>
      <c r="V44" s="209"/>
      <c r="W44" s="209"/>
      <c r="X44" s="209"/>
      <c r="Y44" s="209"/>
      <c r="Z44" s="209"/>
      <c r="AA44" s="209"/>
      <c r="AB44" s="209"/>
      <c r="AC44" s="209"/>
      <c r="AD44" s="209"/>
      <c r="AE44" s="209"/>
      <c r="AF44" s="209"/>
      <c r="AG44" s="209"/>
      <c r="AH44" s="209"/>
      <c r="AI44" s="209"/>
      <c r="AJ44" s="210"/>
      <c r="AK44" s="185"/>
      <c r="AL44" s="185"/>
      <c r="AM44" s="185"/>
      <c r="AN44" s="185"/>
      <c r="AO44" s="185"/>
      <c r="AP44" s="185"/>
      <c r="AQ44" s="186"/>
      <c r="AR44" s="208"/>
      <c r="AS44" s="208"/>
      <c r="AT44" s="209"/>
      <c r="AU44" s="209"/>
      <c r="AV44" s="209"/>
      <c r="AW44" s="209"/>
      <c r="AX44" s="185"/>
      <c r="AY44" s="185"/>
      <c r="AZ44" s="185"/>
      <c r="BA44" s="185"/>
      <c r="BB44" s="185"/>
      <c r="BC44" s="185"/>
      <c r="BD44" s="185"/>
      <c r="BE44" s="185"/>
      <c r="BF44" s="185"/>
      <c r="BG44" s="185"/>
      <c r="BH44" s="185"/>
      <c r="BI44" s="185"/>
      <c r="BJ44" s="186"/>
    </row>
    <row r="45" spans="1:62" ht="25.5" x14ac:dyDescent="0.25">
      <c r="A45" s="123"/>
      <c r="B45" s="276" t="str">
        <f>PEP!B14</f>
        <v>Composante 1</v>
      </c>
      <c r="C45" s="260" t="str">
        <f>PEP!C13</f>
        <v>Produit 5</v>
      </c>
      <c r="D45" s="261" t="s">
        <v>168</v>
      </c>
      <c r="E45" s="149">
        <f>PEP!E13</f>
        <v>50000</v>
      </c>
      <c r="F45" s="270" t="s">
        <v>189</v>
      </c>
      <c r="G45" s="260"/>
      <c r="H45" s="356" t="s">
        <v>245</v>
      </c>
      <c r="I45" s="134" t="s">
        <v>99</v>
      </c>
      <c r="J45" s="177">
        <v>1</v>
      </c>
      <c r="K45" s="260"/>
      <c r="L45" s="260"/>
      <c r="M45" s="260" t="s">
        <v>199</v>
      </c>
      <c r="N45" s="287" t="s">
        <v>200</v>
      </c>
      <c r="O45" s="277" t="s">
        <v>201</v>
      </c>
      <c r="P45" s="130" t="s">
        <v>120</v>
      </c>
      <c r="Q45" s="390" t="s">
        <v>228</v>
      </c>
      <c r="R45" s="127"/>
      <c r="S45" s="134" t="s">
        <v>100</v>
      </c>
      <c r="T45" s="195"/>
      <c r="U45" s="196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97"/>
      <c r="AK45" s="185"/>
      <c r="AL45" s="185"/>
      <c r="AM45" s="185"/>
      <c r="AN45" s="185"/>
      <c r="AO45" s="185"/>
      <c r="AP45" s="185"/>
      <c r="AQ45" s="186"/>
      <c r="AR45" s="196"/>
      <c r="AS45" s="196"/>
      <c r="AT45" s="185"/>
      <c r="AU45" s="185"/>
      <c r="AV45" s="185"/>
      <c r="AW45" s="185"/>
      <c r="AX45" s="185"/>
      <c r="AY45" s="185"/>
      <c r="AZ45" s="185"/>
      <c r="BA45" s="185"/>
      <c r="BB45" s="185"/>
      <c r="BC45" s="185"/>
      <c r="BD45" s="185"/>
      <c r="BE45" s="185"/>
      <c r="BF45" s="185"/>
      <c r="BG45" s="185"/>
      <c r="BH45" s="185"/>
      <c r="BI45" s="185"/>
      <c r="BJ45" s="186"/>
    </row>
    <row r="46" spans="1:62" ht="25.5" x14ac:dyDescent="0.25">
      <c r="A46" s="223"/>
      <c r="B46" s="122" t="str">
        <f>PEP!D28</f>
        <v>Gestion</v>
      </c>
      <c r="C46" s="260" t="str">
        <f t="shared" ref="C46:C52" si="0">B46</f>
        <v>Gestion</v>
      </c>
      <c r="D46" s="261" t="s">
        <v>181</v>
      </c>
      <c r="E46" s="149">
        <f>5000*5*12</f>
        <v>300000</v>
      </c>
      <c r="F46" s="270" t="s">
        <v>247</v>
      </c>
      <c r="G46" s="261"/>
      <c r="H46" s="356" t="s">
        <v>245</v>
      </c>
      <c r="I46" s="134" t="s">
        <v>99</v>
      </c>
      <c r="J46" s="177">
        <v>1</v>
      </c>
      <c r="K46" s="260"/>
      <c r="L46" s="260"/>
      <c r="M46" s="260" t="s">
        <v>227</v>
      </c>
      <c r="N46" s="260" t="s">
        <v>198</v>
      </c>
      <c r="O46" s="281" t="s">
        <v>199</v>
      </c>
      <c r="P46" s="120" t="s">
        <v>121</v>
      </c>
      <c r="Q46" s="391" t="s">
        <v>234</v>
      </c>
      <c r="R46" s="122"/>
      <c r="S46" s="134" t="s">
        <v>100</v>
      </c>
      <c r="T46" s="208"/>
      <c r="U46" s="208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10"/>
      <c r="AK46" s="185"/>
      <c r="AL46" s="185"/>
      <c r="AM46" s="185"/>
      <c r="AN46" s="185"/>
      <c r="AO46" s="185"/>
      <c r="AP46" s="185"/>
      <c r="AQ46" s="186"/>
      <c r="AR46" s="208"/>
      <c r="AS46" s="208"/>
      <c r="AT46" s="209"/>
      <c r="AU46" s="209"/>
      <c r="AV46" s="209"/>
      <c r="AW46" s="209"/>
      <c r="AX46" s="185"/>
      <c r="AY46" s="185"/>
      <c r="AZ46" s="185"/>
      <c r="BA46" s="185"/>
      <c r="BB46" s="185"/>
      <c r="BC46" s="185"/>
      <c r="BD46" s="185"/>
      <c r="BE46" s="185"/>
      <c r="BF46" s="185"/>
      <c r="BG46" s="185"/>
      <c r="BH46" s="185"/>
      <c r="BI46" s="185"/>
      <c r="BJ46" s="186"/>
    </row>
    <row r="47" spans="1:62" ht="25.5" x14ac:dyDescent="0.25">
      <c r="A47" s="223"/>
      <c r="B47" s="122" t="s">
        <v>40</v>
      </c>
      <c r="C47" s="260" t="str">
        <f t="shared" si="0"/>
        <v>Gestion</v>
      </c>
      <c r="D47" s="261" t="s">
        <v>180</v>
      </c>
      <c r="E47" s="149">
        <f>3500*5*12</f>
        <v>210000</v>
      </c>
      <c r="F47" s="270" t="s">
        <v>247</v>
      </c>
      <c r="G47" s="261"/>
      <c r="H47" s="356" t="s">
        <v>245</v>
      </c>
      <c r="I47" s="134" t="s">
        <v>99</v>
      </c>
      <c r="J47" s="177">
        <v>1</v>
      </c>
      <c r="K47" s="260"/>
      <c r="L47" s="260"/>
      <c r="M47" s="357" t="s">
        <v>227</v>
      </c>
      <c r="N47" s="357" t="s">
        <v>198</v>
      </c>
      <c r="O47" s="281" t="s">
        <v>199</v>
      </c>
      <c r="P47" s="120" t="s">
        <v>121</v>
      </c>
      <c r="Q47" s="391" t="s">
        <v>234</v>
      </c>
      <c r="R47" s="122"/>
      <c r="S47" s="134" t="s">
        <v>100</v>
      </c>
      <c r="T47" s="208"/>
      <c r="U47" s="208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10"/>
      <c r="AK47" s="185"/>
      <c r="AL47" s="185"/>
      <c r="AM47" s="185"/>
      <c r="AN47" s="185"/>
      <c r="AO47" s="185"/>
      <c r="AP47" s="185"/>
      <c r="AQ47" s="186"/>
      <c r="AR47" s="208"/>
      <c r="AS47" s="208"/>
      <c r="AT47" s="209"/>
      <c r="AU47" s="209"/>
      <c r="AV47" s="209"/>
      <c r="AW47" s="209"/>
      <c r="AX47" s="185"/>
      <c r="AY47" s="185"/>
      <c r="AZ47" s="185"/>
      <c r="BA47" s="185"/>
      <c r="BB47" s="185"/>
      <c r="BC47" s="185"/>
      <c r="BD47" s="185"/>
      <c r="BE47" s="185"/>
      <c r="BF47" s="185"/>
      <c r="BG47" s="185"/>
      <c r="BH47" s="185"/>
      <c r="BI47" s="185"/>
      <c r="BJ47" s="186"/>
    </row>
    <row r="48" spans="1:62" ht="25.5" x14ac:dyDescent="0.25">
      <c r="A48" s="223"/>
      <c r="B48" s="122" t="s">
        <v>40</v>
      </c>
      <c r="C48" s="260" t="str">
        <f t="shared" si="0"/>
        <v>Gestion</v>
      </c>
      <c r="D48" s="261" t="s">
        <v>179</v>
      </c>
      <c r="E48" s="149">
        <f>4000*5*12</f>
        <v>240000</v>
      </c>
      <c r="F48" s="270" t="s">
        <v>247</v>
      </c>
      <c r="G48" s="261"/>
      <c r="H48" s="356" t="s">
        <v>245</v>
      </c>
      <c r="I48" s="134" t="s">
        <v>99</v>
      </c>
      <c r="J48" s="177">
        <v>1</v>
      </c>
      <c r="K48" s="260"/>
      <c r="L48" s="260"/>
      <c r="M48" s="357" t="s">
        <v>227</v>
      </c>
      <c r="N48" s="357" t="s">
        <v>198</v>
      </c>
      <c r="O48" s="281" t="s">
        <v>199</v>
      </c>
      <c r="P48" s="120" t="s">
        <v>121</v>
      </c>
      <c r="Q48" s="391" t="s">
        <v>234</v>
      </c>
      <c r="R48" s="122"/>
      <c r="S48" s="134" t="s">
        <v>100</v>
      </c>
      <c r="T48" s="208"/>
      <c r="U48" s="208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10"/>
      <c r="AK48" s="185"/>
      <c r="AL48" s="185"/>
      <c r="AM48" s="185"/>
      <c r="AN48" s="185"/>
      <c r="AO48" s="185"/>
      <c r="AP48" s="185"/>
      <c r="AQ48" s="186"/>
      <c r="AR48" s="208"/>
      <c r="AS48" s="208"/>
      <c r="AT48" s="209"/>
      <c r="AU48" s="209"/>
      <c r="AV48" s="209"/>
      <c r="AW48" s="209"/>
      <c r="AX48" s="185"/>
      <c r="AY48" s="185"/>
      <c r="AZ48" s="185"/>
      <c r="BA48" s="185"/>
      <c r="BB48" s="185"/>
      <c r="BC48" s="185"/>
      <c r="BD48" s="185"/>
      <c r="BE48" s="185"/>
      <c r="BF48" s="185"/>
      <c r="BG48" s="185"/>
      <c r="BH48" s="185"/>
      <c r="BI48" s="185"/>
      <c r="BJ48" s="186"/>
    </row>
    <row r="49" spans="1:62" ht="25.5" x14ac:dyDescent="0.25">
      <c r="A49" s="223"/>
      <c r="B49" s="122" t="s">
        <v>40</v>
      </c>
      <c r="C49" s="260" t="str">
        <f t="shared" si="0"/>
        <v>Gestion</v>
      </c>
      <c r="D49" s="261" t="s">
        <v>183</v>
      </c>
      <c r="E49" s="149">
        <f>2500*5*12</f>
        <v>150000</v>
      </c>
      <c r="F49" s="270" t="s">
        <v>247</v>
      </c>
      <c r="G49" s="261"/>
      <c r="H49" s="356" t="s">
        <v>245</v>
      </c>
      <c r="I49" s="134" t="s">
        <v>99</v>
      </c>
      <c r="J49" s="177">
        <v>1</v>
      </c>
      <c r="K49" s="260"/>
      <c r="L49" s="260"/>
      <c r="M49" s="357" t="s">
        <v>227</v>
      </c>
      <c r="N49" s="357" t="s">
        <v>198</v>
      </c>
      <c r="O49" s="281" t="s">
        <v>199</v>
      </c>
      <c r="P49" s="120" t="s">
        <v>121</v>
      </c>
      <c r="Q49" s="391" t="s">
        <v>234</v>
      </c>
      <c r="R49" s="122"/>
      <c r="S49" s="134" t="s">
        <v>100</v>
      </c>
      <c r="T49" s="208"/>
      <c r="U49" s="208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10"/>
      <c r="AK49" s="185"/>
      <c r="AL49" s="185"/>
      <c r="AM49" s="185"/>
      <c r="AN49" s="185"/>
      <c r="AO49" s="185"/>
      <c r="AP49" s="185"/>
      <c r="AQ49" s="186"/>
      <c r="AR49" s="208"/>
      <c r="AS49" s="208"/>
      <c r="AT49" s="209"/>
      <c r="AU49" s="209"/>
      <c r="AV49" s="209"/>
      <c r="AW49" s="209"/>
      <c r="AX49" s="185"/>
      <c r="AY49" s="185"/>
      <c r="AZ49" s="185"/>
      <c r="BA49" s="185"/>
      <c r="BB49" s="185"/>
      <c r="BC49" s="185"/>
      <c r="BD49" s="185"/>
      <c r="BE49" s="185"/>
      <c r="BF49" s="185"/>
      <c r="BG49" s="185"/>
      <c r="BH49" s="185"/>
      <c r="BI49" s="185"/>
      <c r="BJ49" s="186"/>
    </row>
    <row r="50" spans="1:62" ht="25.5" x14ac:dyDescent="0.25">
      <c r="A50" s="223"/>
      <c r="B50" s="122" t="s">
        <v>40</v>
      </c>
      <c r="C50" s="260" t="str">
        <f t="shared" si="0"/>
        <v>Gestion</v>
      </c>
      <c r="D50" s="261" t="s">
        <v>184</v>
      </c>
      <c r="E50" s="149">
        <f>3500*5*12</f>
        <v>210000</v>
      </c>
      <c r="F50" s="270" t="s">
        <v>247</v>
      </c>
      <c r="G50" s="261"/>
      <c r="H50" s="356" t="s">
        <v>245</v>
      </c>
      <c r="I50" s="134" t="s">
        <v>99</v>
      </c>
      <c r="J50" s="177">
        <v>1</v>
      </c>
      <c r="K50" s="260"/>
      <c r="L50" s="260"/>
      <c r="M50" s="357" t="s">
        <v>227</v>
      </c>
      <c r="N50" s="357" t="s">
        <v>198</v>
      </c>
      <c r="O50" s="281" t="s">
        <v>199</v>
      </c>
      <c r="P50" s="120" t="s">
        <v>121</v>
      </c>
      <c r="Q50" s="391" t="s">
        <v>234</v>
      </c>
      <c r="R50" s="122"/>
      <c r="S50" s="134" t="s">
        <v>100</v>
      </c>
      <c r="T50" s="208"/>
      <c r="U50" s="208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10"/>
      <c r="AK50" s="185"/>
      <c r="AL50" s="185"/>
      <c r="AM50" s="185"/>
      <c r="AN50" s="185"/>
      <c r="AO50" s="185"/>
      <c r="AP50" s="185"/>
      <c r="AQ50" s="186"/>
      <c r="AR50" s="208"/>
      <c r="AS50" s="208"/>
      <c r="AT50" s="209"/>
      <c r="AU50" s="209"/>
      <c r="AV50" s="209"/>
      <c r="AW50" s="209"/>
      <c r="AX50" s="185"/>
      <c r="AY50" s="185"/>
      <c r="AZ50" s="185"/>
      <c r="BA50" s="185"/>
      <c r="BB50" s="185"/>
      <c r="BC50" s="185"/>
      <c r="BD50" s="185"/>
      <c r="BE50" s="185"/>
      <c r="BF50" s="185"/>
      <c r="BG50" s="185"/>
      <c r="BH50" s="185"/>
      <c r="BI50" s="185"/>
      <c r="BJ50" s="186"/>
    </row>
    <row r="51" spans="1:62" ht="25.5" x14ac:dyDescent="0.25">
      <c r="A51" s="223"/>
      <c r="B51" s="122" t="s">
        <v>40</v>
      </c>
      <c r="C51" s="260" t="str">
        <f t="shared" si="0"/>
        <v>Gestion</v>
      </c>
      <c r="D51" s="261" t="s">
        <v>185</v>
      </c>
      <c r="E51" s="149">
        <f>2000*2*5*12</f>
        <v>240000</v>
      </c>
      <c r="F51" s="270" t="s">
        <v>247</v>
      </c>
      <c r="G51" s="261"/>
      <c r="H51" s="356" t="s">
        <v>245</v>
      </c>
      <c r="I51" s="134" t="s">
        <v>99</v>
      </c>
      <c r="J51" s="177">
        <v>1</v>
      </c>
      <c r="K51" s="260"/>
      <c r="L51" s="260"/>
      <c r="M51" s="357" t="s">
        <v>227</v>
      </c>
      <c r="N51" s="357" t="s">
        <v>198</v>
      </c>
      <c r="O51" s="281" t="s">
        <v>199</v>
      </c>
      <c r="P51" s="120" t="s">
        <v>121</v>
      </c>
      <c r="Q51" s="391" t="s">
        <v>234</v>
      </c>
      <c r="R51" s="122"/>
      <c r="S51" s="134" t="s">
        <v>100</v>
      </c>
      <c r="T51" s="208"/>
      <c r="U51" s="208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10"/>
      <c r="AK51" s="185"/>
      <c r="AL51" s="185"/>
      <c r="AM51" s="185"/>
      <c r="AN51" s="185"/>
      <c r="AO51" s="185"/>
      <c r="AP51" s="185"/>
      <c r="AQ51" s="186"/>
      <c r="AR51" s="208"/>
      <c r="AS51" s="208"/>
      <c r="AT51" s="209"/>
      <c r="AU51" s="209"/>
      <c r="AV51" s="209"/>
      <c r="AW51" s="209"/>
      <c r="AX51" s="185"/>
      <c r="AY51" s="185"/>
      <c r="AZ51" s="185"/>
      <c r="BA51" s="185"/>
      <c r="BB51" s="185"/>
      <c r="BC51" s="185"/>
      <c r="BD51" s="185"/>
      <c r="BE51" s="185"/>
      <c r="BF51" s="185"/>
      <c r="BG51" s="185"/>
      <c r="BH51" s="185"/>
      <c r="BI51" s="185"/>
      <c r="BJ51" s="186"/>
    </row>
    <row r="52" spans="1:62" ht="25.5" x14ac:dyDescent="0.25">
      <c r="A52" s="260"/>
      <c r="B52" s="122" t="s">
        <v>40</v>
      </c>
      <c r="C52" s="260" t="str">
        <f t="shared" si="0"/>
        <v>Gestion</v>
      </c>
      <c r="D52" s="261" t="s">
        <v>190</v>
      </c>
      <c r="E52" s="149">
        <f>2000*6*5*12</f>
        <v>720000</v>
      </c>
      <c r="F52" s="270" t="s">
        <v>247</v>
      </c>
      <c r="G52" s="261"/>
      <c r="H52" s="356" t="s">
        <v>245</v>
      </c>
      <c r="I52" s="134" t="s">
        <v>99</v>
      </c>
      <c r="J52" s="177">
        <v>1</v>
      </c>
      <c r="K52" s="260"/>
      <c r="L52" s="260"/>
      <c r="M52" s="357" t="s">
        <v>227</v>
      </c>
      <c r="N52" s="357" t="s">
        <v>198</v>
      </c>
      <c r="O52" s="281" t="s">
        <v>199</v>
      </c>
      <c r="P52" s="120" t="s">
        <v>121</v>
      </c>
      <c r="Q52" s="391" t="s">
        <v>234</v>
      </c>
      <c r="R52" s="122"/>
      <c r="S52" s="134" t="s">
        <v>100</v>
      </c>
      <c r="T52" s="208"/>
      <c r="U52" s="208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10"/>
      <c r="AK52" s="185"/>
      <c r="AL52" s="185"/>
      <c r="AM52" s="185"/>
      <c r="AN52" s="185"/>
      <c r="AO52" s="185"/>
      <c r="AP52" s="185"/>
      <c r="AQ52" s="186"/>
      <c r="AR52" s="208"/>
      <c r="AS52" s="208"/>
      <c r="AT52" s="209"/>
      <c r="AU52" s="209"/>
      <c r="AV52" s="209"/>
      <c r="AW52" s="209"/>
      <c r="AX52" s="185"/>
      <c r="AY52" s="185"/>
      <c r="AZ52" s="185"/>
      <c r="BA52" s="185"/>
      <c r="BB52" s="185"/>
      <c r="BC52" s="185"/>
      <c r="BD52" s="185"/>
      <c r="BE52" s="185"/>
      <c r="BF52" s="185"/>
      <c r="BG52" s="185"/>
      <c r="BH52" s="185"/>
      <c r="BI52" s="185"/>
      <c r="BJ52" s="186"/>
    </row>
    <row r="53" spans="1:62" x14ac:dyDescent="0.25">
      <c r="A53" s="427"/>
      <c r="B53" s="276" t="s">
        <v>41</v>
      </c>
      <c r="C53" s="427" t="s">
        <v>41</v>
      </c>
      <c r="D53" s="428" t="s">
        <v>292</v>
      </c>
      <c r="E53" s="149">
        <v>60000</v>
      </c>
      <c r="F53" s="270" t="s">
        <v>189</v>
      </c>
      <c r="G53" s="428"/>
      <c r="H53" s="428" t="s">
        <v>245</v>
      </c>
      <c r="I53" s="134" t="s">
        <v>99</v>
      </c>
      <c r="J53" s="177">
        <v>1</v>
      </c>
      <c r="K53" s="427"/>
      <c r="L53" s="427"/>
      <c r="M53" s="427" t="s">
        <v>287</v>
      </c>
      <c r="N53" s="427" t="s">
        <v>288</v>
      </c>
      <c r="O53" s="277" t="s">
        <v>289</v>
      </c>
      <c r="P53" s="130" t="s">
        <v>203</v>
      </c>
      <c r="Q53" s="390" t="s">
        <v>234</v>
      </c>
      <c r="R53" s="122"/>
      <c r="S53" s="134" t="s">
        <v>100</v>
      </c>
      <c r="T53" s="208"/>
      <c r="U53" s="208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10"/>
      <c r="AK53" s="185"/>
      <c r="AL53" s="185"/>
      <c r="AM53" s="185"/>
      <c r="AN53" s="185"/>
      <c r="AO53" s="185"/>
      <c r="AP53" s="185"/>
      <c r="AQ53" s="186"/>
      <c r="AR53" s="208"/>
      <c r="AS53" s="208"/>
      <c r="AT53" s="209"/>
      <c r="AU53" s="209"/>
      <c r="AV53" s="209"/>
      <c r="AW53" s="209"/>
      <c r="AX53" s="185"/>
      <c r="AY53" s="185"/>
      <c r="AZ53" s="185"/>
      <c r="BA53" s="185"/>
      <c r="BB53" s="185"/>
      <c r="BC53" s="185"/>
      <c r="BD53" s="185"/>
      <c r="BE53" s="185"/>
      <c r="BF53" s="185"/>
      <c r="BG53" s="185"/>
      <c r="BH53" s="185"/>
      <c r="BI53" s="185"/>
      <c r="BJ53" s="186"/>
    </row>
    <row r="54" spans="1:62" x14ac:dyDescent="0.25">
      <c r="A54" s="427"/>
      <c r="B54" s="276" t="s">
        <v>41</v>
      </c>
      <c r="C54" s="427" t="s">
        <v>41</v>
      </c>
      <c r="D54" s="428" t="s">
        <v>291</v>
      </c>
      <c r="E54" s="149">
        <v>25000</v>
      </c>
      <c r="F54" s="270" t="s">
        <v>189</v>
      </c>
      <c r="G54" s="428"/>
      <c r="H54" s="428" t="s">
        <v>245</v>
      </c>
      <c r="I54" s="134" t="s">
        <v>99</v>
      </c>
      <c r="J54" s="177">
        <v>1</v>
      </c>
      <c r="K54" s="427"/>
      <c r="L54" s="427"/>
      <c r="M54" s="427" t="s">
        <v>283</v>
      </c>
      <c r="N54" s="427" t="s">
        <v>284</v>
      </c>
      <c r="O54" s="427" t="s">
        <v>285</v>
      </c>
      <c r="P54" s="427" t="s">
        <v>286</v>
      </c>
      <c r="Q54" s="390" t="s">
        <v>234</v>
      </c>
      <c r="R54" s="122"/>
      <c r="S54" s="134" t="s">
        <v>100</v>
      </c>
      <c r="T54" s="208"/>
      <c r="U54" s="208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10"/>
      <c r="AK54" s="185"/>
      <c r="AL54" s="185"/>
      <c r="AM54" s="185"/>
      <c r="AN54" s="185"/>
      <c r="AO54" s="185"/>
      <c r="AP54" s="185"/>
      <c r="AQ54" s="186"/>
      <c r="AR54" s="208"/>
      <c r="AS54" s="208"/>
      <c r="AT54" s="209"/>
      <c r="AU54" s="209"/>
      <c r="AV54" s="209"/>
      <c r="AW54" s="209"/>
      <c r="AX54" s="185"/>
      <c r="AY54" s="185"/>
      <c r="AZ54" s="185"/>
      <c r="BA54" s="185"/>
      <c r="BB54" s="185"/>
      <c r="BC54" s="185"/>
      <c r="BD54" s="185"/>
      <c r="BE54" s="185"/>
      <c r="BF54" s="185"/>
      <c r="BG54" s="185"/>
      <c r="BH54" s="185"/>
      <c r="BI54" s="185"/>
      <c r="BJ54" s="186"/>
    </row>
    <row r="55" spans="1:62" x14ac:dyDescent="0.25">
      <c r="A55" s="156" t="s">
        <v>1</v>
      </c>
      <c r="B55" s="154"/>
      <c r="C55" s="154"/>
      <c r="D55" s="155"/>
      <c r="E55" s="147">
        <f>SUM(E44:E54)</f>
        <v>2275000</v>
      </c>
      <c r="F55" s="271"/>
      <c r="G55" s="128"/>
      <c r="H55" s="129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91"/>
      <c r="U55" s="191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3"/>
      <c r="AK55" s="185"/>
      <c r="AL55" s="185"/>
      <c r="AM55" s="185"/>
      <c r="AN55" s="185"/>
      <c r="AO55" s="185"/>
      <c r="AP55" s="185"/>
      <c r="AQ55" s="186"/>
      <c r="AR55" s="191"/>
      <c r="AS55" s="191"/>
      <c r="AT55" s="192"/>
      <c r="AU55" s="192"/>
      <c r="AV55" s="192"/>
      <c r="AW55" s="192"/>
      <c r="AX55" s="185"/>
      <c r="AY55" s="185"/>
      <c r="AZ55" s="185"/>
      <c r="BA55" s="185"/>
      <c r="BB55" s="185"/>
      <c r="BC55" s="185"/>
      <c r="BD55" s="185"/>
      <c r="BE55" s="185"/>
      <c r="BF55" s="185"/>
      <c r="BG55" s="185"/>
      <c r="BH55" s="185"/>
      <c r="BI55" s="185"/>
      <c r="BJ55" s="186"/>
    </row>
    <row r="56" spans="1:62" x14ac:dyDescent="0.25">
      <c r="A56" s="167" t="s">
        <v>104</v>
      </c>
      <c r="B56" s="168"/>
      <c r="C56" s="168"/>
      <c r="D56" s="169"/>
      <c r="E56" s="170"/>
      <c r="F56" s="272"/>
      <c r="G56" s="168"/>
      <c r="H56" s="169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211" t="s">
        <v>104</v>
      </c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187"/>
      <c r="AL56" s="187"/>
      <c r="AM56" s="187"/>
      <c r="AN56" s="188"/>
      <c r="AO56" s="189"/>
      <c r="AP56" s="189"/>
      <c r="AQ56" s="190"/>
      <c r="AR56" s="189" t="s">
        <v>105</v>
      </c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90"/>
    </row>
    <row r="57" spans="1:62" ht="25.5" x14ac:dyDescent="0.25">
      <c r="A57" s="153"/>
      <c r="B57" s="434" t="s">
        <v>40</v>
      </c>
      <c r="C57" s="435" t="s">
        <v>40</v>
      </c>
      <c r="D57" s="436" t="s">
        <v>108</v>
      </c>
      <c r="E57" s="432">
        <f>PEP!G28-PPM!E51-PPM!E50-PPM!E49-PPM!E48-PPM!E47-PPM!E46-PPM!E41-PPM!E58-E52</f>
        <v>1650000</v>
      </c>
      <c r="F57" s="437" t="s">
        <v>7</v>
      </c>
      <c r="G57" s="438"/>
      <c r="H57" s="439"/>
      <c r="I57" s="440" t="s">
        <v>99</v>
      </c>
      <c r="J57" s="441">
        <v>1</v>
      </c>
      <c r="K57" s="442"/>
      <c r="L57" s="443"/>
      <c r="M57" s="444"/>
      <c r="N57" s="444"/>
      <c r="O57" s="444"/>
      <c r="P57" s="445" t="s">
        <v>226</v>
      </c>
      <c r="Q57" s="446" t="s">
        <v>234</v>
      </c>
      <c r="R57" s="447"/>
      <c r="S57" s="443" t="s">
        <v>100</v>
      </c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187"/>
      <c r="AL57" s="187"/>
      <c r="AM57" s="187"/>
      <c r="AN57" s="188"/>
      <c r="AO57" s="189"/>
      <c r="AP57" s="189"/>
      <c r="AQ57" s="190"/>
      <c r="AR57" s="214"/>
      <c r="AS57" s="214"/>
      <c r="AT57" s="214"/>
      <c r="AU57" s="214"/>
      <c r="AV57" s="214"/>
      <c r="AW57" s="214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90"/>
    </row>
    <row r="58" spans="1:62" s="373" customFormat="1" ht="25.5" x14ac:dyDescent="0.25">
      <c r="A58" s="363"/>
      <c r="B58" s="289" t="s">
        <v>40</v>
      </c>
      <c r="C58" s="289" t="s">
        <v>40</v>
      </c>
      <c r="D58" s="425" t="s">
        <v>186</v>
      </c>
      <c r="E58" s="432">
        <f>3000*12*5</f>
        <v>180000</v>
      </c>
      <c r="F58" s="433" t="s">
        <v>7</v>
      </c>
      <c r="G58" s="289"/>
      <c r="H58" s="425"/>
      <c r="I58" s="443" t="s">
        <v>99</v>
      </c>
      <c r="J58" s="441">
        <v>1</v>
      </c>
      <c r="K58" s="289"/>
      <c r="L58" s="289"/>
      <c r="M58" s="448"/>
      <c r="N58" s="449"/>
      <c r="O58" s="448"/>
      <c r="P58" s="448" t="s">
        <v>198</v>
      </c>
      <c r="Q58" s="450" t="s">
        <v>234</v>
      </c>
      <c r="R58" s="448"/>
      <c r="S58" s="443" t="s">
        <v>100</v>
      </c>
      <c r="T58" s="368"/>
      <c r="U58" s="368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9"/>
      <c r="AH58" s="369"/>
      <c r="AI58" s="369"/>
      <c r="AJ58" s="370"/>
      <c r="AK58" s="371"/>
      <c r="AL58" s="371"/>
      <c r="AM58" s="371"/>
      <c r="AN58" s="371"/>
      <c r="AO58" s="371"/>
      <c r="AP58" s="371"/>
      <c r="AQ58" s="372"/>
      <c r="AR58" s="368"/>
      <c r="AS58" s="368"/>
      <c r="AT58" s="369"/>
      <c r="AU58" s="369"/>
      <c r="AV58" s="369"/>
      <c r="AW58" s="369"/>
      <c r="AX58" s="371"/>
      <c r="AY58" s="371"/>
      <c r="AZ58" s="371"/>
      <c r="BA58" s="371"/>
      <c r="BB58" s="371"/>
      <c r="BC58" s="371"/>
      <c r="BD58" s="371"/>
      <c r="BE58" s="371"/>
      <c r="BF58" s="371"/>
      <c r="BG58" s="371"/>
      <c r="BH58" s="371"/>
      <c r="BI58" s="371"/>
      <c r="BJ58" s="372"/>
    </row>
    <row r="59" spans="1:62" s="373" customFormat="1" ht="25.5" x14ac:dyDescent="0.25">
      <c r="A59" s="276"/>
      <c r="B59" s="466" t="s">
        <v>24</v>
      </c>
      <c r="C59" s="141" t="s">
        <v>32</v>
      </c>
      <c r="D59" s="467" t="s">
        <v>271</v>
      </c>
      <c r="E59" s="432">
        <v>230000</v>
      </c>
      <c r="F59" s="433" t="s">
        <v>256</v>
      </c>
      <c r="G59" s="425"/>
      <c r="H59" s="451" t="s">
        <v>272</v>
      </c>
      <c r="I59" s="443" t="s">
        <v>99</v>
      </c>
      <c r="J59" s="441">
        <v>1</v>
      </c>
      <c r="K59" s="289"/>
      <c r="L59" s="289"/>
      <c r="M59" s="452"/>
      <c r="N59" s="453"/>
      <c r="O59" s="454"/>
      <c r="P59" s="455" t="s">
        <v>273</v>
      </c>
      <c r="Q59" s="456">
        <v>2020</v>
      </c>
      <c r="R59" s="443" t="s">
        <v>274</v>
      </c>
      <c r="S59" s="443" t="s">
        <v>100</v>
      </c>
      <c r="T59" s="429"/>
      <c r="U59" s="429"/>
      <c r="V59" s="430"/>
      <c r="W59" s="430"/>
      <c r="X59" s="430"/>
      <c r="Y59" s="430"/>
      <c r="Z59" s="430"/>
      <c r="AA59" s="430"/>
      <c r="AB59" s="430"/>
      <c r="AC59" s="430"/>
      <c r="AD59" s="430"/>
      <c r="AE59" s="430"/>
      <c r="AF59" s="430"/>
      <c r="AG59" s="430"/>
      <c r="AH59" s="430"/>
      <c r="AI59" s="430"/>
      <c r="AJ59" s="431"/>
      <c r="AK59" s="371"/>
      <c r="AL59" s="371"/>
      <c r="AM59" s="371"/>
      <c r="AN59" s="371"/>
      <c r="AO59" s="371"/>
      <c r="AP59" s="371"/>
      <c r="AQ59" s="372"/>
      <c r="AR59" s="429"/>
      <c r="AS59" s="429"/>
      <c r="AT59" s="430"/>
      <c r="AU59" s="430"/>
      <c r="AV59" s="430"/>
      <c r="AW59" s="430"/>
      <c r="AX59" s="371"/>
      <c r="AY59" s="371"/>
      <c r="AZ59" s="371"/>
      <c r="BA59" s="371"/>
      <c r="BB59" s="371"/>
      <c r="BC59" s="371"/>
      <c r="BD59" s="371"/>
      <c r="BE59" s="371"/>
      <c r="BF59" s="371"/>
      <c r="BG59" s="371"/>
      <c r="BH59" s="371"/>
      <c r="BI59" s="371"/>
      <c r="BJ59" s="372"/>
    </row>
    <row r="60" spans="1:62" s="373" customFormat="1" ht="25.5" x14ac:dyDescent="0.25">
      <c r="A60" s="276"/>
      <c r="B60" s="276" t="s">
        <v>129</v>
      </c>
      <c r="C60" s="424" t="s">
        <v>35</v>
      </c>
      <c r="D60" s="425" t="s">
        <v>275</v>
      </c>
      <c r="E60" s="432">
        <v>250000</v>
      </c>
      <c r="F60" s="468" t="s">
        <v>279</v>
      </c>
      <c r="G60" s="425"/>
      <c r="H60" s="451" t="s">
        <v>255</v>
      </c>
      <c r="I60" s="443" t="s">
        <v>99</v>
      </c>
      <c r="J60" s="441">
        <v>1</v>
      </c>
      <c r="K60" s="289"/>
      <c r="L60" s="289"/>
      <c r="M60" s="452"/>
      <c r="N60" s="453"/>
      <c r="O60" s="454"/>
      <c r="P60" s="455" t="s">
        <v>120</v>
      </c>
      <c r="Q60" s="456">
        <v>2018</v>
      </c>
      <c r="R60" s="435" t="s">
        <v>276</v>
      </c>
      <c r="S60" s="443" t="s">
        <v>100</v>
      </c>
      <c r="T60" s="429"/>
      <c r="U60" s="429"/>
      <c r="V60" s="430"/>
      <c r="W60" s="430"/>
      <c r="X60" s="430"/>
      <c r="Y60" s="430"/>
      <c r="Z60" s="430"/>
      <c r="AA60" s="430"/>
      <c r="AB60" s="430"/>
      <c r="AC60" s="430"/>
      <c r="AD60" s="430"/>
      <c r="AE60" s="430"/>
      <c r="AF60" s="430"/>
      <c r="AG60" s="430"/>
      <c r="AH60" s="430"/>
      <c r="AI60" s="430"/>
      <c r="AJ60" s="431"/>
      <c r="AK60" s="371"/>
      <c r="AL60" s="371"/>
      <c r="AM60" s="371"/>
      <c r="AN60" s="371"/>
      <c r="AO60" s="371"/>
      <c r="AP60" s="371"/>
      <c r="AQ60" s="372"/>
      <c r="AR60" s="429"/>
      <c r="AS60" s="429"/>
      <c r="AT60" s="430"/>
      <c r="AU60" s="430"/>
      <c r="AV60" s="430"/>
      <c r="AW60" s="430"/>
      <c r="AX60" s="371"/>
      <c r="AY60" s="371"/>
      <c r="AZ60" s="371"/>
      <c r="BA60" s="371"/>
      <c r="BB60" s="371"/>
      <c r="BC60" s="371"/>
      <c r="BD60" s="371"/>
      <c r="BE60" s="371"/>
      <c r="BF60" s="371"/>
      <c r="BG60" s="371"/>
      <c r="BH60" s="371"/>
      <c r="BI60" s="371"/>
      <c r="BJ60" s="372"/>
    </row>
    <row r="61" spans="1:62" x14ac:dyDescent="0.25">
      <c r="A61" s="156" t="s">
        <v>1</v>
      </c>
      <c r="B61" s="154"/>
      <c r="C61" s="154"/>
      <c r="D61" s="155"/>
      <c r="E61" s="147">
        <f>SUM(E57:E60)</f>
        <v>2310000</v>
      </c>
      <c r="F61" s="271"/>
      <c r="G61" s="128"/>
      <c r="H61" s="129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91"/>
      <c r="U61" s="191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3"/>
      <c r="AK61" s="185"/>
      <c r="AL61" s="185"/>
      <c r="AM61" s="185"/>
      <c r="AN61" s="185"/>
      <c r="AO61" s="185"/>
      <c r="AP61" s="185"/>
      <c r="AQ61" s="186"/>
      <c r="AR61" s="191"/>
      <c r="AS61" s="191"/>
      <c r="AT61" s="192"/>
      <c r="AU61" s="192"/>
      <c r="AV61" s="192"/>
      <c r="AW61" s="192"/>
      <c r="AX61" s="185"/>
      <c r="AY61" s="185"/>
      <c r="AZ61" s="185"/>
      <c r="BA61" s="185"/>
      <c r="BB61" s="185"/>
      <c r="BC61" s="185"/>
      <c r="BD61" s="185"/>
      <c r="BE61" s="185"/>
      <c r="BF61" s="185"/>
      <c r="BG61" s="185"/>
      <c r="BH61" s="185"/>
      <c r="BI61" s="185"/>
      <c r="BJ61" s="186"/>
    </row>
    <row r="62" spans="1:62" ht="25.5" x14ac:dyDescent="0.25">
      <c r="A62" s="156" t="s">
        <v>109</v>
      </c>
      <c r="B62" s="154"/>
      <c r="C62" s="222"/>
      <c r="D62" s="155"/>
      <c r="E62" s="147">
        <f>PEP!E31</f>
        <v>500000</v>
      </c>
      <c r="F62" s="271"/>
      <c r="G62" s="128"/>
      <c r="H62" s="129"/>
      <c r="I62" s="128"/>
      <c r="J62" s="128"/>
      <c r="K62" s="128"/>
      <c r="L62" s="128"/>
      <c r="M62" s="128"/>
      <c r="N62" s="128"/>
      <c r="O62" s="128"/>
      <c r="P62" s="128"/>
      <c r="Q62" s="128"/>
      <c r="R62" s="156"/>
      <c r="S62" s="156"/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6"/>
      <c r="AL62" s="216"/>
      <c r="AM62" s="216"/>
      <c r="AN62" s="196"/>
      <c r="AO62" s="216"/>
      <c r="AP62" s="216"/>
      <c r="AQ62" s="217"/>
      <c r="AR62" s="215"/>
      <c r="AS62" s="215"/>
      <c r="AT62" s="215"/>
      <c r="AU62" s="215"/>
      <c r="AV62" s="215"/>
      <c r="AW62" s="215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  <c r="BI62" s="216"/>
      <c r="BJ62" s="217"/>
    </row>
    <row r="63" spans="1:62" x14ac:dyDescent="0.25">
      <c r="A63" s="495" t="s">
        <v>1</v>
      </c>
      <c r="B63" s="495"/>
      <c r="C63" s="495"/>
      <c r="D63" s="496"/>
      <c r="E63" s="151">
        <f>E13+E18+E22+E42+E55+E61+E62</f>
        <v>46500000</v>
      </c>
      <c r="F63" s="273"/>
      <c r="G63" s="136"/>
      <c r="H63" s="137"/>
      <c r="I63" s="136"/>
      <c r="J63" s="136"/>
      <c r="K63" s="136"/>
      <c r="L63" s="136"/>
      <c r="M63" s="136"/>
      <c r="N63" s="136"/>
      <c r="O63" s="136"/>
      <c r="P63" s="136"/>
      <c r="Q63" s="136"/>
      <c r="R63" s="138"/>
      <c r="S63" s="138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  <c r="AF63" s="215"/>
      <c r="AG63" s="215"/>
      <c r="AH63" s="215"/>
      <c r="AI63" s="215"/>
      <c r="AJ63" s="215"/>
      <c r="AK63" s="216"/>
      <c r="AL63" s="216"/>
      <c r="AM63" s="216"/>
      <c r="AN63" s="196"/>
      <c r="AO63" s="216"/>
      <c r="AP63" s="216"/>
      <c r="AQ63" s="217"/>
      <c r="AR63" s="215"/>
      <c r="AS63" s="215"/>
      <c r="AT63" s="215"/>
      <c r="AU63" s="215"/>
      <c r="AV63" s="215"/>
      <c r="AW63" s="215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  <c r="BI63" s="216"/>
      <c r="BJ63" s="217"/>
    </row>
    <row r="64" spans="1:62" x14ac:dyDescent="0.25">
      <c r="A64" s="135"/>
      <c r="B64" s="136"/>
      <c r="C64" s="136"/>
      <c r="D64" s="137"/>
      <c r="E64" s="157"/>
      <c r="F64" s="273"/>
      <c r="G64" s="136"/>
      <c r="H64" s="137"/>
      <c r="I64" s="136"/>
      <c r="J64" s="136"/>
      <c r="K64" s="136"/>
      <c r="L64" s="136"/>
      <c r="M64" s="136"/>
      <c r="N64" s="136"/>
      <c r="O64" s="136"/>
      <c r="P64" s="136"/>
      <c r="Q64" s="136"/>
      <c r="R64" s="138"/>
      <c r="S64" s="138"/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/>
      <c r="AF64" s="215"/>
      <c r="AG64" s="215"/>
      <c r="AH64" s="215"/>
      <c r="AI64" s="215"/>
      <c r="AJ64" s="215"/>
      <c r="AK64" s="216"/>
      <c r="AL64" s="216"/>
      <c r="AM64" s="216"/>
      <c r="AN64" s="196"/>
      <c r="AO64" s="216"/>
      <c r="AP64" s="216"/>
      <c r="AQ64" s="217"/>
      <c r="AR64" s="215"/>
      <c r="AS64" s="215"/>
      <c r="AT64" s="215"/>
      <c r="AU64" s="215"/>
      <c r="AV64" s="215"/>
      <c r="AW64" s="215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  <c r="BI64" s="216"/>
      <c r="BJ64" s="217"/>
    </row>
    <row r="65" spans="1:62" x14ac:dyDescent="0.25">
      <c r="A65" s="502" t="s">
        <v>116</v>
      </c>
      <c r="B65" s="503"/>
      <c r="C65" s="503"/>
      <c r="D65" s="503"/>
      <c r="E65" s="503"/>
      <c r="F65" s="503"/>
      <c r="G65" s="503"/>
      <c r="H65" s="503"/>
      <c r="I65" s="503"/>
      <c r="J65" s="503"/>
      <c r="K65" s="503"/>
      <c r="L65" s="503"/>
      <c r="M65" s="503"/>
      <c r="N65" s="503"/>
      <c r="O65" s="503"/>
      <c r="P65" s="503"/>
      <c r="Q65" s="503"/>
      <c r="R65" s="504"/>
      <c r="S65" s="504"/>
      <c r="T65" s="505"/>
      <c r="U65" s="506"/>
      <c r="V65" s="506"/>
      <c r="W65" s="506"/>
      <c r="X65" s="506"/>
      <c r="Y65" s="506"/>
      <c r="Z65" s="506"/>
      <c r="AA65" s="506"/>
      <c r="AB65" s="506"/>
      <c r="AC65" s="506"/>
      <c r="AD65" s="506"/>
      <c r="AE65" s="506"/>
      <c r="AF65" s="506"/>
      <c r="AG65" s="506"/>
      <c r="AH65" s="506"/>
      <c r="AI65" s="506"/>
      <c r="AJ65" s="506"/>
      <c r="AK65" s="506"/>
      <c r="AL65" s="506"/>
      <c r="AM65" s="506"/>
      <c r="AN65" s="507"/>
      <c r="AO65" s="216"/>
      <c r="AP65" s="216"/>
      <c r="AQ65" s="217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  <c r="BI65" s="216"/>
      <c r="BJ65" s="217"/>
    </row>
    <row r="66" spans="1:62" x14ac:dyDescent="0.25">
      <c r="A66" s="508" t="s">
        <v>117</v>
      </c>
      <c r="B66" s="509"/>
      <c r="C66" s="509"/>
      <c r="D66" s="509"/>
      <c r="E66" s="509"/>
      <c r="F66" s="509"/>
      <c r="G66" s="509"/>
      <c r="H66" s="509"/>
      <c r="I66" s="509"/>
      <c r="J66" s="509"/>
      <c r="K66" s="509"/>
      <c r="L66" s="509"/>
      <c r="M66" s="509"/>
      <c r="N66" s="509"/>
      <c r="O66" s="509"/>
      <c r="P66" s="509"/>
      <c r="Q66" s="509"/>
      <c r="R66" s="509"/>
      <c r="S66" s="509"/>
      <c r="T66" s="139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/>
      <c r="AH66" s="171"/>
      <c r="AI66" s="171"/>
      <c r="AJ66" s="171"/>
      <c r="AK66" s="171"/>
      <c r="AL66" s="171"/>
      <c r="AM66" s="172"/>
      <c r="AN66" s="173"/>
      <c r="AO66" s="90"/>
      <c r="AP66" s="90"/>
      <c r="AQ66" s="173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173"/>
    </row>
    <row r="67" spans="1:62" ht="13.5" thickBot="1" x14ac:dyDescent="0.3">
      <c r="A67" s="510" t="s">
        <v>118</v>
      </c>
      <c r="B67" s="511"/>
      <c r="C67" s="511"/>
      <c r="D67" s="511"/>
      <c r="E67" s="511"/>
      <c r="F67" s="511"/>
      <c r="G67" s="511"/>
      <c r="H67" s="511"/>
      <c r="I67" s="511"/>
      <c r="J67" s="511"/>
      <c r="K67" s="511"/>
      <c r="L67" s="511"/>
      <c r="M67" s="511"/>
      <c r="N67" s="511"/>
      <c r="O67" s="511"/>
      <c r="P67" s="511"/>
      <c r="Q67" s="511"/>
      <c r="R67" s="511"/>
      <c r="S67" s="511"/>
      <c r="T67" s="140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  <c r="AF67" s="174"/>
      <c r="AG67" s="174"/>
      <c r="AH67" s="174"/>
      <c r="AI67" s="174"/>
      <c r="AJ67" s="174"/>
      <c r="AK67" s="174"/>
      <c r="AL67" s="174"/>
      <c r="AM67" s="174"/>
      <c r="AN67" s="175"/>
      <c r="AO67" s="174"/>
      <c r="AP67" s="174"/>
      <c r="AQ67" s="175"/>
      <c r="AR67" s="174"/>
      <c r="AS67" s="174"/>
      <c r="AT67" s="174"/>
      <c r="AU67" s="174"/>
      <c r="AV67" s="174"/>
      <c r="AW67" s="174"/>
      <c r="AX67" s="174"/>
      <c r="AY67" s="174"/>
      <c r="AZ67" s="174"/>
      <c r="BA67" s="174"/>
      <c r="BB67" s="174"/>
      <c r="BC67" s="174"/>
      <c r="BD67" s="174"/>
      <c r="BE67" s="174"/>
      <c r="BF67" s="174"/>
      <c r="BG67" s="174"/>
      <c r="BH67" s="174"/>
      <c r="BI67" s="174"/>
      <c r="BJ67" s="175"/>
    </row>
    <row r="68" spans="1:62" s="141" customFormat="1" ht="13.5" thickBot="1" x14ac:dyDescent="0.3">
      <c r="A68" s="493"/>
      <c r="B68" s="494"/>
      <c r="C68" s="494"/>
      <c r="D68" s="494"/>
      <c r="E68" s="494"/>
      <c r="F68" s="494"/>
      <c r="G68" s="494"/>
      <c r="H68" s="494"/>
      <c r="I68" s="494"/>
      <c r="J68" s="494"/>
      <c r="K68" s="494"/>
      <c r="L68" s="494"/>
      <c r="M68" s="494"/>
      <c r="N68" s="494"/>
      <c r="O68" s="494"/>
      <c r="P68" s="494"/>
      <c r="Q68" s="494"/>
      <c r="R68" s="494"/>
      <c r="S68" s="494"/>
    </row>
    <row r="70" spans="1:62" x14ac:dyDescent="0.25">
      <c r="E70" s="265"/>
    </row>
  </sheetData>
  <mergeCells count="46">
    <mergeCell ref="B2:C2"/>
    <mergeCell ref="D2:K2"/>
    <mergeCell ref="B3:C3"/>
    <mergeCell ref="D3:K3"/>
    <mergeCell ref="A9:A10"/>
    <mergeCell ref="B9:B10"/>
    <mergeCell ref="C9:C10"/>
    <mergeCell ref="D9:D10"/>
    <mergeCell ref="E9:E10"/>
    <mergeCell ref="AZ4:BD4"/>
    <mergeCell ref="B6:M6"/>
    <mergeCell ref="A8:S8"/>
    <mergeCell ref="T8:AN8"/>
    <mergeCell ref="AR8:BJ8"/>
    <mergeCell ref="B4:C4"/>
    <mergeCell ref="D4:K4"/>
    <mergeCell ref="L4:M4"/>
    <mergeCell ref="AA4:AB4"/>
    <mergeCell ref="AC4:AE4"/>
    <mergeCell ref="AX4:AY4"/>
    <mergeCell ref="T9:AA9"/>
    <mergeCell ref="AB9:AB10"/>
    <mergeCell ref="AC9:AC10"/>
    <mergeCell ref="AD9:AD10"/>
    <mergeCell ref="F9:F10"/>
    <mergeCell ref="G9:G10"/>
    <mergeCell ref="H9:H10"/>
    <mergeCell ref="I9:I10"/>
    <mergeCell ref="J9:K9"/>
    <mergeCell ref="M9:Q9"/>
    <mergeCell ref="A68:S68"/>
    <mergeCell ref="A63:D63"/>
    <mergeCell ref="AX9:BI9"/>
    <mergeCell ref="BJ9:BJ10"/>
    <mergeCell ref="A65:S65"/>
    <mergeCell ref="T65:AN65"/>
    <mergeCell ref="A66:S66"/>
    <mergeCell ref="A67:S67"/>
    <mergeCell ref="AE9:AG9"/>
    <mergeCell ref="AH9:AJ9"/>
    <mergeCell ref="AK9:AN9"/>
    <mergeCell ref="AO9:AQ9"/>
    <mergeCell ref="AR9:AT9"/>
    <mergeCell ref="AU9:AW9"/>
    <mergeCell ref="R9:R10"/>
    <mergeCell ref="S9:S10"/>
  </mergeCells>
  <pageMargins left="0.25" right="0.25" top="0.75" bottom="0.75" header="0.3" footer="0.3"/>
  <pageSetup scale="50" fitToWidth="0" orientation="landscape" horizontalDpi="1200" verticalDpi="1200" r:id="rId1"/>
  <headerFooter>
    <oddHeader>&amp;RBanque Interaméricaine de Développement (BID)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4"/>
  <sheetViews>
    <sheetView workbookViewId="0">
      <selection activeCell="N11" sqref="N11:Q11"/>
    </sheetView>
  </sheetViews>
  <sheetFormatPr defaultRowHeight="15" x14ac:dyDescent="0.25"/>
  <cols>
    <col min="1" max="1" width="2.28515625" customWidth="1"/>
    <col min="2" max="2" width="23.5703125" customWidth="1"/>
    <col min="6" max="6" width="15.28515625" customWidth="1"/>
    <col min="7" max="7" width="12.5703125" customWidth="1"/>
    <col min="8" max="12" width="7.140625" customWidth="1"/>
    <col min="13" max="13" width="7.140625" style="56" customWidth="1"/>
    <col min="17" max="17" width="11.42578125" customWidth="1"/>
  </cols>
  <sheetData>
    <row r="2" spans="1:18" x14ac:dyDescent="0.25">
      <c r="D2" s="56"/>
      <c r="E2" s="56"/>
      <c r="F2" s="56"/>
      <c r="G2" s="56"/>
      <c r="H2" s="56"/>
      <c r="I2" s="56"/>
      <c r="J2" s="56"/>
      <c r="K2" s="56"/>
      <c r="L2" s="56"/>
    </row>
    <row r="3" spans="1:18" x14ac:dyDescent="0.25">
      <c r="H3" s="557" t="s">
        <v>224</v>
      </c>
      <c r="I3" s="557"/>
      <c r="J3" s="557"/>
      <c r="K3" s="557"/>
      <c r="L3" s="557"/>
      <c r="M3" s="557"/>
      <c r="N3" s="557" t="s">
        <v>225</v>
      </c>
      <c r="O3" s="557"/>
      <c r="P3" s="557"/>
      <c r="Q3" s="557"/>
      <c r="R3" s="557"/>
    </row>
    <row r="4" spans="1:18" ht="66.75" customHeight="1" x14ac:dyDescent="0.25">
      <c r="B4" s="353"/>
      <c r="C4" s="354" t="s">
        <v>222</v>
      </c>
      <c r="D4" s="354" t="s">
        <v>217</v>
      </c>
      <c r="E4" s="354" t="s">
        <v>223</v>
      </c>
      <c r="F4" s="354" t="s">
        <v>221</v>
      </c>
      <c r="G4" s="354" t="s">
        <v>220</v>
      </c>
      <c r="H4" s="358">
        <v>2016</v>
      </c>
      <c r="I4" s="358">
        <v>2017</v>
      </c>
      <c r="J4" s="358">
        <v>2018</v>
      </c>
      <c r="K4" s="358">
        <v>2019</v>
      </c>
      <c r="L4" s="358">
        <v>2020</v>
      </c>
      <c r="M4" s="358" t="s">
        <v>1</v>
      </c>
      <c r="N4" s="358">
        <v>2016</v>
      </c>
      <c r="O4" s="358">
        <v>2017</v>
      </c>
      <c r="P4" s="358">
        <v>2018</v>
      </c>
      <c r="Q4" s="358">
        <v>2019</v>
      </c>
      <c r="R4" s="358" t="s">
        <v>20</v>
      </c>
    </row>
    <row r="5" spans="1:18" x14ac:dyDescent="0.25">
      <c r="B5" s="359" t="s">
        <v>122</v>
      </c>
      <c r="C5" s="347">
        <v>100</v>
      </c>
      <c r="D5" s="347">
        <v>30</v>
      </c>
      <c r="E5" s="347">
        <v>1000</v>
      </c>
      <c r="F5" s="347">
        <f>C5+D5+1</f>
        <v>131</v>
      </c>
      <c r="G5" s="348">
        <f>C5*$C$10+D5*$D$10+E5*$E$10</f>
        <v>1200000</v>
      </c>
      <c r="H5" s="227">
        <f>F5*0.05</f>
        <v>6.5500000000000007</v>
      </c>
      <c r="I5" s="227">
        <f>F5*0.25</f>
        <v>32.75</v>
      </c>
      <c r="J5" s="227">
        <f>0.5*F5</f>
        <v>65.5</v>
      </c>
      <c r="K5" s="227">
        <f>F5*0.2</f>
        <v>26.200000000000003</v>
      </c>
      <c r="L5" s="227">
        <v>0</v>
      </c>
      <c r="M5" s="227">
        <f>SUM(H5:L5)</f>
        <v>131</v>
      </c>
      <c r="N5" s="227">
        <f>$G5*0.05</f>
        <v>60000</v>
      </c>
      <c r="O5" s="227">
        <f>G5*0.25</f>
        <v>300000</v>
      </c>
      <c r="P5" s="227">
        <f>0.5*G5</f>
        <v>600000</v>
      </c>
      <c r="Q5" s="227">
        <f>G5*0.2</f>
        <v>240000</v>
      </c>
      <c r="R5" s="227">
        <f>SUM(M5:Q5)</f>
        <v>1200131</v>
      </c>
    </row>
    <row r="6" spans="1:18" x14ac:dyDescent="0.25">
      <c r="B6" s="359" t="s">
        <v>131</v>
      </c>
      <c r="C6" s="347">
        <v>160</v>
      </c>
      <c r="D6" s="347">
        <v>57</v>
      </c>
      <c r="E6" s="347">
        <v>1500</v>
      </c>
      <c r="F6" s="347">
        <f>C6+D6+1</f>
        <v>218</v>
      </c>
      <c r="G6" s="348">
        <f t="shared" ref="G6:G8" si="0">C6*$C$10+D6*$D$10+E6*$E$10</f>
        <v>1950000</v>
      </c>
      <c r="H6" s="227">
        <f t="shared" ref="H6:H8" si="1">F6*0.05</f>
        <v>10.9</v>
      </c>
      <c r="I6" s="227">
        <f>F6*0.45</f>
        <v>98.100000000000009</v>
      </c>
      <c r="J6" s="227">
        <f t="shared" ref="J6:J8" si="2">0.5*F6</f>
        <v>109</v>
      </c>
      <c r="K6" s="227">
        <v>0</v>
      </c>
      <c r="L6" s="227">
        <v>0</v>
      </c>
      <c r="M6" s="227">
        <f t="shared" ref="M6:M8" si="3">SUM(H6:L6)</f>
        <v>218</v>
      </c>
      <c r="N6" s="227">
        <f t="shared" ref="N6:N8" si="4">$G6*0.05</f>
        <v>97500</v>
      </c>
      <c r="O6" s="227">
        <f t="shared" ref="O6:O8" si="5">G6*0.25</f>
        <v>487500</v>
      </c>
      <c r="P6" s="227">
        <f t="shared" ref="P6:P8" si="6">0.5*G6</f>
        <v>975000</v>
      </c>
      <c r="Q6" s="227">
        <f t="shared" ref="Q6:Q8" si="7">G6*0.2</f>
        <v>390000</v>
      </c>
      <c r="R6" s="227">
        <f t="shared" ref="R6:R8" si="8">SUM(M6:Q6)</f>
        <v>1950218</v>
      </c>
    </row>
    <row r="7" spans="1:18" x14ac:dyDescent="0.25">
      <c r="B7" s="359" t="s">
        <v>124</v>
      </c>
      <c r="C7" s="347">
        <v>100</v>
      </c>
      <c r="D7" s="347">
        <v>25</v>
      </c>
      <c r="E7" s="347">
        <v>1000</v>
      </c>
      <c r="F7" s="347">
        <f>C7+D7+1</f>
        <v>126</v>
      </c>
      <c r="G7" s="348">
        <f t="shared" si="0"/>
        <v>1175000</v>
      </c>
      <c r="H7" s="227">
        <f t="shared" si="1"/>
        <v>6.3000000000000007</v>
      </c>
      <c r="I7" s="227">
        <f t="shared" ref="I6:I8" si="9">F7*0.25</f>
        <v>31.5</v>
      </c>
      <c r="J7" s="227">
        <f t="shared" si="2"/>
        <v>63</v>
      </c>
      <c r="K7" s="227">
        <f t="shared" ref="K6:K8" si="10">F7*0.2</f>
        <v>25.200000000000003</v>
      </c>
      <c r="L7" s="227">
        <v>0</v>
      </c>
      <c r="M7" s="227">
        <f t="shared" si="3"/>
        <v>126</v>
      </c>
      <c r="N7" s="227">
        <f t="shared" si="4"/>
        <v>58750</v>
      </c>
      <c r="O7" s="227">
        <f t="shared" si="5"/>
        <v>293750</v>
      </c>
      <c r="P7" s="227">
        <f t="shared" si="6"/>
        <v>587500</v>
      </c>
      <c r="Q7" s="227">
        <f t="shared" si="7"/>
        <v>235000</v>
      </c>
      <c r="R7" s="227">
        <f t="shared" si="8"/>
        <v>1175126</v>
      </c>
    </row>
    <row r="8" spans="1:18" x14ac:dyDescent="0.25">
      <c r="B8" s="359" t="s">
        <v>125</v>
      </c>
      <c r="C8" s="347">
        <v>80</v>
      </c>
      <c r="D8" s="347">
        <v>15</v>
      </c>
      <c r="E8" s="347">
        <v>1000</v>
      </c>
      <c r="F8" s="347">
        <f>C8+D8+1</f>
        <v>96</v>
      </c>
      <c r="G8" s="348">
        <f t="shared" si="0"/>
        <v>945000</v>
      </c>
      <c r="H8" s="227">
        <f t="shared" si="1"/>
        <v>4.8000000000000007</v>
      </c>
      <c r="I8" s="227">
        <f t="shared" si="9"/>
        <v>24</v>
      </c>
      <c r="J8" s="227">
        <f t="shared" si="2"/>
        <v>48</v>
      </c>
      <c r="K8" s="227">
        <f t="shared" si="10"/>
        <v>19.200000000000003</v>
      </c>
      <c r="L8" s="227">
        <v>0</v>
      </c>
      <c r="M8" s="227">
        <f t="shared" si="3"/>
        <v>96</v>
      </c>
      <c r="N8" s="227">
        <f t="shared" si="4"/>
        <v>47250</v>
      </c>
      <c r="O8" s="227">
        <f t="shared" si="5"/>
        <v>236250</v>
      </c>
      <c r="P8" s="227">
        <f t="shared" si="6"/>
        <v>472500</v>
      </c>
      <c r="Q8" s="227">
        <f t="shared" si="7"/>
        <v>189000</v>
      </c>
      <c r="R8" s="227">
        <f t="shared" si="8"/>
        <v>945096</v>
      </c>
    </row>
    <row r="9" spans="1:18" s="56" customFormat="1" x14ac:dyDescent="0.25">
      <c r="B9" s="360" t="s">
        <v>219</v>
      </c>
      <c r="C9" s="349">
        <f>SUM(C5:C8)</f>
        <v>440</v>
      </c>
      <c r="D9" s="349">
        <f t="shared" ref="D9" si="11">SUM(D5:D8)</f>
        <v>127</v>
      </c>
      <c r="E9" s="349">
        <f>SUM(E5:E8)</f>
        <v>4500</v>
      </c>
      <c r="F9" s="347">
        <f>C9+D9+4</f>
        <v>571</v>
      </c>
      <c r="G9" s="351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</row>
    <row r="10" spans="1:18" x14ac:dyDescent="0.25">
      <c r="B10" s="360" t="s">
        <v>218</v>
      </c>
      <c r="C10" s="347">
        <v>9000</v>
      </c>
      <c r="D10" s="347">
        <v>5000</v>
      </c>
      <c r="E10" s="347">
        <v>150</v>
      </c>
      <c r="F10" s="350"/>
      <c r="G10" s="351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</row>
    <row r="11" spans="1:18" x14ac:dyDescent="0.25">
      <c r="B11" s="360" t="s">
        <v>20</v>
      </c>
      <c r="C11" s="349">
        <f>C10*C9</f>
        <v>3960000</v>
      </c>
      <c r="D11" s="349">
        <f t="shared" ref="D11:E11" si="12">D10*D9</f>
        <v>635000</v>
      </c>
      <c r="E11" s="349">
        <f t="shared" si="12"/>
        <v>675000</v>
      </c>
      <c r="F11" s="349">
        <f>F9</f>
        <v>571</v>
      </c>
      <c r="G11" s="352">
        <f>SUM(G5:G8)</f>
        <v>5270000</v>
      </c>
      <c r="H11" s="361">
        <f>SUM(H5:H10)</f>
        <v>28.550000000000004</v>
      </c>
      <c r="I11" s="361">
        <f t="shared" ref="I11:K11" si="13">SUM(I5:I10)</f>
        <v>186.35000000000002</v>
      </c>
      <c r="J11" s="361">
        <f t="shared" si="13"/>
        <v>285.5</v>
      </c>
      <c r="K11" s="361">
        <f t="shared" si="13"/>
        <v>70.600000000000009</v>
      </c>
      <c r="L11" s="361">
        <v>0</v>
      </c>
      <c r="M11" s="361">
        <f>SUM(M5:M8)</f>
        <v>571</v>
      </c>
      <c r="N11" s="361">
        <f>SUM(N5:N10)</f>
        <v>263500</v>
      </c>
      <c r="O11" s="361">
        <f t="shared" ref="O11" si="14">SUM(O5:O10)</f>
        <v>1317500</v>
      </c>
      <c r="P11" s="361">
        <f t="shared" ref="P11" si="15">SUM(P5:P10)</f>
        <v>2635000</v>
      </c>
      <c r="Q11" s="361">
        <f t="shared" ref="Q11" si="16">SUM(Q5:Q10)</f>
        <v>1054000</v>
      </c>
      <c r="R11" s="361">
        <f>SUM(R5:R8)</f>
        <v>5270571</v>
      </c>
    </row>
    <row r="12" spans="1:18" x14ac:dyDescent="0.25">
      <c r="K12" s="85"/>
      <c r="Q12" s="85"/>
    </row>
    <row r="13" spans="1:18" x14ac:dyDescent="0.25">
      <c r="A13" s="56"/>
      <c r="B13" s="56"/>
      <c r="C13" s="56"/>
      <c r="D13" s="56"/>
      <c r="E13" s="56"/>
      <c r="F13" s="56"/>
      <c r="G13" s="56"/>
    </row>
    <row r="14" spans="1:18" x14ac:dyDescent="0.25">
      <c r="A14" s="56"/>
      <c r="B14" s="56"/>
      <c r="C14" s="56"/>
      <c r="D14" s="56"/>
      <c r="E14" s="56"/>
      <c r="F14" s="56"/>
      <c r="G14" s="56"/>
    </row>
  </sheetData>
  <mergeCells count="2">
    <mergeCell ref="H3:M3"/>
    <mergeCell ref="N3:R3"/>
  </mergeCell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1"/>
  <sheetViews>
    <sheetView workbookViewId="0">
      <selection activeCell="E16" sqref="E16"/>
    </sheetView>
  </sheetViews>
  <sheetFormatPr defaultRowHeight="15" x14ac:dyDescent="0.25"/>
  <cols>
    <col min="1" max="1" width="2.28515625" style="56" customWidth="1"/>
    <col min="2" max="2" width="32.28515625" style="56" customWidth="1"/>
    <col min="3" max="8" width="9.42578125" style="56" customWidth="1"/>
    <col min="9" max="16384" width="9.140625" style="56"/>
  </cols>
  <sheetData>
    <row r="3" spans="2:9" x14ac:dyDescent="0.25">
      <c r="C3" s="558" t="s">
        <v>225</v>
      </c>
      <c r="D3" s="559"/>
      <c r="E3" s="559"/>
      <c r="F3" s="559"/>
      <c r="G3" s="559"/>
      <c r="H3" s="560"/>
    </row>
    <row r="4" spans="2:9" ht="27.75" customHeight="1" x14ac:dyDescent="0.25">
      <c r="B4" s="353"/>
      <c r="C4" s="358">
        <v>2016</v>
      </c>
      <c r="D4" s="358">
        <v>2017</v>
      </c>
      <c r="E4" s="358">
        <v>2018</v>
      </c>
      <c r="F4" s="358">
        <v>2019</v>
      </c>
      <c r="G4" s="358">
        <v>2020</v>
      </c>
      <c r="H4" s="358" t="s">
        <v>20</v>
      </c>
    </row>
    <row r="5" spans="2:9" x14ac:dyDescent="0.25">
      <c r="B5" s="359" t="s">
        <v>258</v>
      </c>
      <c r="C5" s="227">
        <v>250000</v>
      </c>
      <c r="D5" s="227">
        <v>250000</v>
      </c>
      <c r="E5" s="227">
        <v>250000</v>
      </c>
      <c r="F5" s="227">
        <v>250000</v>
      </c>
      <c r="G5" s="227">
        <v>200000</v>
      </c>
      <c r="H5" s="227">
        <f>SUM(C5:G5)</f>
        <v>1200000</v>
      </c>
      <c r="I5" s="561" t="s">
        <v>266</v>
      </c>
    </row>
    <row r="6" spans="2:9" x14ac:dyDescent="0.25">
      <c r="B6" s="359" t="s">
        <v>261</v>
      </c>
      <c r="C6" s="227">
        <v>30000</v>
      </c>
      <c r="D6" s="227">
        <v>20000</v>
      </c>
      <c r="E6" s="227">
        <v>20000</v>
      </c>
      <c r="F6" s="227"/>
      <c r="G6" s="227"/>
      <c r="H6" s="227">
        <f>SUM(C6:G6)</f>
        <v>70000</v>
      </c>
      <c r="I6" s="561"/>
    </row>
    <row r="7" spans="2:9" x14ac:dyDescent="0.25">
      <c r="B7" s="359" t="s">
        <v>259</v>
      </c>
      <c r="C7" s="227">
        <f>2000*12</f>
        <v>24000</v>
      </c>
      <c r="D7" s="227">
        <f t="shared" ref="D7:G7" si="0">2000*12</f>
        <v>24000</v>
      </c>
      <c r="E7" s="227">
        <f t="shared" si="0"/>
        <v>24000</v>
      </c>
      <c r="F7" s="227">
        <f t="shared" si="0"/>
        <v>24000</v>
      </c>
      <c r="G7" s="227">
        <f t="shared" si="0"/>
        <v>24000</v>
      </c>
      <c r="H7" s="227">
        <f t="shared" ref="H7:H9" si="1">SUM(C7:G7)</f>
        <v>120000</v>
      </c>
      <c r="I7" s="561" t="s">
        <v>267</v>
      </c>
    </row>
    <row r="8" spans="2:9" x14ac:dyDescent="0.25">
      <c r="B8" s="359" t="s">
        <v>260</v>
      </c>
      <c r="C8" s="227">
        <f>1000*12</f>
        <v>12000</v>
      </c>
      <c r="D8" s="227">
        <f t="shared" ref="D8:G8" si="2">1000*12</f>
        <v>12000</v>
      </c>
      <c r="E8" s="227">
        <f t="shared" si="2"/>
        <v>12000</v>
      </c>
      <c r="F8" s="227">
        <f t="shared" si="2"/>
        <v>12000</v>
      </c>
      <c r="G8" s="227">
        <f t="shared" si="2"/>
        <v>12000</v>
      </c>
      <c r="H8" s="227">
        <f t="shared" si="1"/>
        <v>60000</v>
      </c>
      <c r="I8" s="561"/>
    </row>
    <row r="9" spans="2:9" ht="19.5" customHeight="1" x14ac:dyDescent="0.25">
      <c r="B9" s="359" t="s">
        <v>262</v>
      </c>
      <c r="C9" s="227">
        <v>10000</v>
      </c>
      <c r="D9" s="227">
        <v>10000</v>
      </c>
      <c r="E9" s="227">
        <v>10000</v>
      </c>
      <c r="F9" s="227">
        <v>10000</v>
      </c>
      <c r="G9" s="227">
        <v>10000</v>
      </c>
      <c r="H9" s="227">
        <f t="shared" si="1"/>
        <v>50000</v>
      </c>
      <c r="I9" s="561"/>
    </row>
    <row r="10" spans="2:9" x14ac:dyDescent="0.25">
      <c r="B10" s="360" t="s">
        <v>20</v>
      </c>
      <c r="C10" s="361">
        <f t="shared" ref="C10:H10" si="3">SUM(C5:C9)</f>
        <v>326000</v>
      </c>
      <c r="D10" s="361">
        <f t="shared" si="3"/>
        <v>316000</v>
      </c>
      <c r="E10" s="361">
        <f t="shared" si="3"/>
        <v>316000</v>
      </c>
      <c r="F10" s="361">
        <f>SUM(F5:F9)</f>
        <v>296000</v>
      </c>
      <c r="G10" s="361">
        <f t="shared" si="3"/>
        <v>246000</v>
      </c>
      <c r="H10" s="361">
        <f t="shared" si="3"/>
        <v>1500000</v>
      </c>
    </row>
    <row r="11" spans="2:9" x14ac:dyDescent="0.25">
      <c r="F11" s="85"/>
      <c r="H11" s="85"/>
    </row>
  </sheetData>
  <mergeCells count="3">
    <mergeCell ref="C3:H3"/>
    <mergeCell ref="I5:I6"/>
    <mergeCell ref="I7:I9"/>
  </mergeCells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70"/>
  <sheetViews>
    <sheetView showGridLines="0" topLeftCell="B1" zoomScale="93" zoomScaleNormal="93" workbookViewId="0">
      <selection activeCell="D10" sqref="D10"/>
    </sheetView>
  </sheetViews>
  <sheetFormatPr defaultRowHeight="17.25" customHeight="1" x14ac:dyDescent="0.25"/>
  <cols>
    <col min="1" max="1" width="3.28515625" style="56" hidden="1" customWidth="1"/>
    <col min="2" max="2" width="16.140625" style="56" customWidth="1"/>
    <col min="3" max="3" width="11.140625" style="56" customWidth="1"/>
    <col min="4" max="4" width="100.28515625" style="56" customWidth="1"/>
    <col min="5" max="5" width="14.140625" style="56" customWidth="1"/>
    <col min="6" max="7" width="11.7109375" style="25" customWidth="1"/>
    <col min="8" max="8" width="11.7109375" style="56" customWidth="1"/>
    <col min="9" max="9" width="6.28515625" style="56" customWidth="1"/>
    <col min="10" max="10" width="15.28515625" style="56" customWidth="1"/>
    <col min="11" max="11" width="13" style="56" customWidth="1"/>
    <col min="12" max="12" width="10.85546875" style="56" bestFit="1" customWidth="1"/>
    <col min="13" max="13" width="103.5703125" style="56" bestFit="1" customWidth="1"/>
    <col min="14" max="14" width="13.85546875" style="56" customWidth="1"/>
    <col min="15" max="19" width="9.140625" style="56"/>
    <col min="20" max="20" width="13.7109375" style="56" bestFit="1" customWidth="1"/>
    <col min="21" max="21" width="3.28515625" style="409" bestFit="1" customWidth="1"/>
    <col min="22" max="22" width="54.140625" style="56" customWidth="1"/>
    <col min="23" max="23" width="15.85546875" style="56" customWidth="1"/>
    <col min="24" max="16384" width="9.140625" style="56"/>
  </cols>
  <sheetData>
    <row r="1" spans="1:10" ht="17.25" customHeight="1" x14ac:dyDescent="0.25">
      <c r="A1" s="2"/>
      <c r="B1" s="245"/>
      <c r="C1" s="245"/>
      <c r="D1" s="245"/>
      <c r="E1" s="245"/>
      <c r="F1" s="491" t="s">
        <v>160</v>
      </c>
      <c r="G1" s="491"/>
      <c r="H1" s="491"/>
      <c r="I1" s="395"/>
    </row>
    <row r="2" spans="1:10" s="9" customFormat="1" ht="17.25" customHeight="1" thickBot="1" x14ac:dyDescent="0.3">
      <c r="A2" s="5" t="s">
        <v>19</v>
      </c>
      <c r="B2" s="243" t="s">
        <v>3</v>
      </c>
      <c r="C2" s="243"/>
      <c r="D2" s="224" t="s">
        <v>9</v>
      </c>
      <c r="E2" s="224" t="s">
        <v>20</v>
      </c>
      <c r="F2" s="243" t="s">
        <v>136</v>
      </c>
      <c r="G2" s="243" t="s">
        <v>135</v>
      </c>
      <c r="H2" s="224" t="s">
        <v>139</v>
      </c>
      <c r="I2" s="224" t="s">
        <v>20</v>
      </c>
    </row>
    <row r="3" spans="1:10" s="68" customFormat="1" ht="17.25" customHeight="1" x14ac:dyDescent="0.25">
      <c r="A3" s="69"/>
      <c r="B3" s="562" t="s">
        <v>23</v>
      </c>
      <c r="C3" s="61" t="s">
        <v>25</v>
      </c>
      <c r="D3" s="244" t="s">
        <v>141</v>
      </c>
      <c r="E3" s="241">
        <v>800000</v>
      </c>
      <c r="F3" s="241">
        <v>800000</v>
      </c>
      <c r="G3" s="241">
        <v>0</v>
      </c>
      <c r="H3" s="241">
        <v>0</v>
      </c>
      <c r="I3" s="396">
        <v>4</v>
      </c>
      <c r="J3" s="72"/>
    </row>
    <row r="4" spans="1:10" s="68" customFormat="1" ht="17.25" customHeight="1" x14ac:dyDescent="0.25">
      <c r="A4" s="69"/>
      <c r="B4" s="563"/>
      <c r="C4" s="61" t="s">
        <v>26</v>
      </c>
      <c r="D4" s="62" t="s">
        <v>142</v>
      </c>
      <c r="E4" s="241">
        <v>300000</v>
      </c>
      <c r="F4" s="241">
        <v>300000</v>
      </c>
      <c r="G4" s="241"/>
      <c r="H4" s="241"/>
      <c r="I4" s="396">
        <v>1</v>
      </c>
      <c r="J4" s="72"/>
    </row>
    <row r="5" spans="1:10" s="68" customFormat="1" ht="17.25" customHeight="1" x14ac:dyDescent="0.25">
      <c r="A5" s="60"/>
      <c r="B5" s="563"/>
      <c r="C5" s="61" t="s">
        <v>27</v>
      </c>
      <c r="D5" s="62" t="s">
        <v>132</v>
      </c>
      <c r="E5" s="397">
        <v>3250000</v>
      </c>
      <c r="F5" s="397">
        <v>500000</v>
      </c>
      <c r="G5" s="397">
        <v>2250000</v>
      </c>
      <c r="H5" s="397">
        <v>500000</v>
      </c>
      <c r="I5" s="396">
        <v>1</v>
      </c>
    </row>
    <row r="6" spans="1:10" s="79" customFormat="1" ht="17.25" customHeight="1" x14ac:dyDescent="0.25">
      <c r="A6" s="80"/>
      <c r="B6" s="563"/>
      <c r="C6" s="77"/>
      <c r="D6" s="82" t="s">
        <v>137</v>
      </c>
      <c r="E6" s="83">
        <v>2500000</v>
      </c>
      <c r="F6" s="83"/>
      <c r="G6" s="83">
        <v>2250000</v>
      </c>
      <c r="H6" s="83">
        <v>250000</v>
      </c>
      <c r="I6" s="252">
        <v>0</v>
      </c>
    </row>
    <row r="7" spans="1:10" s="79" customFormat="1" ht="17.25" customHeight="1" x14ac:dyDescent="0.25">
      <c r="A7" s="80"/>
      <c r="B7" s="563"/>
      <c r="C7" s="77"/>
      <c r="D7" s="82" t="s">
        <v>138</v>
      </c>
      <c r="E7" s="83">
        <v>750000</v>
      </c>
      <c r="F7" s="83">
        <v>500000</v>
      </c>
      <c r="G7" s="83"/>
      <c r="H7" s="83">
        <v>250000</v>
      </c>
      <c r="I7" s="252">
        <v>0</v>
      </c>
    </row>
    <row r="8" spans="1:10" s="68" customFormat="1" ht="17.25" customHeight="1" x14ac:dyDescent="0.25">
      <c r="A8" s="69"/>
      <c r="B8" s="563"/>
      <c r="C8" s="61" t="s">
        <v>28</v>
      </c>
      <c r="D8" s="62" t="s">
        <v>144</v>
      </c>
      <c r="E8" s="241">
        <v>300000</v>
      </c>
      <c r="F8" s="241">
        <v>150000</v>
      </c>
      <c r="G8" s="241">
        <v>150000</v>
      </c>
      <c r="H8" s="241"/>
      <c r="I8" s="396">
        <v>1</v>
      </c>
      <c r="J8" s="72"/>
    </row>
    <row r="9" spans="1:10" s="68" customFormat="1" ht="17.25" customHeight="1" x14ac:dyDescent="0.25">
      <c r="A9" s="69"/>
      <c r="B9" s="563"/>
      <c r="C9" s="61" t="s">
        <v>29</v>
      </c>
      <c r="D9" s="62" t="s">
        <v>145</v>
      </c>
      <c r="E9" s="241">
        <v>50000</v>
      </c>
      <c r="F9" s="241">
        <v>50000</v>
      </c>
      <c r="G9" s="241"/>
      <c r="H9" s="241"/>
      <c r="I9" s="396">
        <v>1</v>
      </c>
      <c r="J9" s="72"/>
    </row>
    <row r="10" spans="1:10" s="68" customFormat="1" ht="21" customHeight="1" x14ac:dyDescent="0.25">
      <c r="A10" s="69"/>
      <c r="B10" s="563"/>
      <c r="C10" s="61" t="s">
        <v>30</v>
      </c>
      <c r="D10" s="62" t="s">
        <v>216</v>
      </c>
      <c r="E10" s="241">
        <v>150000</v>
      </c>
      <c r="F10" s="241">
        <v>150000</v>
      </c>
      <c r="G10" s="241"/>
      <c r="H10" s="241"/>
      <c r="I10" s="396">
        <v>1</v>
      </c>
      <c r="J10" s="72"/>
    </row>
    <row r="11" spans="1:10" s="68" customFormat="1" ht="17.25" customHeight="1" x14ac:dyDescent="0.25">
      <c r="A11" s="69"/>
      <c r="B11" s="564"/>
      <c r="C11" s="61" t="s">
        <v>31</v>
      </c>
      <c r="D11" s="62" t="s">
        <v>153</v>
      </c>
      <c r="E11" s="241">
        <v>450000</v>
      </c>
      <c r="F11" s="241">
        <v>350000</v>
      </c>
      <c r="G11" s="241"/>
      <c r="H11" s="241">
        <v>100000</v>
      </c>
      <c r="I11" s="396">
        <v>3</v>
      </c>
      <c r="J11" s="72"/>
    </row>
    <row r="12" spans="1:10" s="68" customFormat="1" ht="17.25" customHeight="1" x14ac:dyDescent="0.25">
      <c r="A12" s="60"/>
      <c r="B12" s="562" t="s">
        <v>24</v>
      </c>
      <c r="C12" s="61" t="s">
        <v>32</v>
      </c>
      <c r="D12" s="62" t="s">
        <v>148</v>
      </c>
      <c r="E12" s="241">
        <v>500000</v>
      </c>
      <c r="F12" s="241">
        <v>500000</v>
      </c>
      <c r="G12" s="241"/>
      <c r="H12" s="241"/>
      <c r="I12" s="396">
        <v>3</v>
      </c>
    </row>
    <row r="13" spans="1:10" s="68" customFormat="1" ht="17.25" customHeight="1" x14ac:dyDescent="0.25">
      <c r="A13" s="60"/>
      <c r="B13" s="563"/>
      <c r="C13" s="61" t="s">
        <v>33</v>
      </c>
      <c r="D13" s="62" t="s">
        <v>149</v>
      </c>
      <c r="E13" s="241">
        <v>500000</v>
      </c>
      <c r="F13" s="241">
        <v>500000</v>
      </c>
      <c r="G13" s="241"/>
      <c r="H13" s="241"/>
      <c r="I13" s="396">
        <v>3</v>
      </c>
    </row>
    <row r="14" spans="1:10" s="68" customFormat="1" ht="17.25" customHeight="1" x14ac:dyDescent="0.25">
      <c r="A14" s="60"/>
      <c r="B14" s="563"/>
      <c r="C14" s="61" t="s">
        <v>34</v>
      </c>
      <c r="D14" s="62" t="s">
        <v>150</v>
      </c>
      <c r="E14" s="241">
        <v>500000</v>
      </c>
      <c r="F14" s="241">
        <v>500000</v>
      </c>
      <c r="G14" s="241"/>
      <c r="H14" s="241"/>
      <c r="I14" s="396">
        <v>3</v>
      </c>
    </row>
    <row r="15" spans="1:10" s="68" customFormat="1" ht="17.25" customHeight="1" x14ac:dyDescent="0.25">
      <c r="A15" s="60"/>
      <c r="B15" s="563"/>
      <c r="C15" s="61" t="s">
        <v>35</v>
      </c>
      <c r="D15" s="62" t="s">
        <v>128</v>
      </c>
      <c r="E15" s="241">
        <v>5270000</v>
      </c>
      <c r="F15" s="241">
        <v>3170000</v>
      </c>
      <c r="G15" s="241">
        <v>2100000</v>
      </c>
      <c r="H15" s="241"/>
      <c r="I15" s="396">
        <v>571</v>
      </c>
    </row>
    <row r="16" spans="1:10" s="79" customFormat="1" ht="17.25" customHeight="1" x14ac:dyDescent="0.25">
      <c r="A16" s="80"/>
      <c r="B16" s="563"/>
      <c r="C16" s="152"/>
      <c r="D16" s="82" t="s">
        <v>122</v>
      </c>
      <c r="E16" s="83">
        <v>1170000</v>
      </c>
      <c r="F16" s="83">
        <v>1170000</v>
      </c>
      <c r="G16" s="83"/>
      <c r="H16" s="83"/>
      <c r="I16" s="252">
        <v>131</v>
      </c>
    </row>
    <row r="17" spans="1:15" s="79" customFormat="1" ht="17.25" customHeight="1" x14ac:dyDescent="0.25">
      <c r="A17" s="80"/>
      <c r="B17" s="563"/>
      <c r="C17" s="152"/>
      <c r="D17" s="82" t="s">
        <v>131</v>
      </c>
      <c r="E17" s="83">
        <v>2100000</v>
      </c>
      <c r="F17" s="83"/>
      <c r="G17" s="83">
        <v>2100000</v>
      </c>
      <c r="H17" s="83"/>
      <c r="I17" s="252">
        <v>218</v>
      </c>
    </row>
    <row r="18" spans="1:15" s="79" customFormat="1" ht="17.25" customHeight="1" x14ac:dyDescent="0.25">
      <c r="A18" s="80"/>
      <c r="B18" s="563"/>
      <c r="C18" s="152"/>
      <c r="D18" s="82" t="s">
        <v>124</v>
      </c>
      <c r="E18" s="83">
        <v>1000000</v>
      </c>
      <c r="F18" s="83">
        <v>1000000</v>
      </c>
      <c r="G18" s="83"/>
      <c r="H18" s="83"/>
      <c r="I18" s="252">
        <v>126</v>
      </c>
      <c r="K18" s="56"/>
      <c r="L18" s="56"/>
      <c r="M18" s="56"/>
      <c r="N18" s="56"/>
      <c r="O18" s="56"/>
    </row>
    <row r="19" spans="1:15" s="79" customFormat="1" ht="17.25" customHeight="1" x14ac:dyDescent="0.25">
      <c r="A19" s="80"/>
      <c r="B19" s="563"/>
      <c r="C19" s="152"/>
      <c r="D19" s="82" t="s">
        <v>125</v>
      </c>
      <c r="E19" s="83">
        <v>1000000</v>
      </c>
      <c r="F19" s="83">
        <v>1000000</v>
      </c>
      <c r="G19" s="83"/>
      <c r="H19" s="83"/>
      <c r="I19" s="252">
        <v>96</v>
      </c>
      <c r="K19" s="56"/>
      <c r="L19" s="56"/>
      <c r="M19" s="56"/>
      <c r="N19" s="56"/>
      <c r="O19" s="56"/>
    </row>
    <row r="20" spans="1:15" s="68" customFormat="1" ht="17.25" customHeight="1" x14ac:dyDescent="0.25">
      <c r="A20" s="69"/>
      <c r="B20" s="563"/>
      <c r="C20" s="61" t="s">
        <v>36</v>
      </c>
      <c r="D20" s="62" t="s">
        <v>127</v>
      </c>
      <c r="E20" s="241">
        <v>19680000</v>
      </c>
      <c r="F20" s="241">
        <v>19430000</v>
      </c>
      <c r="G20" s="241"/>
      <c r="H20" s="241">
        <v>250000</v>
      </c>
      <c r="I20" s="396">
        <v>7</v>
      </c>
      <c r="J20" s="72"/>
      <c r="K20" s="56"/>
      <c r="L20" s="56"/>
      <c r="M20" s="56"/>
      <c r="N20" s="56"/>
      <c r="O20" s="56"/>
    </row>
    <row r="21" spans="1:15" s="79" customFormat="1" ht="17.25" customHeight="1" x14ac:dyDescent="0.25">
      <c r="A21" s="80"/>
      <c r="B21" s="563"/>
      <c r="C21" s="77"/>
      <c r="D21" s="82" t="s">
        <v>122</v>
      </c>
      <c r="E21" s="83">
        <v>3050000</v>
      </c>
      <c r="F21" s="83">
        <v>3000000</v>
      </c>
      <c r="G21" s="83"/>
      <c r="H21" s="83">
        <v>50000</v>
      </c>
      <c r="I21" s="252">
        <v>1</v>
      </c>
      <c r="J21" s="81"/>
      <c r="K21" s="56"/>
      <c r="L21" s="56"/>
      <c r="M21" s="56"/>
      <c r="N21" s="56"/>
      <c r="O21" s="56"/>
    </row>
    <row r="22" spans="1:15" s="79" customFormat="1" ht="17.25" customHeight="1" x14ac:dyDescent="0.25">
      <c r="A22" s="80"/>
      <c r="B22" s="563"/>
      <c r="C22" s="77"/>
      <c r="D22" s="82" t="s">
        <v>123</v>
      </c>
      <c r="E22" s="83">
        <v>9050000</v>
      </c>
      <c r="F22" s="83">
        <v>9000000</v>
      </c>
      <c r="G22" s="83"/>
      <c r="H22" s="83">
        <v>50000</v>
      </c>
      <c r="I22" s="252">
        <v>3</v>
      </c>
      <c r="J22" s="81"/>
      <c r="K22" s="56"/>
      <c r="L22" s="56"/>
      <c r="M22" s="56"/>
      <c r="N22" s="56"/>
      <c r="O22" s="56"/>
    </row>
    <row r="23" spans="1:15" s="79" customFormat="1" ht="17.25" customHeight="1" x14ac:dyDescent="0.25">
      <c r="A23" s="80"/>
      <c r="B23" s="563"/>
      <c r="C23" s="77"/>
      <c r="D23" s="82" t="s">
        <v>124</v>
      </c>
      <c r="E23" s="83">
        <v>3050000</v>
      </c>
      <c r="F23" s="83">
        <v>3000000</v>
      </c>
      <c r="G23" s="83"/>
      <c r="H23" s="83">
        <v>50000</v>
      </c>
      <c r="I23" s="252">
        <v>1</v>
      </c>
      <c r="J23" s="81"/>
      <c r="K23" s="56"/>
      <c r="L23" s="56"/>
      <c r="M23" s="56"/>
      <c r="N23" s="56"/>
      <c r="O23" s="56"/>
    </row>
    <row r="24" spans="1:15" s="79" customFormat="1" ht="17.25" customHeight="1" x14ac:dyDescent="0.25">
      <c r="A24" s="80"/>
      <c r="B24" s="563"/>
      <c r="C24" s="77"/>
      <c r="D24" s="82" t="s">
        <v>125</v>
      </c>
      <c r="E24" s="83">
        <v>3700000</v>
      </c>
      <c r="F24" s="83">
        <v>3650000</v>
      </c>
      <c r="G24" s="83"/>
      <c r="H24" s="83">
        <v>50000</v>
      </c>
      <c r="I24" s="252">
        <v>1</v>
      </c>
      <c r="J24" s="81"/>
      <c r="K24" s="56"/>
      <c r="L24" s="56"/>
      <c r="M24" s="56"/>
      <c r="N24" s="56"/>
      <c r="O24" s="56"/>
    </row>
    <row r="25" spans="1:15" s="79" customFormat="1" ht="17.25" customHeight="1" x14ac:dyDescent="0.25">
      <c r="A25" s="80"/>
      <c r="B25" s="564"/>
      <c r="C25" s="77"/>
      <c r="D25" s="82" t="s">
        <v>152</v>
      </c>
      <c r="E25" s="83">
        <v>830000</v>
      </c>
      <c r="F25" s="83">
        <v>780000</v>
      </c>
      <c r="G25" s="83"/>
      <c r="H25" s="83">
        <v>50000</v>
      </c>
      <c r="I25" s="252">
        <v>1</v>
      </c>
      <c r="J25" s="81"/>
      <c r="K25" s="56"/>
      <c r="L25" s="56"/>
      <c r="M25" s="56"/>
      <c r="N25" s="56"/>
      <c r="O25" s="56"/>
    </row>
    <row r="26" spans="1:15" s="25" customFormat="1" ht="17.25" customHeight="1" x14ac:dyDescent="0.25">
      <c r="A26" s="15"/>
      <c r="B26" s="61" t="s">
        <v>129</v>
      </c>
      <c r="C26" s="61" t="s">
        <v>37</v>
      </c>
      <c r="D26" s="62" t="s">
        <v>130</v>
      </c>
      <c r="E26" s="241">
        <v>10500000</v>
      </c>
      <c r="F26" s="241">
        <v>10000000</v>
      </c>
      <c r="G26" s="241"/>
      <c r="H26" s="397">
        <v>500000</v>
      </c>
      <c r="I26" s="396">
        <v>1</v>
      </c>
      <c r="K26" s="56"/>
      <c r="L26" s="56"/>
      <c r="M26" s="56"/>
      <c r="N26" s="56"/>
      <c r="O26" s="56"/>
    </row>
    <row r="27" spans="1:15" ht="17.25" customHeight="1" x14ac:dyDescent="0.25">
      <c r="A27" s="13"/>
      <c r="B27" s="62" t="s">
        <v>40</v>
      </c>
      <c r="C27" s="61" t="s">
        <v>156</v>
      </c>
      <c r="D27" s="62" t="s">
        <v>40</v>
      </c>
      <c r="E27" s="241">
        <v>4350000</v>
      </c>
      <c r="F27" s="241">
        <v>4200000</v>
      </c>
      <c r="G27" s="241"/>
      <c r="H27" s="397">
        <v>150000</v>
      </c>
      <c r="I27" s="396"/>
      <c r="J27" s="25"/>
    </row>
    <row r="28" spans="1:15" ht="17.25" customHeight="1" x14ac:dyDescent="0.25">
      <c r="A28" s="13"/>
      <c r="B28" s="62" t="s">
        <v>10</v>
      </c>
      <c r="C28" s="61" t="s">
        <v>157</v>
      </c>
      <c r="D28" s="62" t="s">
        <v>10</v>
      </c>
      <c r="E28" s="241">
        <v>300000</v>
      </c>
      <c r="F28" s="241">
        <v>300000</v>
      </c>
      <c r="G28" s="241"/>
      <c r="H28" s="397"/>
      <c r="I28" s="396"/>
      <c r="J28" s="25"/>
    </row>
    <row r="29" spans="1:15" ht="17.25" customHeight="1" x14ac:dyDescent="0.25">
      <c r="A29" s="13"/>
      <c r="B29" s="62" t="s">
        <v>41</v>
      </c>
      <c r="C29" s="61" t="s">
        <v>158</v>
      </c>
      <c r="D29" s="62" t="s">
        <v>41</v>
      </c>
      <c r="E29" s="241">
        <v>600000</v>
      </c>
      <c r="F29" s="241">
        <v>600000</v>
      </c>
      <c r="G29" s="241"/>
      <c r="H29" s="397"/>
      <c r="I29" s="396"/>
      <c r="J29" s="25"/>
    </row>
    <row r="30" spans="1:15" ht="17.25" customHeight="1" x14ac:dyDescent="0.25">
      <c r="A30" s="13"/>
      <c r="B30" s="62" t="s">
        <v>21</v>
      </c>
      <c r="C30" s="61" t="s">
        <v>159</v>
      </c>
      <c r="D30" s="62" t="s">
        <v>21</v>
      </c>
      <c r="E30" s="241">
        <v>500000</v>
      </c>
      <c r="F30" s="241">
        <v>500000</v>
      </c>
      <c r="G30" s="241"/>
      <c r="H30" s="397"/>
      <c r="I30" s="396"/>
      <c r="J30" s="25"/>
    </row>
    <row r="31" spans="1:15" ht="17.25" customHeight="1" x14ac:dyDescent="0.25">
      <c r="A31" s="13"/>
      <c r="B31" s="62"/>
      <c r="C31" s="61" t="s">
        <v>20</v>
      </c>
      <c r="D31" s="62" t="s">
        <v>20</v>
      </c>
      <c r="E31" s="241">
        <v>48000000</v>
      </c>
      <c r="F31" s="241">
        <v>42000000</v>
      </c>
      <c r="G31" s="241">
        <v>4500000</v>
      </c>
      <c r="H31" s="241">
        <v>1500000</v>
      </c>
      <c r="I31" s="396"/>
      <c r="J31" s="25"/>
    </row>
    <row r="32" spans="1:15" ht="17.25" customHeight="1" x14ac:dyDescent="0.25">
      <c r="B32" s="85"/>
      <c r="C32" s="85"/>
      <c r="D32" s="85"/>
      <c r="E32" s="85"/>
      <c r="F32" s="85"/>
      <c r="G32" s="85"/>
      <c r="H32" s="85"/>
    </row>
    <row r="33" spans="1:21" ht="17.25" customHeight="1" x14ac:dyDescent="0.25">
      <c r="C33" s="85"/>
      <c r="D33" s="398"/>
      <c r="E33" s="399" t="s">
        <v>20</v>
      </c>
      <c r="F33" s="399" t="s">
        <v>136</v>
      </c>
      <c r="G33" s="399" t="s">
        <v>135</v>
      </c>
      <c r="H33" s="399" t="s">
        <v>139</v>
      </c>
    </row>
    <row r="34" spans="1:21" ht="17.25" customHeight="1" x14ac:dyDescent="0.25">
      <c r="C34" s="274"/>
      <c r="D34" s="400" t="s">
        <v>23</v>
      </c>
      <c r="E34" s="401">
        <v>5300000</v>
      </c>
      <c r="F34" s="401">
        <v>2300000</v>
      </c>
      <c r="G34" s="401">
        <v>2400000</v>
      </c>
      <c r="H34" s="401">
        <v>600000</v>
      </c>
    </row>
    <row r="35" spans="1:21" ht="17.25" customHeight="1" x14ac:dyDescent="0.25">
      <c r="C35" s="85"/>
      <c r="D35" s="402" t="s">
        <v>24</v>
      </c>
      <c r="E35" s="403">
        <v>26450000</v>
      </c>
      <c r="F35" s="403">
        <v>24100000</v>
      </c>
      <c r="G35" s="403">
        <v>2100000</v>
      </c>
      <c r="H35" s="403">
        <v>250000</v>
      </c>
    </row>
    <row r="36" spans="1:21" ht="17.25" customHeight="1" x14ac:dyDescent="0.25">
      <c r="C36" s="85"/>
      <c r="D36" s="400" t="s">
        <v>129</v>
      </c>
      <c r="E36" s="401">
        <v>10500000</v>
      </c>
      <c r="F36" s="401">
        <v>10000000</v>
      </c>
      <c r="G36" s="401">
        <v>0</v>
      </c>
      <c r="H36" s="401">
        <v>500000</v>
      </c>
    </row>
    <row r="37" spans="1:21" ht="17.25" customHeight="1" x14ac:dyDescent="0.25">
      <c r="C37" s="85"/>
      <c r="D37" s="402" t="s">
        <v>40</v>
      </c>
      <c r="E37" s="403">
        <v>4350000</v>
      </c>
      <c r="F37" s="403">
        <v>4200000</v>
      </c>
      <c r="G37" s="403">
        <v>0</v>
      </c>
      <c r="H37" s="403">
        <v>150000</v>
      </c>
    </row>
    <row r="38" spans="1:21" ht="17.25" customHeight="1" x14ac:dyDescent="0.25">
      <c r="C38" s="85"/>
      <c r="D38" s="400" t="s">
        <v>10</v>
      </c>
      <c r="E38" s="401">
        <v>300000</v>
      </c>
      <c r="F38" s="401">
        <v>300000</v>
      </c>
      <c r="G38" s="401">
        <v>0</v>
      </c>
      <c r="H38" s="401">
        <v>0</v>
      </c>
    </row>
    <row r="39" spans="1:21" ht="17.25" customHeight="1" x14ac:dyDescent="0.25">
      <c r="C39" s="85"/>
      <c r="D39" s="402" t="s">
        <v>41</v>
      </c>
      <c r="E39" s="403">
        <v>600000</v>
      </c>
      <c r="F39" s="403">
        <v>600000</v>
      </c>
      <c r="G39" s="403">
        <v>0</v>
      </c>
      <c r="H39" s="403">
        <v>0</v>
      </c>
    </row>
    <row r="40" spans="1:21" ht="17.25" customHeight="1" x14ac:dyDescent="0.25">
      <c r="C40" s="85"/>
      <c r="D40" s="400" t="s">
        <v>21</v>
      </c>
      <c r="E40" s="401">
        <v>500000</v>
      </c>
      <c r="F40" s="401">
        <v>500000</v>
      </c>
      <c r="G40" s="401">
        <v>0</v>
      </c>
      <c r="H40" s="401">
        <v>0</v>
      </c>
      <c r="L40" s="25"/>
      <c r="M40" s="25"/>
    </row>
    <row r="41" spans="1:21" ht="17.25" customHeight="1" x14ac:dyDescent="0.25">
      <c r="C41" s="85"/>
      <c r="D41" s="402" t="s">
        <v>20</v>
      </c>
      <c r="E41" s="404">
        <v>48000000</v>
      </c>
      <c r="F41" s="404">
        <v>42000000</v>
      </c>
      <c r="G41" s="404">
        <v>4500000</v>
      </c>
      <c r="H41" s="404">
        <v>1500000</v>
      </c>
      <c r="L41" s="25"/>
      <c r="M41" s="25"/>
    </row>
    <row r="42" spans="1:21" ht="17.25" customHeight="1" x14ac:dyDescent="0.25">
      <c r="C42" s="85"/>
      <c r="F42" s="264"/>
      <c r="G42" s="264"/>
      <c r="H42" s="85"/>
      <c r="L42" s="25"/>
      <c r="M42" s="25"/>
    </row>
    <row r="43" spans="1:21" ht="17.25" customHeight="1" x14ac:dyDescent="0.25">
      <c r="L43" s="25"/>
      <c r="M43" s="25"/>
    </row>
    <row r="44" spans="1:21" s="25" customFormat="1" ht="17.25" customHeight="1" x14ac:dyDescent="0.25">
      <c r="A44" s="56"/>
      <c r="B44" s="56"/>
      <c r="C44" s="56"/>
      <c r="D44" s="56"/>
      <c r="E44" s="56"/>
      <c r="H44" s="56"/>
      <c r="I44" s="56"/>
      <c r="J44" s="56"/>
      <c r="K44" s="398"/>
      <c r="L44" s="399" t="s">
        <v>20</v>
      </c>
      <c r="M44" s="399" t="s">
        <v>136</v>
      </c>
      <c r="N44" s="399" t="s">
        <v>135</v>
      </c>
      <c r="O44" s="56"/>
      <c r="P44" s="56"/>
      <c r="Q44" s="56"/>
      <c r="R44" s="56"/>
      <c r="S44" s="56"/>
      <c r="T44" s="56"/>
      <c r="U44" s="409"/>
    </row>
    <row r="45" spans="1:21" s="25" customFormat="1" ht="17.25" customHeight="1" x14ac:dyDescent="0.25">
      <c r="A45" s="56"/>
      <c r="B45" s="56"/>
      <c r="C45" s="56"/>
      <c r="D45" s="394" t="s">
        <v>249</v>
      </c>
      <c r="E45" s="361">
        <v>5270000</v>
      </c>
      <c r="H45" s="56"/>
      <c r="I45" s="56"/>
      <c r="J45" s="56"/>
      <c r="K45" s="400" t="s">
        <v>263</v>
      </c>
      <c r="L45" s="401">
        <v>5300000</v>
      </c>
      <c r="M45" s="401">
        <v>2300000</v>
      </c>
      <c r="N45" s="401">
        <v>2400000</v>
      </c>
      <c r="O45" s="56"/>
      <c r="P45" s="56"/>
      <c r="Q45" s="56"/>
      <c r="R45" s="56"/>
      <c r="S45" s="56"/>
      <c r="T45" s="56"/>
      <c r="U45" s="409"/>
    </row>
    <row r="46" spans="1:21" s="25" customFormat="1" ht="17.25" customHeight="1" x14ac:dyDescent="0.25">
      <c r="A46" s="56"/>
      <c r="B46" s="56"/>
      <c r="C46" s="56"/>
      <c r="D46" s="30" t="s">
        <v>8</v>
      </c>
      <c r="E46" s="227">
        <v>527000</v>
      </c>
      <c r="H46" s="56"/>
      <c r="I46" s="56"/>
      <c r="J46" s="56"/>
      <c r="K46" s="402" t="s">
        <v>265</v>
      </c>
      <c r="L46" s="403">
        <v>26450000</v>
      </c>
      <c r="M46" s="403">
        <v>24100000</v>
      </c>
      <c r="N46" s="403">
        <v>2100000</v>
      </c>
      <c r="O46" s="56"/>
      <c r="P46" s="56"/>
      <c r="Q46" s="56"/>
      <c r="R46" s="56"/>
      <c r="S46" s="56"/>
      <c r="T46" s="56"/>
      <c r="U46" s="409"/>
    </row>
    <row r="47" spans="1:21" s="25" customFormat="1" ht="17.25" customHeight="1" x14ac:dyDescent="0.25">
      <c r="A47" s="56"/>
      <c r="B47" s="56"/>
      <c r="C47" s="56"/>
      <c r="D47" s="393" t="s">
        <v>248</v>
      </c>
      <c r="E47" s="227">
        <v>4743000</v>
      </c>
      <c r="H47" s="56"/>
      <c r="I47" s="56"/>
      <c r="J47" s="56"/>
      <c r="K47" s="400" t="s">
        <v>264</v>
      </c>
      <c r="L47" s="401">
        <v>10500000</v>
      </c>
      <c r="M47" s="401">
        <v>10000000</v>
      </c>
      <c r="N47" s="401">
        <v>0</v>
      </c>
      <c r="O47" s="56"/>
      <c r="P47" s="56"/>
      <c r="Q47" s="56"/>
      <c r="R47" s="56"/>
      <c r="S47" s="56"/>
      <c r="T47" s="56"/>
      <c r="U47" s="409"/>
    </row>
    <row r="48" spans="1:21" s="25" customFormat="1" ht="17.25" customHeight="1" x14ac:dyDescent="0.25">
      <c r="A48" s="56"/>
      <c r="B48" s="56"/>
      <c r="C48" s="56"/>
      <c r="D48" s="394" t="s">
        <v>250</v>
      </c>
      <c r="E48" s="361">
        <v>19430000</v>
      </c>
      <c r="H48" s="56"/>
      <c r="I48" s="56"/>
      <c r="J48" s="56"/>
      <c r="K48" s="402" t="s">
        <v>40</v>
      </c>
      <c r="L48" s="403">
        <v>4350000</v>
      </c>
      <c r="M48" s="403">
        <v>4200000</v>
      </c>
      <c r="N48" s="403">
        <v>0</v>
      </c>
      <c r="O48" s="56"/>
      <c r="P48" s="56"/>
      <c r="Q48" s="56"/>
      <c r="R48" s="56"/>
      <c r="S48" s="56"/>
      <c r="T48" s="56"/>
      <c r="U48" s="409"/>
    </row>
    <row r="49" spans="1:24" s="25" customFormat="1" ht="17.25" customHeight="1" x14ac:dyDescent="0.25">
      <c r="A49" s="56"/>
      <c r="B49" s="56"/>
      <c r="C49" s="56"/>
      <c r="D49" s="30" t="s">
        <v>8</v>
      </c>
      <c r="E49" s="227">
        <v>1943000</v>
      </c>
      <c r="H49" s="56"/>
      <c r="I49" s="56"/>
      <c r="J49" s="56"/>
      <c r="K49" s="400" t="s">
        <v>10</v>
      </c>
      <c r="L49" s="401">
        <v>300000</v>
      </c>
      <c r="M49" s="401">
        <v>300000</v>
      </c>
      <c r="N49" s="401">
        <v>0</v>
      </c>
      <c r="O49" s="56"/>
      <c r="P49" s="56"/>
      <c r="Q49" s="56"/>
      <c r="R49" s="56"/>
      <c r="S49" s="56"/>
      <c r="T49" s="56"/>
      <c r="U49" s="409"/>
    </row>
    <row r="50" spans="1:24" s="25" customFormat="1" ht="17.25" customHeight="1" x14ac:dyDescent="0.25">
      <c r="A50" s="56"/>
      <c r="B50" s="56"/>
      <c r="C50" s="56"/>
      <c r="D50" s="393" t="s">
        <v>248</v>
      </c>
      <c r="E50" s="227">
        <v>17487000</v>
      </c>
      <c r="H50" s="56"/>
      <c r="I50" s="56"/>
      <c r="J50" s="56"/>
      <c r="K50" s="402" t="s">
        <v>41</v>
      </c>
      <c r="L50" s="403">
        <v>600000</v>
      </c>
      <c r="M50" s="403">
        <v>600000</v>
      </c>
      <c r="N50" s="403">
        <v>0</v>
      </c>
      <c r="O50" s="56"/>
      <c r="P50" s="56"/>
      <c r="Q50" s="56"/>
      <c r="R50" s="56"/>
      <c r="S50" s="56"/>
      <c r="T50" s="56"/>
      <c r="U50" s="409"/>
    </row>
    <row r="51" spans="1:24" s="25" customFormat="1" ht="17.25" customHeight="1" x14ac:dyDescent="0.25">
      <c r="A51" s="56"/>
      <c r="B51" s="56"/>
      <c r="C51" s="56"/>
      <c r="D51" s="56"/>
      <c r="E51" s="56"/>
      <c r="H51" s="56"/>
      <c r="I51" s="56"/>
      <c r="J51" s="56"/>
      <c r="K51" s="400" t="s">
        <v>21</v>
      </c>
      <c r="L51" s="401">
        <v>500000</v>
      </c>
      <c r="M51" s="401">
        <v>500000</v>
      </c>
      <c r="N51" s="401">
        <v>0</v>
      </c>
      <c r="O51" s="56"/>
      <c r="P51" s="56"/>
      <c r="Q51" s="56"/>
      <c r="R51" s="56"/>
      <c r="S51" s="56"/>
      <c r="T51" s="56"/>
      <c r="U51" s="409"/>
    </row>
    <row r="52" spans="1:24" s="25" customFormat="1" ht="17.25" customHeight="1" x14ac:dyDescent="0.25">
      <c r="A52" s="56"/>
      <c r="B52" s="56"/>
      <c r="C52" s="56"/>
      <c r="D52" s="56"/>
      <c r="E52" s="56"/>
      <c r="H52" s="56"/>
      <c r="I52" s="56"/>
      <c r="J52" s="56"/>
      <c r="K52" s="402" t="s">
        <v>20</v>
      </c>
      <c r="L52" s="404">
        <v>48000000</v>
      </c>
      <c r="M52" s="404">
        <v>42000000</v>
      </c>
      <c r="N52" s="404">
        <v>4500000</v>
      </c>
      <c r="O52" s="56"/>
      <c r="P52" s="56"/>
      <c r="Q52" s="56"/>
      <c r="R52" s="56"/>
      <c r="S52" s="56"/>
      <c r="T52" s="56"/>
      <c r="U52" s="409"/>
    </row>
    <row r="53" spans="1:24" s="25" customFormat="1" ht="17.25" customHeight="1" x14ac:dyDescent="0.25">
      <c r="A53" s="56"/>
      <c r="B53" s="56"/>
      <c r="C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409"/>
    </row>
    <row r="54" spans="1:24" s="25" customFormat="1" ht="15" x14ac:dyDescent="0.25">
      <c r="A54" s="56"/>
      <c r="B54" s="56"/>
      <c r="C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243" t="s">
        <v>3</v>
      </c>
      <c r="U54" s="243"/>
      <c r="V54" s="224" t="s">
        <v>9</v>
      </c>
      <c r="W54" s="224" t="s">
        <v>20</v>
      </c>
      <c r="X54" s="224" t="s">
        <v>20</v>
      </c>
    </row>
    <row r="55" spans="1:24" s="25" customFormat="1" ht="15" x14ac:dyDescent="0.25">
      <c r="A55" s="56"/>
      <c r="B55" s="56"/>
      <c r="C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405" t="s">
        <v>23</v>
      </c>
      <c r="U55" s="410">
        <v>1</v>
      </c>
      <c r="V55" s="411" t="s">
        <v>141</v>
      </c>
      <c r="W55" s="412">
        <v>800000</v>
      </c>
      <c r="X55" s="413">
        <v>4</v>
      </c>
    </row>
    <row r="56" spans="1:24" s="25" customFormat="1" ht="30" x14ac:dyDescent="0.25">
      <c r="A56" s="56"/>
      <c r="B56" s="56"/>
      <c r="C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406"/>
      <c r="U56" s="414">
        <v>2</v>
      </c>
      <c r="V56" s="415" t="s">
        <v>142</v>
      </c>
      <c r="W56" s="416">
        <v>300000</v>
      </c>
      <c r="X56" s="417">
        <v>1</v>
      </c>
    </row>
    <row r="57" spans="1:24" s="25" customFormat="1" ht="30" x14ac:dyDescent="0.25">
      <c r="A57" s="56"/>
      <c r="B57" s="56"/>
      <c r="C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406"/>
      <c r="U57" s="410">
        <v>3</v>
      </c>
      <c r="V57" s="422" t="s">
        <v>132</v>
      </c>
      <c r="W57" s="412">
        <v>3250000</v>
      </c>
      <c r="X57" s="410">
        <v>2</v>
      </c>
    </row>
    <row r="58" spans="1:24" s="25" customFormat="1" ht="15" x14ac:dyDescent="0.25">
      <c r="A58" s="56"/>
      <c r="B58" s="56"/>
      <c r="C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406"/>
      <c r="U58" s="418"/>
      <c r="V58" s="421" t="s">
        <v>137</v>
      </c>
      <c r="W58" s="419">
        <v>2500000</v>
      </c>
      <c r="X58" s="420">
        <v>1</v>
      </c>
    </row>
    <row r="59" spans="1:24" ht="15" x14ac:dyDescent="0.25">
      <c r="T59" s="406"/>
      <c r="U59" s="418"/>
      <c r="V59" s="421" t="s">
        <v>138</v>
      </c>
      <c r="W59" s="419">
        <v>750000</v>
      </c>
      <c r="X59" s="420">
        <v>1</v>
      </c>
    </row>
    <row r="60" spans="1:24" ht="30" x14ac:dyDescent="0.25">
      <c r="T60" s="406"/>
      <c r="U60" s="410">
        <v>4</v>
      </c>
      <c r="V60" s="411" t="s">
        <v>144</v>
      </c>
      <c r="W60" s="412">
        <v>300000</v>
      </c>
      <c r="X60" s="413">
        <v>1</v>
      </c>
    </row>
    <row r="61" spans="1:24" ht="30" x14ac:dyDescent="0.25">
      <c r="T61" s="406"/>
      <c r="U61" s="414">
        <v>5</v>
      </c>
      <c r="V61" s="415" t="s">
        <v>145</v>
      </c>
      <c r="W61" s="416">
        <v>50000</v>
      </c>
      <c r="X61" s="417">
        <v>1</v>
      </c>
    </row>
    <row r="62" spans="1:24" ht="30" x14ac:dyDescent="0.25">
      <c r="T62" s="406"/>
      <c r="U62" s="410">
        <v>6</v>
      </c>
      <c r="V62" s="411" t="s">
        <v>216</v>
      </c>
      <c r="W62" s="412">
        <v>150000</v>
      </c>
      <c r="X62" s="413">
        <v>1</v>
      </c>
    </row>
    <row r="63" spans="1:24" ht="15" x14ac:dyDescent="0.25">
      <c r="T63" s="407"/>
      <c r="U63" s="414">
        <v>7</v>
      </c>
      <c r="V63" s="415" t="s">
        <v>153</v>
      </c>
      <c r="W63" s="416">
        <v>450000</v>
      </c>
      <c r="X63" s="417">
        <v>3</v>
      </c>
    </row>
    <row r="64" spans="1:24" ht="15" x14ac:dyDescent="0.25">
      <c r="T64" s="405" t="s">
        <v>24</v>
      </c>
      <c r="U64" s="410">
        <v>8</v>
      </c>
      <c r="V64" s="411" t="s">
        <v>148</v>
      </c>
      <c r="W64" s="412">
        <v>500000</v>
      </c>
      <c r="X64" s="413">
        <v>3</v>
      </c>
    </row>
    <row r="65" spans="20:24" ht="15" x14ac:dyDescent="0.25">
      <c r="T65" s="406"/>
      <c r="U65" s="414">
        <v>9</v>
      </c>
      <c r="V65" s="415" t="s">
        <v>149</v>
      </c>
      <c r="W65" s="416">
        <v>500000</v>
      </c>
      <c r="X65" s="417">
        <v>3</v>
      </c>
    </row>
    <row r="66" spans="20:24" ht="15" x14ac:dyDescent="0.25">
      <c r="T66" s="406"/>
      <c r="U66" s="410">
        <v>10</v>
      </c>
      <c r="V66" s="411" t="s">
        <v>150</v>
      </c>
      <c r="W66" s="412">
        <v>500000</v>
      </c>
      <c r="X66" s="413">
        <v>3</v>
      </c>
    </row>
    <row r="67" spans="20:24" ht="15" x14ac:dyDescent="0.25">
      <c r="T67" s="406"/>
      <c r="U67" s="414">
        <v>11</v>
      </c>
      <c r="V67" s="415" t="s">
        <v>128</v>
      </c>
      <c r="W67" s="416">
        <v>5270000</v>
      </c>
      <c r="X67" s="417">
        <v>571</v>
      </c>
    </row>
    <row r="68" spans="20:24" ht="15" x14ac:dyDescent="0.25">
      <c r="T68" s="406"/>
      <c r="U68" s="410">
        <v>12</v>
      </c>
      <c r="V68" s="411" t="s">
        <v>127</v>
      </c>
      <c r="W68" s="412">
        <v>19680000</v>
      </c>
      <c r="X68" s="413">
        <v>7</v>
      </c>
    </row>
    <row r="69" spans="20:24" ht="30" x14ac:dyDescent="0.25">
      <c r="T69" s="408" t="s">
        <v>129</v>
      </c>
      <c r="U69" s="414">
        <v>13</v>
      </c>
      <c r="V69" s="415" t="s">
        <v>130</v>
      </c>
      <c r="W69" s="416">
        <v>10500000</v>
      </c>
      <c r="X69" s="417">
        <v>1</v>
      </c>
    </row>
    <row r="70" spans="20:24" ht="36.75" customHeight="1" x14ac:dyDescent="0.25"/>
  </sheetData>
  <mergeCells count="3">
    <mergeCell ref="F1:H1"/>
    <mergeCell ref="B3:B11"/>
    <mergeCell ref="B12:B25"/>
  </mergeCells>
  <pageMargins left="0.2" right="0.23" top="0.5" bottom="0.5" header="0.05" footer="0.05"/>
  <pageSetup scale="55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workbookViewId="0">
      <selection activeCell="D25" sqref="D25"/>
    </sheetView>
  </sheetViews>
  <sheetFormatPr defaultRowHeight="15" x14ac:dyDescent="0.25"/>
  <cols>
    <col min="2" max="2" width="50" bestFit="1" customWidth="1"/>
    <col min="3" max="3" width="9.140625" bestFit="1" customWidth="1"/>
    <col min="4" max="4" width="12.7109375" bestFit="1" customWidth="1"/>
  </cols>
  <sheetData>
    <row r="2" spans="2:4" x14ac:dyDescent="0.25">
      <c r="B2" s="557" t="s">
        <v>314</v>
      </c>
      <c r="C2" s="557"/>
      <c r="D2" s="557"/>
    </row>
    <row r="3" spans="2:4" x14ac:dyDescent="0.25">
      <c r="B3" s="565" t="s">
        <v>294</v>
      </c>
      <c r="C3" s="566"/>
      <c r="D3" s="567"/>
    </row>
    <row r="4" spans="2:4" x14ac:dyDescent="0.25">
      <c r="B4" s="72"/>
      <c r="C4" s="72"/>
      <c r="D4" s="72"/>
    </row>
    <row r="5" spans="2:4" x14ac:dyDescent="0.25">
      <c r="B5" s="470"/>
      <c r="C5" s="471" t="s">
        <v>295</v>
      </c>
      <c r="D5" s="472" t="s">
        <v>296</v>
      </c>
    </row>
    <row r="6" spans="2:4" x14ac:dyDescent="0.25">
      <c r="B6" s="473" t="s">
        <v>297</v>
      </c>
      <c r="C6" s="474" t="s">
        <v>298</v>
      </c>
      <c r="D6" s="475">
        <v>55000</v>
      </c>
    </row>
    <row r="7" spans="2:4" x14ac:dyDescent="0.25">
      <c r="B7" s="473" t="s">
        <v>299</v>
      </c>
      <c r="C7" s="474" t="s">
        <v>298</v>
      </c>
      <c r="D7" s="475">
        <v>35000</v>
      </c>
    </row>
    <row r="8" spans="2:4" x14ac:dyDescent="0.25">
      <c r="B8" s="473" t="s">
        <v>300</v>
      </c>
      <c r="C8" s="474" t="s">
        <v>301</v>
      </c>
      <c r="D8" s="475">
        <v>85000</v>
      </c>
    </row>
    <row r="9" spans="2:4" x14ac:dyDescent="0.25">
      <c r="B9" s="473" t="s">
        <v>302</v>
      </c>
      <c r="C9" s="474" t="s">
        <v>303</v>
      </c>
      <c r="D9" s="475">
        <v>55000</v>
      </c>
    </row>
    <row r="10" spans="2:4" x14ac:dyDescent="0.25">
      <c r="B10" s="473" t="s">
        <v>304</v>
      </c>
      <c r="C10" s="474" t="s">
        <v>303</v>
      </c>
      <c r="D10" s="475">
        <v>35000</v>
      </c>
    </row>
    <row r="11" spans="2:4" x14ac:dyDescent="0.25">
      <c r="B11" s="473" t="s">
        <v>305</v>
      </c>
      <c r="C11" s="474" t="s">
        <v>306</v>
      </c>
      <c r="D11" s="475">
        <v>30000</v>
      </c>
    </row>
    <row r="12" spans="2:4" x14ac:dyDescent="0.25">
      <c r="B12" s="473" t="s">
        <v>307</v>
      </c>
      <c r="C12" s="474" t="s">
        <v>308</v>
      </c>
      <c r="D12" s="475">
        <v>55000</v>
      </c>
    </row>
    <row r="13" spans="2:4" x14ac:dyDescent="0.25">
      <c r="B13" s="473" t="s">
        <v>309</v>
      </c>
      <c r="C13" s="474" t="s">
        <v>308</v>
      </c>
      <c r="D13" s="475">
        <v>50000</v>
      </c>
    </row>
    <row r="14" spans="2:4" x14ac:dyDescent="0.25">
      <c r="B14" s="473" t="s">
        <v>310</v>
      </c>
      <c r="C14" s="474" t="s">
        <v>311</v>
      </c>
      <c r="D14" s="475">
        <v>25000</v>
      </c>
    </row>
    <row r="15" spans="2:4" x14ac:dyDescent="0.25">
      <c r="B15" s="473" t="s">
        <v>312</v>
      </c>
      <c r="C15" s="474" t="s">
        <v>311</v>
      </c>
      <c r="D15" s="475">
        <v>100000</v>
      </c>
    </row>
    <row r="16" spans="2:4" ht="30" x14ac:dyDescent="0.25">
      <c r="B16" s="476" t="s">
        <v>313</v>
      </c>
      <c r="C16" s="474" t="s">
        <v>311</v>
      </c>
      <c r="D16" s="477">
        <v>75000</v>
      </c>
    </row>
    <row r="17" spans="2:4" ht="15.75" thickBot="1" x14ac:dyDescent="0.3">
      <c r="B17" s="478"/>
      <c r="C17" s="478"/>
      <c r="D17" s="479"/>
    </row>
    <row r="18" spans="2:4" ht="16.5" thickBot="1" x14ac:dyDescent="0.3">
      <c r="B18" s="480" t="s">
        <v>1</v>
      </c>
      <c r="C18" s="481"/>
      <c r="D18" s="482">
        <f>SUM(D6:D16)</f>
        <v>600000</v>
      </c>
    </row>
  </sheetData>
  <mergeCells count="2">
    <mergeCell ref="B3:D3"/>
    <mergeCell ref="B2:D2"/>
  </mergeCells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72F2E96E3517542825E8D7B994A84A4" ma:contentTypeVersion="0" ma:contentTypeDescription="A content type to manage public (operations) IDB documents" ma:contentTypeScope="" ma:versionID="3b9b1c9d5618dac3ffe5d0dc2912c1f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09c5b69cee1cd2827bb8c1849e9b8a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6c0645e-ed38-4b88-bd09-bd924f75b1ca}" ma:internalName="TaxCatchAll" ma:showField="CatchAllData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6c0645e-ed38-4b88-bd09-bd924f75b1ca}" ma:internalName="TaxCatchAllLabel" ma:readOnly="true" ma:showField="CatchAllDataLabel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INE/RND</Division_x0020_or_x0020_Unit>
    <Other_x0020_Author xmlns="9c571b2f-e523-4ab2-ba2e-09e151a03ef4" xsi:nil="true"/>
    <Region xmlns="9c571b2f-e523-4ab2-ba2e-09e151a03ef4" xsi:nil="true"/>
    <IDBDocs_x0020_Number xmlns="9c571b2f-e523-4ab2-ba2e-09e151a03ef4">39825725</IDBDocs_x0020_Number>
    <Document_x0020_Author xmlns="9c571b2f-e523-4ab2-ba2e-09e151a03ef4">Jacquet, Bruno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HA-L1097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AG-ADR</Webtopic>
    <Identifier xmlns="9c571b2f-e523-4ab2-ba2e-09e151a03ef4"> TECFILE</Identifier>
    <Publishing_x0020_House xmlns="9c571b2f-e523-4ab2-ba2e-09e151a03ef4" xsi:nil="true"/>
    <Document_x0020_Language_x0020_IDB xmlns="9c571b2f-e523-4ab2-ba2e-09e151a03ef4">French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FB5C9804-97FB-4A59-88BC-B919E4D6C2AE}"/>
</file>

<file path=customXml/itemProps2.xml><?xml version="1.0" encoding="utf-8"?>
<ds:datastoreItem xmlns:ds="http://schemas.openxmlformats.org/officeDocument/2006/customXml" ds:itemID="{1B4E7A41-20E2-4D69-BCAA-A6A2C70FDD5F}"/>
</file>

<file path=customXml/itemProps3.xml><?xml version="1.0" encoding="utf-8"?>
<ds:datastoreItem xmlns:ds="http://schemas.openxmlformats.org/officeDocument/2006/customXml" ds:itemID="{5EBF3184-C872-4C4E-A49E-E1D217B29F3D}"/>
</file>

<file path=customXml/itemProps4.xml><?xml version="1.0" encoding="utf-8"?>
<ds:datastoreItem xmlns:ds="http://schemas.openxmlformats.org/officeDocument/2006/customXml" ds:itemID="{D5C450F6-6464-4B4B-8E6E-4C109B0CC1CF}"/>
</file>

<file path=customXml/itemProps5.xml><?xml version="1.0" encoding="utf-8"?>
<ds:datastoreItem xmlns:ds="http://schemas.openxmlformats.org/officeDocument/2006/customXml" ds:itemID="{6356CCA7-0BF3-44A4-A5E9-A5D355BF7A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Impacts</vt:lpstr>
      <vt:lpstr>Résultats</vt:lpstr>
      <vt:lpstr>PEP</vt:lpstr>
      <vt:lpstr>POA</vt:lpstr>
      <vt:lpstr>PPM</vt:lpstr>
      <vt:lpstr>Detail ouvrages amont</vt:lpstr>
      <vt:lpstr>Detail SAP</vt:lpstr>
      <vt:lpstr>Budget</vt:lpstr>
      <vt:lpstr>Evaluation</vt:lpstr>
      <vt:lpstr>Gestion</vt:lpstr>
      <vt:lpstr>PPM!Print_Area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Pluriannual Execution Plan (PEP) (HA-L1097_HA-G1031) </dc:title>
  <dc:creator>Harri</dc:creator>
  <cp:lastModifiedBy>IADB</cp:lastModifiedBy>
  <cp:lastPrinted>2015-08-21T18:30:15Z</cp:lastPrinted>
  <dcterms:created xsi:type="dcterms:W3CDTF">2011-09-19T17:43:15Z</dcterms:created>
  <dcterms:modified xsi:type="dcterms:W3CDTF">2015-09-22T12:36:29Z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0x01010046CF21643EE8D14686A648AA6DAD089200D72F2E96E3517542825E8D7B994A84A4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