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rojas\Documents\ICS 2017\PROYECTOS\PR-L1153\POD\POD\POD y Anexos\POD y Anexos Finales\Documentos finales Post QRR\versiones no objecion\DLP para OPC\LP para Directorio\"/>
    </mc:Choice>
  </mc:AlternateContent>
  <xr:revisionPtr revIDLastSave="0" documentId="8_{2A9B07D6-2A77-4CB3-A404-2EF0423E4109}" xr6:coauthVersionLast="36" xr6:coauthVersionMax="36" xr10:uidLastSave="{00000000-0000-0000-0000-000000000000}"/>
  <bookViews>
    <workbookView xWindow="0" yWindow="0" windowWidth="14376" windowHeight="4356" activeTab="3" xr2:uid="{953765B8-B0BD-4697-BF13-77E1734F3B8F}"/>
  </bookViews>
  <sheets>
    <sheet name="Parametros" sheetId="1" r:id="rId1"/>
    <sheet name="Escenario Base" sheetId="2" r:id="rId2"/>
    <sheet name="Escenario conservador" sheetId="3" r:id="rId3"/>
    <sheet name="Escenario Optimista" sheetId="4" r:id="rId4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0" i="3" l="1"/>
  <c r="H20" i="3"/>
  <c r="Q6" i="1" l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5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30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5" i="1"/>
  <c r="D13" i="4"/>
  <c r="C13" i="4"/>
  <c r="B13" i="4"/>
  <c r="D13" i="3"/>
  <c r="C13" i="3"/>
  <c r="B13" i="3"/>
  <c r="M13" i="2"/>
  <c r="AO37" i="1"/>
  <c r="AP37" i="1"/>
  <c r="AQ37" i="1"/>
  <c r="AN37" i="1"/>
  <c r="AM37" i="1"/>
  <c r="Y31" i="1" l="1"/>
  <c r="AL36" i="1"/>
  <c r="AM36" i="1" s="1"/>
  <c r="AN36" i="1" s="1"/>
  <c r="AO36" i="1" s="1"/>
  <c r="AP36" i="1" s="1"/>
  <c r="AQ36" i="1" s="1"/>
  <c r="AK34" i="1"/>
  <c r="AL34" i="1" s="1"/>
  <c r="AM34" i="1" s="1"/>
  <c r="AN34" i="1" s="1"/>
  <c r="AO34" i="1" s="1"/>
  <c r="AP34" i="1" s="1"/>
  <c r="AQ34" i="1" s="1"/>
  <c r="AK33" i="1"/>
  <c r="AL33" i="1" s="1"/>
  <c r="AM33" i="1" s="1"/>
  <c r="AN33" i="1" s="1"/>
  <c r="AO33" i="1" s="1"/>
  <c r="AP33" i="1" s="1"/>
  <c r="AQ33" i="1" s="1"/>
  <c r="AJ40" i="1"/>
  <c r="AI40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V33" i="1"/>
  <c r="U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33" i="1"/>
  <c r="AH40" i="1" l="1"/>
  <c r="AL40" i="1"/>
  <c r="AK40" i="1"/>
  <c r="E13" i="2" l="1"/>
  <c r="E13" i="3"/>
  <c r="E13" i="4"/>
  <c r="F13" i="3"/>
  <c r="F13" i="2"/>
  <c r="F13" i="4"/>
  <c r="AM40" i="1"/>
  <c r="G13" i="2" l="1"/>
  <c r="G13" i="4"/>
  <c r="G13" i="3"/>
  <c r="AN40" i="1"/>
  <c r="H13" i="2" l="1"/>
  <c r="H13" i="4"/>
  <c r="H13" i="3"/>
  <c r="AO40" i="1"/>
  <c r="I13" i="4" l="1"/>
  <c r="I13" i="2"/>
  <c r="I13" i="3"/>
  <c r="AP40" i="1"/>
  <c r="AQ40" i="1"/>
  <c r="J13" i="4" l="1"/>
  <c r="J13" i="3"/>
  <c r="J13" i="2"/>
  <c r="K13" i="4"/>
  <c r="K13" i="3"/>
  <c r="K13" i="2"/>
  <c r="M34" i="1"/>
  <c r="C12" i="4" s="1"/>
  <c r="M35" i="1"/>
  <c r="D12" i="4" s="1"/>
  <c r="M36" i="1"/>
  <c r="E12" i="4" s="1"/>
  <c r="M37" i="1"/>
  <c r="F12" i="4" s="1"/>
  <c r="M38" i="1"/>
  <c r="G12" i="4" s="1"/>
  <c r="M39" i="1"/>
  <c r="H12" i="4" s="1"/>
  <c r="M40" i="1"/>
  <c r="I12" i="4" s="1"/>
  <c r="M41" i="1"/>
  <c r="J12" i="4" s="1"/>
  <c r="M42" i="1"/>
  <c r="K12" i="4" s="1"/>
  <c r="M43" i="1"/>
  <c r="L12" i="4" s="1"/>
  <c r="M44" i="1"/>
  <c r="M12" i="4" s="1"/>
  <c r="M45" i="1"/>
  <c r="N12" i="4" s="1"/>
  <c r="M46" i="1"/>
  <c r="O12" i="4" s="1"/>
  <c r="M47" i="1"/>
  <c r="P12" i="4" s="1"/>
  <c r="M48" i="1"/>
  <c r="Q12" i="4" s="1"/>
  <c r="M49" i="1"/>
  <c r="R12" i="4" s="1"/>
  <c r="M50" i="1"/>
  <c r="S12" i="4" s="1"/>
  <c r="M51" i="1"/>
  <c r="T12" i="4" s="1"/>
  <c r="M52" i="1"/>
  <c r="U12" i="4" s="1"/>
  <c r="M33" i="1"/>
  <c r="B12" i="4" s="1"/>
  <c r="L34" i="1"/>
  <c r="C12" i="3" s="1"/>
  <c r="L35" i="1"/>
  <c r="D12" i="3" s="1"/>
  <c r="L36" i="1"/>
  <c r="E12" i="3" s="1"/>
  <c r="L42" i="1"/>
  <c r="K12" i="3" s="1"/>
  <c r="L50" i="1"/>
  <c r="S12" i="3" s="1"/>
  <c r="L51" i="1"/>
  <c r="T12" i="3" s="1"/>
  <c r="L52" i="1"/>
  <c r="U12" i="3" s="1"/>
  <c r="R5" i="1"/>
  <c r="L33" i="1"/>
  <c r="B12" i="3" s="1"/>
  <c r="L37" i="1"/>
  <c r="F12" i="3" s="1"/>
  <c r="L38" i="1"/>
  <c r="G12" i="3" s="1"/>
  <c r="L39" i="1"/>
  <c r="H12" i="3" s="1"/>
  <c r="L40" i="1"/>
  <c r="I12" i="3" s="1"/>
  <c r="L41" i="1"/>
  <c r="J12" i="3" s="1"/>
  <c r="L43" i="1"/>
  <c r="L12" i="3" s="1"/>
  <c r="L44" i="1"/>
  <c r="M12" i="3" s="1"/>
  <c r="L45" i="1"/>
  <c r="N12" i="3" s="1"/>
  <c r="L46" i="1"/>
  <c r="O12" i="3" s="1"/>
  <c r="L47" i="1"/>
  <c r="P12" i="3" s="1"/>
  <c r="L48" i="1"/>
  <c r="Q12" i="3" s="1"/>
  <c r="L49" i="1"/>
  <c r="R12" i="3" s="1"/>
  <c r="K34" i="1"/>
  <c r="C12" i="2" s="1"/>
  <c r="K35" i="1"/>
  <c r="D12" i="2" s="1"/>
  <c r="K36" i="1"/>
  <c r="E12" i="2" s="1"/>
  <c r="K37" i="1"/>
  <c r="F12" i="2" s="1"/>
  <c r="K38" i="1"/>
  <c r="G12" i="2" s="1"/>
  <c r="K39" i="1"/>
  <c r="H12" i="2" s="1"/>
  <c r="K40" i="1"/>
  <c r="I12" i="2" s="1"/>
  <c r="K41" i="1"/>
  <c r="J12" i="2" s="1"/>
  <c r="K42" i="1"/>
  <c r="K12" i="2" s="1"/>
  <c r="K43" i="1"/>
  <c r="L12" i="2" s="1"/>
  <c r="K44" i="1"/>
  <c r="M12" i="2" s="1"/>
  <c r="K45" i="1"/>
  <c r="N12" i="2" s="1"/>
  <c r="K46" i="1"/>
  <c r="O12" i="2" s="1"/>
  <c r="K47" i="1"/>
  <c r="P12" i="2" s="1"/>
  <c r="K48" i="1"/>
  <c r="Q12" i="2" s="1"/>
  <c r="K49" i="1"/>
  <c r="R12" i="2" s="1"/>
  <c r="K50" i="1"/>
  <c r="S12" i="2" s="1"/>
  <c r="K51" i="1"/>
  <c r="T12" i="2" s="1"/>
  <c r="K52" i="1"/>
  <c r="U12" i="2" s="1"/>
  <c r="K33" i="1"/>
  <c r="B12" i="2" s="1"/>
  <c r="H20" i="4" l="1"/>
  <c r="G20" i="4"/>
  <c r="F20" i="4"/>
  <c r="E20" i="4"/>
  <c r="D20" i="4"/>
  <c r="C20" i="4"/>
  <c r="B20" i="4"/>
  <c r="U13" i="4"/>
  <c r="T13" i="4"/>
  <c r="S13" i="4"/>
  <c r="R13" i="4"/>
  <c r="Q13" i="4"/>
  <c r="P13" i="4"/>
  <c r="O13" i="4"/>
  <c r="N13" i="4"/>
  <c r="M13" i="4"/>
  <c r="L13" i="4"/>
  <c r="B14" i="4"/>
  <c r="B15" i="4" s="1"/>
  <c r="E7" i="4"/>
  <c r="B6" i="4"/>
  <c r="F20" i="3"/>
  <c r="E20" i="3"/>
  <c r="D20" i="3"/>
  <c r="C20" i="3"/>
  <c r="B20" i="3"/>
  <c r="U13" i="3"/>
  <c r="T13" i="3"/>
  <c r="S13" i="3"/>
  <c r="R13" i="3"/>
  <c r="Q13" i="3"/>
  <c r="P13" i="3"/>
  <c r="O13" i="3"/>
  <c r="N13" i="3"/>
  <c r="M13" i="3"/>
  <c r="L13" i="3"/>
  <c r="B14" i="3"/>
  <c r="B15" i="3" s="1"/>
  <c r="B6" i="3"/>
  <c r="B21" i="3" l="1"/>
  <c r="B21" i="4"/>
  <c r="B22" i="4"/>
  <c r="B19" i="4"/>
  <c r="B22" i="3"/>
  <c r="B19" i="3"/>
  <c r="C18" i="1"/>
  <c r="C19" i="1" s="1"/>
  <c r="C20" i="2" l="1"/>
  <c r="D20" i="2"/>
  <c r="E20" i="2"/>
  <c r="F20" i="2"/>
  <c r="G20" i="2"/>
  <c r="C13" i="2"/>
  <c r="D13" i="2"/>
  <c r="N13" i="2"/>
  <c r="O13" i="2"/>
  <c r="P13" i="2"/>
  <c r="Q13" i="2"/>
  <c r="R13" i="2"/>
  <c r="S13" i="2"/>
  <c r="T13" i="2"/>
  <c r="U13" i="2"/>
  <c r="B13" i="2"/>
  <c r="B20" i="2"/>
  <c r="B6" i="2"/>
  <c r="B21" i="2" l="1"/>
  <c r="B14" i="2"/>
  <c r="B19" i="2" l="1"/>
  <c r="B15" i="2"/>
  <c r="B22" i="2"/>
  <c r="C33" i="1" l="1"/>
  <c r="C34" i="1" s="1"/>
  <c r="D18" i="1"/>
  <c r="D22" i="1" l="1"/>
  <c r="D23" i="1" s="1"/>
  <c r="F34" i="1" s="1"/>
  <c r="C11" i="4" s="1"/>
  <c r="D19" i="1"/>
  <c r="C35" i="1"/>
  <c r="E34" i="1" l="1"/>
  <c r="D34" i="1"/>
  <c r="C11" i="2" s="1"/>
  <c r="F35" i="1"/>
  <c r="D11" i="4" s="1"/>
  <c r="E35" i="1"/>
  <c r="D35" i="1"/>
  <c r="C36" i="1"/>
  <c r="D11" i="3" l="1"/>
  <c r="C11" i="3"/>
  <c r="E36" i="1"/>
  <c r="D36" i="1"/>
  <c r="E11" i="2" s="1"/>
  <c r="F36" i="1"/>
  <c r="E11" i="4" s="1"/>
  <c r="D11" i="2"/>
  <c r="C37" i="1"/>
  <c r="E11" i="3" l="1"/>
  <c r="E37" i="1"/>
  <c r="D37" i="1"/>
  <c r="F11" i="2" s="1"/>
  <c r="F37" i="1"/>
  <c r="F11" i="4" s="1"/>
  <c r="C38" i="1"/>
  <c r="F11" i="3" l="1"/>
  <c r="F38" i="1"/>
  <c r="G11" i="4" s="1"/>
  <c r="D38" i="1"/>
  <c r="G11" i="2" s="1"/>
  <c r="E38" i="1"/>
  <c r="C39" i="1"/>
  <c r="G11" i="3" l="1"/>
  <c r="F39" i="1"/>
  <c r="H11" i="4" s="1"/>
  <c r="E39" i="1"/>
  <c r="D39" i="1"/>
  <c r="H11" i="2" s="1"/>
  <c r="C40" i="1"/>
  <c r="H11" i="3" l="1"/>
  <c r="E40" i="1"/>
  <c r="D40" i="1"/>
  <c r="I11" i="2" s="1"/>
  <c r="F40" i="1"/>
  <c r="I11" i="4" s="1"/>
  <c r="C41" i="1"/>
  <c r="I11" i="3" l="1"/>
  <c r="F41" i="1"/>
  <c r="J11" i="4" s="1"/>
  <c r="D41" i="1"/>
  <c r="J11" i="2" s="1"/>
  <c r="E41" i="1"/>
  <c r="C42" i="1"/>
  <c r="J11" i="3" l="1"/>
  <c r="D42" i="1"/>
  <c r="K11" i="2" s="1"/>
  <c r="F42" i="1"/>
  <c r="K11" i="4" s="1"/>
  <c r="E42" i="1"/>
  <c r="C43" i="1"/>
  <c r="K11" i="3" l="1"/>
  <c r="E43" i="1"/>
  <c r="F43" i="1"/>
  <c r="L11" i="4" s="1"/>
  <c r="D43" i="1"/>
  <c r="C44" i="1"/>
  <c r="L11" i="3" l="1"/>
  <c r="L11" i="2"/>
  <c r="D44" i="1"/>
  <c r="F44" i="1"/>
  <c r="M11" i="4" s="1"/>
  <c r="E44" i="1"/>
  <c r="C45" i="1"/>
  <c r="M11" i="3" l="1"/>
  <c r="M11" i="2"/>
  <c r="D45" i="1"/>
  <c r="E45" i="1"/>
  <c r="F45" i="1"/>
  <c r="N11" i="4" s="1"/>
  <c r="C46" i="1"/>
  <c r="N11" i="3" l="1"/>
  <c r="E46" i="1"/>
  <c r="F46" i="1"/>
  <c r="O11" i="4" s="1"/>
  <c r="D46" i="1"/>
  <c r="N11" i="2"/>
  <c r="C47" i="1"/>
  <c r="O11" i="3" l="1"/>
  <c r="D47" i="1"/>
  <c r="E47" i="1"/>
  <c r="F47" i="1"/>
  <c r="P11" i="4" s="1"/>
  <c r="O11" i="2"/>
  <c r="C48" i="1"/>
  <c r="P11" i="3" l="1"/>
  <c r="F48" i="1"/>
  <c r="Q11" i="4" s="1"/>
  <c r="D48" i="1"/>
  <c r="E48" i="1"/>
  <c r="P11" i="2"/>
  <c r="C49" i="1"/>
  <c r="E14" i="2"/>
  <c r="E15" i="2" s="1"/>
  <c r="Q11" i="3" l="1"/>
  <c r="P14" i="3"/>
  <c r="P15" i="3" s="1"/>
  <c r="P22" i="3" s="1"/>
  <c r="D14" i="4"/>
  <c r="D15" i="4" s="1"/>
  <c r="D22" i="4" s="1"/>
  <c r="M14" i="4"/>
  <c r="M19" i="4" s="1"/>
  <c r="F14" i="2"/>
  <c r="G14" i="2"/>
  <c r="N14" i="4"/>
  <c r="N15" i="4" s="1"/>
  <c r="N22" i="4" s="1"/>
  <c r="C14" i="4"/>
  <c r="I14" i="3"/>
  <c r="I15" i="3" s="1"/>
  <c r="I22" i="3" s="1"/>
  <c r="L14" i="2"/>
  <c r="O14" i="3"/>
  <c r="O19" i="3" s="1"/>
  <c r="L14" i="4"/>
  <c r="L19" i="4" s="1"/>
  <c r="Q14" i="4"/>
  <c r="N14" i="2"/>
  <c r="H14" i="3"/>
  <c r="H19" i="3" s="1"/>
  <c r="J14" i="4"/>
  <c r="J19" i="4" s="1"/>
  <c r="I14" i="2"/>
  <c r="K14" i="3"/>
  <c r="K15" i="3" s="1"/>
  <c r="K22" i="3" s="1"/>
  <c r="E14" i="3"/>
  <c r="E19" i="3" s="1"/>
  <c r="O14" i="4"/>
  <c r="O15" i="4" s="1"/>
  <c r="O22" i="4" s="1"/>
  <c r="C14" i="2"/>
  <c r="K14" i="4"/>
  <c r="K15" i="4" s="1"/>
  <c r="K22" i="4" s="1"/>
  <c r="N14" i="3"/>
  <c r="N19" i="3" s="1"/>
  <c r="G14" i="4"/>
  <c r="G19" i="4" s="1"/>
  <c r="I14" i="4"/>
  <c r="I19" i="4" s="1"/>
  <c r="E14" i="4"/>
  <c r="E19" i="4" s="1"/>
  <c r="H14" i="4"/>
  <c r="H19" i="4" s="1"/>
  <c r="P14" i="4"/>
  <c r="P15" i="4" s="1"/>
  <c r="P22" i="4" s="1"/>
  <c r="M14" i="3"/>
  <c r="M19" i="3" s="1"/>
  <c r="M14" i="2"/>
  <c r="O14" i="2"/>
  <c r="D14" i="2"/>
  <c r="C14" i="3"/>
  <c r="D14" i="3"/>
  <c r="D15" i="3" s="1"/>
  <c r="D22" i="3" s="1"/>
  <c r="L14" i="3"/>
  <c r="L15" i="3" s="1"/>
  <c r="L22" i="3" s="1"/>
  <c r="J14" i="3"/>
  <c r="J19" i="3" s="1"/>
  <c r="P14" i="2"/>
  <c r="F49" i="1"/>
  <c r="R11" i="4" s="1"/>
  <c r="D49" i="1"/>
  <c r="E49" i="1"/>
  <c r="F14" i="4"/>
  <c r="G14" i="3"/>
  <c r="Q14" i="3"/>
  <c r="K14" i="2"/>
  <c r="H14" i="2"/>
  <c r="Q11" i="2"/>
  <c r="F14" i="3"/>
  <c r="J14" i="2"/>
  <c r="J15" i="2" s="1"/>
  <c r="E19" i="2"/>
  <c r="E22" i="2"/>
  <c r="C50" i="1"/>
  <c r="N19" i="2" l="1"/>
  <c r="N15" i="2"/>
  <c r="N22" i="2" s="1"/>
  <c r="C15" i="2"/>
  <c r="F15" i="2"/>
  <c r="F22" i="2" s="1"/>
  <c r="M19" i="2"/>
  <c r="M15" i="2"/>
  <c r="M22" i="2" s="1"/>
  <c r="D19" i="2"/>
  <c r="D15" i="2"/>
  <c r="D22" i="2" s="1"/>
  <c r="G15" i="2"/>
  <c r="G22" i="2" s="1"/>
  <c r="H15" i="2"/>
  <c r="H22" i="2" s="1"/>
  <c r="P15" i="2"/>
  <c r="P22" i="2" s="1"/>
  <c r="O15" i="2"/>
  <c r="O22" i="2" s="1"/>
  <c r="L15" i="2"/>
  <c r="L22" i="2" s="1"/>
  <c r="I19" i="2"/>
  <c r="I15" i="2"/>
  <c r="K15" i="2"/>
  <c r="K22" i="2" s="1"/>
  <c r="R11" i="3"/>
  <c r="R14" i="3" s="1"/>
  <c r="P19" i="3"/>
  <c r="D19" i="4"/>
  <c r="M15" i="4"/>
  <c r="M22" i="4" s="1"/>
  <c r="K19" i="3"/>
  <c r="N19" i="4"/>
  <c r="F19" i="2"/>
  <c r="G19" i="2"/>
  <c r="H15" i="4"/>
  <c r="H22" i="4" s="1"/>
  <c r="O15" i="3"/>
  <c r="O22" i="3" s="1"/>
  <c r="L15" i="4"/>
  <c r="L22" i="4" s="1"/>
  <c r="H15" i="3"/>
  <c r="H22" i="3" s="1"/>
  <c r="G15" i="4"/>
  <c r="G22" i="4" s="1"/>
  <c r="I19" i="3"/>
  <c r="I22" i="2"/>
  <c r="L19" i="2"/>
  <c r="N15" i="3"/>
  <c r="N22" i="3" s="1"/>
  <c r="L19" i="3"/>
  <c r="O19" i="4"/>
  <c r="R14" i="4"/>
  <c r="R19" i="4" s="1"/>
  <c r="J15" i="4"/>
  <c r="J22" i="4" s="1"/>
  <c r="E15" i="3"/>
  <c r="E22" i="3" s="1"/>
  <c r="K19" i="4"/>
  <c r="Q14" i="2"/>
  <c r="E15" i="4"/>
  <c r="E22" i="4" s="1"/>
  <c r="I15" i="4"/>
  <c r="I22" i="4" s="1"/>
  <c r="P19" i="4"/>
  <c r="O19" i="2"/>
  <c r="K19" i="2"/>
  <c r="M15" i="3"/>
  <c r="M22" i="3" s="1"/>
  <c r="J15" i="3"/>
  <c r="J22" i="3" s="1"/>
  <c r="D19" i="3"/>
  <c r="P19" i="2"/>
  <c r="H19" i="2"/>
  <c r="F19" i="3"/>
  <c r="F15" i="3"/>
  <c r="F22" i="3" s="1"/>
  <c r="Q15" i="4"/>
  <c r="Q22" i="4" s="1"/>
  <c r="Q19" i="4"/>
  <c r="R11" i="2"/>
  <c r="R14" i="2" s="1"/>
  <c r="C19" i="4"/>
  <c r="C15" i="4"/>
  <c r="C22" i="4" s="1"/>
  <c r="D50" i="1"/>
  <c r="E50" i="1"/>
  <c r="F50" i="1"/>
  <c r="S11" i="4" s="1"/>
  <c r="S14" i="4" s="1"/>
  <c r="Q15" i="3"/>
  <c r="Q22" i="3" s="1"/>
  <c r="Q19" i="3"/>
  <c r="F15" i="4"/>
  <c r="F22" i="4" s="1"/>
  <c r="F19" i="4"/>
  <c r="C19" i="3"/>
  <c r="C15" i="3"/>
  <c r="C22" i="3" s="1"/>
  <c r="J22" i="2"/>
  <c r="J19" i="2"/>
  <c r="G15" i="3"/>
  <c r="G22" i="3" s="1"/>
  <c r="G19" i="3"/>
  <c r="C22" i="2"/>
  <c r="C19" i="2"/>
  <c r="C51" i="1"/>
  <c r="R15" i="2" l="1"/>
  <c r="R22" i="2" s="1"/>
  <c r="Q19" i="2"/>
  <c r="Q15" i="2"/>
  <c r="S11" i="3"/>
  <c r="S14" i="3" s="1"/>
  <c r="Q22" i="2"/>
  <c r="R15" i="4"/>
  <c r="R22" i="4" s="1"/>
  <c r="B24" i="2"/>
  <c r="B24" i="3"/>
  <c r="B24" i="4"/>
  <c r="R19" i="2"/>
  <c r="S19" i="4"/>
  <c r="S15" i="4"/>
  <c r="S22" i="4" s="1"/>
  <c r="D51" i="1"/>
  <c r="F51" i="1"/>
  <c r="T11" i="4" s="1"/>
  <c r="T14" i="4" s="1"/>
  <c r="E51" i="1"/>
  <c r="S11" i="2"/>
  <c r="S14" i="2" s="1"/>
  <c r="R19" i="3"/>
  <c r="R15" i="3"/>
  <c r="R22" i="3" s="1"/>
  <c r="C52" i="1"/>
  <c r="B16" i="4" l="1"/>
  <c r="B25" i="4" s="1"/>
  <c r="S15" i="2"/>
  <c r="S22" i="2" s="1"/>
  <c r="T11" i="3"/>
  <c r="S19" i="2"/>
  <c r="T19" i="4"/>
  <c r="T15" i="4"/>
  <c r="T22" i="4" s="1"/>
  <c r="T14" i="3"/>
  <c r="T11" i="2"/>
  <c r="T14" i="2" s="1"/>
  <c r="S19" i="3"/>
  <c r="S15" i="3"/>
  <c r="S22" i="3" s="1"/>
  <c r="F52" i="1"/>
  <c r="U11" i="4" s="1"/>
  <c r="U14" i="4" s="1"/>
  <c r="D52" i="1"/>
  <c r="E52" i="1"/>
  <c r="T15" i="2" l="1"/>
  <c r="T22" i="2" s="1"/>
  <c r="U11" i="3"/>
  <c r="U14" i="3" s="1"/>
  <c r="B16" i="3" s="1"/>
  <c r="B25" i="3" s="1"/>
  <c r="T19" i="2"/>
  <c r="U19" i="4"/>
  <c r="B23" i="4" s="1"/>
  <c r="U15" i="4"/>
  <c r="U22" i="4" s="1"/>
  <c r="T15" i="3"/>
  <c r="T22" i="3" s="1"/>
  <c r="T19" i="3"/>
  <c r="U11" i="2"/>
  <c r="U14" i="2" s="1"/>
  <c r="U15" i="2" s="1"/>
  <c r="B26" i="4" l="1"/>
  <c r="B16" i="2"/>
  <c r="B25" i="2" s="1"/>
  <c r="U22" i="2"/>
  <c r="U19" i="2"/>
  <c r="B23" i="2" s="1"/>
  <c r="U15" i="3"/>
  <c r="U22" i="3" s="1"/>
  <c r="U19" i="3"/>
  <c r="B23" i="3" s="1"/>
  <c r="B26" i="2" l="1"/>
  <c r="B26" i="3"/>
</calcChain>
</file>

<file path=xl/sharedStrings.xml><?xml version="1.0" encoding="utf-8"?>
<sst xmlns="http://schemas.openxmlformats.org/spreadsheetml/2006/main" count="187" uniqueCount="110">
  <si>
    <t>Usuarios con proyecto</t>
  </si>
  <si>
    <t>Beneficio</t>
  </si>
  <si>
    <t>Año</t>
  </si>
  <si>
    <t>Tasa de cambio  USD/PGY</t>
  </si>
  <si>
    <t>Valor de la Tasa</t>
  </si>
  <si>
    <t>Costo de Oportunidad Por dìa</t>
  </si>
  <si>
    <t>Tiempo de espera del documento (dias)</t>
  </si>
  <si>
    <t>Sin proyecto</t>
  </si>
  <si>
    <t>Con proyecto</t>
  </si>
  <si>
    <t>Tiempo del tramite en oficina (horas)</t>
  </si>
  <si>
    <t>Costo administrativo/ Salario hora</t>
  </si>
  <si>
    <t>Parámetros</t>
  </si>
  <si>
    <t>Unidad de Medida</t>
  </si>
  <si>
    <t>Fuente</t>
  </si>
  <si>
    <t>Numero de empresas nuevas por año</t>
  </si>
  <si>
    <t xml:space="preserve">unidad  </t>
  </si>
  <si>
    <t>Matriz de resultado</t>
  </si>
  <si>
    <t>Emprendimientos apoyados</t>
  </si>
  <si>
    <t xml:space="preserve">Empresas extranjeras atraídas </t>
  </si>
  <si>
    <t>Emprendimienots de transformación digital de sectores prioritarios apoyados</t>
  </si>
  <si>
    <t>Año de inicio de facturación de empresas apoyadas</t>
  </si>
  <si>
    <t>año</t>
  </si>
  <si>
    <t>Tasa de éxito al año 3</t>
  </si>
  <si>
    <t>%</t>
  </si>
  <si>
    <t>Cantidad de empleados promedio de empresas exitosa</t>
  </si>
  <si>
    <t>Características, determinantes e impacto de la innovación en las empresas paraguayas. Angelelli, Luna y Vargas. BID 2016</t>
  </si>
  <si>
    <t>USD / año</t>
  </si>
  <si>
    <t>Tasa de crecimiento en cantidad de empleo por año</t>
  </si>
  <si>
    <t>Knowledge Spillovers of Innovation Policy through Labor Mobility: An Impact Evaluation of the FONTAR Program in Argentina. Castillo, Maffioli, Rojo y Stucchi. 2014. IADB</t>
  </si>
  <si>
    <t>Tasa de incremento neto de Producción empresas nuevas apoyadas</t>
  </si>
  <si>
    <t>Tasa de incremento neto de Producción Emprendimientos ya existentes apoyados</t>
  </si>
  <si>
    <t>Tasa de incremento neto de Producción Empresas extrajeras</t>
  </si>
  <si>
    <t>Efecto derrame en variación de cantidad de empleo en empresas indirectamente relacionadas</t>
  </si>
  <si>
    <t>Cantidad de empleados a tiempo fijo promedio nacional</t>
  </si>
  <si>
    <t>unidad</t>
  </si>
  <si>
    <t>Cantidad de empresas afectadas por año por cada empresa exitosa del programa</t>
  </si>
  <si>
    <t>Momento de efecto indirecto en empleo luego de contratar personal</t>
  </si>
  <si>
    <t>Cantidad total de empresas afectadas indirectamente por año</t>
  </si>
  <si>
    <t>Cantidad de empresas en 1er año de efecto derrame</t>
  </si>
  <si>
    <t>Cantidad de empresas en 2do año de efecto derrame</t>
  </si>
  <si>
    <t>Cantidad de empresas en 3er año de efecto derrame</t>
  </si>
  <si>
    <t>Cantidad de empresas en 4to año de efecto derrame</t>
  </si>
  <si>
    <t>Cantidad de empresas en 5to año de efecto derrame</t>
  </si>
  <si>
    <t>Cantidad de años de efecto derrame luego de terminado el programa</t>
  </si>
  <si>
    <t>Economic Analysis PR 1153</t>
  </si>
  <si>
    <t>BENEFICIOS / AÑO</t>
  </si>
  <si>
    <t>Incremento en Productividad Empresas Nuevas</t>
  </si>
  <si>
    <t>Incremento en Productividad Emprendimientos apoyados</t>
  </si>
  <si>
    <t>Incremento en productividad Empresas Extranjeras</t>
  </si>
  <si>
    <t>Incremento en productividad proyectos sectores prioritarios</t>
  </si>
  <si>
    <t>Spillover</t>
  </si>
  <si>
    <t>Valor presente de 3 años más de spillover</t>
  </si>
  <si>
    <t>Valor de Distrito Digital</t>
  </si>
  <si>
    <t>TOTAL BENEFICIOS POR AÑO USD</t>
  </si>
  <si>
    <t>tasa de descuento</t>
  </si>
  <si>
    <t>inversión BID</t>
  </si>
  <si>
    <t>BENEFITS</t>
  </si>
  <si>
    <t>Total (USD)</t>
  </si>
  <si>
    <t>NPV  benefits</t>
  </si>
  <si>
    <t>Subtotal NPV benefiits</t>
  </si>
  <si>
    <t>COSTOS</t>
  </si>
  <si>
    <t>investment cost (BID loan)</t>
  </si>
  <si>
    <t>cash flow</t>
  </si>
  <si>
    <t>NPV costos</t>
  </si>
  <si>
    <t>Subtotal NPV costs</t>
  </si>
  <si>
    <t>NPV benefits-NPV costs</t>
  </si>
  <si>
    <t>NPV</t>
  </si>
  <si>
    <t>NVP</t>
  </si>
  <si>
    <t>BCR</t>
  </si>
  <si>
    <t>IRR</t>
  </si>
  <si>
    <t>Economic analysis for PR- 1153</t>
  </si>
  <si>
    <t>Beneficio renovaciòn documento identidad</t>
  </si>
  <si>
    <t>Beneficio Conectividad, baja en el precio</t>
  </si>
  <si>
    <t>Beneficio innovacion</t>
  </si>
  <si>
    <t>stbpc81s</t>
  </si>
  <si>
    <t>Usuarios con proyecto Escenario Conservador</t>
  </si>
  <si>
    <t>Beneficio Escenario Conservador</t>
  </si>
  <si>
    <t>Usuarios con proyecto Escenario Optimista</t>
  </si>
  <si>
    <t>Beneficio Escenario optimista</t>
  </si>
  <si>
    <t>Beneficio digitalizacion tramites en PGY</t>
  </si>
  <si>
    <t>PGY</t>
  </si>
  <si>
    <t>USD</t>
  </si>
  <si>
    <t>Beneficio digitalizacion tramites en USD</t>
  </si>
  <si>
    <t>Flujo de beneficios</t>
  </si>
  <si>
    <t>Porcentaje de Personas con afectación de ingresos por falta de documento de identidad Escenacio base</t>
  </si>
  <si>
    <t>Porcentaje de Personas con afectación de ingresos por falta de documento de identidad Escenacio Conservador</t>
  </si>
  <si>
    <t>Porcentaje de Personas con afectación de ingresos por falta de documento de identidad Escenacio Optimista</t>
  </si>
  <si>
    <t>Poblacion mayor de 18 años</t>
  </si>
  <si>
    <t>Flujo Beneficios Escenario Conservador</t>
  </si>
  <si>
    <t>Flujo beneficios escenario base</t>
  </si>
  <si>
    <t xml:space="preserve">Flujo de beneficios escenario optimista </t>
  </si>
  <si>
    <t>Componente 1</t>
  </si>
  <si>
    <t>Precio Transito IP Sin proyecto</t>
  </si>
  <si>
    <t>Precio Transito IP con proyecto</t>
  </si>
  <si>
    <t>Precio BAF del usuario sin proyecto</t>
  </si>
  <si>
    <t>Precio BAF del usuario con Proyecto</t>
  </si>
  <si>
    <t>Usuarios BAF sin proyecto</t>
  </si>
  <si>
    <t>Costo transaccion total del tramite (PGY)</t>
  </si>
  <si>
    <t>Costo transaccion total del tramite (USD)</t>
  </si>
  <si>
    <t>BID: Evaluación Programas de Competitividad e Innovación: Costa Rica y Perú/Informes FONTAR/</t>
  </si>
  <si>
    <t>Productividad anual media del trabajo nivel país</t>
  </si>
  <si>
    <t>Características, determinantes e impacto de la innovación en las empresas paraguayas. Angelelli, Luna y Vargas. BID 2016 (USD 50,000); Censo Ecónomico Nacional 2018 (USD 93,000). Crece a valor estimado de PIB por año, es decir, 4% por año.</t>
  </si>
  <si>
    <t>Documento BID. ¿Cómo repensar el Desarrollo Productivo? 2014. Pág 100-103</t>
  </si>
  <si>
    <t>Características, determinantes e impacto de la innovación en las empresas paraguayas. Angelelli, Luna y Vargas. BID 2016. El documento habla de 99 personas en promedio. El censo ecónomico nacional del 2011 indica 6 personas en promedio. Como las empresas que estarían contratando no serían empresas pequeñas, estimamos un promedio bajo de 25 empleados en cada empresa a ser afectada indirectamente</t>
  </si>
  <si>
    <t>Knowledge Spillovers of Innovation Policy through Labor Mobility: An Impact Evaluation of the FONTAR Program in Argentina. Castillo, Maffioli, Rojo y Stucchi. 2014. IADB. (around 40 percent of these workers eventually moved to a diferent firm, However, when we restrict the analysis to skilled workers considering a minimum duration of employment in a FONTAR bene ciary  rm as de ned above, the mobility drops considerably. Only 2.5 percent of total FONTAR workers generated spillovers through knowledge difusion.)</t>
  </si>
  <si>
    <t>Banda Ancha fija</t>
  </si>
  <si>
    <t>Banda Ancha movil</t>
  </si>
  <si>
    <t>Componente CMF</t>
  </si>
  <si>
    <t>Componente ICS</t>
  </si>
  <si>
    <t>Componente CTI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</si>
</sst>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$&quot;#,##0.00_);[Red]\(&quot;$&quot;#,##0.00\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\ * #,##0.00_);_(&quot;$&quot;\ * \(#,##0.00\);_(&quot;$&quot;\ * &quot;-&quot;??_);_(@_)"/>
    <numFmt numFmtId="165" formatCode="_(* #,##0_);_(* \(#,##0\);_(* &quot;-&quot;??_);_(@_)"/>
    <numFmt numFmtId="166" formatCode="_(&quot;$&quot;\ * #,##0_);_(&quot;$&quot;\ * \(#,##0\);_(&quot;$&quot;\ * &quot;-&quot;??_);_(@_)"/>
    <numFmt numFmtId="167" formatCode="_ * #,##0_ ;_ * \-#,##0_ ;_ * &quot;-&quot;_ ;_ @_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1" xfId="0" applyBorder="1"/>
    <xf numFmtId="164" fontId="0" fillId="0" borderId="0" xfId="2" applyFont="1"/>
    <xf numFmtId="2" fontId="0" fillId="0" borderId="0" xfId="0" applyNumberFormat="1"/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9" fontId="0" fillId="0" borderId="0" xfId="3" applyFont="1"/>
    <xf numFmtId="43" fontId="0" fillId="0" borderId="0" xfId="1" applyFont="1"/>
    <xf numFmtId="0" fontId="0" fillId="4" borderId="1" xfId="0" applyFill="1" applyBorder="1" applyAlignment="1">
      <alignment horizontal="center"/>
    </xf>
    <xf numFmtId="0" fontId="0" fillId="4" borderId="1" xfId="1" applyNumberFormat="1" applyFont="1" applyFill="1" applyBorder="1" applyAlignment="1">
      <alignment horizontal="center"/>
    </xf>
    <xf numFmtId="43" fontId="0" fillId="0" borderId="1" xfId="1" applyFont="1" applyBorder="1"/>
    <xf numFmtId="0" fontId="0" fillId="0" borderId="1" xfId="0" applyFill="1" applyBorder="1"/>
    <xf numFmtId="43" fontId="0" fillId="0" borderId="1" xfId="1" applyFont="1" applyFill="1" applyBorder="1"/>
    <xf numFmtId="0" fontId="0" fillId="0" borderId="0" xfId="0" applyFill="1"/>
    <xf numFmtId="8" fontId="0" fillId="0" borderId="1" xfId="1" applyNumberFormat="1" applyFont="1" applyBorder="1"/>
    <xf numFmtId="43" fontId="0" fillId="4" borderId="1" xfId="1" applyFont="1" applyFill="1" applyBorder="1"/>
    <xf numFmtId="0" fontId="0" fillId="5" borderId="1" xfId="0" applyFill="1" applyBorder="1"/>
    <xf numFmtId="8" fontId="0" fillId="5" borderId="1" xfId="1" applyNumberFormat="1" applyFont="1" applyFill="1" applyBorder="1"/>
    <xf numFmtId="43" fontId="0" fillId="5" borderId="1" xfId="1" applyNumberFormat="1" applyFont="1" applyFill="1" applyBorder="1"/>
    <xf numFmtId="43" fontId="0" fillId="5" borderId="1" xfId="1" applyFont="1" applyFill="1" applyBorder="1"/>
    <xf numFmtId="9" fontId="0" fillId="5" borderId="1" xfId="1" applyNumberFormat="1" applyFont="1" applyFill="1" applyBorder="1"/>
    <xf numFmtId="1" fontId="0" fillId="0" borderId="0" xfId="1" applyNumberFormat="1" applyFont="1"/>
    <xf numFmtId="166" fontId="0" fillId="0" borderId="1" xfId="2" applyNumberFormat="1" applyFont="1" applyBorder="1"/>
    <xf numFmtId="166" fontId="0" fillId="0" borderId="0" xfId="0" applyNumberFormat="1"/>
    <xf numFmtId="166" fontId="0" fillId="0" borderId="1" xfId="1" applyNumberFormat="1" applyFont="1" applyBorder="1"/>
    <xf numFmtId="165" fontId="0" fillId="0" borderId="1" xfId="1" applyNumberFormat="1" applyFont="1" applyBorder="1"/>
    <xf numFmtId="165" fontId="0" fillId="0" borderId="1" xfId="1" applyNumberFormat="1" applyFont="1" applyBorder="1" applyAlignment="1">
      <alignment wrapText="1"/>
    </xf>
    <xf numFmtId="165" fontId="0" fillId="0" borderId="1" xfId="1" applyNumberFormat="1" applyFont="1" applyFill="1" applyBorder="1"/>
    <xf numFmtId="165" fontId="0" fillId="0" borderId="0" xfId="1" applyNumberFormat="1" applyFont="1"/>
    <xf numFmtId="9" fontId="0" fillId="0" borderId="1" xfId="3" applyFont="1" applyBorder="1"/>
    <xf numFmtId="37" fontId="0" fillId="0" borderId="0" xfId="0" applyNumberFormat="1"/>
    <xf numFmtId="41" fontId="3" fillId="0" borderId="2" xfId="0" applyNumberFormat="1" applyFont="1" applyBorder="1" applyAlignment="1">
      <alignment horizont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center"/>
    </xf>
    <xf numFmtId="164" fontId="0" fillId="6" borderId="0" xfId="2" applyFont="1" applyFill="1"/>
    <xf numFmtId="1" fontId="0" fillId="0" borderId="1" xfId="0" applyNumberFormat="1" applyBorder="1"/>
    <xf numFmtId="0" fontId="0" fillId="6" borderId="1" xfId="0" applyFill="1" applyBorder="1"/>
    <xf numFmtId="164" fontId="0" fillId="0" borderId="1" xfId="2" applyFont="1" applyBorder="1"/>
    <xf numFmtId="165" fontId="2" fillId="0" borderId="1" xfId="0" applyNumberFormat="1" applyFont="1" applyFill="1" applyBorder="1"/>
    <xf numFmtId="165" fontId="0" fillId="0" borderId="1" xfId="0" applyNumberFormat="1" applyBorder="1"/>
    <xf numFmtId="165" fontId="0" fillId="0" borderId="1" xfId="0" applyNumberFormat="1" applyFill="1" applyBorder="1"/>
    <xf numFmtId="164" fontId="0" fillId="9" borderId="1" xfId="2" applyFont="1" applyFill="1" applyBorder="1"/>
    <xf numFmtId="164" fontId="0" fillId="10" borderId="1" xfId="2" applyFont="1" applyFill="1" applyBorder="1"/>
    <xf numFmtId="164" fontId="0" fillId="7" borderId="1" xfId="2" applyFont="1" applyFill="1" applyBorder="1"/>
    <xf numFmtId="44" fontId="0" fillId="0" borderId="0" xfId="0" applyNumberFormat="1"/>
    <xf numFmtId="1" fontId="0" fillId="0" borderId="0" xfId="0" applyNumberFormat="1"/>
    <xf numFmtId="2" fontId="0" fillId="0" borderId="1" xfId="0" applyNumberFormat="1" applyBorder="1"/>
    <xf numFmtId="0" fontId="0" fillId="0" borderId="1" xfId="0" applyBorder="1" applyAlignment="1">
      <alignment horizontal="center" wrapText="1"/>
    </xf>
    <xf numFmtId="43" fontId="0" fillId="0" borderId="1" xfId="0" applyNumberFormat="1" applyBorder="1"/>
    <xf numFmtId="0" fontId="5" fillId="11" borderId="0" xfId="0" applyFont="1" applyFill="1" applyAlignment="1">
      <alignment horizontal="center" vertical="center" wrapText="1"/>
    </xf>
    <xf numFmtId="0" fontId="6" fillId="0" borderId="0" xfId="0" applyFont="1" applyAlignment="1">
      <alignment wrapText="1"/>
    </xf>
    <xf numFmtId="167" fontId="6" fillId="0" borderId="0" xfId="0" applyNumberFormat="1" applyFont="1" applyAlignment="1">
      <alignment wrapText="1"/>
    </xf>
    <xf numFmtId="167" fontId="6" fillId="0" borderId="0" xfId="0" applyNumberFormat="1" applyFont="1" applyAlignment="1">
      <alignment vertical="center" wrapText="1"/>
    </xf>
    <xf numFmtId="41" fontId="6" fillId="0" borderId="0" xfId="4" applyFont="1" applyAlignment="1">
      <alignment vertical="center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167" fontId="8" fillId="0" borderId="0" xfId="0" applyNumberFormat="1" applyFont="1" applyAlignment="1">
      <alignment wrapText="1"/>
    </xf>
    <xf numFmtId="167" fontId="8" fillId="0" borderId="0" xfId="0" applyNumberFormat="1" applyFont="1" applyAlignment="1">
      <alignment vertical="center" wrapText="1"/>
    </xf>
    <xf numFmtId="167" fontId="7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9" fillId="0" borderId="3" xfId="0" applyFont="1" applyBorder="1" applyAlignment="1">
      <alignment wrapText="1"/>
    </xf>
    <xf numFmtId="41" fontId="9" fillId="0" borderId="3" xfId="4" applyFont="1" applyBorder="1" applyAlignment="1">
      <alignment wrapText="1"/>
    </xf>
    <xf numFmtId="43" fontId="6" fillId="0" borderId="0" xfId="0" applyNumberFormat="1" applyFont="1" applyAlignment="1">
      <alignment vertical="center" wrapText="1"/>
    </xf>
    <xf numFmtId="0" fontId="0" fillId="0" borderId="0" xfId="0" applyAlignment="1">
      <alignment horizontal="left" inden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8" borderId="0" xfId="0" applyFill="1" applyAlignment="1">
      <alignment horizontal="center" vertical="center" textRotation="90"/>
    </xf>
    <xf numFmtId="0" fontId="0" fillId="0" borderId="1" xfId="0" applyBorder="1" applyAlignment="1">
      <alignment horizontal="center"/>
    </xf>
    <xf numFmtId="0" fontId="0" fillId="3" borderId="0" xfId="0" applyFill="1" applyAlignment="1">
      <alignment horizontal="center"/>
    </xf>
  </cellXfs>
  <cellStyles count="5">
    <cellStyle name="Comma" xfId="1" builtinId="3"/>
    <cellStyle name="Comma [0]" xfId="4" builtinId="6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14" Type="http://schemas.openxmlformats.org/officeDocument/2006/relationships/customXml" Target="../customXml/item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483BD-02D8-458E-BE48-9BBC22756EB6}">
  <dimension ref="A1:BK106"/>
  <sheetViews>
    <sheetView topLeftCell="AF17" zoomScale="70" zoomScaleNormal="70" workbookViewId="0">
      <selection activeCell="AK40" sqref="AK40"/>
    </sheetView>
  </sheetViews>
  <sheetFormatPr defaultColWidth="11.5546875" defaultRowHeight="14.4" x14ac:dyDescent="0.3"/>
  <cols>
    <col min="1" max="1" width="6.33203125" customWidth="1"/>
    <col min="2" max="2" width="83.44140625" customWidth="1"/>
    <col min="3" max="3" width="30.6640625" customWidth="1"/>
    <col min="4" max="4" width="23.6640625" customWidth="1"/>
    <col min="5" max="5" width="25.5546875" customWidth="1"/>
    <col min="6" max="6" width="18" customWidth="1"/>
    <col min="8" max="8" width="12.5546875" bestFit="1" customWidth="1"/>
    <col min="9" max="9" width="10.6640625" customWidth="1"/>
    <col min="10" max="12" width="22.33203125" customWidth="1"/>
    <col min="13" max="13" width="19.6640625" customWidth="1"/>
    <col min="14" max="14" width="19" customWidth="1"/>
    <col min="15" max="15" width="25.88671875" customWidth="1"/>
    <col min="16" max="16" width="30.33203125" customWidth="1"/>
    <col min="17" max="17" width="18.88671875" customWidth="1"/>
    <col min="18" max="19" width="16.44140625" customWidth="1"/>
    <col min="20" max="20" width="22.44140625" customWidth="1"/>
    <col min="21" max="21" width="27" customWidth="1"/>
    <col min="22" max="22" width="21.88671875" customWidth="1"/>
    <col min="23" max="23" width="21.44140625" customWidth="1"/>
    <col min="24" max="24" width="18.5546875" customWidth="1"/>
    <col min="25" max="25" width="17.109375" customWidth="1"/>
    <col min="26" max="26" width="16.5546875" customWidth="1"/>
    <col min="27" max="27" width="20.109375" customWidth="1"/>
    <col min="32" max="32" width="90.44140625" customWidth="1"/>
    <col min="43" max="43" width="16.6640625" customWidth="1"/>
    <col min="51" max="51" width="93.44140625" customWidth="1"/>
    <col min="57" max="57" width="17.33203125" customWidth="1"/>
    <col min="58" max="58" width="22.33203125" customWidth="1"/>
    <col min="60" max="60" width="16.33203125" customWidth="1"/>
    <col min="61" max="61" width="20.6640625" customWidth="1"/>
    <col min="62" max="62" width="17.44140625" customWidth="1"/>
  </cols>
  <sheetData>
    <row r="1" spans="1:50" x14ac:dyDescent="0.3">
      <c r="B1" s="64" t="s">
        <v>44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</row>
    <row r="2" spans="1:50" x14ac:dyDescent="0.3"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</row>
    <row r="3" spans="1:50" ht="14.4" customHeight="1" x14ac:dyDescent="0.3">
      <c r="I3" s="66" t="s">
        <v>107</v>
      </c>
      <c r="J3" s="67" t="s">
        <v>105</v>
      </c>
      <c r="K3" s="67"/>
      <c r="L3" s="67"/>
      <c r="M3" s="67"/>
      <c r="N3" s="67"/>
      <c r="O3" s="67"/>
      <c r="P3" s="67"/>
      <c r="Q3" s="67"/>
      <c r="R3" s="67"/>
      <c r="S3" s="67" t="s">
        <v>106</v>
      </c>
      <c r="T3" s="67"/>
      <c r="U3" s="67"/>
      <c r="V3" s="67"/>
      <c r="W3" s="67"/>
      <c r="X3" s="67"/>
      <c r="Y3" s="67"/>
      <c r="Z3" s="67"/>
      <c r="AA3" s="67"/>
      <c r="AD3" s="66" t="s">
        <v>109</v>
      </c>
    </row>
    <row r="4" spans="1:50" ht="57" customHeight="1" x14ac:dyDescent="0.3">
      <c r="A4" s="66" t="s">
        <v>108</v>
      </c>
      <c r="I4" s="66"/>
      <c r="J4" s="1" t="s">
        <v>2</v>
      </c>
      <c r="K4" s="5" t="s">
        <v>92</v>
      </c>
      <c r="L4" s="47" t="s">
        <v>94</v>
      </c>
      <c r="M4" s="47" t="s">
        <v>96</v>
      </c>
      <c r="N4" s="5" t="s">
        <v>93</v>
      </c>
      <c r="O4" s="5" t="s">
        <v>95</v>
      </c>
      <c r="P4" s="5" t="s">
        <v>0</v>
      </c>
      <c r="Q4" s="5" t="s">
        <v>75</v>
      </c>
      <c r="R4" s="5" t="s">
        <v>77</v>
      </c>
      <c r="S4" s="1" t="s">
        <v>2</v>
      </c>
      <c r="T4" s="5" t="s">
        <v>92</v>
      </c>
      <c r="U4" s="47" t="s">
        <v>94</v>
      </c>
      <c r="V4" s="47" t="s">
        <v>96</v>
      </c>
      <c r="W4" s="5" t="s">
        <v>93</v>
      </c>
      <c r="X4" s="5" t="s">
        <v>95</v>
      </c>
      <c r="Y4" s="5" t="s">
        <v>0</v>
      </c>
      <c r="Z4" s="5" t="s">
        <v>75</v>
      </c>
      <c r="AA4" s="5" t="s">
        <v>77</v>
      </c>
      <c r="AD4" s="66"/>
      <c r="AX4" s="66" t="s">
        <v>91</v>
      </c>
    </row>
    <row r="5" spans="1:50" x14ac:dyDescent="0.3">
      <c r="A5" s="66"/>
      <c r="I5" s="66"/>
      <c r="J5" s="1">
        <v>2018</v>
      </c>
      <c r="K5" s="1">
        <v>1.44</v>
      </c>
      <c r="L5" s="46">
        <v>30</v>
      </c>
      <c r="M5" s="35">
        <v>341581.88839119463</v>
      </c>
      <c r="N5" s="1">
        <v>1.44</v>
      </c>
      <c r="O5" s="1">
        <v>30</v>
      </c>
      <c r="P5" s="35">
        <v>341581.88839119463</v>
      </c>
      <c r="Q5" s="46">
        <f>P5*0.8</f>
        <v>273265.51071295573</v>
      </c>
      <c r="R5" s="48">
        <f>P5*1.1</f>
        <v>375740.07723031414</v>
      </c>
      <c r="S5" s="1">
        <v>2018</v>
      </c>
      <c r="T5" s="1">
        <v>1.1519999999999999</v>
      </c>
      <c r="U5" s="46">
        <v>12</v>
      </c>
      <c r="V5" s="35">
        <v>3720494.7496529617</v>
      </c>
      <c r="W5" s="1">
        <v>1.1519999999999999</v>
      </c>
      <c r="X5" s="1">
        <v>12</v>
      </c>
      <c r="Y5" s="35">
        <v>3720494.7496529617</v>
      </c>
      <c r="Z5" s="46">
        <f>Y5*0.8</f>
        <v>2976395.7997223698</v>
      </c>
      <c r="AA5" s="48">
        <f>Y5*1.1</f>
        <v>4092544.2246182584</v>
      </c>
      <c r="AD5" s="66"/>
      <c r="AX5" s="66"/>
    </row>
    <row r="6" spans="1:50" x14ac:dyDescent="0.3">
      <c r="A6" s="66"/>
      <c r="I6" s="66"/>
      <c r="J6" s="1">
        <v>2019</v>
      </c>
      <c r="K6" s="46">
        <v>2.2464000000000004</v>
      </c>
      <c r="L6" s="46">
        <v>30.8064</v>
      </c>
      <c r="M6" s="35">
        <v>350526.91170352971</v>
      </c>
      <c r="N6" s="46">
        <v>0.81813333333333349</v>
      </c>
      <c r="O6" s="46">
        <v>29.378133333333331</v>
      </c>
      <c r="P6" s="35">
        <v>378142.29986489692</v>
      </c>
      <c r="Q6" s="46">
        <f t="shared" ref="Q6:Q25" si="0">P6*0.8</f>
        <v>302513.83989191754</v>
      </c>
      <c r="R6" s="1">
        <v>415956.52985138667</v>
      </c>
      <c r="S6" s="1">
        <v>2019</v>
      </c>
      <c r="T6" s="46">
        <v>1.2960000000000003</v>
      </c>
      <c r="U6" s="46">
        <v>12.144000000000002</v>
      </c>
      <c r="V6" s="35">
        <v>3832047.8589443504</v>
      </c>
      <c r="W6" s="46">
        <v>0.47200000000000003</v>
      </c>
      <c r="X6" s="46">
        <v>11.320000000000002</v>
      </c>
      <c r="Y6" s="35">
        <v>4003420.8648026488</v>
      </c>
      <c r="Z6" s="46">
        <f t="shared" ref="Z6:Z25" si="1">Y6*0.8</f>
        <v>3202736.6918421192</v>
      </c>
      <c r="AA6" s="48">
        <f t="shared" ref="AA6:AA25" si="2">Y6*1.1</f>
        <v>4403762.9512829138</v>
      </c>
      <c r="AD6" s="66"/>
      <c r="AF6" t="s">
        <v>11</v>
      </c>
      <c r="AG6" t="s">
        <v>12</v>
      </c>
      <c r="AH6">
        <v>2019</v>
      </c>
      <c r="AI6">
        <v>2020</v>
      </c>
      <c r="AJ6">
        <v>2021</v>
      </c>
      <c r="AK6">
        <v>2022</v>
      </c>
      <c r="AL6">
        <v>2023</v>
      </c>
      <c r="AM6">
        <v>2024</v>
      </c>
      <c r="AN6">
        <v>2025</v>
      </c>
      <c r="AO6">
        <v>2026</v>
      </c>
      <c r="AP6">
        <v>2027</v>
      </c>
      <c r="AQ6">
        <v>2028</v>
      </c>
      <c r="AR6" t="s">
        <v>13</v>
      </c>
      <c r="AX6" s="66"/>
    </row>
    <row r="7" spans="1:50" x14ac:dyDescent="0.3">
      <c r="A7" s="66"/>
      <c r="B7" s="1" t="s">
        <v>3</v>
      </c>
      <c r="C7" s="1">
        <v>5500</v>
      </c>
      <c r="I7" s="66"/>
      <c r="J7" s="1">
        <v>2020</v>
      </c>
      <c r="K7" s="46">
        <v>3.1881599999999999</v>
      </c>
      <c r="L7" s="46">
        <v>31.748159999999999</v>
      </c>
      <c r="M7" s="35">
        <v>357578.23600412928</v>
      </c>
      <c r="N7" s="46">
        <v>1.1056333333333332</v>
      </c>
      <c r="O7" s="46">
        <v>29.665633333333332</v>
      </c>
      <c r="P7" s="35">
        <v>397894.05352092179</v>
      </c>
      <c r="Q7" s="46">
        <f t="shared" si="0"/>
        <v>318315.24281673745</v>
      </c>
      <c r="R7" s="1">
        <v>437683.45887301402</v>
      </c>
      <c r="S7" s="1">
        <v>2020</v>
      </c>
      <c r="T7" s="46">
        <v>1.5552000000000001</v>
      </c>
      <c r="U7" s="46">
        <v>12.403200000000002</v>
      </c>
      <c r="V7" s="35">
        <v>3922759.6266557723</v>
      </c>
      <c r="W7" s="46">
        <v>0.53933333333333333</v>
      </c>
      <c r="X7" s="46">
        <v>11.387333333333336</v>
      </c>
      <c r="Y7" s="35">
        <v>4132606.6767050135</v>
      </c>
      <c r="Z7" s="46">
        <f t="shared" si="1"/>
        <v>3306085.3413640112</v>
      </c>
      <c r="AA7" s="48">
        <f t="shared" si="2"/>
        <v>4545867.3443755154</v>
      </c>
      <c r="AD7" s="66"/>
      <c r="AF7" t="s">
        <v>14</v>
      </c>
      <c r="AG7" t="s">
        <v>15</v>
      </c>
      <c r="AH7">
        <v>0</v>
      </c>
      <c r="AI7">
        <v>20</v>
      </c>
      <c r="AJ7">
        <v>30</v>
      </c>
      <c r="AK7">
        <v>40</v>
      </c>
      <c r="AL7">
        <v>45</v>
      </c>
      <c r="AM7">
        <v>15</v>
      </c>
      <c r="AN7">
        <v>0</v>
      </c>
      <c r="AO7">
        <v>0</v>
      </c>
      <c r="AP7">
        <v>0</v>
      </c>
      <c r="AQ7">
        <v>0</v>
      </c>
      <c r="AR7" t="s">
        <v>16</v>
      </c>
      <c r="AX7" s="66"/>
    </row>
    <row r="8" spans="1:50" x14ac:dyDescent="0.3">
      <c r="A8" s="66"/>
      <c r="B8" s="1" t="s">
        <v>5</v>
      </c>
      <c r="C8" s="35">
        <v>25000</v>
      </c>
      <c r="I8" s="66"/>
      <c r="J8" s="1">
        <v>2021</v>
      </c>
      <c r="K8" s="46">
        <v>3.7791360000000012</v>
      </c>
      <c r="L8" s="46">
        <v>32.339135999999996</v>
      </c>
      <c r="M8" s="35">
        <v>371687.78657865175</v>
      </c>
      <c r="N8" s="46">
        <v>1.2739500000000004</v>
      </c>
      <c r="O8" s="46">
        <v>29.833949999999994</v>
      </c>
      <c r="P8" s="35">
        <v>420827.05476381339</v>
      </c>
      <c r="Q8" s="46">
        <f t="shared" si="0"/>
        <v>336661.64381105074</v>
      </c>
      <c r="R8" s="1">
        <v>462909.76024019474</v>
      </c>
      <c r="S8" s="1">
        <v>2021</v>
      </c>
      <c r="T8" s="46">
        <v>1.7496000000000005</v>
      </c>
      <c r="U8" s="46">
        <v>12.597600000000003</v>
      </c>
      <c r="V8" s="35">
        <v>4029189.1697155521</v>
      </c>
      <c r="W8" s="46">
        <v>0.58979166666666671</v>
      </c>
      <c r="X8" s="46">
        <v>11.437791666666669</v>
      </c>
      <c r="Y8" s="35">
        <v>4267594.0726137003</v>
      </c>
      <c r="Z8" s="46">
        <f t="shared" si="1"/>
        <v>3414075.2580909603</v>
      </c>
      <c r="AA8" s="48">
        <f t="shared" si="2"/>
        <v>4694353.479875071</v>
      </c>
      <c r="AD8" s="66"/>
      <c r="AF8" t="s">
        <v>17</v>
      </c>
      <c r="AG8" t="s">
        <v>15</v>
      </c>
      <c r="AH8">
        <v>0</v>
      </c>
      <c r="AI8">
        <v>2</v>
      </c>
      <c r="AJ8">
        <v>3</v>
      </c>
      <c r="AK8">
        <v>5</v>
      </c>
      <c r="AL8">
        <v>5</v>
      </c>
      <c r="AM8">
        <v>5</v>
      </c>
      <c r="AN8">
        <v>0</v>
      </c>
      <c r="AO8">
        <v>0</v>
      </c>
      <c r="AP8">
        <v>0</v>
      </c>
      <c r="AQ8">
        <v>0</v>
      </c>
      <c r="AR8" t="s">
        <v>16</v>
      </c>
      <c r="AX8" s="66"/>
    </row>
    <row r="9" spans="1:50" x14ac:dyDescent="0.3">
      <c r="A9" s="66"/>
      <c r="B9" s="1" t="s">
        <v>10</v>
      </c>
      <c r="C9" s="35">
        <v>18877.734375</v>
      </c>
      <c r="I9" s="66"/>
      <c r="J9" s="1">
        <v>2022</v>
      </c>
      <c r="K9" s="46">
        <v>4.5349632000000009</v>
      </c>
      <c r="L9" s="46">
        <v>33.094963199999995</v>
      </c>
      <c r="M9" s="35">
        <v>383361.51281711005</v>
      </c>
      <c r="N9" s="46">
        <v>1.5163500000000003</v>
      </c>
      <c r="O9" s="46">
        <v>30.076349999999994</v>
      </c>
      <c r="P9" s="35">
        <v>442984.31677589577</v>
      </c>
      <c r="Q9" s="46">
        <f t="shared" si="0"/>
        <v>354387.45342071663</v>
      </c>
      <c r="R9" s="1">
        <v>487282.74845348537</v>
      </c>
      <c r="S9" s="1">
        <v>2022</v>
      </c>
      <c r="T9" s="46">
        <v>2.2044960000000002</v>
      </c>
      <c r="U9" s="46">
        <v>13.052496000000003</v>
      </c>
      <c r="V9" s="35">
        <v>4086890.0126892598</v>
      </c>
      <c r="W9" s="46">
        <v>0.73711458333333346</v>
      </c>
      <c r="X9" s="46">
        <v>11.585114583333336</v>
      </c>
      <c r="Y9" s="35">
        <v>4384407.6634246698</v>
      </c>
      <c r="Z9" s="46">
        <f t="shared" si="1"/>
        <v>3507526.1307397359</v>
      </c>
      <c r="AA9" s="48">
        <f t="shared" si="2"/>
        <v>4822848.4297671374</v>
      </c>
      <c r="AD9" s="66"/>
      <c r="AF9" t="s">
        <v>18</v>
      </c>
      <c r="AG9" t="s">
        <v>15</v>
      </c>
      <c r="AH9">
        <v>0</v>
      </c>
      <c r="AI9">
        <v>5</v>
      </c>
      <c r="AJ9">
        <v>5</v>
      </c>
      <c r="AK9">
        <v>5</v>
      </c>
      <c r="AL9">
        <v>5</v>
      </c>
      <c r="AM9">
        <v>5</v>
      </c>
      <c r="AN9">
        <v>0</v>
      </c>
      <c r="AO9">
        <v>0</v>
      </c>
      <c r="AP9">
        <v>0</v>
      </c>
      <c r="AQ9">
        <v>0</v>
      </c>
      <c r="AR9" t="s">
        <v>16</v>
      </c>
      <c r="AX9" s="66"/>
    </row>
    <row r="10" spans="1:50" x14ac:dyDescent="0.3">
      <c r="A10" s="66"/>
      <c r="I10" s="66"/>
      <c r="J10" s="1">
        <v>2023</v>
      </c>
      <c r="K10" s="46">
        <v>4.8183984000000013</v>
      </c>
      <c r="L10" s="46">
        <v>33.378398399999995</v>
      </c>
      <c r="M10" s="35">
        <v>404387.95189152285</v>
      </c>
      <c r="N10" s="46">
        <v>1.628768229166667</v>
      </c>
      <c r="O10" s="46">
        <v>30.188768229166662</v>
      </c>
      <c r="P10" s="35">
        <v>468696.29598335957</v>
      </c>
      <c r="Q10" s="46">
        <f t="shared" si="0"/>
        <v>374957.03678668768</v>
      </c>
      <c r="R10" s="1">
        <v>515565.92558169557</v>
      </c>
      <c r="S10" s="1">
        <v>2023</v>
      </c>
      <c r="T10" s="46">
        <v>2.8343520000000009</v>
      </c>
      <c r="U10" s="46">
        <v>13.682352000000003</v>
      </c>
      <c r="V10" s="35">
        <v>4115118.1395462458</v>
      </c>
      <c r="W10" s="46">
        <v>0.95809895833333347</v>
      </c>
      <c r="X10" s="46">
        <v>11.806098958333337</v>
      </c>
      <c r="Y10" s="35">
        <v>4488324.5877987426</v>
      </c>
      <c r="Z10" s="46">
        <f t="shared" si="1"/>
        <v>3590659.6702389941</v>
      </c>
      <c r="AA10" s="48">
        <f t="shared" si="2"/>
        <v>4937157.0465786168</v>
      </c>
      <c r="AD10" s="66"/>
      <c r="AF10" t="s">
        <v>19</v>
      </c>
      <c r="AG10" t="s">
        <v>15</v>
      </c>
      <c r="AH10">
        <v>0</v>
      </c>
      <c r="AI10">
        <v>0</v>
      </c>
      <c r="AJ10">
        <v>4</v>
      </c>
      <c r="AK10">
        <v>4</v>
      </c>
      <c r="AL10">
        <v>2</v>
      </c>
      <c r="AM10">
        <v>0</v>
      </c>
      <c r="AN10">
        <v>0</v>
      </c>
      <c r="AO10">
        <v>0</v>
      </c>
      <c r="AP10">
        <v>0</v>
      </c>
      <c r="AQ10">
        <v>0</v>
      </c>
      <c r="AR10" t="s">
        <v>16</v>
      </c>
      <c r="AX10" s="66"/>
    </row>
    <row r="11" spans="1:50" x14ac:dyDescent="0.3">
      <c r="A11" s="66"/>
      <c r="B11" s="1"/>
      <c r="C11" s="1" t="s">
        <v>7</v>
      </c>
      <c r="D11" s="1" t="s">
        <v>8</v>
      </c>
      <c r="I11" s="66"/>
      <c r="J11" s="1">
        <v>2024</v>
      </c>
      <c r="K11" s="46">
        <v>5.1018336000000009</v>
      </c>
      <c r="L11" s="46">
        <v>33.661833599999994</v>
      </c>
      <c r="M11" s="35">
        <v>426173.0703676315</v>
      </c>
      <c r="N11" s="46">
        <v>1.773815104166667</v>
      </c>
      <c r="O11" s="46">
        <v>30.333815104166661</v>
      </c>
      <c r="P11" s="35">
        <v>494536.88198357733</v>
      </c>
      <c r="Q11" s="46">
        <f t="shared" si="0"/>
        <v>395629.50558686187</v>
      </c>
      <c r="R11" s="1">
        <v>543990.57018193509</v>
      </c>
      <c r="S11" s="1">
        <v>2024</v>
      </c>
      <c r="T11" s="46">
        <v>3.316191840000001</v>
      </c>
      <c r="U11" s="46">
        <v>14.164191840000004</v>
      </c>
      <c r="V11" s="35">
        <v>4176292.7133427956</v>
      </c>
      <c r="W11" s="46">
        <v>1.1529798177083335</v>
      </c>
      <c r="X11" s="46">
        <v>12.000979817708336</v>
      </c>
      <c r="Y11" s="35">
        <v>4600331.9898786126</v>
      </c>
      <c r="Z11" s="46">
        <f t="shared" si="1"/>
        <v>3680265.5919028902</v>
      </c>
      <c r="AA11" s="48">
        <f t="shared" si="2"/>
        <v>5060365.1888664747</v>
      </c>
      <c r="AD11" s="66"/>
      <c r="AF11" t="s">
        <v>20</v>
      </c>
      <c r="AG11" t="s">
        <v>21</v>
      </c>
      <c r="AH11">
        <v>3</v>
      </c>
      <c r="AI11">
        <v>3</v>
      </c>
      <c r="AJ11">
        <v>3</v>
      </c>
      <c r="AK11">
        <v>3</v>
      </c>
      <c r="AL11">
        <v>3</v>
      </c>
      <c r="AM11">
        <v>3</v>
      </c>
      <c r="AN11">
        <v>3</v>
      </c>
      <c r="AO11">
        <v>3</v>
      </c>
      <c r="AP11">
        <v>3</v>
      </c>
      <c r="AQ11">
        <v>3</v>
      </c>
      <c r="AR11" t="s">
        <v>99</v>
      </c>
      <c r="AX11" s="66"/>
    </row>
    <row r="12" spans="1:50" x14ac:dyDescent="0.3">
      <c r="A12" s="66"/>
      <c r="B12" s="1" t="s">
        <v>4</v>
      </c>
      <c r="C12" s="1">
        <v>8500</v>
      </c>
      <c r="D12" s="1">
        <v>8500</v>
      </c>
      <c r="I12" s="66"/>
      <c r="J12" s="1">
        <v>2025</v>
      </c>
      <c r="K12" s="46">
        <v>6.2992221216280964</v>
      </c>
      <c r="L12" s="46">
        <v>34.859222121628093</v>
      </c>
      <c r="M12" s="35">
        <v>431354.99776384182</v>
      </c>
      <c r="N12" s="46">
        <v>2.3968477210112549</v>
      </c>
      <c r="O12" s="46">
        <v>30.95684772101125</v>
      </c>
      <c r="P12" s="35">
        <v>510547.84016265022</v>
      </c>
      <c r="Q12" s="46">
        <f t="shared" si="0"/>
        <v>408438.2721301202</v>
      </c>
      <c r="R12" s="1">
        <v>561602.62417891528</v>
      </c>
      <c r="S12" s="1">
        <v>2025</v>
      </c>
      <c r="T12" s="46">
        <v>4.0944943790582631</v>
      </c>
      <c r="U12" s="46">
        <v>14.942494379058266</v>
      </c>
      <c r="V12" s="35">
        <v>4187518.3922640993</v>
      </c>
      <c r="W12" s="46">
        <v>1.5579510186573158</v>
      </c>
      <c r="X12" s="46">
        <v>12.405951018657319</v>
      </c>
      <c r="Y12" s="35">
        <v>4672375.8810876841</v>
      </c>
      <c r="Z12" s="46">
        <f t="shared" si="1"/>
        <v>3737900.7048701476</v>
      </c>
      <c r="AA12" s="48">
        <f t="shared" si="2"/>
        <v>5139613.4691964528</v>
      </c>
      <c r="AD12" s="66"/>
      <c r="AF12" t="s">
        <v>22</v>
      </c>
      <c r="AG12" t="s">
        <v>23</v>
      </c>
      <c r="AH12">
        <v>0.5</v>
      </c>
      <c r="AI12">
        <v>0.5</v>
      </c>
      <c r="AJ12">
        <v>0.5</v>
      </c>
      <c r="AK12">
        <v>0.5</v>
      </c>
      <c r="AL12">
        <v>0.5</v>
      </c>
      <c r="AM12">
        <v>0.5</v>
      </c>
      <c r="AN12">
        <v>0.5</v>
      </c>
      <c r="AO12">
        <v>0.5</v>
      </c>
      <c r="AP12">
        <v>0.5</v>
      </c>
      <c r="AQ12">
        <v>0.5</v>
      </c>
      <c r="AR12" t="s">
        <v>99</v>
      </c>
      <c r="AX12" s="66"/>
    </row>
    <row r="13" spans="1:50" x14ac:dyDescent="0.3">
      <c r="A13" s="66"/>
      <c r="B13" s="1" t="s">
        <v>6</v>
      </c>
      <c r="C13" s="36">
        <v>15</v>
      </c>
      <c r="D13" s="36">
        <v>1</v>
      </c>
      <c r="I13" s="66"/>
      <c r="J13" s="1">
        <v>2026</v>
      </c>
      <c r="K13" s="46">
        <v>7.0969934002405566</v>
      </c>
      <c r="L13" s="46">
        <v>35.656993400240552</v>
      </c>
      <c r="M13" s="35">
        <v>444731.63603462157</v>
      </c>
      <c r="N13" s="46">
        <v>2.8221649491403036</v>
      </c>
      <c r="O13" s="46">
        <v>31.3821649491403</v>
      </c>
      <c r="P13" s="35">
        <v>531587.22014365497</v>
      </c>
      <c r="Q13" s="46">
        <f t="shared" si="0"/>
        <v>425269.776114924</v>
      </c>
      <c r="R13" s="1">
        <v>584745.94215802057</v>
      </c>
      <c r="S13" s="1">
        <v>2026</v>
      </c>
      <c r="T13" s="46">
        <v>4.6130457101563618</v>
      </c>
      <c r="U13" s="46">
        <v>15.461045710156364</v>
      </c>
      <c r="V13" s="35">
        <v>4251118.0668230243</v>
      </c>
      <c r="W13" s="46">
        <v>1.8344072169411971</v>
      </c>
      <c r="X13" s="46">
        <v>12.682407216941201</v>
      </c>
      <c r="Y13" s="35">
        <v>4773785.4523697151</v>
      </c>
      <c r="Z13" s="46">
        <f t="shared" si="1"/>
        <v>3819028.3618957722</v>
      </c>
      <c r="AA13" s="48">
        <f t="shared" si="2"/>
        <v>5251163.9976066872</v>
      </c>
      <c r="AD13" s="66"/>
      <c r="AF13" t="s">
        <v>24</v>
      </c>
      <c r="AG13" t="s">
        <v>15</v>
      </c>
      <c r="AH13">
        <v>5</v>
      </c>
      <c r="AI13">
        <v>5</v>
      </c>
      <c r="AJ13">
        <v>5</v>
      </c>
      <c r="AK13">
        <v>5</v>
      </c>
      <c r="AL13">
        <v>5</v>
      </c>
      <c r="AM13">
        <v>5</v>
      </c>
      <c r="AN13">
        <v>5</v>
      </c>
      <c r="AO13">
        <v>5</v>
      </c>
      <c r="AP13">
        <v>5</v>
      </c>
      <c r="AQ13">
        <v>5</v>
      </c>
      <c r="AR13" t="s">
        <v>25</v>
      </c>
      <c r="AX13" s="66"/>
    </row>
    <row r="14" spans="1:50" x14ac:dyDescent="0.3">
      <c r="A14" s="66"/>
      <c r="B14" s="1" t="s">
        <v>84</v>
      </c>
      <c r="C14" s="29">
        <v>0.25</v>
      </c>
      <c r="D14" s="29">
        <v>0.25</v>
      </c>
      <c r="I14" s="66"/>
      <c r="J14" s="1">
        <v>2027</v>
      </c>
      <c r="K14" s="46">
        <v>7.7108599169930221</v>
      </c>
      <c r="L14" s="46">
        <v>36.270859916993018</v>
      </c>
      <c r="M14" s="35">
        <v>462180.57706354174</v>
      </c>
      <c r="N14" s="46">
        <v>3.1572271428362058</v>
      </c>
      <c r="O14" s="46">
        <v>31.717227142836201</v>
      </c>
      <c r="P14" s="35">
        <v>555329.01141167886</v>
      </c>
      <c r="Q14" s="46">
        <f t="shared" si="0"/>
        <v>444263.2091293431</v>
      </c>
      <c r="R14" s="1">
        <v>610861.91255284683</v>
      </c>
      <c r="S14" s="1">
        <v>2027</v>
      </c>
      <c r="T14" s="46">
        <v>5.0120589460454639</v>
      </c>
      <c r="U14" s="46">
        <v>15.860058946045466</v>
      </c>
      <c r="V14" s="35">
        <v>4339682.2479859767</v>
      </c>
      <c r="W14" s="46">
        <v>2.0521976428435336</v>
      </c>
      <c r="X14" s="46">
        <v>12.900197642843537</v>
      </c>
      <c r="Y14" s="35">
        <v>4889765.9087724108</v>
      </c>
      <c r="Z14" s="46">
        <f t="shared" si="1"/>
        <v>3911812.7270179288</v>
      </c>
      <c r="AA14" s="48">
        <f t="shared" si="2"/>
        <v>5378742.4996496523</v>
      </c>
      <c r="AD14" s="66"/>
      <c r="AF14" t="s">
        <v>100</v>
      </c>
      <c r="AG14" t="s">
        <v>26</v>
      </c>
      <c r="AH14">
        <v>50000</v>
      </c>
      <c r="AI14">
        <v>52000</v>
      </c>
      <c r="AJ14">
        <v>54080</v>
      </c>
      <c r="AK14">
        <v>56243.200000000004</v>
      </c>
      <c r="AL14">
        <v>58492.928000000007</v>
      </c>
      <c r="AM14">
        <v>60832.645120000008</v>
      </c>
      <c r="AN14">
        <v>63265.95092480001</v>
      </c>
      <c r="AO14">
        <v>65796.588961792018</v>
      </c>
      <c r="AP14">
        <v>68428.452520263701</v>
      </c>
      <c r="AQ14">
        <v>71165.590621074254</v>
      </c>
      <c r="AR14" t="s">
        <v>101</v>
      </c>
      <c r="AX14" s="66"/>
    </row>
    <row r="15" spans="1:50" x14ac:dyDescent="0.3">
      <c r="A15" s="66"/>
      <c r="B15" s="1" t="s">
        <v>85</v>
      </c>
      <c r="C15" s="29">
        <v>0.12</v>
      </c>
      <c r="D15" s="29">
        <v>0.1</v>
      </c>
      <c r="E15" t="s">
        <v>80</v>
      </c>
      <c r="I15" s="66"/>
      <c r="J15" s="1">
        <v>2028</v>
      </c>
      <c r="K15" s="46">
        <v>8.2170569661582871</v>
      </c>
      <c r="L15" s="46">
        <v>36.777056966158284</v>
      </c>
      <c r="M15" s="35">
        <v>482319.70076606073</v>
      </c>
      <c r="N15" s="46">
        <v>3.4388969034841375</v>
      </c>
      <c r="O15" s="46">
        <v>31.998896903484134</v>
      </c>
      <c r="P15" s="35">
        <v>580999.74035915593</v>
      </c>
      <c r="Q15" s="46">
        <f t="shared" si="0"/>
        <v>464799.79228732479</v>
      </c>
      <c r="R15" s="1">
        <v>639099.71439507161</v>
      </c>
      <c r="S15" s="1">
        <v>2028</v>
      </c>
      <c r="T15" s="46">
        <v>5.3410870280028862</v>
      </c>
      <c r="U15" s="46">
        <v>16.189087028002888</v>
      </c>
      <c r="V15" s="35">
        <v>4443742.4877104219</v>
      </c>
      <c r="W15" s="46">
        <v>2.2352829872646898</v>
      </c>
      <c r="X15" s="46">
        <v>13.083282987264692</v>
      </c>
      <c r="Y15" s="35">
        <v>5015283.5618754691</v>
      </c>
      <c r="Z15" s="46">
        <f t="shared" si="1"/>
        <v>4012226.8495003753</v>
      </c>
      <c r="AA15" s="48">
        <f t="shared" si="2"/>
        <v>5516811.9180630166</v>
      </c>
      <c r="AD15" s="66"/>
      <c r="AF15" t="s">
        <v>27</v>
      </c>
      <c r="AG15" t="s">
        <v>23</v>
      </c>
      <c r="AH15">
        <v>4.8000000000000001E-2</v>
      </c>
      <c r="AI15">
        <v>4.8000000000000001E-2</v>
      </c>
      <c r="AJ15">
        <v>4.8000000000000001E-2</v>
      </c>
      <c r="AK15">
        <v>4.8000000000000001E-2</v>
      </c>
      <c r="AL15">
        <v>4.8000000000000001E-2</v>
      </c>
      <c r="AM15">
        <v>4.8000000000000001E-2</v>
      </c>
      <c r="AN15">
        <v>4.8000000000000001E-2</v>
      </c>
      <c r="AO15">
        <v>4.8000000000000001E-2</v>
      </c>
      <c r="AP15">
        <v>4.8000000000000001E-2</v>
      </c>
      <c r="AQ15">
        <v>4.8000000000000001E-2</v>
      </c>
      <c r="AR15" t="s">
        <v>28</v>
      </c>
      <c r="AX15" s="66"/>
    </row>
    <row r="16" spans="1:50" x14ac:dyDescent="0.3">
      <c r="A16" s="66"/>
      <c r="B16" s="1" t="s">
        <v>86</v>
      </c>
      <c r="C16" s="29">
        <v>0.5</v>
      </c>
      <c r="D16" s="29">
        <v>0.5</v>
      </c>
      <c r="E16" t="s">
        <v>81</v>
      </c>
      <c r="I16" s="66"/>
      <c r="J16" s="1">
        <v>2029</v>
      </c>
      <c r="K16" s="46">
        <v>8.6516547876844214</v>
      </c>
      <c r="L16" s="46">
        <v>37.211654787684417</v>
      </c>
      <c r="M16" s="35">
        <v>504523.77447961189</v>
      </c>
      <c r="N16" s="46">
        <v>3.6846360015747806</v>
      </c>
      <c r="O16" s="46">
        <v>32.244636001574776</v>
      </c>
      <c r="P16" s="35">
        <v>608241.48791885248</v>
      </c>
      <c r="Q16" s="46">
        <f t="shared" si="0"/>
        <v>486593.19033508201</v>
      </c>
      <c r="R16" s="1">
        <v>669065.63671073783</v>
      </c>
      <c r="S16" s="1">
        <v>2029</v>
      </c>
      <c r="T16" s="46">
        <v>5.623575611994875</v>
      </c>
      <c r="U16" s="46">
        <v>16.471575611994879</v>
      </c>
      <c r="V16" s="35">
        <v>4558894.1358534228</v>
      </c>
      <c r="W16" s="46">
        <v>2.3950134010236077</v>
      </c>
      <c r="X16" s="46">
        <v>13.243013401023612</v>
      </c>
      <c r="Y16" s="35">
        <v>5147968.3692292245</v>
      </c>
      <c r="Z16" s="46">
        <f t="shared" si="1"/>
        <v>4118374.6953833797</v>
      </c>
      <c r="AA16" s="48">
        <f t="shared" si="2"/>
        <v>5662765.2061521476</v>
      </c>
      <c r="AD16" s="66"/>
      <c r="AF16" t="s">
        <v>29</v>
      </c>
      <c r="AG16" t="s">
        <v>23</v>
      </c>
      <c r="AH16">
        <v>0.12</v>
      </c>
      <c r="AI16">
        <v>0.12</v>
      </c>
      <c r="AJ16">
        <v>0.12</v>
      </c>
      <c r="AK16">
        <v>0.12</v>
      </c>
      <c r="AL16">
        <v>0.12</v>
      </c>
      <c r="AM16">
        <v>0.12</v>
      </c>
      <c r="AN16">
        <v>0.12</v>
      </c>
      <c r="AO16">
        <v>0.12</v>
      </c>
      <c r="AP16">
        <v>0.12</v>
      </c>
      <c r="AQ16">
        <v>0.12</v>
      </c>
      <c r="AR16" t="s">
        <v>102</v>
      </c>
      <c r="AX16" s="66"/>
    </row>
    <row r="17" spans="1:50" x14ac:dyDescent="0.3">
      <c r="A17" s="66"/>
      <c r="B17" s="1" t="s">
        <v>9</v>
      </c>
      <c r="C17" s="1">
        <v>1</v>
      </c>
      <c r="D17" s="1">
        <v>1</v>
      </c>
      <c r="I17" s="66"/>
      <c r="J17" s="1">
        <v>2030</v>
      </c>
      <c r="K17" s="46">
        <v>9.0347618978500428</v>
      </c>
      <c r="L17" s="46">
        <v>37.594761897850034</v>
      </c>
      <c r="M17" s="35">
        <v>528457.96162848989</v>
      </c>
      <c r="N17" s="46">
        <v>3.9042423782781981</v>
      </c>
      <c r="O17" s="46">
        <v>32.464242378278186</v>
      </c>
      <c r="P17" s="35">
        <v>636856.31867806159</v>
      </c>
      <c r="Q17" s="46">
        <f t="shared" si="0"/>
        <v>509485.05494244932</v>
      </c>
      <c r="R17" s="1">
        <v>700541.95054586779</v>
      </c>
      <c r="S17" s="1">
        <v>2030</v>
      </c>
      <c r="T17" s="46">
        <v>5.8725952336025289</v>
      </c>
      <c r="U17" s="46">
        <v>16.720595233602534</v>
      </c>
      <c r="V17" s="35">
        <v>4682716.1151685687</v>
      </c>
      <c r="W17" s="46">
        <v>2.5377575458808299</v>
      </c>
      <c r="X17" s="46">
        <v>13.385757545880836</v>
      </c>
      <c r="Y17" s="35">
        <v>5286497.0094172684</v>
      </c>
      <c r="Z17" s="46">
        <f t="shared" si="1"/>
        <v>4229197.6075338153</v>
      </c>
      <c r="AA17" s="48">
        <f t="shared" si="2"/>
        <v>5815146.7103589959</v>
      </c>
      <c r="AD17" s="66"/>
      <c r="AF17" t="s">
        <v>30</v>
      </c>
      <c r="AG17" t="s">
        <v>23</v>
      </c>
      <c r="AH17">
        <v>0.2</v>
      </c>
      <c r="AI17">
        <v>0.2</v>
      </c>
      <c r="AJ17">
        <v>0.2</v>
      </c>
      <c r="AK17">
        <v>0.2</v>
      </c>
      <c r="AL17">
        <v>0.2</v>
      </c>
      <c r="AM17">
        <v>0.2</v>
      </c>
      <c r="AN17">
        <v>0.2</v>
      </c>
      <c r="AO17">
        <v>0.2</v>
      </c>
      <c r="AP17">
        <v>0.2</v>
      </c>
      <c r="AQ17">
        <v>0.2</v>
      </c>
      <c r="AR17" t="s">
        <v>102</v>
      </c>
      <c r="AX17" s="66"/>
    </row>
    <row r="18" spans="1:50" x14ac:dyDescent="0.3">
      <c r="A18" s="66"/>
      <c r="B18" s="1" t="s">
        <v>97</v>
      </c>
      <c r="C18" s="37">
        <f>C12+($C$8*C13*C14)+($C$9*C17)</f>
        <v>121127.734375</v>
      </c>
      <c r="D18" s="37">
        <f>D12+($C$8*D13)+($C$9*D17)</f>
        <v>52377.734375</v>
      </c>
      <c r="I18" s="66"/>
      <c r="J18" s="1">
        <v>2031</v>
      </c>
      <c r="K18" s="46">
        <v>9.3788232514056755</v>
      </c>
      <c r="L18" s="46">
        <v>37.938823251405665</v>
      </c>
      <c r="M18" s="35">
        <v>553922.11963107204</v>
      </c>
      <c r="N18" s="46">
        <v>4.1038264175589294</v>
      </c>
      <c r="O18" s="46">
        <v>32.663826417558916</v>
      </c>
      <c r="P18" s="35">
        <v>666721.16858880175</v>
      </c>
      <c r="Q18" s="46">
        <f t="shared" si="0"/>
        <v>533376.93487104145</v>
      </c>
      <c r="R18" s="1">
        <v>733393.28544768202</v>
      </c>
      <c r="S18" s="1">
        <v>2031</v>
      </c>
      <c r="T18" s="46">
        <v>6.096235113413691</v>
      </c>
      <c r="U18" s="46">
        <v>16.944235113413697</v>
      </c>
      <c r="V18" s="35">
        <v>4813727.8667499898</v>
      </c>
      <c r="W18" s="46">
        <v>2.6674871714133053</v>
      </c>
      <c r="X18" s="46">
        <v>13.515487171413312</v>
      </c>
      <c r="Y18" s="35">
        <v>5430047.558644996</v>
      </c>
      <c r="Z18" s="46">
        <f t="shared" si="1"/>
        <v>4344038.0469159968</v>
      </c>
      <c r="AA18" s="48">
        <f t="shared" si="2"/>
        <v>5973052.3145094961</v>
      </c>
      <c r="AD18" s="66"/>
      <c r="AF18" t="s">
        <v>31</v>
      </c>
      <c r="AG18" t="s">
        <v>23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X18" s="66"/>
    </row>
    <row r="19" spans="1:50" x14ac:dyDescent="0.3">
      <c r="A19" s="66"/>
      <c r="B19" s="1" t="s">
        <v>98</v>
      </c>
      <c r="C19" s="44">
        <f>C18/$C$7</f>
        <v>22.023224431818182</v>
      </c>
      <c r="D19" s="44">
        <f>D18/$C$7</f>
        <v>9.523224431818182</v>
      </c>
      <c r="I19" s="66"/>
      <c r="J19" s="1">
        <v>2032</v>
      </c>
      <c r="K19" s="46">
        <v>9.6921201864990181</v>
      </c>
      <c r="L19" s="46">
        <v>38.252120186499006</v>
      </c>
      <c r="M19" s="35">
        <v>580786.67588253052</v>
      </c>
      <c r="N19" s="46">
        <v>4.287485635961259</v>
      </c>
      <c r="O19" s="46">
        <v>32.847485635961249</v>
      </c>
      <c r="P19" s="35">
        <v>697752.59632922197</v>
      </c>
      <c r="Q19" s="46">
        <f t="shared" si="0"/>
        <v>558202.0770633776</v>
      </c>
      <c r="R19" s="1">
        <v>767527.85596214421</v>
      </c>
      <c r="S19" s="1">
        <v>2032</v>
      </c>
      <c r="T19" s="46">
        <v>6.2998781212243653</v>
      </c>
      <c r="U19" s="46">
        <v>17.147878121224373</v>
      </c>
      <c r="V19" s="35">
        <v>4950953.954419313</v>
      </c>
      <c r="W19" s="46">
        <v>2.7868656633748197</v>
      </c>
      <c r="X19" s="46">
        <v>13.634865663374828</v>
      </c>
      <c r="Y19" s="35">
        <v>5578070.7468453115</v>
      </c>
      <c r="Z19" s="46">
        <f t="shared" si="1"/>
        <v>4462456.5974762496</v>
      </c>
      <c r="AA19" s="48">
        <f t="shared" si="2"/>
        <v>6135877.8215298429</v>
      </c>
      <c r="AD19" s="66"/>
      <c r="AF19" t="s">
        <v>32</v>
      </c>
      <c r="AG19" t="s">
        <v>23</v>
      </c>
      <c r="AM19">
        <v>3.6999999999999998E-2</v>
      </c>
      <c r="AN19">
        <v>3.6999999999999998E-2</v>
      </c>
      <c r="AO19">
        <v>3.6999999999999998E-2</v>
      </c>
      <c r="AP19">
        <v>3.6999999999999998E-2</v>
      </c>
      <c r="AQ19">
        <v>3.6999999999999998E-2</v>
      </c>
      <c r="AR19" t="s">
        <v>28</v>
      </c>
      <c r="AX19" s="66"/>
    </row>
    <row r="20" spans="1:50" x14ac:dyDescent="0.3">
      <c r="A20" s="66"/>
      <c r="I20" s="66"/>
      <c r="J20" s="1">
        <v>2033</v>
      </c>
      <c r="K20" s="46">
        <v>9.9804653319508265</v>
      </c>
      <c r="L20" s="46">
        <v>38.540465331950813</v>
      </c>
      <c r="M20" s="35">
        <v>608962.27065375401</v>
      </c>
      <c r="N20" s="46">
        <v>4.458117459116778</v>
      </c>
      <c r="O20" s="46">
        <v>33.018117459116766</v>
      </c>
      <c r="P20" s="35">
        <v>729889.97421564232</v>
      </c>
      <c r="Q20" s="46">
        <f t="shared" si="0"/>
        <v>583911.97937251383</v>
      </c>
      <c r="R20" s="1">
        <v>802878.97163720662</v>
      </c>
      <c r="S20" s="1">
        <v>2033</v>
      </c>
      <c r="T20" s="46">
        <v>6.4873024657680389</v>
      </c>
      <c r="U20" s="46">
        <v>17.335302465768045</v>
      </c>
      <c r="V20" s="35">
        <v>5093715.214645775</v>
      </c>
      <c r="W20" s="46">
        <v>2.8977763484259071</v>
      </c>
      <c r="X20" s="46">
        <v>13.745776348425913</v>
      </c>
      <c r="Y20" s="35">
        <v>5730179.3892161259</v>
      </c>
      <c r="Z20" s="46">
        <f t="shared" si="1"/>
        <v>4584143.5113729006</v>
      </c>
      <c r="AA20" s="48">
        <f t="shared" si="2"/>
        <v>6303197.3281377386</v>
      </c>
      <c r="AD20" s="66"/>
      <c r="AF20" t="s">
        <v>33</v>
      </c>
      <c r="AG20" t="s">
        <v>34</v>
      </c>
      <c r="AH20">
        <v>25</v>
      </c>
      <c r="AI20">
        <v>25</v>
      </c>
      <c r="AJ20">
        <v>25</v>
      </c>
      <c r="AK20">
        <v>25</v>
      </c>
      <c r="AL20">
        <v>25</v>
      </c>
      <c r="AM20">
        <v>25</v>
      </c>
      <c r="AN20">
        <v>25</v>
      </c>
      <c r="AO20">
        <v>25</v>
      </c>
      <c r="AP20">
        <v>25</v>
      </c>
      <c r="AQ20">
        <v>25</v>
      </c>
      <c r="AR20" t="s">
        <v>103</v>
      </c>
      <c r="AX20" s="66"/>
    </row>
    <row r="21" spans="1:50" x14ac:dyDescent="0.3">
      <c r="A21" s="66"/>
      <c r="I21" s="66"/>
      <c r="J21" s="1">
        <v>2034</v>
      </c>
      <c r="K21" s="46">
        <v>10.248108926317084</v>
      </c>
      <c r="L21" s="46">
        <v>38.808108926317075</v>
      </c>
      <c r="M21" s="35">
        <v>638383.88635386142</v>
      </c>
      <c r="N21" s="46">
        <v>4.6178554341443379</v>
      </c>
      <c r="O21" s="46">
        <v>33.177855434144327</v>
      </c>
      <c r="P21" s="35">
        <v>763086.63857415784</v>
      </c>
      <c r="Q21" s="46">
        <f t="shared" si="0"/>
        <v>610469.31085932627</v>
      </c>
      <c r="R21" s="1">
        <v>839395.30243157374</v>
      </c>
      <c r="S21" s="1">
        <v>2034</v>
      </c>
      <c r="T21" s="46">
        <v>6.6612708021061069</v>
      </c>
      <c r="U21" s="46">
        <v>17.509270802106112</v>
      </c>
      <c r="V21" s="35">
        <v>5241518.1003632927</v>
      </c>
      <c r="W21" s="46">
        <v>3.0016060321938203</v>
      </c>
      <c r="X21" s="46">
        <v>13.849606032193826</v>
      </c>
      <c r="Y21" s="35">
        <v>5886089.2948853187</v>
      </c>
      <c r="Z21" s="46">
        <f t="shared" si="1"/>
        <v>4708871.4359082552</v>
      </c>
      <c r="AA21" s="48">
        <f t="shared" si="2"/>
        <v>6474698.224373851</v>
      </c>
      <c r="AD21" s="66"/>
      <c r="AF21" t="s">
        <v>35</v>
      </c>
      <c r="AG21" t="s">
        <v>34</v>
      </c>
      <c r="AH21">
        <v>1</v>
      </c>
      <c r="AI21">
        <v>1</v>
      </c>
      <c r="AJ21">
        <v>1</v>
      </c>
      <c r="AK21">
        <v>1</v>
      </c>
      <c r="AL21">
        <v>1</v>
      </c>
      <c r="AM21">
        <v>1</v>
      </c>
      <c r="AN21">
        <v>1</v>
      </c>
      <c r="AO21">
        <v>1</v>
      </c>
      <c r="AP21">
        <v>1</v>
      </c>
      <c r="AQ21">
        <v>1</v>
      </c>
      <c r="AR21" t="s">
        <v>28</v>
      </c>
      <c r="AX21" s="66"/>
    </row>
    <row r="22" spans="1:50" x14ac:dyDescent="0.3">
      <c r="A22" s="66"/>
      <c r="B22" t="s">
        <v>79</v>
      </c>
      <c r="D22" s="34">
        <f>C18-D18</f>
        <v>68750</v>
      </c>
      <c r="I22" s="66"/>
      <c r="J22" s="1">
        <v>2035</v>
      </c>
      <c r="K22" s="46">
        <v>10.498261099861011</v>
      </c>
      <c r="L22" s="46">
        <v>39.058261099860999</v>
      </c>
      <c r="M22" s="35">
        <v>669001.91289252462</v>
      </c>
      <c r="N22" s="46">
        <v>4.7683216837062146</v>
      </c>
      <c r="O22" s="46">
        <v>33.3283216837062</v>
      </c>
      <c r="P22" s="35">
        <v>797304.87853960996</v>
      </c>
      <c r="Q22" s="46">
        <f t="shared" si="0"/>
        <v>637843.90283168806</v>
      </c>
      <c r="R22" s="1">
        <v>877035.36639357102</v>
      </c>
      <c r="S22" s="1">
        <v>2035</v>
      </c>
      <c r="T22" s="46">
        <v>6.8238697149096597</v>
      </c>
      <c r="U22" s="46">
        <v>17.671869714909665</v>
      </c>
      <c r="V22" s="35">
        <v>5393991.4960076278</v>
      </c>
      <c r="W22" s="46">
        <v>3.0994090944090407</v>
      </c>
      <c r="X22" s="46">
        <v>13.947409094409046</v>
      </c>
      <c r="Y22" s="35">
        <v>6045585.2226720564</v>
      </c>
      <c r="Z22" s="46">
        <f t="shared" si="1"/>
        <v>4836468.1781376451</v>
      </c>
      <c r="AA22" s="48">
        <f t="shared" si="2"/>
        <v>6650143.744939263</v>
      </c>
      <c r="AD22" s="66"/>
      <c r="AF22" t="s">
        <v>36</v>
      </c>
      <c r="AG22" t="s">
        <v>21</v>
      </c>
      <c r="AH22">
        <v>1</v>
      </c>
      <c r="AI22">
        <v>1</v>
      </c>
      <c r="AJ22">
        <v>1</v>
      </c>
      <c r="AK22">
        <v>1</v>
      </c>
      <c r="AL22">
        <v>1</v>
      </c>
      <c r="AM22">
        <v>1</v>
      </c>
      <c r="AN22">
        <v>1</v>
      </c>
      <c r="AO22">
        <v>1</v>
      </c>
      <c r="AP22">
        <v>1</v>
      </c>
      <c r="AQ22">
        <v>1</v>
      </c>
      <c r="AR22" t="s">
        <v>28</v>
      </c>
      <c r="AX22" s="66"/>
    </row>
    <row r="23" spans="1:50" x14ac:dyDescent="0.3">
      <c r="A23" s="66"/>
      <c r="B23" t="s">
        <v>82</v>
      </c>
      <c r="D23" s="2">
        <f>D22/C7</f>
        <v>12.5</v>
      </c>
      <c r="I23" s="66"/>
      <c r="J23" s="1">
        <v>2036</v>
      </c>
      <c r="K23" s="46">
        <v>10.733411003808103</v>
      </c>
      <c r="L23" s="46">
        <v>39.293411003808089</v>
      </c>
      <c r="M23" s="35">
        <v>700776.82368939335</v>
      </c>
      <c r="N23" s="46">
        <v>4.9107818607109275</v>
      </c>
      <c r="O23" s="46">
        <v>33.470781860710915</v>
      </c>
      <c r="P23" s="35">
        <v>832512.93755308783</v>
      </c>
      <c r="Q23" s="46">
        <f t="shared" si="0"/>
        <v>666010.35004247027</v>
      </c>
      <c r="R23" s="1">
        <v>915764.23130839667</v>
      </c>
      <c r="S23" s="1">
        <v>2036</v>
      </c>
      <c r="T23" s="46">
        <v>6.9767171524752705</v>
      </c>
      <c r="U23" s="46">
        <v>17.824717152475277</v>
      </c>
      <c r="V23" s="35">
        <v>5550848.469594622</v>
      </c>
      <c r="W23" s="46">
        <v>3.1920082094621041</v>
      </c>
      <c r="X23" s="46">
        <v>14.04000820946211</v>
      </c>
      <c r="Y23" s="35">
        <v>6208500.0870243097</v>
      </c>
      <c r="Z23" s="46">
        <f t="shared" si="1"/>
        <v>4966800.0696194479</v>
      </c>
      <c r="AA23" s="48">
        <f t="shared" si="2"/>
        <v>6829350.0957267415</v>
      </c>
      <c r="AD23" s="66"/>
      <c r="AF23" t="s">
        <v>37</v>
      </c>
      <c r="AG23" t="s">
        <v>34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13</v>
      </c>
      <c r="AN23">
        <v>32</v>
      </c>
      <c r="AO23">
        <v>57</v>
      </c>
      <c r="AP23">
        <v>84</v>
      </c>
      <c r="AQ23">
        <v>96</v>
      </c>
      <c r="AR23" t="s">
        <v>104</v>
      </c>
      <c r="AX23" s="66"/>
    </row>
    <row r="24" spans="1:50" x14ac:dyDescent="0.3">
      <c r="A24" s="66"/>
      <c r="I24" s="66"/>
      <c r="J24" s="1">
        <v>2037</v>
      </c>
      <c r="K24" s="46">
        <v>10.95553122453812</v>
      </c>
      <c r="L24" s="46">
        <v>39.515531224538108</v>
      </c>
      <c r="M24" s="35">
        <v>733675.85938275338</v>
      </c>
      <c r="N24" s="46">
        <v>5.0462448558427111</v>
      </c>
      <c r="O24" s="46">
        <v>33.606244855842696</v>
      </c>
      <c r="P24" s="35">
        <v>868683.14170300344</v>
      </c>
      <c r="Q24" s="46">
        <f t="shared" si="0"/>
        <v>694946.51336240279</v>
      </c>
      <c r="R24" s="1">
        <v>955551.45587330381</v>
      </c>
      <c r="S24" s="1">
        <v>2037</v>
      </c>
      <c r="T24" s="46">
        <v>7.1210952959497797</v>
      </c>
      <c r="U24" s="46">
        <v>17.969095295949785</v>
      </c>
      <c r="V24" s="35">
        <v>5711862.0102269379</v>
      </c>
      <c r="W24" s="46">
        <v>3.2800591562977632</v>
      </c>
      <c r="X24" s="46">
        <v>14.12805915629777</v>
      </c>
      <c r="Y24" s="35">
        <v>6374701.6487307586</v>
      </c>
      <c r="Z24" s="46">
        <f t="shared" si="1"/>
        <v>5099761.3189846072</v>
      </c>
      <c r="AA24" s="48">
        <f t="shared" si="2"/>
        <v>7012171.8136038352</v>
      </c>
      <c r="AD24" s="66"/>
      <c r="AF24" t="s">
        <v>38</v>
      </c>
      <c r="AM24">
        <v>13</v>
      </c>
      <c r="AN24">
        <v>19</v>
      </c>
      <c r="AO24">
        <v>25</v>
      </c>
      <c r="AP24">
        <v>27</v>
      </c>
      <c r="AQ24">
        <v>12</v>
      </c>
      <c r="AX24" s="66"/>
    </row>
    <row r="25" spans="1:50" ht="66.599999999999994" customHeight="1" x14ac:dyDescent="0.3">
      <c r="A25" s="66"/>
      <c r="B25" t="s">
        <v>83</v>
      </c>
      <c r="I25" s="66"/>
      <c r="J25" s="1">
        <v>2038</v>
      </c>
      <c r="K25" s="46">
        <v>11.166213901987184</v>
      </c>
      <c r="L25" s="46">
        <v>39.726213901987173</v>
      </c>
      <c r="M25" s="35">
        <v>767670.88914888597</v>
      </c>
      <c r="N25" s="46">
        <v>5.1755294918257002</v>
      </c>
      <c r="O25" s="46">
        <v>33.735529491825687</v>
      </c>
      <c r="P25" s="35">
        <v>905790.69301912491</v>
      </c>
      <c r="Q25" s="46">
        <f t="shared" si="0"/>
        <v>724632.55441530002</v>
      </c>
      <c r="R25" s="1">
        <v>996369.76232103747</v>
      </c>
      <c r="S25" s="1">
        <v>2038</v>
      </c>
      <c r="T25" s="46">
        <v>7.2580390362916729</v>
      </c>
      <c r="U25" s="46">
        <v>18.10603903629168</v>
      </c>
      <c r="V25" s="35">
        <v>5876849.0354038067</v>
      </c>
      <c r="W25" s="46">
        <v>3.3640941696867062</v>
      </c>
      <c r="X25" s="46">
        <v>14.212094169686711</v>
      </c>
      <c r="Y25" s="35">
        <v>6544083.6633742228</v>
      </c>
      <c r="Z25" s="46">
        <f t="shared" si="1"/>
        <v>5235266.9306993783</v>
      </c>
      <c r="AA25" s="48">
        <f t="shared" si="2"/>
        <v>7198492.029711646</v>
      </c>
      <c r="AD25" s="66"/>
      <c r="AF25" t="s">
        <v>39</v>
      </c>
      <c r="AN25">
        <v>13</v>
      </c>
      <c r="AO25">
        <v>19</v>
      </c>
      <c r="AP25">
        <v>25</v>
      </c>
      <c r="AQ25">
        <v>27</v>
      </c>
      <c r="AX25" s="66"/>
    </row>
    <row r="26" spans="1:50" x14ac:dyDescent="0.3">
      <c r="A26" s="66"/>
      <c r="I26" s="66"/>
      <c r="AD26" s="66"/>
      <c r="AF26" t="s">
        <v>40</v>
      </c>
      <c r="AO26">
        <v>13</v>
      </c>
      <c r="AP26">
        <v>19</v>
      </c>
      <c r="AQ26">
        <v>25</v>
      </c>
      <c r="AX26" s="66"/>
    </row>
    <row r="27" spans="1:50" x14ac:dyDescent="0.3">
      <c r="A27" s="66"/>
      <c r="I27" s="66"/>
      <c r="AD27" s="66"/>
      <c r="AF27" t="s">
        <v>41</v>
      </c>
      <c r="AP27">
        <v>13</v>
      </c>
      <c r="AQ27">
        <v>19</v>
      </c>
      <c r="AX27" s="66"/>
    </row>
    <row r="28" spans="1:50" x14ac:dyDescent="0.3">
      <c r="A28" s="66"/>
      <c r="I28" s="66"/>
      <c r="AD28" s="66"/>
      <c r="AF28" t="s">
        <v>42</v>
      </c>
      <c r="AQ28">
        <v>13</v>
      </c>
      <c r="AX28" s="66"/>
    </row>
    <row r="29" spans="1:50" x14ac:dyDescent="0.3">
      <c r="A29" s="66"/>
      <c r="I29" s="66"/>
      <c r="AD29" s="66"/>
      <c r="AF29" t="s">
        <v>43</v>
      </c>
      <c r="AG29" t="s">
        <v>21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 t="s">
        <v>28</v>
      </c>
      <c r="AX29" s="66"/>
    </row>
    <row r="30" spans="1:50" x14ac:dyDescent="0.3">
      <c r="A30" s="66"/>
      <c r="I30" s="66"/>
      <c r="X30" s="45">
        <f>(P5+Y5)-(M5+V5)</f>
        <v>0</v>
      </c>
      <c r="Y30" s="65"/>
      <c r="Z30" s="65"/>
      <c r="AA30" s="33"/>
      <c r="AB30" s="33"/>
      <c r="AC30" s="33"/>
      <c r="AD30" s="66"/>
      <c r="AE30" s="33"/>
      <c r="AS30" s="33"/>
      <c r="AT30" s="33"/>
      <c r="AX30" s="66"/>
    </row>
    <row r="31" spans="1:50" ht="28.8" x14ac:dyDescent="0.3">
      <c r="A31" s="66"/>
      <c r="B31" s="1" t="s">
        <v>2</v>
      </c>
      <c r="C31" s="5" t="s">
        <v>87</v>
      </c>
      <c r="D31" s="5" t="s">
        <v>89</v>
      </c>
      <c r="E31" s="5" t="s">
        <v>88</v>
      </c>
      <c r="F31" s="5" t="s">
        <v>90</v>
      </c>
      <c r="I31" s="66"/>
      <c r="J31" s="1" t="s">
        <v>2</v>
      </c>
      <c r="K31" s="5" t="s">
        <v>1</v>
      </c>
      <c r="L31" s="5" t="s">
        <v>76</v>
      </c>
      <c r="M31" s="5" t="s">
        <v>78</v>
      </c>
      <c r="R31" s="4"/>
      <c r="S31" s="1" t="s">
        <v>2</v>
      </c>
      <c r="T31" s="5" t="s">
        <v>1</v>
      </c>
      <c r="U31" s="5" t="s">
        <v>76</v>
      </c>
      <c r="V31" s="5" t="s">
        <v>78</v>
      </c>
      <c r="X31" s="45">
        <f t="shared" ref="X31:X52" si="3">(P6+Y6)-(M6+V6)</f>
        <v>198988.39401966566</v>
      </c>
      <c r="Y31" s="45">
        <f>AVERAGE(X31:X50)</f>
        <v>604405.22653065284</v>
      </c>
      <c r="AD31" s="66"/>
      <c r="AX31" s="66"/>
    </row>
    <row r="32" spans="1:50" x14ac:dyDescent="0.3">
      <c r="A32" s="66"/>
      <c r="B32" s="1">
        <v>2018</v>
      </c>
      <c r="C32" s="38">
        <v>693488</v>
      </c>
      <c r="D32" s="39"/>
      <c r="E32" s="39"/>
      <c r="F32" s="1"/>
      <c r="I32" s="66"/>
      <c r="J32" s="1">
        <v>2018</v>
      </c>
      <c r="K32" s="39"/>
      <c r="L32" s="1"/>
      <c r="M32" s="39"/>
      <c r="R32" s="28"/>
      <c r="S32" s="1">
        <v>2018</v>
      </c>
      <c r="T32" s="39"/>
      <c r="U32" s="1"/>
      <c r="V32" s="39"/>
      <c r="X32" s="45">
        <f t="shared" si="3"/>
        <v>250162.8675660342</v>
      </c>
      <c r="AD32" s="66"/>
      <c r="AF32" s="49" t="s">
        <v>45</v>
      </c>
      <c r="AG32" s="49">
        <v>2018</v>
      </c>
      <c r="AH32" s="49">
        <v>2019</v>
      </c>
      <c r="AI32" s="49">
        <v>2020</v>
      </c>
      <c r="AJ32" s="49">
        <v>2021</v>
      </c>
      <c r="AK32" s="49">
        <v>2022</v>
      </c>
      <c r="AL32" s="49">
        <v>2023</v>
      </c>
      <c r="AM32" s="49">
        <v>2024</v>
      </c>
      <c r="AN32" s="49">
        <v>2025</v>
      </c>
      <c r="AO32" s="49">
        <v>2026</v>
      </c>
      <c r="AP32" s="49">
        <v>2027</v>
      </c>
      <c r="AQ32" s="49">
        <v>2028</v>
      </c>
      <c r="AX32" s="66"/>
    </row>
    <row r="33" spans="1:63" x14ac:dyDescent="0.3">
      <c r="A33" s="66"/>
      <c r="B33" s="1">
        <v>2019</v>
      </c>
      <c r="C33" s="40">
        <f>C32+C32*0.02</f>
        <v>707357.76</v>
      </c>
      <c r="D33" s="39"/>
      <c r="E33" s="39"/>
      <c r="F33" s="1"/>
      <c r="I33" s="66"/>
      <c r="J33" s="1">
        <v>2019</v>
      </c>
      <c r="K33" s="39">
        <f t="shared" ref="K33:K52" si="4">(L6-O6)*P6</f>
        <v>540088.04215370445</v>
      </c>
      <c r="L33" s="1">
        <f>(L6-O6)*Q6</f>
        <v>432070.43372296356</v>
      </c>
      <c r="M33" s="39">
        <f>(L6-O6)*R6</f>
        <v>594096.84636907489</v>
      </c>
      <c r="R33" s="28"/>
      <c r="S33" s="1">
        <v>2019</v>
      </c>
      <c r="T33" s="42">
        <f>(T6-W6)*Y6</f>
        <v>3298818.7925973837</v>
      </c>
      <c r="U33" s="43">
        <f>(T6-W6)*Z6</f>
        <v>2639055.034077907</v>
      </c>
      <c r="V33" s="41">
        <f>(T6-W6)*AA6</f>
        <v>3628700.6718571223</v>
      </c>
      <c r="X33" s="45">
        <f t="shared" si="3"/>
        <v>287544.17108330969</v>
      </c>
      <c r="AD33" s="66"/>
      <c r="AF33" s="50" t="s">
        <v>46</v>
      </c>
      <c r="AG33" s="50"/>
      <c r="AH33" s="51">
        <v>0</v>
      </c>
      <c r="AI33" s="50"/>
      <c r="AJ33" s="50"/>
      <c r="AK33" s="52">
        <f>AI7*AI12*AI13*AI14*AI16</f>
        <v>312000</v>
      </c>
      <c r="AL33" s="52">
        <f t="shared" ref="AL33:AQ33" si="5">AJ7*AJ12*AJ13*AJ14*AJ16+AK33*(1+AL15)</f>
        <v>813696</v>
      </c>
      <c r="AM33" s="52">
        <f t="shared" si="5"/>
        <v>1527671.8080000002</v>
      </c>
      <c r="AN33" s="52">
        <f t="shared" si="5"/>
        <v>2390654.5827840003</v>
      </c>
      <c r="AO33" s="52">
        <f t="shared" si="5"/>
        <v>2779152.9057976324</v>
      </c>
      <c r="AP33" s="52">
        <f t="shared" si="5"/>
        <v>2912552.2452759189</v>
      </c>
      <c r="AQ33" s="52">
        <f t="shared" si="5"/>
        <v>3052354.7530491631</v>
      </c>
      <c r="AX33" s="66"/>
    </row>
    <row r="34" spans="1:63" x14ac:dyDescent="0.3">
      <c r="A34" s="66"/>
      <c r="B34" s="1">
        <v>2020</v>
      </c>
      <c r="C34" s="40">
        <f t="shared" ref="C34:C52" si="6">C33+C33*0.02</f>
        <v>721504.91520000005</v>
      </c>
      <c r="D34" s="41">
        <f t="shared" ref="D34:D52" si="7">$D$23*C34*$C$14</f>
        <v>2254702.8600000003</v>
      </c>
      <c r="E34" s="42">
        <f t="shared" ref="E34:E52" si="8">$D$23*C34*$C$15</f>
        <v>1082257.3728</v>
      </c>
      <c r="F34" s="43">
        <f t="shared" ref="F34:F52" si="9">$D$23*C34*$C$16</f>
        <v>4509405.7200000007</v>
      </c>
      <c r="I34" s="66"/>
      <c r="J34" s="1">
        <v>2020</v>
      </c>
      <c r="K34" s="42">
        <f t="shared" si="4"/>
        <v>828624.97696541343</v>
      </c>
      <c r="L34" s="43">
        <f t="shared" ref="L34:L52" si="10">(L7-O7)*Q7</f>
        <v>662899.98157233081</v>
      </c>
      <c r="M34" s="41">
        <f t="shared" ref="M34:M52" si="11">(L7-O7)*R7</f>
        <v>911487.47466195491</v>
      </c>
      <c r="R34" s="28"/>
      <c r="S34" s="1">
        <v>2020</v>
      </c>
      <c r="T34" s="42">
        <f t="shared" ref="T34:T52" si="12">(T7-W7)*Y7</f>
        <v>4198177.3693087334</v>
      </c>
      <c r="U34" s="43">
        <f t="shared" ref="U34:U52" si="13">(T7-W7)*Z7</f>
        <v>3358541.8954469869</v>
      </c>
      <c r="V34" s="41">
        <f t="shared" ref="V34:V52" si="14">(T7-W7)*AA7</f>
        <v>4617995.1062396066</v>
      </c>
      <c r="X34" s="45">
        <f t="shared" si="3"/>
        <v>357140.45469419565</v>
      </c>
      <c r="AD34" s="66"/>
      <c r="AF34" s="50" t="s">
        <v>47</v>
      </c>
      <c r="AG34" s="50"/>
      <c r="AH34" s="51"/>
      <c r="AI34" s="50"/>
      <c r="AJ34" s="50"/>
      <c r="AK34" s="52">
        <f>AI8*AI12*AI13*AI14*AI17</f>
        <v>52000</v>
      </c>
      <c r="AL34" s="52">
        <f t="shared" ref="AL34:AQ34" si="15">AJ8*AJ12*AJ13*AJ14*AJ17+AK34*(1+AJ15)</f>
        <v>135616</v>
      </c>
      <c r="AM34" s="52">
        <f t="shared" si="15"/>
        <v>282733.56799999997</v>
      </c>
      <c r="AN34" s="52">
        <f t="shared" si="15"/>
        <v>442537.09926399996</v>
      </c>
      <c r="AO34" s="52">
        <f t="shared" si="15"/>
        <v>615860.49282867205</v>
      </c>
      <c r="AP34" s="52">
        <f t="shared" si="15"/>
        <v>645421.79648444836</v>
      </c>
      <c r="AQ34" s="52">
        <f t="shared" si="15"/>
        <v>676402.04271570186</v>
      </c>
      <c r="AX34" s="66"/>
    </row>
    <row r="35" spans="1:63" x14ac:dyDescent="0.3">
      <c r="A35" s="66"/>
      <c r="B35" s="1">
        <v>2021</v>
      </c>
      <c r="C35" s="40">
        <f t="shared" si="6"/>
        <v>735935.01350400003</v>
      </c>
      <c r="D35" s="41">
        <f t="shared" si="7"/>
        <v>2299796.9172</v>
      </c>
      <c r="E35" s="42">
        <f t="shared" si="8"/>
        <v>1103902.5202559999</v>
      </c>
      <c r="F35" s="43">
        <f t="shared" si="9"/>
        <v>4599593.8344000001</v>
      </c>
      <c r="I35" s="66"/>
      <c r="J35" s="1">
        <v>2021</v>
      </c>
      <c r="K35" s="42">
        <f t="shared" si="4"/>
        <v>1054250.0460155394</v>
      </c>
      <c r="L35" s="43">
        <f t="shared" si="10"/>
        <v>843400.03681243164</v>
      </c>
      <c r="M35" s="41">
        <f t="shared" si="11"/>
        <v>1159675.0506170935</v>
      </c>
      <c r="R35" s="28"/>
      <c r="S35" s="1">
        <v>2021</v>
      </c>
      <c r="T35" s="42">
        <f t="shared" si="12"/>
        <v>4949591.1687013097</v>
      </c>
      <c r="U35" s="43">
        <f t="shared" si="13"/>
        <v>3959672.934961048</v>
      </c>
      <c r="V35" s="41">
        <f t="shared" si="14"/>
        <v>5444550.285571442</v>
      </c>
      <c r="X35" s="45">
        <f t="shared" si="3"/>
        <v>437514.7923443336</v>
      </c>
      <c r="AD35" s="66"/>
      <c r="AF35" s="50" t="s">
        <v>48</v>
      </c>
      <c r="AG35" s="50"/>
      <c r="AH35" s="51">
        <v>0</v>
      </c>
      <c r="AI35" s="51">
        <v>0</v>
      </c>
      <c r="AJ35" s="51">
        <v>0</v>
      </c>
      <c r="AK35" s="52"/>
      <c r="AL35" s="52">
        <v>0</v>
      </c>
      <c r="AM35" s="52">
        <v>0</v>
      </c>
      <c r="AN35" s="52">
        <v>0</v>
      </c>
      <c r="AO35" s="52">
        <v>0</v>
      </c>
      <c r="AP35" s="52">
        <v>0</v>
      </c>
      <c r="AQ35" s="52">
        <v>0</v>
      </c>
      <c r="AX35" s="66"/>
    </row>
    <row r="36" spans="1:63" x14ac:dyDescent="0.3">
      <c r="A36" s="66"/>
      <c r="B36" s="1">
        <v>2022</v>
      </c>
      <c r="C36" s="40">
        <f t="shared" si="6"/>
        <v>750653.71377408004</v>
      </c>
      <c r="D36" s="41">
        <f t="shared" si="7"/>
        <v>2345792.8555439999</v>
      </c>
      <c r="E36" s="42">
        <f t="shared" si="8"/>
        <v>1125980.5706611199</v>
      </c>
      <c r="F36" s="43">
        <f t="shared" si="9"/>
        <v>4691585.7110879999</v>
      </c>
      <c r="I36" s="66"/>
      <c r="J36" s="1">
        <v>2022</v>
      </c>
      <c r="K36" s="42">
        <f t="shared" si="4"/>
        <v>1337198.3060127008</v>
      </c>
      <c r="L36" s="43">
        <f t="shared" si="10"/>
        <v>1069758.6448101606</v>
      </c>
      <c r="M36" s="41">
        <f t="shared" si="11"/>
        <v>1470918.1366139709</v>
      </c>
      <c r="R36" s="28"/>
      <c r="S36" s="1">
        <v>2022</v>
      </c>
      <c r="T36" s="42">
        <f t="shared" si="12"/>
        <v>6433598.3284002822</v>
      </c>
      <c r="U36" s="43">
        <f t="shared" si="13"/>
        <v>5146878.6627202258</v>
      </c>
      <c r="V36" s="41">
        <f t="shared" si="14"/>
        <v>7076958.1612403113</v>
      </c>
      <c r="X36" s="45">
        <f t="shared" si="3"/>
        <v>492403.08815176226</v>
      </c>
      <c r="AD36" s="66"/>
      <c r="AF36" s="50" t="s">
        <v>49</v>
      </c>
      <c r="AG36" s="50"/>
      <c r="AH36" s="51"/>
      <c r="AI36" s="51"/>
      <c r="AJ36" s="51"/>
      <c r="AL36" s="52">
        <f>AJ10*AJ12*AJ13*AJ14*AJ17</f>
        <v>108160</v>
      </c>
      <c r="AM36" s="62">
        <f>AK10*AK12*AK13*AK14*AK17+AL36*(1+AK15)</f>
        <v>225838.08000000002</v>
      </c>
      <c r="AN36" s="62">
        <f>AL10*AL12*AL13*AL14*AL17+AM36*(1+AL15)</f>
        <v>295171.23584000004</v>
      </c>
      <c r="AO36" s="62">
        <f>AM10*AM12*AM13*AM14*AM17+AN36*(1+AM15)</f>
        <v>309339.45516032004</v>
      </c>
      <c r="AP36" s="62">
        <f>AN10*AN12*AN13*AN14*AN17+AO36*(1+AN15)</f>
        <v>324187.74900801544</v>
      </c>
      <c r="AQ36" s="62">
        <f>AO10*AO12*AO13*AO14*AO17+AP36*(1+AO15)</f>
        <v>339748.76096040022</v>
      </c>
      <c r="AX36" s="66"/>
      <c r="BD36" s="6"/>
    </row>
    <row r="37" spans="1:63" x14ac:dyDescent="0.3">
      <c r="A37" s="66"/>
      <c r="B37" s="1">
        <v>2023</v>
      </c>
      <c r="C37" s="40">
        <f t="shared" si="6"/>
        <v>765666.78804956167</v>
      </c>
      <c r="D37" s="41">
        <f t="shared" si="7"/>
        <v>2392708.7126548802</v>
      </c>
      <c r="E37" s="42">
        <f t="shared" si="8"/>
        <v>1148500.1820743424</v>
      </c>
      <c r="F37" s="43">
        <f t="shared" si="9"/>
        <v>4785417.4253097605</v>
      </c>
      <c r="I37" s="66"/>
      <c r="J37" s="1">
        <v>2023</v>
      </c>
      <c r="K37" s="42">
        <f t="shared" si="4"/>
        <v>1494967.8466263535</v>
      </c>
      <c r="L37" s="43">
        <f t="shared" si="10"/>
        <v>1195974.2773010829</v>
      </c>
      <c r="M37" s="41">
        <f t="shared" si="11"/>
        <v>1644464.6312889887</v>
      </c>
      <c r="R37" s="28"/>
      <c r="S37" s="1">
        <v>2023</v>
      </c>
      <c r="T37" s="42">
        <f t="shared" si="12"/>
        <v>8421232.6598446816</v>
      </c>
      <c r="U37" s="43">
        <f t="shared" si="13"/>
        <v>6736986.1278757453</v>
      </c>
      <c r="V37" s="41">
        <f t="shared" si="14"/>
        <v>9263355.9258291498</v>
      </c>
      <c r="X37" s="45">
        <f t="shared" si="3"/>
        <v>564050.33122239355</v>
      </c>
      <c r="AD37" s="66"/>
      <c r="AF37" s="50" t="s">
        <v>50</v>
      </c>
      <c r="AG37" s="50"/>
      <c r="AH37" s="51"/>
      <c r="AI37" s="51"/>
      <c r="AJ37" s="51"/>
      <c r="AK37" s="52"/>
      <c r="AL37" s="52"/>
      <c r="AM37" s="53">
        <f>(AM24*$AM$19+AM25*$AM$19+AM26*$AM$19+AM27*$AM$19)*AM20*AM14</f>
        <v>731512.55756800016</v>
      </c>
      <c r="AN37" s="53">
        <f>(AN24*$AM$19+AN25*$AM$19+AN26*$AM$19+AN27*$AM$19)*AN20*AN14</f>
        <v>1872672.1473740803</v>
      </c>
      <c r="AO37" s="53">
        <f t="shared" ref="AO37:AQ37" si="16">(AO24*$AM$19+AO25*$AM$19+AO26*$AM$19+AO27*$AM$19)*AO20*AO14</f>
        <v>3469125.1530104843</v>
      </c>
      <c r="AP37" s="53">
        <f t="shared" si="16"/>
        <v>5316890.7608244885</v>
      </c>
      <c r="AQ37" s="53">
        <f t="shared" si="16"/>
        <v>5463738.2199329752</v>
      </c>
      <c r="AX37" s="66"/>
    </row>
    <row r="38" spans="1:63" x14ac:dyDescent="0.3">
      <c r="A38" s="66"/>
      <c r="B38" s="1">
        <v>2024</v>
      </c>
      <c r="C38" s="40">
        <f t="shared" si="6"/>
        <v>780980.12381055288</v>
      </c>
      <c r="D38" s="41">
        <f t="shared" si="7"/>
        <v>2440562.8869079775</v>
      </c>
      <c r="E38" s="42">
        <f t="shared" si="8"/>
        <v>1171470.1857158293</v>
      </c>
      <c r="F38" s="43">
        <f t="shared" si="9"/>
        <v>4881125.773815955</v>
      </c>
      <c r="I38" s="66"/>
      <c r="J38" s="1">
        <v>2024</v>
      </c>
      <c r="K38" s="42">
        <f t="shared" si="4"/>
        <v>1645827.8901130918</v>
      </c>
      <c r="L38" s="43">
        <f t="shared" si="10"/>
        <v>1316662.3120904735</v>
      </c>
      <c r="M38" s="41">
        <f t="shared" si="11"/>
        <v>1810410.6791244012</v>
      </c>
      <c r="R38" s="28"/>
      <c r="S38" s="1">
        <v>2024</v>
      </c>
      <c r="T38" s="42">
        <f t="shared" si="12"/>
        <v>9951493.4670383651</v>
      </c>
      <c r="U38" s="43">
        <f t="shared" si="13"/>
        <v>7961194.7736306926</v>
      </c>
      <c r="V38" s="41">
        <f t="shared" si="14"/>
        <v>10946642.813742204</v>
      </c>
      <c r="X38" s="45">
        <f t="shared" si="3"/>
        <v>609522.96965572424</v>
      </c>
      <c r="AD38" s="66"/>
      <c r="AF38" s="54" t="s">
        <v>51</v>
      </c>
      <c r="AG38" s="55"/>
      <c r="AH38" s="56"/>
      <c r="AI38" s="56"/>
      <c r="AJ38" s="56"/>
      <c r="AK38" s="57"/>
      <c r="AL38" s="57"/>
      <c r="AM38" s="57"/>
      <c r="AN38" s="57"/>
      <c r="AO38" s="57"/>
      <c r="AP38" s="57"/>
      <c r="AQ38" s="58">
        <v>14386640</v>
      </c>
      <c r="AX38" s="66"/>
      <c r="BB38" s="28"/>
      <c r="BC38" s="28"/>
      <c r="BD38" s="28"/>
      <c r="BE38" s="28"/>
      <c r="BF38" s="28"/>
      <c r="BG38" s="28"/>
      <c r="BH38" s="28"/>
      <c r="BI38" s="28"/>
      <c r="BJ38" s="28"/>
      <c r="BK38" s="28"/>
    </row>
    <row r="39" spans="1:63" x14ac:dyDescent="0.3">
      <c r="A39" s="66"/>
      <c r="B39" s="1">
        <v>2025</v>
      </c>
      <c r="C39" s="40">
        <f t="shared" si="6"/>
        <v>796599.72628676391</v>
      </c>
      <c r="D39" s="41">
        <f t="shared" si="7"/>
        <v>2489374.144646137</v>
      </c>
      <c r="E39" s="42">
        <f t="shared" si="8"/>
        <v>1194899.5894301457</v>
      </c>
      <c r="F39" s="43">
        <f t="shared" si="9"/>
        <v>4978748.289292274</v>
      </c>
      <c r="I39" s="66"/>
      <c r="J39" s="1">
        <v>2025</v>
      </c>
      <c r="K39" s="42">
        <f t="shared" si="4"/>
        <v>1992348.8217409458</v>
      </c>
      <c r="L39" s="43">
        <f t="shared" si="10"/>
        <v>1593879.0573927567</v>
      </c>
      <c r="M39" s="41">
        <f t="shared" si="11"/>
        <v>2191583.7039150405</v>
      </c>
      <c r="R39" s="28"/>
      <c r="S39" s="1">
        <v>2025</v>
      </c>
      <c r="T39" s="42">
        <f t="shared" si="12"/>
        <v>11851684.01847049</v>
      </c>
      <c r="U39" s="43">
        <f t="shared" si="13"/>
        <v>9481347.214776393</v>
      </c>
      <c r="V39" s="41">
        <f t="shared" si="14"/>
        <v>13036852.420317542</v>
      </c>
      <c r="X39" s="45">
        <f t="shared" si="3"/>
        <v>643232.09513457119</v>
      </c>
      <c r="Z39" s="3"/>
      <c r="AA39" s="3"/>
      <c r="AB39" s="3"/>
      <c r="AC39" s="3"/>
      <c r="AD39" s="66"/>
      <c r="AE39" s="3"/>
      <c r="AF39" s="50" t="s">
        <v>52</v>
      </c>
      <c r="AG39" s="50"/>
      <c r="AH39" s="50"/>
      <c r="AI39" s="50"/>
      <c r="AJ39" s="50"/>
      <c r="AK39" s="59"/>
      <c r="AL39" s="59"/>
      <c r="AM39" s="59"/>
      <c r="AN39" s="59"/>
      <c r="AO39" s="59"/>
      <c r="AP39" s="59"/>
      <c r="AQ39" s="53"/>
      <c r="AS39" s="3"/>
      <c r="AT39" s="3"/>
      <c r="AX39" s="66"/>
      <c r="BC39" s="6"/>
      <c r="BD39" s="6"/>
      <c r="BE39" s="6"/>
      <c r="BF39" s="6"/>
    </row>
    <row r="40" spans="1:63" x14ac:dyDescent="0.3">
      <c r="A40" s="66"/>
      <c r="B40" s="1">
        <v>2026</v>
      </c>
      <c r="C40" s="40">
        <f t="shared" si="6"/>
        <v>812531.72081249917</v>
      </c>
      <c r="D40" s="41">
        <f t="shared" si="7"/>
        <v>2539161.6275390601</v>
      </c>
      <c r="E40" s="42">
        <f t="shared" si="8"/>
        <v>1218797.5812187488</v>
      </c>
      <c r="F40" s="43">
        <f t="shared" si="9"/>
        <v>5078323.2550781202</v>
      </c>
      <c r="I40" s="66"/>
      <c r="J40" s="1">
        <v>2026</v>
      </c>
      <c r="K40" s="42">
        <f t="shared" si="4"/>
        <v>2272444.1729113893</v>
      </c>
      <c r="L40" s="43">
        <f t="shared" si="10"/>
        <v>1817955.3383291115</v>
      </c>
      <c r="M40" s="41">
        <f t="shared" si="11"/>
        <v>2499688.5902025285</v>
      </c>
      <c r="R40" s="28"/>
      <c r="S40" s="1">
        <v>2026</v>
      </c>
      <c r="T40" s="42">
        <f t="shared" si="12"/>
        <v>13264624.016305059</v>
      </c>
      <c r="U40" s="43">
        <f t="shared" si="13"/>
        <v>10611699.213044047</v>
      </c>
      <c r="V40" s="41">
        <f t="shared" si="14"/>
        <v>14591086.417935565</v>
      </c>
      <c r="X40" s="45">
        <f t="shared" si="3"/>
        <v>670221.11375814304</v>
      </c>
      <c r="Z40" s="3"/>
      <c r="AA40" s="3"/>
      <c r="AB40" s="3"/>
      <c r="AC40" s="3"/>
      <c r="AD40" s="66"/>
      <c r="AE40" s="3"/>
      <c r="AF40" s="60" t="s">
        <v>53</v>
      </c>
      <c r="AG40" s="61">
        <v>0</v>
      </c>
      <c r="AH40" s="61">
        <f>+SUM(AH33:AH39)</f>
        <v>0</v>
      </c>
      <c r="AI40" s="61">
        <f>+SUM(AI33:AI39)</f>
        <v>0</v>
      </c>
      <c r="AJ40" s="61">
        <f>+SUM(AJ33:AJ39)</f>
        <v>0</v>
      </c>
      <c r="AK40" s="61">
        <f>+SUM(AK33:AK39)</f>
        <v>364000</v>
      </c>
      <c r="AL40" s="61">
        <f t="shared" ref="AL40:AQ40" si="17">+SUM(AL33:AL39)</f>
        <v>1057472</v>
      </c>
      <c r="AM40" s="61">
        <f t="shared" si="17"/>
        <v>2767756.0135680004</v>
      </c>
      <c r="AN40" s="61">
        <f t="shared" si="17"/>
        <v>5001035.0652620811</v>
      </c>
      <c r="AO40" s="61">
        <f t="shared" si="17"/>
        <v>7173478.0067971088</v>
      </c>
      <c r="AP40" s="61">
        <f t="shared" si="17"/>
        <v>9199052.5515928715</v>
      </c>
      <c r="AQ40" s="61">
        <f t="shared" si="17"/>
        <v>23918883.776658241</v>
      </c>
      <c r="AS40" s="3"/>
      <c r="AT40" s="3"/>
      <c r="AX40" s="66"/>
      <c r="BC40" s="6"/>
      <c r="BD40" s="6"/>
      <c r="BE40" s="6"/>
      <c r="BF40" s="6"/>
    </row>
    <row r="41" spans="1:63" x14ac:dyDescent="0.3">
      <c r="A41" s="66"/>
      <c r="B41" s="1">
        <v>2027</v>
      </c>
      <c r="C41" s="40">
        <f t="shared" si="6"/>
        <v>828782.3552287491</v>
      </c>
      <c r="D41" s="41">
        <f t="shared" si="7"/>
        <v>2589944.8600898408</v>
      </c>
      <c r="E41" s="42">
        <f t="shared" si="8"/>
        <v>1243173.5328431237</v>
      </c>
      <c r="F41" s="43">
        <f t="shared" si="9"/>
        <v>5179889.7201796817</v>
      </c>
      <c r="I41" s="66"/>
      <c r="J41" s="1">
        <v>2027</v>
      </c>
      <c r="K41" s="42">
        <f t="shared" si="4"/>
        <v>2528764.386804326</v>
      </c>
      <c r="L41" s="43">
        <f t="shared" si="10"/>
        <v>2023011.509443461</v>
      </c>
      <c r="M41" s="41">
        <f t="shared" si="11"/>
        <v>2781640.8254847592</v>
      </c>
      <c r="R41" s="28"/>
      <c r="S41" s="1">
        <v>2027</v>
      </c>
      <c r="T41" s="42">
        <f t="shared" si="12"/>
        <v>14473028.89509148</v>
      </c>
      <c r="U41" s="43">
        <f t="shared" si="13"/>
        <v>11578423.116073184</v>
      </c>
      <c r="V41" s="41">
        <f t="shared" si="14"/>
        <v>15920331.784600629</v>
      </c>
      <c r="X41" s="45">
        <f t="shared" si="3"/>
        <v>692791.94681504276</v>
      </c>
      <c r="Z41" s="3"/>
      <c r="AA41" s="3"/>
      <c r="AB41" s="3"/>
      <c r="AC41" s="3"/>
      <c r="AD41" s="66"/>
      <c r="AE41" s="3"/>
      <c r="AS41" s="3"/>
      <c r="AT41" s="3"/>
      <c r="AX41" s="66"/>
    </row>
    <row r="42" spans="1:63" x14ac:dyDescent="0.3">
      <c r="A42" s="66"/>
      <c r="B42" s="1">
        <v>2028</v>
      </c>
      <c r="C42" s="40">
        <f t="shared" si="6"/>
        <v>845358.00233332405</v>
      </c>
      <c r="D42" s="41">
        <f t="shared" si="7"/>
        <v>2641743.7572916378</v>
      </c>
      <c r="E42" s="42">
        <f t="shared" si="8"/>
        <v>1268037.0034999861</v>
      </c>
      <c r="F42" s="43">
        <f t="shared" si="9"/>
        <v>5283487.5145832757</v>
      </c>
      <c r="I42" s="66"/>
      <c r="J42" s="1">
        <v>2028</v>
      </c>
      <c r="K42" s="42">
        <f t="shared" si="4"/>
        <v>2776109.7558081695</v>
      </c>
      <c r="L42" s="43">
        <f t="shared" si="10"/>
        <v>2220887.8046465358</v>
      </c>
      <c r="M42" s="41">
        <f t="shared" si="11"/>
        <v>3053720.7313889866</v>
      </c>
      <c r="R42" s="28"/>
      <c r="S42" s="1">
        <v>2028</v>
      </c>
      <c r="T42" s="42">
        <f t="shared" si="12"/>
        <v>15576487.951920686</v>
      </c>
      <c r="U42" s="43">
        <f t="shared" si="13"/>
        <v>12461190.361536549</v>
      </c>
      <c r="V42" s="41">
        <f t="shared" si="14"/>
        <v>17134136.747112755</v>
      </c>
      <c r="X42" s="45">
        <f t="shared" si="3"/>
        <v>712179.25129827112</v>
      </c>
      <c r="Z42" s="3"/>
      <c r="AA42" s="3"/>
      <c r="AB42" s="3"/>
      <c r="AC42" s="3"/>
      <c r="AD42" s="66"/>
      <c r="AE42" s="3"/>
      <c r="AR42" s="62"/>
      <c r="AS42" s="3"/>
      <c r="AT42" s="3"/>
      <c r="AX42" s="66"/>
    </row>
    <row r="43" spans="1:63" x14ac:dyDescent="0.3">
      <c r="A43" s="66"/>
      <c r="B43" s="1">
        <v>2029</v>
      </c>
      <c r="C43" s="40">
        <f t="shared" si="6"/>
        <v>862265.16237999056</v>
      </c>
      <c r="D43" s="41">
        <f t="shared" si="7"/>
        <v>2694578.6324374704</v>
      </c>
      <c r="E43" s="42">
        <f t="shared" si="8"/>
        <v>1293397.7435699857</v>
      </c>
      <c r="F43" s="43">
        <f t="shared" si="9"/>
        <v>5389157.2648749407</v>
      </c>
      <c r="I43" s="66"/>
      <c r="J43" s="1">
        <v>2029</v>
      </c>
      <c r="K43" s="42">
        <f t="shared" si="4"/>
        <v>3021146.8969842205</v>
      </c>
      <c r="L43" s="43">
        <f t="shared" si="10"/>
        <v>2416917.5175873763</v>
      </c>
      <c r="M43" s="41">
        <f t="shared" si="11"/>
        <v>3323261.5866826428</v>
      </c>
      <c r="R43" s="28"/>
      <c r="S43" s="1">
        <v>2029</v>
      </c>
      <c r="T43" s="42">
        <f t="shared" si="12"/>
        <v>16620536.140168855</v>
      </c>
      <c r="U43" s="43">
        <f t="shared" si="13"/>
        <v>13296428.912135083</v>
      </c>
      <c r="V43" s="41">
        <f t="shared" si="14"/>
        <v>18282589.754185744</v>
      </c>
      <c r="X43" s="45">
        <f t="shared" si="3"/>
        <v>729118.74085273594</v>
      </c>
      <c r="Z43" s="3"/>
      <c r="AA43" s="3"/>
      <c r="AB43" s="3"/>
      <c r="AC43" s="3"/>
      <c r="AD43" s="66"/>
      <c r="AE43" s="3"/>
      <c r="AS43" s="3"/>
      <c r="AT43" s="3"/>
      <c r="AX43" s="66"/>
    </row>
    <row r="44" spans="1:63" x14ac:dyDescent="0.3">
      <c r="A44" s="66"/>
      <c r="B44" s="1">
        <v>2030</v>
      </c>
      <c r="C44" s="40">
        <f t="shared" si="6"/>
        <v>879510.46562759043</v>
      </c>
      <c r="D44" s="41">
        <f t="shared" si="7"/>
        <v>2748470.2050862201</v>
      </c>
      <c r="E44" s="42">
        <f t="shared" si="8"/>
        <v>1319265.6984413855</v>
      </c>
      <c r="F44" s="43">
        <f t="shared" si="9"/>
        <v>5496940.4101724401</v>
      </c>
      <c r="I44" s="66"/>
      <c r="J44" s="1">
        <v>2030</v>
      </c>
      <c r="K44" s="42">
        <f t="shared" si="4"/>
        <v>3267403.7741404646</v>
      </c>
      <c r="L44" s="43">
        <f t="shared" si="10"/>
        <v>2613923.019312372</v>
      </c>
      <c r="M44" s="41">
        <f t="shared" si="11"/>
        <v>3594144.1515545109</v>
      </c>
      <c r="R44" s="28"/>
      <c r="S44" s="1">
        <v>2030</v>
      </c>
      <c r="T44" s="42">
        <f t="shared" si="12"/>
        <v>17629609.46303276</v>
      </c>
      <c r="U44" s="43">
        <f t="shared" si="13"/>
        <v>14103687.570426211</v>
      </c>
      <c r="V44" s="41">
        <f t="shared" si="14"/>
        <v>19392570.409336038</v>
      </c>
      <c r="X44" s="45">
        <f t="shared" si="3"/>
        <v>744082.71287269052</v>
      </c>
      <c r="Z44" s="3"/>
      <c r="AA44" s="3"/>
      <c r="AB44" s="3"/>
      <c r="AC44" s="3"/>
      <c r="AD44" s="66"/>
      <c r="AE44" s="3"/>
      <c r="AS44" s="3"/>
      <c r="AT44" s="3"/>
      <c r="AX44" s="66"/>
      <c r="BB44" s="32"/>
      <c r="BC44" s="32"/>
      <c r="BD44" s="32"/>
      <c r="BE44" s="32"/>
      <c r="BF44" s="32"/>
      <c r="BG44" s="32"/>
      <c r="BH44" s="32"/>
      <c r="BI44" s="32"/>
      <c r="BJ44" s="32"/>
      <c r="BK44" s="32"/>
    </row>
    <row r="45" spans="1:63" x14ac:dyDescent="0.3">
      <c r="A45" s="66"/>
      <c r="B45" s="1">
        <v>2031</v>
      </c>
      <c r="C45" s="40">
        <f t="shared" si="6"/>
        <v>897100.6749401422</v>
      </c>
      <c r="D45" s="41">
        <f t="shared" si="7"/>
        <v>2803439.6091879443</v>
      </c>
      <c r="E45" s="42">
        <f t="shared" si="8"/>
        <v>1345651.0124102132</v>
      </c>
      <c r="F45" s="43">
        <f t="shared" si="9"/>
        <v>5606879.2183758887</v>
      </c>
      <c r="I45" s="66"/>
      <c r="J45" s="1">
        <v>2031</v>
      </c>
      <c r="K45" s="42">
        <f t="shared" si="4"/>
        <v>3516952.0533645344</v>
      </c>
      <c r="L45" s="43">
        <f t="shared" si="10"/>
        <v>2813561.6426916276</v>
      </c>
      <c r="M45" s="41">
        <f t="shared" si="11"/>
        <v>3868647.2587009883</v>
      </c>
      <c r="R45" s="28"/>
      <c r="S45" s="1">
        <v>2031</v>
      </c>
      <c r="T45" s="42">
        <f t="shared" si="12"/>
        <v>18618264.391668249</v>
      </c>
      <c r="U45" s="43">
        <f t="shared" si="13"/>
        <v>14894611.513334598</v>
      </c>
      <c r="V45" s="41">
        <f t="shared" si="14"/>
        <v>20480090.830835074</v>
      </c>
      <c r="X45" s="45">
        <f t="shared" si="3"/>
        <v>757391.87813223898</v>
      </c>
      <c r="Z45" s="3"/>
      <c r="AA45" s="3"/>
      <c r="AB45" s="3"/>
      <c r="AC45" s="3"/>
      <c r="AD45" s="66"/>
      <c r="AE45" s="3"/>
      <c r="AS45" s="3"/>
      <c r="AT45" s="3"/>
      <c r="AX45" s="66"/>
    </row>
    <row r="46" spans="1:63" x14ac:dyDescent="0.3">
      <c r="A46" s="66"/>
      <c r="B46" s="1">
        <v>2032</v>
      </c>
      <c r="C46" s="40">
        <f t="shared" si="6"/>
        <v>915042.68843894498</v>
      </c>
      <c r="D46" s="41">
        <f t="shared" si="7"/>
        <v>2859508.401371703</v>
      </c>
      <c r="E46" s="42">
        <f t="shared" si="8"/>
        <v>1372564.0326584175</v>
      </c>
      <c r="F46" s="43">
        <f t="shared" si="9"/>
        <v>5719016.802743406</v>
      </c>
      <c r="I46" s="66"/>
      <c r="J46" s="1">
        <v>2032</v>
      </c>
      <c r="K46" s="42">
        <f t="shared" si="4"/>
        <v>3771097.7898483379</v>
      </c>
      <c r="L46" s="43">
        <f t="shared" si="10"/>
        <v>3016878.2318786704</v>
      </c>
      <c r="M46" s="41">
        <f t="shared" si="11"/>
        <v>4148207.5688331719</v>
      </c>
      <c r="R46" s="28"/>
      <c r="S46" s="1">
        <v>2032</v>
      </c>
      <c r="T46" s="42">
        <f t="shared" si="12"/>
        <v>19595832.024433699</v>
      </c>
      <c r="U46" s="43">
        <f t="shared" si="13"/>
        <v>15676665.619546959</v>
      </c>
      <c r="V46" s="41">
        <f t="shared" si="14"/>
        <v>21555415.226877071</v>
      </c>
      <c r="X46" s="45">
        <f t="shared" si="3"/>
        <v>769273.9467423223</v>
      </c>
      <c r="Z46" s="3"/>
      <c r="AA46" s="3"/>
      <c r="AB46" s="3"/>
      <c r="AC46" s="3"/>
      <c r="AD46" s="66"/>
      <c r="AE46" s="3"/>
      <c r="AS46" s="3"/>
      <c r="AT46" s="3"/>
      <c r="AX46" s="66"/>
    </row>
    <row r="47" spans="1:63" x14ac:dyDescent="0.3">
      <c r="B47" s="1">
        <v>2033</v>
      </c>
      <c r="C47" s="40">
        <f t="shared" si="6"/>
        <v>933343.54220772383</v>
      </c>
      <c r="D47" s="41">
        <f t="shared" si="7"/>
        <v>2916698.569399137</v>
      </c>
      <c r="E47" s="42">
        <f t="shared" si="8"/>
        <v>1400015.3133115857</v>
      </c>
      <c r="F47" s="43">
        <f t="shared" si="9"/>
        <v>5833397.1387982741</v>
      </c>
      <c r="I47" s="66"/>
      <c r="J47" s="1">
        <v>2033</v>
      </c>
      <c r="K47" s="42">
        <f t="shared" si="4"/>
        <v>4030706.3465126497</v>
      </c>
      <c r="L47" s="43">
        <f t="shared" si="10"/>
        <v>3224565.0772101195</v>
      </c>
      <c r="M47" s="41">
        <f t="shared" si="11"/>
        <v>4433776.9811639152</v>
      </c>
      <c r="R47" s="28"/>
      <c r="S47" s="1">
        <v>2033</v>
      </c>
      <c r="T47" s="42">
        <f t="shared" si="12"/>
        <v>20568628.574646868</v>
      </c>
      <c r="U47" s="43">
        <f t="shared" si="13"/>
        <v>16454902.859717494</v>
      </c>
      <c r="V47" s="41">
        <f t="shared" si="14"/>
        <v>22625491.432111558</v>
      </c>
      <c r="X47" s="45">
        <f t="shared" si="3"/>
        <v>779896.69231151324</v>
      </c>
      <c r="Z47" s="3"/>
      <c r="AA47" s="3"/>
      <c r="AB47" s="3"/>
      <c r="AC47" s="3"/>
      <c r="AD47" s="66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X47" s="66"/>
    </row>
    <row r="48" spans="1:63" x14ac:dyDescent="0.3">
      <c r="B48" s="1">
        <v>2034</v>
      </c>
      <c r="C48" s="40">
        <f>C47+C47*0.02</f>
        <v>952010.41305187833</v>
      </c>
      <c r="D48" s="41">
        <f t="shared" si="7"/>
        <v>2975032.5407871199</v>
      </c>
      <c r="E48" s="42">
        <f t="shared" si="8"/>
        <v>1428015.6195778174</v>
      </c>
      <c r="F48" s="43">
        <f t="shared" si="9"/>
        <v>5950065.0815742398</v>
      </c>
      <c r="I48" s="66"/>
      <c r="J48" s="1">
        <v>2034</v>
      </c>
      <c r="K48" s="42">
        <f t="shared" si="4"/>
        <v>4296371.211662516</v>
      </c>
      <c r="L48" s="43">
        <f t="shared" si="10"/>
        <v>3437096.9693300128</v>
      </c>
      <c r="M48" s="41">
        <f t="shared" si="11"/>
        <v>4726008.3328287685</v>
      </c>
      <c r="R48" s="28"/>
      <c r="S48" s="1">
        <v>2034</v>
      </c>
      <c r="T48" s="42">
        <f t="shared" si="12"/>
        <v>21541113.625049654</v>
      </c>
      <c r="U48" s="43">
        <f t="shared" si="13"/>
        <v>17232890.900039725</v>
      </c>
      <c r="V48" s="41">
        <f t="shared" si="14"/>
        <v>23695224.987554621</v>
      </c>
      <c r="X48" s="45">
        <f t="shared" si="3"/>
        <v>789387.73129338212</v>
      </c>
      <c r="Z48" s="3"/>
      <c r="AA48" s="3"/>
      <c r="AB48" s="3"/>
      <c r="AC48" s="3"/>
      <c r="AD48" s="66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X48" s="66"/>
    </row>
    <row r="49" spans="2:62" x14ac:dyDescent="0.3">
      <c r="B49" s="1">
        <v>2035</v>
      </c>
      <c r="C49" s="40">
        <f t="shared" si="6"/>
        <v>971050.62131291593</v>
      </c>
      <c r="D49" s="41">
        <f t="shared" si="7"/>
        <v>3034533.1916028624</v>
      </c>
      <c r="E49" s="42">
        <f t="shared" si="8"/>
        <v>1456575.931969374</v>
      </c>
      <c r="F49" s="43">
        <f t="shared" si="9"/>
        <v>6069066.3832057249</v>
      </c>
      <c r="I49" s="66"/>
      <c r="J49" s="1">
        <v>2035</v>
      </c>
      <c r="K49" s="42">
        <f t="shared" si="4"/>
        <v>4568508.6502366262</v>
      </c>
      <c r="L49" s="43">
        <f t="shared" si="10"/>
        <v>3654806.9201893015</v>
      </c>
      <c r="M49" s="41">
        <f t="shared" si="11"/>
        <v>5025359.5152602885</v>
      </c>
      <c r="R49" s="28"/>
      <c r="S49" s="1">
        <v>2035</v>
      </c>
      <c r="T49" s="42">
        <f t="shared" si="12"/>
        <v>22516544.08972254</v>
      </c>
      <c r="U49" s="43">
        <f t="shared" si="13"/>
        <v>18013235.271778032</v>
      </c>
      <c r="V49" s="41">
        <f t="shared" si="14"/>
        <v>24768198.498694796</v>
      </c>
      <c r="X49" s="45">
        <f t="shared" si="3"/>
        <v>797846.92082407046</v>
      </c>
      <c r="Z49" s="3"/>
      <c r="AA49" s="3"/>
      <c r="AB49" s="3"/>
      <c r="AC49" s="3"/>
      <c r="AD49" s="66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X49" s="66"/>
    </row>
    <row r="50" spans="2:62" x14ac:dyDescent="0.3">
      <c r="B50" s="1">
        <v>2036</v>
      </c>
      <c r="C50" s="40">
        <f t="shared" si="6"/>
        <v>990471.63373917423</v>
      </c>
      <c r="D50" s="41">
        <f t="shared" si="7"/>
        <v>3095223.8554349192</v>
      </c>
      <c r="E50" s="42">
        <f t="shared" si="8"/>
        <v>1485707.4506087613</v>
      </c>
      <c r="F50" s="43">
        <f t="shared" si="9"/>
        <v>6190447.7108698385</v>
      </c>
      <c r="I50" s="66"/>
      <c r="J50" s="1">
        <v>2036</v>
      </c>
      <c r="K50" s="42">
        <f t="shared" si="4"/>
        <v>4847414.0922020469</v>
      </c>
      <c r="L50" s="43">
        <f t="shared" si="10"/>
        <v>3877931.2737616375</v>
      </c>
      <c r="M50" s="41">
        <f t="shared" si="11"/>
        <v>5332155.5014222525</v>
      </c>
      <c r="R50" s="28"/>
      <c r="S50" s="1">
        <v>2036</v>
      </c>
      <c r="T50" s="42">
        <f t="shared" si="12"/>
        <v>23497365.802058928</v>
      </c>
      <c r="U50" s="43">
        <f t="shared" si="13"/>
        <v>18797892.641647141</v>
      </c>
      <c r="V50" s="41">
        <f t="shared" si="14"/>
        <v>25847102.382264823</v>
      </c>
      <c r="X50" s="45">
        <f t="shared" si="3"/>
        <v>805354.43184065446</v>
      </c>
      <c r="Z50" s="3"/>
      <c r="AA50" s="3"/>
      <c r="AB50" s="3"/>
      <c r="AC50" s="3"/>
      <c r="AD50" s="66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X50" s="66"/>
    </row>
    <row r="51" spans="2:62" x14ac:dyDescent="0.3">
      <c r="B51" s="1">
        <v>2037</v>
      </c>
      <c r="C51" s="40">
        <f t="shared" si="6"/>
        <v>1010281.0664139577</v>
      </c>
      <c r="D51" s="41">
        <f t="shared" si="7"/>
        <v>3157128.332543618</v>
      </c>
      <c r="E51" s="42">
        <f t="shared" si="8"/>
        <v>1515421.5996209367</v>
      </c>
      <c r="F51" s="43">
        <f t="shared" si="9"/>
        <v>6314256.6650872361</v>
      </c>
      <c r="I51" s="66"/>
      <c r="J51" s="1">
        <v>2037</v>
      </c>
      <c r="K51" s="42">
        <f t="shared" si="4"/>
        <v>5133297.4479810633</v>
      </c>
      <c r="L51" s="43">
        <f t="shared" si="10"/>
        <v>4106637.9583848505</v>
      </c>
      <c r="M51" s="41">
        <f t="shared" si="11"/>
        <v>5646627.1927791694</v>
      </c>
      <c r="R51" s="28"/>
      <c r="S51" s="1">
        <v>2037</v>
      </c>
      <c r="T51" s="42">
        <f t="shared" si="12"/>
        <v>24485459.412274137</v>
      </c>
      <c r="U51" s="43">
        <f t="shared" si="13"/>
        <v>19588367.529819313</v>
      </c>
      <c r="V51" s="41">
        <f t="shared" si="14"/>
        <v>26934005.353501555</v>
      </c>
      <c r="X51" s="45">
        <f t="shared" si="3"/>
        <v>0</v>
      </c>
      <c r="Z51" s="3"/>
      <c r="AA51" s="3"/>
      <c r="AB51" s="3"/>
      <c r="AC51" s="3"/>
      <c r="AD51" s="66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X51" s="66"/>
    </row>
    <row r="52" spans="2:62" x14ac:dyDescent="0.3">
      <c r="B52" s="1">
        <v>2038</v>
      </c>
      <c r="C52" s="40">
        <f t="shared" si="6"/>
        <v>1030486.6877422369</v>
      </c>
      <c r="D52" s="41">
        <f t="shared" si="7"/>
        <v>3220270.8991944902</v>
      </c>
      <c r="E52" s="42">
        <f t="shared" si="8"/>
        <v>1545730.0316133553</v>
      </c>
      <c r="F52" s="43">
        <f t="shared" si="9"/>
        <v>6440541.7983889803</v>
      </c>
      <c r="I52" s="66"/>
      <c r="J52" s="1">
        <v>2038</v>
      </c>
      <c r="K52" s="42">
        <f t="shared" si="4"/>
        <v>5426306.1835390395</v>
      </c>
      <c r="L52" s="43">
        <f t="shared" si="10"/>
        <v>4341044.9468312319</v>
      </c>
      <c r="M52" s="41">
        <f t="shared" si="11"/>
        <v>5968936.8018929437</v>
      </c>
      <c r="R52" s="28"/>
      <c r="S52" s="1">
        <v>2038</v>
      </c>
      <c r="T52" s="42">
        <f t="shared" si="12"/>
        <v>25482300.987629481</v>
      </c>
      <c r="U52" s="43">
        <f t="shared" si="13"/>
        <v>20385840.790103585</v>
      </c>
      <c r="V52" s="41">
        <f t="shared" si="14"/>
        <v>28030531.086392432</v>
      </c>
      <c r="X52" s="45">
        <f t="shared" si="3"/>
        <v>0</v>
      </c>
      <c r="Z52" s="3"/>
      <c r="AA52" s="3"/>
      <c r="AB52" s="3"/>
      <c r="AC52" s="3"/>
      <c r="AD52" s="66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X52" s="66"/>
    </row>
    <row r="53" spans="2:62" x14ac:dyDescent="0.3">
      <c r="AD53" s="63"/>
      <c r="AX53" s="66"/>
    </row>
    <row r="59" spans="2:62" x14ac:dyDescent="0.3">
      <c r="BD59" s="28"/>
      <c r="BE59" s="28"/>
      <c r="BF59" s="28"/>
      <c r="BG59" s="28"/>
      <c r="BH59" s="28"/>
      <c r="BI59" s="28"/>
      <c r="BJ59" s="28"/>
    </row>
    <row r="60" spans="2:62" x14ac:dyDescent="0.3">
      <c r="BD60" s="28"/>
      <c r="BE60" s="28"/>
      <c r="BF60" s="28"/>
      <c r="BG60" s="28"/>
      <c r="BH60" s="28"/>
      <c r="BI60" s="28"/>
      <c r="BJ60" s="28"/>
    </row>
    <row r="61" spans="2:62" x14ac:dyDescent="0.3">
      <c r="BD61" s="28"/>
      <c r="BE61" s="28"/>
      <c r="BF61" s="28"/>
      <c r="BG61" s="28"/>
      <c r="BH61" s="28"/>
      <c r="BI61" s="28"/>
      <c r="BJ61" s="28"/>
    </row>
    <row r="62" spans="2:62" x14ac:dyDescent="0.3">
      <c r="BD62" s="28"/>
      <c r="BE62" s="28"/>
      <c r="BF62" s="28"/>
      <c r="BG62" s="28"/>
      <c r="BH62" s="28"/>
      <c r="BI62" s="28"/>
      <c r="BJ62" s="28"/>
    </row>
    <row r="63" spans="2:62" x14ac:dyDescent="0.3">
      <c r="BD63" s="28"/>
      <c r="BE63" s="28"/>
      <c r="BF63" s="28"/>
      <c r="BG63" s="28"/>
      <c r="BH63" s="28"/>
      <c r="BI63" s="28"/>
      <c r="BJ63" s="28"/>
    </row>
    <row r="64" spans="2:62" x14ac:dyDescent="0.3">
      <c r="BD64" s="28"/>
      <c r="BE64" s="28"/>
      <c r="BF64" s="28"/>
      <c r="BG64" s="28"/>
      <c r="BH64" s="28"/>
      <c r="BI64" s="28"/>
      <c r="BJ64" s="28"/>
    </row>
    <row r="65" spans="56:62" x14ac:dyDescent="0.3">
      <c r="BD65" s="28"/>
      <c r="BE65" s="28"/>
      <c r="BF65" s="28"/>
      <c r="BG65" s="28"/>
      <c r="BH65" s="28"/>
      <c r="BI65" s="28"/>
      <c r="BJ65" s="28"/>
    </row>
    <row r="66" spans="56:62" x14ac:dyDescent="0.3">
      <c r="BD66" s="28"/>
      <c r="BE66" s="28"/>
      <c r="BF66" s="28"/>
      <c r="BG66" s="28"/>
      <c r="BH66" s="28"/>
      <c r="BI66" s="28"/>
      <c r="BJ66" s="28"/>
    </row>
    <row r="106" spans="7:13" x14ac:dyDescent="0.3">
      <c r="G106" s="28"/>
      <c r="H106" s="28"/>
      <c r="I106" s="28"/>
      <c r="J106" s="28"/>
      <c r="K106" s="28"/>
      <c r="L106" s="28"/>
      <c r="M106" s="28"/>
    </row>
  </sheetData>
  <mergeCells count="8">
    <mergeCell ref="B1:N2"/>
    <mergeCell ref="Y30:Z30"/>
    <mergeCell ref="A4:A46"/>
    <mergeCell ref="I3:I52"/>
    <mergeCell ref="AX4:AX53"/>
    <mergeCell ref="J3:R3"/>
    <mergeCell ref="S3:AA3"/>
    <mergeCell ref="AD3:AD52"/>
  </mergeCells>
  <pageMargins left="0.7" right="0.7" top="0.75" bottom="0.75" header="0.3" footer="0.3"/>
  <pageSetup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603B10-EF1B-442D-B26B-EAF72D2B75B7}">
  <dimension ref="A1:U29"/>
  <sheetViews>
    <sheetView topLeftCell="O1" workbookViewId="0">
      <selection activeCell="B37" sqref="B37"/>
    </sheetView>
  </sheetViews>
  <sheetFormatPr defaultColWidth="9.109375" defaultRowHeight="14.4" x14ac:dyDescent="0.3"/>
  <cols>
    <col min="1" max="1" width="37" customWidth="1"/>
    <col min="2" max="2" width="17.33203125" style="7" customWidth="1"/>
    <col min="3" max="7" width="15.33203125" style="7" customWidth="1"/>
    <col min="8" max="8" width="15.33203125" style="7" bestFit="1" customWidth="1"/>
    <col min="9" max="10" width="15.33203125" style="7" customWidth="1"/>
    <col min="11" max="11" width="17.44140625" style="7" customWidth="1"/>
    <col min="12" max="12" width="18.33203125" customWidth="1"/>
    <col min="13" max="13" width="20.5546875" customWidth="1"/>
    <col min="14" max="14" width="21" customWidth="1"/>
    <col min="15" max="15" width="18.88671875" customWidth="1"/>
    <col min="16" max="18" width="14.109375" bestFit="1" customWidth="1"/>
    <col min="19" max="19" width="24.109375" customWidth="1"/>
    <col min="20" max="20" width="21.88671875" customWidth="1"/>
    <col min="21" max="21" width="19.44140625" customWidth="1"/>
  </cols>
  <sheetData>
    <row r="1" spans="1:21" x14ac:dyDescent="0.3">
      <c r="A1" s="68" t="s">
        <v>70</v>
      </c>
      <c r="B1" s="68"/>
      <c r="C1" s="68"/>
      <c r="D1" s="68"/>
    </row>
    <row r="2" spans="1:21" x14ac:dyDescent="0.3">
      <c r="A2" s="68"/>
      <c r="B2" s="68"/>
      <c r="C2" s="68"/>
      <c r="D2" s="68"/>
      <c r="M2" t="s">
        <v>74</v>
      </c>
    </row>
    <row r="3" spans="1:21" x14ac:dyDescent="0.3">
      <c r="M3">
        <v>4671</v>
      </c>
    </row>
    <row r="4" spans="1:21" ht="15" customHeight="1" x14ac:dyDescent="0.3"/>
    <row r="5" spans="1:21" ht="15" customHeight="1" x14ac:dyDescent="0.3">
      <c r="A5" t="s">
        <v>54</v>
      </c>
      <c r="B5" s="6">
        <v>0.12</v>
      </c>
    </row>
    <row r="6" spans="1:21" ht="15" customHeight="1" x14ac:dyDescent="0.3">
      <c r="A6" t="s">
        <v>55</v>
      </c>
      <c r="B6" s="7">
        <f>SUM(B18:G18)</f>
        <v>130000000</v>
      </c>
    </row>
    <row r="7" spans="1:21" ht="15" customHeight="1" x14ac:dyDescent="0.3"/>
    <row r="8" spans="1:21" ht="15" customHeight="1" x14ac:dyDescent="0.3">
      <c r="B8" s="6"/>
    </row>
    <row r="9" spans="1:21" ht="15" customHeight="1" x14ac:dyDescent="0.3">
      <c r="B9" s="21">
        <v>2019</v>
      </c>
      <c r="C9" s="21">
        <v>2020</v>
      </c>
      <c r="D9" s="21">
        <v>2021</v>
      </c>
      <c r="E9" s="21">
        <v>2022</v>
      </c>
      <c r="F9" s="21">
        <v>2023</v>
      </c>
      <c r="G9" s="21">
        <v>2024</v>
      </c>
      <c r="H9" s="21">
        <v>2025</v>
      </c>
      <c r="I9" s="21">
        <v>2026</v>
      </c>
      <c r="J9" s="21">
        <v>2027</v>
      </c>
      <c r="K9" s="21">
        <v>2028</v>
      </c>
      <c r="L9" s="21">
        <v>2029</v>
      </c>
      <c r="M9" s="21">
        <v>2030</v>
      </c>
      <c r="N9" s="21">
        <v>2031</v>
      </c>
      <c r="O9" s="21">
        <v>2032</v>
      </c>
      <c r="P9" s="21">
        <v>2033</v>
      </c>
      <c r="Q9" s="21">
        <v>2034</v>
      </c>
      <c r="R9" s="21">
        <v>2035</v>
      </c>
      <c r="S9" s="21">
        <v>2036</v>
      </c>
      <c r="T9" s="21">
        <v>2037</v>
      </c>
      <c r="U9" s="21">
        <v>2038</v>
      </c>
    </row>
    <row r="10" spans="1:21" ht="15" customHeight="1" x14ac:dyDescent="0.3">
      <c r="A10" s="8" t="s">
        <v>56</v>
      </c>
      <c r="B10" s="9">
        <v>0</v>
      </c>
      <c r="C10" s="9">
        <v>1</v>
      </c>
      <c r="D10" s="9">
        <v>2</v>
      </c>
      <c r="E10" s="9">
        <v>3</v>
      </c>
      <c r="F10" s="9">
        <v>4</v>
      </c>
      <c r="G10" s="9">
        <v>5</v>
      </c>
      <c r="H10" s="9">
        <v>6</v>
      </c>
      <c r="I10" s="9">
        <v>7</v>
      </c>
      <c r="J10" s="9">
        <v>8</v>
      </c>
      <c r="K10" s="9">
        <v>9</v>
      </c>
      <c r="L10" s="9">
        <v>10</v>
      </c>
      <c r="M10" s="9">
        <v>11</v>
      </c>
      <c r="N10" s="9">
        <v>12</v>
      </c>
      <c r="O10" s="9">
        <v>13</v>
      </c>
      <c r="P10" s="9">
        <v>14</v>
      </c>
      <c r="Q10" s="9">
        <v>15</v>
      </c>
      <c r="R10" s="9">
        <v>16</v>
      </c>
      <c r="S10" s="9">
        <v>17</v>
      </c>
      <c r="T10" s="9">
        <v>18</v>
      </c>
      <c r="U10" s="9">
        <v>19</v>
      </c>
    </row>
    <row r="11" spans="1:21" x14ac:dyDescent="0.3">
      <c r="A11" s="5" t="s">
        <v>71</v>
      </c>
      <c r="B11" s="10"/>
      <c r="C11" s="25">
        <f>Parametros!D34*0.25</f>
        <v>563675.71500000008</v>
      </c>
      <c r="D11" s="25">
        <f>Parametros!D35*0.5</f>
        <v>1149898.4586</v>
      </c>
      <c r="E11" s="25">
        <f>Parametros!D36*0.75</f>
        <v>1759344.6416579999</v>
      </c>
      <c r="F11" s="25">
        <f>Parametros!D37</f>
        <v>2392708.7126548802</v>
      </c>
      <c r="G11" s="25">
        <f>Parametros!D38</f>
        <v>2440562.8869079775</v>
      </c>
      <c r="H11" s="25">
        <f>Parametros!D39</f>
        <v>2489374.144646137</v>
      </c>
      <c r="I11" s="26">
        <f>Parametros!D40</f>
        <v>2539161.6275390601</v>
      </c>
      <c r="J11" s="25">
        <f>Parametros!D41</f>
        <v>2589944.8600898408</v>
      </c>
      <c r="K11" s="25">
        <f>Parametros!D42</f>
        <v>2641743.7572916378</v>
      </c>
      <c r="L11" s="25">
        <f>Parametros!D43</f>
        <v>2694578.6324374704</v>
      </c>
      <c r="M11" s="25">
        <f>Parametros!D44</f>
        <v>2748470.2050862201</v>
      </c>
      <c r="N11" s="25">
        <f>Parametros!D45</f>
        <v>2803439.6091879443</v>
      </c>
      <c r="O11" s="25">
        <f>Parametros!D46</f>
        <v>2859508.401371703</v>
      </c>
      <c r="P11" s="25">
        <f>Parametros!D47</f>
        <v>2916698.569399137</v>
      </c>
      <c r="Q11" s="25">
        <f>Parametros!D48</f>
        <v>2975032.5407871199</v>
      </c>
      <c r="R11" s="25">
        <f>Parametros!D49</f>
        <v>3034533.1916028624</v>
      </c>
      <c r="S11" s="25">
        <f>Parametros!D50</f>
        <v>3095223.8554349192</v>
      </c>
      <c r="T11" s="25">
        <f>Parametros!D51</f>
        <v>3157128.332543618</v>
      </c>
      <c r="U11" s="25">
        <f>Parametros!D52</f>
        <v>3220270.8991944902</v>
      </c>
    </row>
    <row r="12" spans="1:21" x14ac:dyDescent="0.3">
      <c r="A12" s="1" t="s">
        <v>72</v>
      </c>
      <c r="B12" s="25">
        <f>Parametros!K33+ Parametros!T33</f>
        <v>3838906.8347510882</v>
      </c>
      <c r="C12" s="25">
        <f>Parametros!K34+ Parametros!T34</f>
        <v>5026802.3462741468</v>
      </c>
      <c r="D12" s="25">
        <f>Parametros!K35+ Parametros!T35</f>
        <v>6003841.2147168489</v>
      </c>
      <c r="E12" s="25">
        <f>Parametros!K36+ Parametros!T36</f>
        <v>7770796.6344129834</v>
      </c>
      <c r="F12" s="25">
        <f>Parametros!K37+ Parametros!T37</f>
        <v>9916200.5064710341</v>
      </c>
      <c r="G12" s="25">
        <f>Parametros!K38+ Parametros!T38</f>
        <v>11597321.357151456</v>
      </c>
      <c r="H12" s="25">
        <f>Parametros!K39+ Parametros!T39</f>
        <v>13844032.840211436</v>
      </c>
      <c r="I12" s="25">
        <f>Parametros!K40+ Parametros!T40</f>
        <v>15537068.189216448</v>
      </c>
      <c r="J12" s="25">
        <f>Parametros!K41+ Parametros!T41</f>
        <v>17001793.281895805</v>
      </c>
      <c r="K12" s="25">
        <f>Parametros!K42+ Parametros!T42</f>
        <v>18352597.707728855</v>
      </c>
      <c r="L12" s="25">
        <f>Parametros!K43+ Parametros!T43</f>
        <v>19641683.037153076</v>
      </c>
      <c r="M12" s="25">
        <f>Parametros!K44+ Parametros!T44</f>
        <v>20897013.237173226</v>
      </c>
      <c r="N12" s="25">
        <f>Parametros!K45+ Parametros!T45</f>
        <v>22135216.445032783</v>
      </c>
      <c r="O12" s="25">
        <f>Parametros!K46+ Parametros!T46</f>
        <v>23366929.814282037</v>
      </c>
      <c r="P12" s="25">
        <f>Parametros!K47+ Parametros!T47</f>
        <v>24599334.921159517</v>
      </c>
      <c r="Q12" s="25">
        <f>Parametros!K48+ Parametros!T48</f>
        <v>25837484.83671217</v>
      </c>
      <c r="R12" s="25">
        <f>Parametros!K49+ Parametros!T49</f>
        <v>27085052.739959165</v>
      </c>
      <c r="S12" s="25">
        <f>Parametros!K50+ Parametros!T50</f>
        <v>28344779.894260973</v>
      </c>
      <c r="T12" s="25">
        <f>Parametros!K51+ Parametros!T51</f>
        <v>29618756.8602552</v>
      </c>
      <c r="U12" s="25">
        <f>Parametros!K52+ Parametros!T52</f>
        <v>30908607.171168521</v>
      </c>
    </row>
    <row r="13" spans="1:21" ht="15" customHeight="1" x14ac:dyDescent="0.3">
      <c r="A13" s="1" t="s">
        <v>73</v>
      </c>
      <c r="B13" s="10">
        <f>Parametros!BA66</f>
        <v>0</v>
      </c>
      <c r="C13" s="25">
        <f>Parametros!BB66</f>
        <v>0</v>
      </c>
      <c r="D13" s="25">
        <f>Parametros!BC66</f>
        <v>0</v>
      </c>
      <c r="E13" s="25">
        <f>Parametros!AK40</f>
        <v>364000</v>
      </c>
      <c r="F13" s="25">
        <f>Parametros!AL40</f>
        <v>1057472</v>
      </c>
      <c r="G13" s="25">
        <f>Parametros!AM40</f>
        <v>2767756.0135680004</v>
      </c>
      <c r="H13" s="25">
        <f>Parametros!AN40</f>
        <v>5001035.0652620811</v>
      </c>
      <c r="I13" s="25">
        <f>Parametros!AO40</f>
        <v>7173478.0067971088</v>
      </c>
      <c r="J13" s="25">
        <f>Parametros!AP40</f>
        <v>9199052.5515928715</v>
      </c>
      <c r="K13" s="25">
        <f>Parametros!AQ40</f>
        <v>23918883.776658241</v>
      </c>
      <c r="L13" s="25"/>
      <c r="M13" s="25">
        <f>Parametros!AS40</f>
        <v>0</v>
      </c>
      <c r="N13" s="25">
        <f>Parametros!P105</f>
        <v>0</v>
      </c>
      <c r="O13" s="25">
        <f>Parametros!Q105</f>
        <v>0</v>
      </c>
      <c r="P13" s="25">
        <f>Parametros!V105</f>
        <v>0</v>
      </c>
      <c r="Q13" s="25">
        <f>Parametros!W105</f>
        <v>0</v>
      </c>
      <c r="R13" s="25">
        <f>Parametros!X105</f>
        <v>0</v>
      </c>
      <c r="S13" s="25">
        <f>Parametros!Y105</f>
        <v>0</v>
      </c>
      <c r="T13" s="25">
        <f>Parametros!Z105</f>
        <v>0</v>
      </c>
      <c r="U13" s="25">
        <f>Parametros!AU105</f>
        <v>0</v>
      </c>
    </row>
    <row r="14" spans="1:21" s="13" customFormat="1" ht="15" customHeight="1" x14ac:dyDescent="0.3">
      <c r="A14" s="11" t="s">
        <v>57</v>
      </c>
      <c r="B14" s="12">
        <f>SUM(B11:B13)</f>
        <v>3838906.8347510882</v>
      </c>
      <c r="C14" s="27">
        <f>SUM(C11:C13)</f>
        <v>5590478.0612741467</v>
      </c>
      <c r="D14" s="27">
        <f t="shared" ref="D14:U14" si="0">SUM(D11:D13)</f>
        <v>7153739.6733168494</v>
      </c>
      <c r="E14" s="27">
        <f t="shared" si="0"/>
        <v>9894141.2760709841</v>
      </c>
      <c r="F14" s="27">
        <f t="shared" si="0"/>
        <v>13366381.219125915</v>
      </c>
      <c r="G14" s="27">
        <f t="shared" si="0"/>
        <v>16805640.257627435</v>
      </c>
      <c r="H14" s="27">
        <f t="shared" si="0"/>
        <v>21334442.050119653</v>
      </c>
      <c r="I14" s="27">
        <f t="shared" si="0"/>
        <v>25249707.823552616</v>
      </c>
      <c r="J14" s="27">
        <f t="shared" si="0"/>
        <v>28790790.693578519</v>
      </c>
      <c r="K14" s="27">
        <f t="shared" si="0"/>
        <v>44913225.24167873</v>
      </c>
      <c r="L14" s="27">
        <f t="shared" si="0"/>
        <v>22336261.669590548</v>
      </c>
      <c r="M14" s="27">
        <f t="shared" si="0"/>
        <v>23645483.442259446</v>
      </c>
      <c r="N14" s="27">
        <f t="shared" si="0"/>
        <v>24938656.054220729</v>
      </c>
      <c r="O14" s="27">
        <f t="shared" si="0"/>
        <v>26226438.21565374</v>
      </c>
      <c r="P14" s="27">
        <f t="shared" si="0"/>
        <v>27516033.490558654</v>
      </c>
      <c r="Q14" s="27">
        <f t="shared" si="0"/>
        <v>28812517.37749929</v>
      </c>
      <c r="R14" s="27">
        <f t="shared" si="0"/>
        <v>30119585.931562029</v>
      </c>
      <c r="S14" s="27">
        <f t="shared" si="0"/>
        <v>31440003.749695893</v>
      </c>
      <c r="T14" s="27">
        <f t="shared" si="0"/>
        <v>32775885.192798819</v>
      </c>
      <c r="U14" s="27">
        <f t="shared" si="0"/>
        <v>34128878.070363015</v>
      </c>
    </row>
    <row r="15" spans="1:21" ht="15" customHeight="1" x14ac:dyDescent="0.3">
      <c r="A15" s="1" t="s">
        <v>58</v>
      </c>
      <c r="B15" s="25">
        <f>B14/(1+$B$5)^B10</f>
        <v>3838906.8347510882</v>
      </c>
      <c r="C15" s="25">
        <f>C14/(1+$B$5)^C10</f>
        <v>4991498.2689947737</v>
      </c>
      <c r="D15" s="25">
        <f t="shared" ref="D15:U15" si="1">D14/(1+$B$5)^D10</f>
        <v>5702917.4691620283</v>
      </c>
      <c r="E15" s="25">
        <f t="shared" si="1"/>
        <v>7042454.3293827027</v>
      </c>
      <c r="F15" s="25">
        <f t="shared" si="1"/>
        <v>8494576.9076053258</v>
      </c>
      <c r="G15" s="25">
        <f t="shared" si="1"/>
        <v>9535971.609723445</v>
      </c>
      <c r="H15" s="25">
        <f t="shared" si="1"/>
        <v>10808692.295544695</v>
      </c>
      <c r="I15" s="25">
        <f t="shared" si="1"/>
        <v>11421685.521469845</v>
      </c>
      <c r="J15" s="25">
        <f t="shared" si="1"/>
        <v>11628117.481400872</v>
      </c>
      <c r="K15" s="25">
        <f t="shared" si="1"/>
        <v>16196159.276405076</v>
      </c>
      <c r="L15" s="25">
        <f t="shared" si="1"/>
        <v>7191678.4630947718</v>
      </c>
      <c r="M15" s="25">
        <f t="shared" si="1"/>
        <v>6797511.4595142715</v>
      </c>
      <c r="N15" s="25">
        <f t="shared" si="1"/>
        <v>6401131.8606501939</v>
      </c>
      <c r="O15" s="25">
        <f t="shared" si="1"/>
        <v>6010422.7380619869</v>
      </c>
      <c r="P15" s="25">
        <f t="shared" si="1"/>
        <v>5630325.6167710284</v>
      </c>
      <c r="Q15" s="25">
        <f t="shared" si="1"/>
        <v>5263939.2024788922</v>
      </c>
      <c r="R15" s="25">
        <f t="shared" si="1"/>
        <v>4913156.9111804971</v>
      </c>
      <c r="S15" s="25">
        <f t="shared" si="1"/>
        <v>4579058.6250014706</v>
      </c>
      <c r="T15" s="25">
        <f t="shared" si="1"/>
        <v>4262162.6762004681</v>
      </c>
      <c r="U15" s="25">
        <f t="shared" si="1"/>
        <v>3962594.0316343103</v>
      </c>
    </row>
    <row r="16" spans="1:21" ht="15" customHeight="1" x14ac:dyDescent="0.3">
      <c r="A16" s="1" t="s">
        <v>59</v>
      </c>
      <c r="B16" s="14">
        <f>NPV(B5,C14:U14)</f>
        <v>140834054.74427661</v>
      </c>
      <c r="C16" s="10"/>
      <c r="D16" s="10"/>
      <c r="E16" s="10"/>
      <c r="F16" s="10"/>
      <c r="G16" s="10"/>
      <c r="H16" s="10"/>
      <c r="I16" s="10"/>
      <c r="J16" s="10"/>
      <c r="K16" s="10"/>
    </row>
    <row r="17" spans="1:21" ht="15" customHeight="1" x14ac:dyDescent="0.3">
      <c r="A17" s="8" t="s">
        <v>60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</row>
    <row r="18" spans="1:21" ht="15" customHeight="1" x14ac:dyDescent="0.3">
      <c r="A18" s="1" t="s">
        <v>61</v>
      </c>
      <c r="B18" s="31">
        <v>2716000</v>
      </c>
      <c r="C18" s="31">
        <v>17269860</v>
      </c>
      <c r="D18" s="31">
        <v>33700299</v>
      </c>
      <c r="E18" s="31">
        <v>42287232</v>
      </c>
      <c r="F18" s="31">
        <v>27214559</v>
      </c>
      <c r="G18" s="31">
        <v>6812050</v>
      </c>
      <c r="I18" s="10"/>
      <c r="J18" s="10"/>
      <c r="K18" s="10"/>
      <c r="L18" s="30"/>
    </row>
    <row r="19" spans="1:21" x14ac:dyDescent="0.3">
      <c r="A19" s="1" t="s">
        <v>62</v>
      </c>
      <c r="B19" s="22">
        <f t="shared" ref="B19:U19" si="2">B14-B18</f>
        <v>1122906.8347510882</v>
      </c>
      <c r="C19" s="22">
        <f t="shared" si="2"/>
        <v>-11679381.938725853</v>
      </c>
      <c r="D19" s="22">
        <f t="shared" si="2"/>
        <v>-26546559.326683149</v>
      </c>
      <c r="E19" s="22">
        <f t="shared" si="2"/>
        <v>-32393090.723929018</v>
      </c>
      <c r="F19" s="22">
        <f t="shared" si="2"/>
        <v>-13848177.780874085</v>
      </c>
      <c r="G19" s="22">
        <f t="shared" si="2"/>
        <v>9993590.257627435</v>
      </c>
      <c r="H19" s="22">
        <f t="shared" si="2"/>
        <v>21334442.050119653</v>
      </c>
      <c r="I19" s="22">
        <f t="shared" si="2"/>
        <v>25249707.823552616</v>
      </c>
      <c r="J19" s="22">
        <f t="shared" si="2"/>
        <v>28790790.693578519</v>
      </c>
      <c r="K19" s="22">
        <f t="shared" si="2"/>
        <v>44913225.24167873</v>
      </c>
      <c r="L19" s="22">
        <f t="shared" si="2"/>
        <v>22336261.669590548</v>
      </c>
      <c r="M19" s="22">
        <f t="shared" si="2"/>
        <v>23645483.442259446</v>
      </c>
      <c r="N19" s="22">
        <f t="shared" si="2"/>
        <v>24938656.054220729</v>
      </c>
      <c r="O19" s="22">
        <f t="shared" si="2"/>
        <v>26226438.21565374</v>
      </c>
      <c r="P19" s="22">
        <f t="shared" si="2"/>
        <v>27516033.490558654</v>
      </c>
      <c r="Q19" s="22">
        <f t="shared" si="2"/>
        <v>28812517.37749929</v>
      </c>
      <c r="R19" s="22">
        <f t="shared" si="2"/>
        <v>30119585.931562029</v>
      </c>
      <c r="S19" s="22">
        <f t="shared" si="2"/>
        <v>31440003.749695893</v>
      </c>
      <c r="T19" s="22">
        <f t="shared" si="2"/>
        <v>32775885.192798819</v>
      </c>
      <c r="U19" s="22">
        <f t="shared" si="2"/>
        <v>34128878.070363015</v>
      </c>
    </row>
    <row r="20" spans="1:21" x14ac:dyDescent="0.3">
      <c r="A20" s="1" t="s">
        <v>63</v>
      </c>
      <c r="B20" s="22">
        <f t="shared" ref="B20:G20" si="3">B18/(1+$B$5)^B10</f>
        <v>2716000</v>
      </c>
      <c r="C20" s="22">
        <f t="shared" si="3"/>
        <v>15419517.857142856</v>
      </c>
      <c r="D20" s="22">
        <f t="shared" si="3"/>
        <v>26865672.03443877</v>
      </c>
      <c r="E20" s="22">
        <f t="shared" si="3"/>
        <v>30099216.472303197</v>
      </c>
      <c r="F20" s="22">
        <f t="shared" si="3"/>
        <v>17295344.240314905</v>
      </c>
      <c r="G20" s="22">
        <f t="shared" si="3"/>
        <v>3865340.1124978838</v>
      </c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</row>
    <row r="21" spans="1:21" x14ac:dyDescent="0.3">
      <c r="A21" s="1" t="s">
        <v>64</v>
      </c>
      <c r="B21" s="22">
        <f>SUM(B20:H20)</f>
        <v>96261090.716697603</v>
      </c>
      <c r="C21" s="22"/>
      <c r="D21" s="22"/>
      <c r="E21" s="22"/>
      <c r="F21" s="22"/>
      <c r="G21" s="22"/>
      <c r="H21" s="22"/>
      <c r="I21" s="22"/>
      <c r="J21" s="22"/>
      <c r="K21" s="22"/>
      <c r="L21" s="23"/>
      <c r="M21" s="23"/>
      <c r="N21" s="23"/>
      <c r="O21" s="23"/>
      <c r="P21" s="23"/>
      <c r="Q21" s="23"/>
      <c r="R21" s="23"/>
      <c r="S21" s="23"/>
      <c r="T21" s="23"/>
      <c r="U21" s="23"/>
    </row>
    <row r="22" spans="1:21" x14ac:dyDescent="0.3">
      <c r="A22" s="1" t="s">
        <v>65</v>
      </c>
      <c r="B22" s="24">
        <f t="shared" ref="B22:U22" si="4">B15-B20</f>
        <v>1122906.8347510882</v>
      </c>
      <c r="C22" s="24">
        <f t="shared" si="4"/>
        <v>-10428019.588148084</v>
      </c>
      <c r="D22" s="24">
        <f t="shared" si="4"/>
        <v>-21162754.565276742</v>
      </c>
      <c r="E22" s="24">
        <f t="shared" si="4"/>
        <v>-23056762.142920494</v>
      </c>
      <c r="F22" s="24">
        <f t="shared" si="4"/>
        <v>-8800767.3327095788</v>
      </c>
      <c r="G22" s="24">
        <f t="shared" si="4"/>
        <v>5670631.4972255612</v>
      </c>
      <c r="H22" s="24">
        <f t="shared" si="4"/>
        <v>10808692.295544695</v>
      </c>
      <c r="I22" s="24">
        <f t="shared" si="4"/>
        <v>11421685.521469845</v>
      </c>
      <c r="J22" s="24">
        <f t="shared" si="4"/>
        <v>11628117.481400872</v>
      </c>
      <c r="K22" s="24">
        <f t="shared" si="4"/>
        <v>16196159.276405076</v>
      </c>
      <c r="L22" s="24">
        <f t="shared" si="4"/>
        <v>7191678.4630947718</v>
      </c>
      <c r="M22" s="24">
        <f t="shared" si="4"/>
        <v>6797511.4595142715</v>
      </c>
      <c r="N22" s="24">
        <f t="shared" si="4"/>
        <v>6401131.8606501939</v>
      </c>
      <c r="O22" s="24">
        <f t="shared" si="4"/>
        <v>6010422.7380619869</v>
      </c>
      <c r="P22" s="24">
        <f t="shared" si="4"/>
        <v>5630325.6167710284</v>
      </c>
      <c r="Q22" s="24">
        <f t="shared" si="4"/>
        <v>5263939.2024788922</v>
      </c>
      <c r="R22" s="24">
        <f t="shared" si="4"/>
        <v>4913156.9111804971</v>
      </c>
      <c r="S22" s="24">
        <f t="shared" si="4"/>
        <v>4579058.6250014706</v>
      </c>
      <c r="T22" s="24">
        <f t="shared" si="4"/>
        <v>4262162.6762004681</v>
      </c>
      <c r="U22" s="24">
        <f t="shared" si="4"/>
        <v>3962594.0316343103</v>
      </c>
    </row>
    <row r="23" spans="1:21" x14ac:dyDescent="0.3">
      <c r="A23" s="16" t="s">
        <v>66</v>
      </c>
      <c r="B23" s="17">
        <f>NPV(B5,B19:U19)</f>
        <v>43224884.698509</v>
      </c>
    </row>
    <row r="24" spans="1:21" hidden="1" x14ac:dyDescent="0.3">
      <c r="A24" s="16" t="s">
        <v>67</v>
      </c>
      <c r="B24" s="18">
        <f>SUM(B22:K22)</f>
        <v>-6600110.7222577613</v>
      </c>
    </row>
    <row r="25" spans="1:21" x14ac:dyDescent="0.3">
      <c r="A25" s="16" t="s">
        <v>68</v>
      </c>
      <c r="B25" s="19">
        <f>B16/B21</f>
        <v>1.4630423746055405</v>
      </c>
    </row>
    <row r="26" spans="1:21" x14ac:dyDescent="0.3">
      <c r="A26" s="16" t="s">
        <v>69</v>
      </c>
      <c r="B26" s="20">
        <f>IRR(B19:U19)</f>
        <v>0.20794602516398442</v>
      </c>
    </row>
    <row r="29" spans="1:21" x14ac:dyDescent="0.3">
      <c r="B29" s="6"/>
      <c r="C29" s="6"/>
      <c r="D29" s="6"/>
      <c r="E29" s="6"/>
      <c r="F29" s="6"/>
      <c r="G29" s="6"/>
    </row>
  </sheetData>
  <mergeCells count="1">
    <mergeCell ref="A1:D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7A4E3-9D4C-4D36-9B8C-CFF6065D60EC}">
  <dimension ref="A1:U29"/>
  <sheetViews>
    <sheetView workbookViewId="0">
      <selection activeCell="B22" sqref="B22"/>
    </sheetView>
  </sheetViews>
  <sheetFormatPr defaultColWidth="9.109375" defaultRowHeight="14.4" x14ac:dyDescent="0.3"/>
  <cols>
    <col min="1" max="1" width="37" customWidth="1"/>
    <col min="2" max="2" width="17.33203125" style="7" customWidth="1"/>
    <col min="3" max="7" width="15.33203125" style="7" customWidth="1"/>
    <col min="8" max="8" width="15.33203125" style="7" bestFit="1" customWidth="1"/>
    <col min="9" max="10" width="15.33203125" style="7" customWidth="1"/>
    <col min="11" max="11" width="17.44140625" style="7" customWidth="1"/>
    <col min="12" max="12" width="18.33203125" customWidth="1"/>
    <col min="13" max="13" width="20.5546875" customWidth="1"/>
    <col min="14" max="14" width="21" customWidth="1"/>
    <col min="15" max="15" width="18.88671875" customWidth="1"/>
    <col min="16" max="18" width="14.109375" bestFit="1" customWidth="1"/>
    <col min="19" max="19" width="24.109375" customWidth="1"/>
    <col min="20" max="20" width="21.88671875" customWidth="1"/>
    <col min="21" max="21" width="19.44140625" customWidth="1"/>
  </cols>
  <sheetData>
    <row r="1" spans="1:21" x14ac:dyDescent="0.3">
      <c r="A1" s="68" t="s">
        <v>70</v>
      </c>
      <c r="B1" s="68"/>
      <c r="C1" s="68"/>
      <c r="D1" s="68"/>
    </row>
    <row r="2" spans="1:21" x14ac:dyDescent="0.3">
      <c r="A2" s="68"/>
      <c r="B2" s="68"/>
      <c r="C2" s="68"/>
      <c r="D2" s="68"/>
    </row>
    <row r="4" spans="1:21" ht="15" customHeight="1" x14ac:dyDescent="0.3"/>
    <row r="5" spans="1:21" ht="15" customHeight="1" x14ac:dyDescent="0.3">
      <c r="A5" t="s">
        <v>54</v>
      </c>
      <c r="B5" s="6">
        <v>0.12</v>
      </c>
    </row>
    <row r="6" spans="1:21" ht="15" customHeight="1" x14ac:dyDescent="0.3">
      <c r="A6" t="s">
        <v>55</v>
      </c>
      <c r="B6" s="7">
        <f>SUM(B18:G18)</f>
        <v>130000000</v>
      </c>
    </row>
    <row r="7" spans="1:21" ht="15" customHeight="1" x14ac:dyDescent="0.3"/>
    <row r="8" spans="1:21" ht="15" customHeight="1" x14ac:dyDescent="0.3">
      <c r="B8" s="6"/>
    </row>
    <row r="9" spans="1:21" ht="15" customHeight="1" x14ac:dyDescent="0.3">
      <c r="B9" s="21">
        <v>2019</v>
      </c>
      <c r="C9" s="21">
        <v>2020</v>
      </c>
      <c r="D9" s="21">
        <v>2021</v>
      </c>
      <c r="E9" s="21">
        <v>2022</v>
      </c>
      <c r="F9" s="21">
        <v>2023</v>
      </c>
      <c r="G9" s="21">
        <v>2024</v>
      </c>
      <c r="H9" s="21">
        <v>2025</v>
      </c>
      <c r="I9" s="21">
        <v>2026</v>
      </c>
      <c r="J9" s="21">
        <v>2027</v>
      </c>
      <c r="K9" s="21">
        <v>2028</v>
      </c>
      <c r="L9" s="21">
        <v>2029</v>
      </c>
      <c r="M9" s="21">
        <v>2030</v>
      </c>
      <c r="N9" s="21">
        <v>2031</v>
      </c>
      <c r="O9" s="21">
        <v>2032</v>
      </c>
      <c r="P9" s="21">
        <v>2033</v>
      </c>
      <c r="Q9" s="21">
        <v>2034</v>
      </c>
      <c r="R9" s="21">
        <v>2035</v>
      </c>
      <c r="S9" s="21">
        <v>2036</v>
      </c>
      <c r="T9" s="21">
        <v>2037</v>
      </c>
      <c r="U9" s="21">
        <v>2038</v>
      </c>
    </row>
    <row r="10" spans="1:21" ht="15" customHeight="1" x14ac:dyDescent="0.3">
      <c r="A10" s="8" t="s">
        <v>56</v>
      </c>
      <c r="B10" s="9">
        <v>0</v>
      </c>
      <c r="C10" s="9">
        <v>1</v>
      </c>
      <c r="D10" s="9">
        <v>2</v>
      </c>
      <c r="E10" s="9">
        <v>3</v>
      </c>
      <c r="F10" s="9">
        <v>4</v>
      </c>
      <c r="G10" s="9">
        <v>5</v>
      </c>
      <c r="H10" s="9">
        <v>6</v>
      </c>
      <c r="I10" s="9">
        <v>7</v>
      </c>
      <c r="J10" s="9">
        <v>8</v>
      </c>
      <c r="K10" s="9">
        <v>9</v>
      </c>
      <c r="L10" s="9">
        <v>10</v>
      </c>
      <c r="M10" s="9">
        <v>11</v>
      </c>
      <c r="N10" s="9">
        <v>12</v>
      </c>
      <c r="O10" s="9">
        <v>13</v>
      </c>
      <c r="P10" s="9">
        <v>14</v>
      </c>
      <c r="Q10" s="9">
        <v>15</v>
      </c>
      <c r="R10" s="9">
        <v>16</v>
      </c>
      <c r="S10" s="9">
        <v>17</v>
      </c>
      <c r="T10" s="9">
        <v>18</v>
      </c>
      <c r="U10" s="9">
        <v>19</v>
      </c>
    </row>
    <row r="11" spans="1:21" x14ac:dyDescent="0.3">
      <c r="A11" s="5" t="s">
        <v>71</v>
      </c>
      <c r="B11" s="10"/>
      <c r="C11" s="25">
        <f>Parametros!E34</f>
        <v>1082257.3728</v>
      </c>
      <c r="D11" s="25">
        <f>Parametros!E35</f>
        <v>1103902.5202559999</v>
      </c>
      <c r="E11" s="25">
        <f>Parametros!E36</f>
        <v>1125980.5706611199</v>
      </c>
      <c r="F11" s="25">
        <f>Parametros!E37</f>
        <v>1148500.1820743424</v>
      </c>
      <c r="G11" s="25">
        <f>Parametros!E38</f>
        <v>1171470.1857158293</v>
      </c>
      <c r="H11" s="25">
        <f>Parametros!E39</f>
        <v>1194899.5894301457</v>
      </c>
      <c r="I11" s="26">
        <f>Parametros!E40</f>
        <v>1218797.5812187488</v>
      </c>
      <c r="J11" s="25">
        <f>Parametros!E41</f>
        <v>1243173.5328431237</v>
      </c>
      <c r="K11" s="25">
        <f>Parametros!E42</f>
        <v>1268037.0034999861</v>
      </c>
      <c r="L11" s="25">
        <f>Parametros!E43</f>
        <v>1293397.7435699857</v>
      </c>
      <c r="M11" s="25">
        <f>Parametros!E44</f>
        <v>1319265.6984413855</v>
      </c>
      <c r="N11" s="25">
        <f>Parametros!E45</f>
        <v>1345651.0124102132</v>
      </c>
      <c r="O11" s="25">
        <f>Parametros!E46</f>
        <v>1372564.0326584175</v>
      </c>
      <c r="P11" s="25">
        <f>Parametros!E47</f>
        <v>1400015.3133115857</v>
      </c>
      <c r="Q11" s="25">
        <f>Parametros!E48</f>
        <v>1428015.6195778174</v>
      </c>
      <c r="R11" s="25">
        <f>Parametros!E49</f>
        <v>1456575.931969374</v>
      </c>
      <c r="S11" s="25">
        <f>Parametros!E50</f>
        <v>1485707.4506087613</v>
      </c>
      <c r="T11" s="25">
        <f>Parametros!E51</f>
        <v>1515421.5996209367</v>
      </c>
      <c r="U11" s="25">
        <f>Parametros!E52</f>
        <v>1545730.0316133553</v>
      </c>
    </row>
    <row r="12" spans="1:21" x14ac:dyDescent="0.3">
      <c r="A12" s="1" t="s">
        <v>72</v>
      </c>
      <c r="B12" s="10">
        <f>Parametros!U33+ Parametros!L33</f>
        <v>3071125.4678008705</v>
      </c>
      <c r="C12" s="10">
        <f>Parametros!U34+ Parametros!L34</f>
        <v>4021441.8770193178</v>
      </c>
      <c r="D12" s="10">
        <f>Parametros!U35+ Parametros!L35</f>
        <v>4803072.9717734791</v>
      </c>
      <c r="E12" s="10">
        <f>Parametros!U36+ Parametros!L36</f>
        <v>6216637.3075303864</v>
      </c>
      <c r="F12" s="10">
        <f>Parametros!U37+ Parametros!L37</f>
        <v>7932960.4051768277</v>
      </c>
      <c r="G12" s="10">
        <f>Parametros!U38+ Parametros!L38</f>
        <v>9277857.0857211668</v>
      </c>
      <c r="H12" s="10">
        <f>Parametros!U39+ Parametros!L39</f>
        <v>11075226.27216915</v>
      </c>
      <c r="I12" s="10">
        <f>Parametros!U40+ Parametros!L40</f>
        <v>12429654.55137316</v>
      </c>
      <c r="J12" s="10">
        <f>Parametros!U41+ Parametros!L41</f>
        <v>13601434.625516646</v>
      </c>
      <c r="K12" s="10">
        <f>Parametros!U42+ Parametros!L42</f>
        <v>14682078.166183084</v>
      </c>
      <c r="L12" s="10">
        <f>Parametros!U43+ Parametros!L43</f>
        <v>15713346.42972246</v>
      </c>
      <c r="M12" s="10">
        <f>Parametros!U44+ Parametros!L44</f>
        <v>16717610.589738583</v>
      </c>
      <c r="N12" s="10">
        <f>Parametros!U45+ Parametros!L45</f>
        <v>17708173.156026226</v>
      </c>
      <c r="O12" s="10">
        <f>Parametros!U46+ Parametros!L46</f>
        <v>18693543.851425629</v>
      </c>
      <c r="P12" s="10">
        <f>Parametros!U47+ Parametros!L47</f>
        <v>19679467.936927613</v>
      </c>
      <c r="Q12" s="10">
        <f>Parametros!U48+ Parametros!L48</f>
        <v>20669987.869369738</v>
      </c>
      <c r="R12" s="10">
        <f>Parametros!U49+ Parametros!L49</f>
        <v>21668042.191967335</v>
      </c>
      <c r="S12" s="10">
        <f>Parametros!U50+ Parametros!L50</f>
        <v>22675823.915408779</v>
      </c>
      <c r="T12" s="10">
        <f>Parametros!U51+ Parametros!L51</f>
        <v>23695005.488204163</v>
      </c>
      <c r="U12" s="10">
        <f>Parametros!U52+ Parametros!L52</f>
        <v>24726885.736934818</v>
      </c>
    </row>
    <row r="13" spans="1:21" ht="15" customHeight="1" x14ac:dyDescent="0.3">
      <c r="A13" s="1" t="s">
        <v>73</v>
      </c>
      <c r="B13" s="10">
        <f>Parametros!BA66</f>
        <v>0</v>
      </c>
      <c r="C13" s="25">
        <f>Parametros!BB66</f>
        <v>0</v>
      </c>
      <c r="D13" s="25">
        <f>Parametros!BC66</f>
        <v>0</v>
      </c>
      <c r="E13" s="25">
        <f>Parametros!AK40</f>
        <v>364000</v>
      </c>
      <c r="F13" s="25">
        <f>Parametros!AL40</f>
        <v>1057472</v>
      </c>
      <c r="G13" s="25">
        <f>Parametros!AM40</f>
        <v>2767756.0135680004</v>
      </c>
      <c r="H13" s="25">
        <f>Parametros!AN40</f>
        <v>5001035.0652620811</v>
      </c>
      <c r="I13" s="25">
        <f>Parametros!AO40</f>
        <v>7173478.0067971088</v>
      </c>
      <c r="J13" s="25">
        <f>Parametros!AP40</f>
        <v>9199052.5515928715</v>
      </c>
      <c r="K13" s="25">
        <f>Parametros!AQ40</f>
        <v>23918883.776658241</v>
      </c>
      <c r="L13" s="25">
        <f>Parametros!BK66</f>
        <v>0</v>
      </c>
      <c r="M13" s="25">
        <f>Parametros!BL66</f>
        <v>0</v>
      </c>
      <c r="N13" s="25">
        <f>Parametros!P105</f>
        <v>0</v>
      </c>
      <c r="O13" s="25">
        <f>Parametros!Q105</f>
        <v>0</v>
      </c>
      <c r="P13" s="25">
        <f>Parametros!V105</f>
        <v>0</v>
      </c>
      <c r="Q13" s="25">
        <f>Parametros!W105</f>
        <v>0</v>
      </c>
      <c r="R13" s="25">
        <f>Parametros!X105</f>
        <v>0</v>
      </c>
      <c r="S13" s="25">
        <f>Parametros!Y105</f>
        <v>0</v>
      </c>
      <c r="T13" s="25">
        <f>Parametros!Z105</f>
        <v>0</v>
      </c>
      <c r="U13" s="25">
        <f>Parametros!AU105</f>
        <v>0</v>
      </c>
    </row>
    <row r="14" spans="1:21" s="13" customFormat="1" ht="15" customHeight="1" x14ac:dyDescent="0.3">
      <c r="A14" s="11" t="s">
        <v>57</v>
      </c>
      <c r="B14" s="12">
        <f>SUM(B11:B13)</f>
        <v>3071125.4678008705</v>
      </c>
      <c r="C14" s="27">
        <f>SUM(C11:C13)</f>
        <v>5103699.2498193178</v>
      </c>
      <c r="D14" s="27">
        <f t="shared" ref="D14:U14" si="0">SUM(D11:D13)</f>
        <v>5906975.4920294788</v>
      </c>
      <c r="E14" s="27">
        <f t="shared" si="0"/>
        <v>7706617.8781915065</v>
      </c>
      <c r="F14" s="27">
        <f t="shared" si="0"/>
        <v>10138932.58725117</v>
      </c>
      <c r="G14" s="27">
        <f t="shared" si="0"/>
        <v>13217083.285004998</v>
      </c>
      <c r="H14" s="27">
        <f t="shared" si="0"/>
        <v>17271160.926861376</v>
      </c>
      <c r="I14" s="27">
        <f t="shared" si="0"/>
        <v>20821930.139389016</v>
      </c>
      <c r="J14" s="27">
        <f t="shared" si="0"/>
        <v>24043660.709952641</v>
      </c>
      <c r="K14" s="27">
        <f t="shared" si="0"/>
        <v>39868998.946341313</v>
      </c>
      <c r="L14" s="27">
        <f t="shared" si="0"/>
        <v>17006744.173292447</v>
      </c>
      <c r="M14" s="27">
        <f t="shared" si="0"/>
        <v>18036876.288179968</v>
      </c>
      <c r="N14" s="27">
        <f t="shared" si="0"/>
        <v>19053824.168436438</v>
      </c>
      <c r="O14" s="27">
        <f t="shared" si="0"/>
        <v>20066107.884084046</v>
      </c>
      <c r="P14" s="27">
        <f t="shared" si="0"/>
        <v>21079483.250239197</v>
      </c>
      <c r="Q14" s="27">
        <f t="shared" si="0"/>
        <v>22098003.488947555</v>
      </c>
      <c r="R14" s="27">
        <f t="shared" si="0"/>
        <v>23124618.123936709</v>
      </c>
      <c r="S14" s="27">
        <f t="shared" si="0"/>
        <v>24161531.366017539</v>
      </c>
      <c r="T14" s="27">
        <f t="shared" si="0"/>
        <v>25210427.087825101</v>
      </c>
      <c r="U14" s="27">
        <f t="shared" si="0"/>
        <v>26272615.768548172</v>
      </c>
    </row>
    <row r="15" spans="1:21" ht="15" customHeight="1" x14ac:dyDescent="0.3">
      <c r="A15" s="1" t="s">
        <v>58</v>
      </c>
      <c r="B15" s="25">
        <f t="shared" ref="B15:U15" si="1">B14/(1+$B$5)^B10</f>
        <v>3071125.4678008705</v>
      </c>
      <c r="C15" s="25">
        <f t="shared" si="1"/>
        <v>4556874.330195819</v>
      </c>
      <c r="D15" s="25">
        <f t="shared" si="1"/>
        <v>4709004.6970898258</v>
      </c>
      <c r="E15" s="25">
        <f t="shared" si="1"/>
        <v>5485418.3831424136</v>
      </c>
      <c r="F15" s="25">
        <f t="shared" si="1"/>
        <v>6443474.9549259869</v>
      </c>
      <c r="G15" s="25">
        <f t="shared" si="1"/>
        <v>7499728.0101812407</v>
      </c>
      <c r="H15" s="25">
        <f t="shared" si="1"/>
        <v>8750107.624409711</v>
      </c>
      <c r="I15" s="25">
        <f t="shared" si="1"/>
        <v>9418783.7603522334</v>
      </c>
      <c r="J15" s="25">
        <f t="shared" si="1"/>
        <v>9710831.2999764029</v>
      </c>
      <c r="K15" s="25">
        <f t="shared" si="1"/>
        <v>14377160.70603071</v>
      </c>
      <c r="L15" s="25">
        <f t="shared" si="1"/>
        <v>5475716.4653449301</v>
      </c>
      <c r="M15" s="25">
        <f t="shared" si="1"/>
        <v>5185170.9254386453</v>
      </c>
      <c r="N15" s="25">
        <f t="shared" si="1"/>
        <v>4890642.0893985219</v>
      </c>
      <c r="O15" s="25">
        <f t="shared" si="1"/>
        <v>4598634.0233923886</v>
      </c>
      <c r="P15" s="25">
        <f t="shared" si="1"/>
        <v>4313279.9127040142</v>
      </c>
      <c r="Q15" s="25">
        <f t="shared" si="1"/>
        <v>4037222.6188339498</v>
      </c>
      <c r="R15" s="25">
        <f t="shared" si="1"/>
        <v>3772126.1378621231</v>
      </c>
      <c r="S15" s="25">
        <f t="shared" si="1"/>
        <v>3518990.3116941047</v>
      </c>
      <c r="T15" s="25">
        <f t="shared" si="1"/>
        <v>3278353.6051807208</v>
      </c>
      <c r="U15" s="25">
        <f t="shared" si="1"/>
        <v>3050428.7373652626</v>
      </c>
    </row>
    <row r="16" spans="1:21" ht="15" customHeight="1" x14ac:dyDescent="0.3">
      <c r="A16" s="1" t="s">
        <v>59</v>
      </c>
      <c r="B16" s="14">
        <f>NPV(B5,C14:U14)</f>
        <v>113071948.593519</v>
      </c>
      <c r="C16" s="10"/>
      <c r="D16" s="10"/>
      <c r="E16" s="10"/>
      <c r="F16" s="10"/>
      <c r="G16" s="10"/>
      <c r="H16" s="10"/>
      <c r="I16" s="10"/>
      <c r="J16" s="10"/>
      <c r="K16" s="10"/>
    </row>
    <row r="17" spans="1:21" ht="15" customHeight="1" x14ac:dyDescent="0.3">
      <c r="A17" s="8" t="s">
        <v>60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</row>
    <row r="18" spans="1:21" ht="15" customHeight="1" x14ac:dyDescent="0.3">
      <c r="A18" s="1" t="s">
        <v>61</v>
      </c>
      <c r="B18" s="31">
        <v>2716000</v>
      </c>
      <c r="C18" s="31">
        <v>17269860</v>
      </c>
      <c r="D18" s="31">
        <v>33700299</v>
      </c>
      <c r="E18" s="31">
        <v>42287232</v>
      </c>
      <c r="F18" s="31">
        <v>27214559</v>
      </c>
      <c r="G18" s="31">
        <v>6812050</v>
      </c>
      <c r="I18" s="10"/>
      <c r="J18" s="10"/>
      <c r="K18" s="10"/>
      <c r="L18" s="30"/>
    </row>
    <row r="19" spans="1:21" x14ac:dyDescent="0.3">
      <c r="A19" s="1" t="s">
        <v>62</v>
      </c>
      <c r="B19" s="22">
        <f t="shared" ref="B19:U19" si="2">B14-B18</f>
        <v>355125.46780087054</v>
      </c>
      <c r="C19" s="22">
        <f t="shared" si="2"/>
        <v>-12166160.750180682</v>
      </c>
      <c r="D19" s="22">
        <f t="shared" si="2"/>
        <v>-27793323.507970519</v>
      </c>
      <c r="E19" s="22">
        <f t="shared" si="2"/>
        <v>-34580614.121808492</v>
      </c>
      <c r="F19" s="22">
        <f t="shared" si="2"/>
        <v>-17075626.412748829</v>
      </c>
      <c r="G19" s="22">
        <f t="shared" si="2"/>
        <v>6405033.2850049976</v>
      </c>
      <c r="H19" s="22">
        <f t="shared" si="2"/>
        <v>17271160.926861376</v>
      </c>
      <c r="I19" s="22">
        <f t="shared" si="2"/>
        <v>20821930.139389016</v>
      </c>
      <c r="J19" s="22">
        <f t="shared" si="2"/>
        <v>24043660.709952641</v>
      </c>
      <c r="K19" s="22">
        <f t="shared" si="2"/>
        <v>39868998.946341313</v>
      </c>
      <c r="L19" s="22">
        <f t="shared" si="2"/>
        <v>17006744.173292447</v>
      </c>
      <c r="M19" s="22">
        <f t="shared" si="2"/>
        <v>18036876.288179968</v>
      </c>
      <c r="N19" s="22">
        <f t="shared" si="2"/>
        <v>19053824.168436438</v>
      </c>
      <c r="O19" s="22">
        <f t="shared" si="2"/>
        <v>20066107.884084046</v>
      </c>
      <c r="P19" s="22">
        <f t="shared" si="2"/>
        <v>21079483.250239197</v>
      </c>
      <c r="Q19" s="22">
        <f t="shared" si="2"/>
        <v>22098003.488947555</v>
      </c>
      <c r="R19" s="22">
        <f t="shared" si="2"/>
        <v>23124618.123936709</v>
      </c>
      <c r="S19" s="22">
        <f t="shared" si="2"/>
        <v>24161531.366017539</v>
      </c>
      <c r="T19" s="22">
        <f t="shared" si="2"/>
        <v>25210427.087825101</v>
      </c>
      <c r="U19" s="22">
        <f t="shared" si="2"/>
        <v>26272615.768548172</v>
      </c>
    </row>
    <row r="20" spans="1:21" x14ac:dyDescent="0.3">
      <c r="A20" s="1" t="s">
        <v>63</v>
      </c>
      <c r="B20" s="22">
        <f t="shared" ref="B20:H20" si="3">B18/(1+$B$5)^B10</f>
        <v>2716000</v>
      </c>
      <c r="C20" s="22">
        <f t="shared" si="3"/>
        <v>15419517.857142856</v>
      </c>
      <c r="D20" s="22">
        <f t="shared" si="3"/>
        <v>26865672.03443877</v>
      </c>
      <c r="E20" s="22">
        <f t="shared" si="3"/>
        <v>30099216.472303197</v>
      </c>
      <c r="F20" s="22">
        <f t="shared" si="3"/>
        <v>17295344.240314905</v>
      </c>
      <c r="G20" s="22">
        <f t="shared" si="3"/>
        <v>3865340.1124978838</v>
      </c>
      <c r="H20" s="22">
        <f t="shared" si="3"/>
        <v>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</row>
    <row r="21" spans="1:21" x14ac:dyDescent="0.3">
      <c r="A21" s="1" t="s">
        <v>64</v>
      </c>
      <c r="B21" s="22">
        <f>SUM(B20:H20)</f>
        <v>96261090.716697603</v>
      </c>
      <c r="C21" s="22"/>
      <c r="D21" s="22"/>
      <c r="E21" s="22"/>
      <c r="F21" s="22"/>
      <c r="G21" s="22"/>
      <c r="H21" s="22"/>
      <c r="I21" s="22"/>
      <c r="J21" s="22"/>
      <c r="K21" s="22"/>
      <c r="L21" s="23"/>
      <c r="M21" s="23"/>
      <c r="N21" s="23"/>
      <c r="O21" s="23"/>
      <c r="P21" s="23"/>
      <c r="Q21" s="23"/>
      <c r="R21" s="23"/>
      <c r="S21" s="23"/>
      <c r="T21" s="23"/>
      <c r="U21" s="23"/>
    </row>
    <row r="22" spans="1:21" x14ac:dyDescent="0.3">
      <c r="A22" s="1" t="s">
        <v>65</v>
      </c>
      <c r="B22" s="24">
        <f t="shared" ref="B22:U22" si="4">B15-B20</f>
        <v>355125.46780087054</v>
      </c>
      <c r="C22" s="24">
        <f t="shared" si="4"/>
        <v>-10862643.526947036</v>
      </c>
      <c r="D22" s="24">
        <f t="shared" si="4"/>
        <v>-22156667.337348945</v>
      </c>
      <c r="E22" s="24">
        <f t="shared" si="4"/>
        <v>-24613798.089160785</v>
      </c>
      <c r="F22" s="24">
        <f t="shared" si="4"/>
        <v>-10851869.285388917</v>
      </c>
      <c r="G22" s="24">
        <f t="shared" si="4"/>
        <v>3634387.8976833569</v>
      </c>
      <c r="H22" s="24">
        <f t="shared" si="4"/>
        <v>8750107.624409711</v>
      </c>
      <c r="I22" s="24">
        <f t="shared" si="4"/>
        <v>9418783.7603522334</v>
      </c>
      <c r="J22" s="24">
        <f t="shared" si="4"/>
        <v>9710831.2999764029</v>
      </c>
      <c r="K22" s="24">
        <f t="shared" si="4"/>
        <v>14377160.70603071</v>
      </c>
      <c r="L22" s="24">
        <f t="shared" si="4"/>
        <v>5475716.4653449301</v>
      </c>
      <c r="M22" s="24">
        <f t="shared" si="4"/>
        <v>5185170.9254386453</v>
      </c>
      <c r="N22" s="24">
        <f t="shared" si="4"/>
        <v>4890642.0893985219</v>
      </c>
      <c r="O22" s="24">
        <f t="shared" si="4"/>
        <v>4598634.0233923886</v>
      </c>
      <c r="P22" s="24">
        <f t="shared" si="4"/>
        <v>4313279.9127040142</v>
      </c>
      <c r="Q22" s="24">
        <f t="shared" si="4"/>
        <v>4037222.6188339498</v>
      </c>
      <c r="R22" s="24">
        <f t="shared" si="4"/>
        <v>3772126.1378621231</v>
      </c>
      <c r="S22" s="24">
        <f t="shared" si="4"/>
        <v>3518990.3116941047</v>
      </c>
      <c r="T22" s="24">
        <f t="shared" si="4"/>
        <v>3278353.6051807208</v>
      </c>
      <c r="U22" s="24">
        <f t="shared" si="4"/>
        <v>3050428.7373652626</v>
      </c>
    </row>
    <row r="23" spans="1:21" x14ac:dyDescent="0.3">
      <c r="A23" s="16" t="s">
        <v>66</v>
      </c>
      <c r="B23" s="17">
        <f>NPV(B5,B19:U19)</f>
        <v>17751770.843412712</v>
      </c>
    </row>
    <row r="24" spans="1:21" hidden="1" x14ac:dyDescent="0.3">
      <c r="A24" s="16" t="s">
        <v>67</v>
      </c>
      <c r="B24" s="18">
        <f>SUM(B22:K22)</f>
        <v>-22238581.482592404</v>
      </c>
    </row>
    <row r="25" spans="1:21" x14ac:dyDescent="0.3">
      <c r="A25" s="16" t="s">
        <v>68</v>
      </c>
      <c r="B25" s="19">
        <f>B16/B21</f>
        <v>1.1746381404122752</v>
      </c>
    </row>
    <row r="26" spans="1:21" x14ac:dyDescent="0.3">
      <c r="A26" s="16" t="s">
        <v>69</v>
      </c>
      <c r="B26" s="20">
        <f>IRR(B19:U19)</f>
        <v>0.15722765541086159</v>
      </c>
    </row>
    <row r="29" spans="1:21" x14ac:dyDescent="0.3">
      <c r="B29" s="6"/>
      <c r="C29" s="6"/>
      <c r="D29" s="6"/>
      <c r="E29" s="6"/>
      <c r="F29" s="6"/>
      <c r="G29" s="6"/>
    </row>
  </sheetData>
  <mergeCells count="1">
    <mergeCell ref="A1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B4585-1846-4CEB-9820-64F01A4FA174}">
  <dimension ref="A1:U29"/>
  <sheetViews>
    <sheetView tabSelected="1" workbookViewId="0">
      <selection activeCell="B21" sqref="B21"/>
    </sheetView>
  </sheetViews>
  <sheetFormatPr defaultColWidth="9.109375" defaultRowHeight="14.4" x14ac:dyDescent="0.3"/>
  <cols>
    <col min="1" max="1" width="37" customWidth="1"/>
    <col min="2" max="2" width="17.33203125" style="7" customWidth="1"/>
    <col min="3" max="7" width="15.33203125" style="7" customWidth="1"/>
    <col min="8" max="8" width="15.33203125" style="7" bestFit="1" customWidth="1"/>
    <col min="9" max="10" width="15.33203125" style="7" customWidth="1"/>
    <col min="11" max="11" width="17.44140625" style="7" customWidth="1"/>
    <col min="12" max="12" width="18.33203125" customWidth="1"/>
    <col min="13" max="13" width="20.5546875" customWidth="1"/>
    <col min="14" max="14" width="21" customWidth="1"/>
    <col min="15" max="15" width="18.88671875" customWidth="1"/>
    <col min="16" max="18" width="14.109375" bestFit="1" customWidth="1"/>
    <col min="19" max="19" width="24.109375" customWidth="1"/>
    <col min="20" max="20" width="21.88671875" customWidth="1"/>
    <col min="21" max="21" width="19.44140625" customWidth="1"/>
  </cols>
  <sheetData>
    <row r="1" spans="1:21" x14ac:dyDescent="0.3">
      <c r="A1" s="68" t="s">
        <v>70</v>
      </c>
      <c r="B1" s="68"/>
      <c r="C1" s="68"/>
      <c r="D1" s="68"/>
    </row>
    <row r="2" spans="1:21" x14ac:dyDescent="0.3">
      <c r="A2" s="68"/>
      <c r="B2" s="68"/>
      <c r="C2" s="68"/>
      <c r="D2" s="68"/>
    </row>
    <row r="4" spans="1:21" ht="15" customHeight="1" x14ac:dyDescent="0.3"/>
    <row r="5" spans="1:21" ht="15" customHeight="1" x14ac:dyDescent="0.3">
      <c r="A5" t="s">
        <v>54</v>
      </c>
      <c r="B5" s="6">
        <v>0.12</v>
      </c>
    </row>
    <row r="6" spans="1:21" ht="15" customHeight="1" x14ac:dyDescent="0.3">
      <c r="A6" t="s">
        <v>55</v>
      </c>
      <c r="B6" s="7">
        <f>SUM(B18:G18)</f>
        <v>130000000</v>
      </c>
    </row>
    <row r="7" spans="1:21" ht="15" customHeight="1" x14ac:dyDescent="0.3">
      <c r="E7" s="7">
        <f>E6+D7</f>
        <v>0</v>
      </c>
    </row>
    <row r="8" spans="1:21" ht="15" customHeight="1" x14ac:dyDescent="0.3">
      <c r="B8" s="6"/>
    </row>
    <row r="9" spans="1:21" ht="15" customHeight="1" x14ac:dyDescent="0.3">
      <c r="B9" s="21">
        <v>2019</v>
      </c>
      <c r="C9" s="21">
        <v>2020</v>
      </c>
      <c r="D9" s="21">
        <v>2021</v>
      </c>
      <c r="E9" s="21">
        <v>2022</v>
      </c>
      <c r="F9" s="21">
        <v>2023</v>
      </c>
      <c r="G9" s="21">
        <v>2024</v>
      </c>
      <c r="H9" s="21">
        <v>2025</v>
      </c>
      <c r="I9" s="21">
        <v>2026</v>
      </c>
      <c r="J9" s="21">
        <v>2027</v>
      </c>
      <c r="K9" s="21">
        <v>2028</v>
      </c>
      <c r="L9" s="21">
        <v>2029</v>
      </c>
      <c r="M9" s="21">
        <v>2030</v>
      </c>
      <c r="N9" s="21">
        <v>2031</v>
      </c>
      <c r="O9" s="21">
        <v>2032</v>
      </c>
      <c r="P9" s="21">
        <v>2033</v>
      </c>
      <c r="Q9" s="21">
        <v>2034</v>
      </c>
      <c r="R9" s="21">
        <v>2035</v>
      </c>
      <c r="S9" s="21">
        <v>2036</v>
      </c>
      <c r="T9" s="21">
        <v>2037</v>
      </c>
      <c r="U9" s="21">
        <v>2038</v>
      </c>
    </row>
    <row r="10" spans="1:21" ht="15" customHeight="1" x14ac:dyDescent="0.3">
      <c r="A10" s="8" t="s">
        <v>56</v>
      </c>
      <c r="B10" s="9">
        <v>0</v>
      </c>
      <c r="C10" s="9">
        <v>1</v>
      </c>
      <c r="D10" s="9">
        <v>2</v>
      </c>
      <c r="E10" s="9">
        <v>3</v>
      </c>
      <c r="F10" s="9">
        <v>4</v>
      </c>
      <c r="G10" s="9">
        <v>5</v>
      </c>
      <c r="H10" s="9">
        <v>6</v>
      </c>
      <c r="I10" s="9">
        <v>7</v>
      </c>
      <c r="J10" s="9">
        <v>8</v>
      </c>
      <c r="K10" s="9">
        <v>9</v>
      </c>
      <c r="L10" s="9">
        <v>10</v>
      </c>
      <c r="M10" s="9">
        <v>11</v>
      </c>
      <c r="N10" s="9">
        <v>12</v>
      </c>
      <c r="O10" s="9">
        <v>13</v>
      </c>
      <c r="P10" s="9">
        <v>14</v>
      </c>
      <c r="Q10" s="9">
        <v>15</v>
      </c>
      <c r="R10" s="9">
        <v>16</v>
      </c>
      <c r="S10" s="9">
        <v>17</v>
      </c>
      <c r="T10" s="9">
        <v>18</v>
      </c>
      <c r="U10" s="9">
        <v>19</v>
      </c>
    </row>
    <row r="11" spans="1:21" x14ac:dyDescent="0.3">
      <c r="A11" s="5" t="s">
        <v>71</v>
      </c>
      <c r="B11" s="10"/>
      <c r="C11" s="25">
        <f>Parametros!F34*0.25</f>
        <v>1127351.4300000002</v>
      </c>
      <c r="D11" s="25">
        <f>Parametros!F35*0.5</f>
        <v>2299796.9172</v>
      </c>
      <c r="E11" s="25">
        <f>Parametros!F36*0.75</f>
        <v>3518689.2833159999</v>
      </c>
      <c r="F11" s="25">
        <f>Parametros!F37</f>
        <v>4785417.4253097605</v>
      </c>
      <c r="G11" s="25">
        <f>Parametros!F38</f>
        <v>4881125.773815955</v>
      </c>
      <c r="H11" s="25">
        <f>Parametros!F39</f>
        <v>4978748.289292274</v>
      </c>
      <c r="I11" s="26">
        <f>Parametros!F40</f>
        <v>5078323.2550781202</v>
      </c>
      <c r="J11" s="25">
        <f>Parametros!F41</f>
        <v>5179889.7201796817</v>
      </c>
      <c r="K11" s="25">
        <f>Parametros!F42</f>
        <v>5283487.5145832757</v>
      </c>
      <c r="L11" s="25">
        <f>Parametros!F43</f>
        <v>5389157.2648749407</v>
      </c>
      <c r="M11" s="25">
        <f>Parametros!F44</f>
        <v>5496940.4101724401</v>
      </c>
      <c r="N11" s="25">
        <f>Parametros!F45</f>
        <v>5606879.2183758887</v>
      </c>
      <c r="O11" s="25">
        <f>Parametros!F46</f>
        <v>5719016.802743406</v>
      </c>
      <c r="P11" s="25">
        <f>Parametros!F47</f>
        <v>5833397.1387982741</v>
      </c>
      <c r="Q11" s="25">
        <f>Parametros!F48</f>
        <v>5950065.0815742398</v>
      </c>
      <c r="R11" s="25">
        <f>Parametros!F49</f>
        <v>6069066.3832057249</v>
      </c>
      <c r="S11" s="25">
        <f>Parametros!F50</f>
        <v>6190447.7108698385</v>
      </c>
      <c r="T11" s="25">
        <f>Parametros!F51</f>
        <v>6314256.6650872361</v>
      </c>
      <c r="U11" s="25">
        <f>Parametros!F52</f>
        <v>6440541.7983889803</v>
      </c>
    </row>
    <row r="12" spans="1:21" x14ac:dyDescent="0.3">
      <c r="A12" s="1" t="s">
        <v>72</v>
      </c>
      <c r="B12" s="10">
        <f>Parametros!M33+ Parametros!V33</f>
        <v>4222797.518226197</v>
      </c>
      <c r="C12" s="10">
        <f>Parametros!M34+ Parametros!V34</f>
        <v>5529482.5809015613</v>
      </c>
      <c r="D12" s="10">
        <f>Parametros!M35+ Parametros!V35</f>
        <v>6604225.3361885352</v>
      </c>
      <c r="E12" s="10">
        <f>Parametros!M36+ Parametros!V36</f>
        <v>8547876.297854282</v>
      </c>
      <c r="F12" s="10">
        <f>Parametros!M37+ Parametros!V37</f>
        <v>10907820.557118138</v>
      </c>
      <c r="G12" s="10">
        <f>Parametros!M38+ Parametros!V38</f>
        <v>12757053.492866606</v>
      </c>
      <c r="H12" s="10">
        <f>Parametros!M39+ Parametros!V39</f>
        <v>15228436.124232583</v>
      </c>
      <c r="I12" s="10">
        <f>Parametros!M40+ Parametros!V40</f>
        <v>17090775.008138094</v>
      </c>
      <c r="J12" s="10">
        <f>Parametros!M41+ Parametros!V41</f>
        <v>18701972.610085387</v>
      </c>
      <c r="K12" s="10">
        <f>Parametros!M42+ Parametros!V42</f>
        <v>20187857.478501741</v>
      </c>
      <c r="L12" s="10">
        <f>Parametros!M43+ Parametros!V43</f>
        <v>21605851.340868387</v>
      </c>
      <c r="M12" s="10">
        <f>Parametros!M44+ Parametros!V44</f>
        <v>22986714.560890548</v>
      </c>
      <c r="N12" s="10">
        <f>Parametros!M45+ Parametros!V45</f>
        <v>24348738.089536063</v>
      </c>
      <c r="O12" s="10">
        <f>Parametros!M46+ Parametros!V46</f>
        <v>25703622.795710243</v>
      </c>
      <c r="P12" s="10">
        <f>Parametros!M47+ Parametros!V47</f>
        <v>27059268.413275473</v>
      </c>
      <c r="Q12" s="10">
        <f>Parametros!M48+ Parametros!V48</f>
        <v>28421233.320383389</v>
      </c>
      <c r="R12" s="10">
        <f>Parametros!M49+ Parametros!V49</f>
        <v>29793558.013955086</v>
      </c>
      <c r="S12" s="10">
        <f>Parametros!M50+ Parametros!V50</f>
        <v>31179257.883687075</v>
      </c>
      <c r="T12" s="10">
        <f>Parametros!M51+ Parametros!V51</f>
        <v>32580632.546280723</v>
      </c>
      <c r="U12" s="10">
        <f>Parametros!M52+ Parametros!V52</f>
        <v>33999467.888285376</v>
      </c>
    </row>
    <row r="13" spans="1:21" ht="15" customHeight="1" x14ac:dyDescent="0.3">
      <c r="A13" s="1" t="s">
        <v>73</v>
      </c>
      <c r="B13" s="10">
        <f>Parametros!BA66</f>
        <v>0</v>
      </c>
      <c r="C13" s="25">
        <f>Parametros!BB66</f>
        <v>0</v>
      </c>
      <c r="D13" s="25">
        <f>Parametros!BC66</f>
        <v>0</v>
      </c>
      <c r="E13" s="25">
        <f>Parametros!AK40</f>
        <v>364000</v>
      </c>
      <c r="F13" s="25">
        <f>Parametros!AL40</f>
        <v>1057472</v>
      </c>
      <c r="G13" s="25">
        <f>Parametros!AM40</f>
        <v>2767756.0135680004</v>
      </c>
      <c r="H13" s="25">
        <f>Parametros!AN40</f>
        <v>5001035.0652620811</v>
      </c>
      <c r="I13" s="25">
        <f>Parametros!AO40</f>
        <v>7173478.0067971088</v>
      </c>
      <c r="J13" s="25">
        <f>Parametros!AP40</f>
        <v>9199052.5515928715</v>
      </c>
      <c r="K13" s="25">
        <f>Parametros!AQ40</f>
        <v>23918883.776658241</v>
      </c>
      <c r="L13" s="25">
        <f>Parametros!BK66</f>
        <v>0</v>
      </c>
      <c r="M13" s="25">
        <f>Parametros!BL66</f>
        <v>0</v>
      </c>
      <c r="N13" s="25">
        <f>Parametros!P105</f>
        <v>0</v>
      </c>
      <c r="O13" s="25">
        <f>Parametros!Q105</f>
        <v>0</v>
      </c>
      <c r="P13" s="25">
        <f>Parametros!V105</f>
        <v>0</v>
      </c>
      <c r="Q13" s="25">
        <f>Parametros!W105</f>
        <v>0</v>
      </c>
      <c r="R13" s="25">
        <f>Parametros!X105</f>
        <v>0</v>
      </c>
      <c r="S13" s="25">
        <f>Parametros!Y105</f>
        <v>0</v>
      </c>
      <c r="T13" s="25">
        <f>Parametros!Z105</f>
        <v>0</v>
      </c>
      <c r="U13" s="25">
        <f>Parametros!AU105</f>
        <v>0</v>
      </c>
    </row>
    <row r="14" spans="1:21" s="13" customFormat="1" ht="15" customHeight="1" x14ac:dyDescent="0.3">
      <c r="A14" s="11" t="s">
        <v>57</v>
      </c>
      <c r="B14" s="12">
        <f>SUM(B11:B13)</f>
        <v>4222797.518226197</v>
      </c>
      <c r="C14" s="27">
        <f>SUM(C11:C13)</f>
        <v>6656834.010901561</v>
      </c>
      <c r="D14" s="27">
        <f t="shared" ref="D14:U14" si="0">SUM(D11:D13)</f>
        <v>8904022.2533885352</v>
      </c>
      <c r="E14" s="27">
        <f t="shared" si="0"/>
        <v>12430565.581170281</v>
      </c>
      <c r="F14" s="27">
        <f t="shared" si="0"/>
        <v>16750709.982427899</v>
      </c>
      <c r="G14" s="27">
        <f t="shared" si="0"/>
        <v>20405935.28025056</v>
      </c>
      <c r="H14" s="27">
        <f t="shared" si="0"/>
        <v>25208219.478786938</v>
      </c>
      <c r="I14" s="27">
        <f t="shared" si="0"/>
        <v>29342576.270013321</v>
      </c>
      <c r="J14" s="27">
        <f t="shared" si="0"/>
        <v>33080914.881857939</v>
      </c>
      <c r="K14" s="27">
        <f t="shared" si="0"/>
        <v>49390228.769743256</v>
      </c>
      <c r="L14" s="27">
        <f t="shared" si="0"/>
        <v>26995008.605743326</v>
      </c>
      <c r="M14" s="27">
        <f t="shared" si="0"/>
        <v>28483654.971062988</v>
      </c>
      <c r="N14" s="27">
        <f t="shared" si="0"/>
        <v>29955617.307911951</v>
      </c>
      <c r="O14" s="27">
        <f t="shared" si="0"/>
        <v>31422639.598453648</v>
      </c>
      <c r="P14" s="27">
        <f t="shared" si="0"/>
        <v>32892665.552073747</v>
      </c>
      <c r="Q14" s="27">
        <f t="shared" si="0"/>
        <v>34371298.401957631</v>
      </c>
      <c r="R14" s="27">
        <f t="shared" si="0"/>
        <v>35862624.397160813</v>
      </c>
      <c r="S14" s="27">
        <f t="shared" si="0"/>
        <v>37369705.594556913</v>
      </c>
      <c r="T14" s="27">
        <f t="shared" si="0"/>
        <v>38894889.211367957</v>
      </c>
      <c r="U14" s="27">
        <f t="shared" si="0"/>
        <v>40440009.686674356</v>
      </c>
    </row>
    <row r="15" spans="1:21" ht="15" customHeight="1" x14ac:dyDescent="0.3">
      <c r="A15" s="1" t="s">
        <v>58</v>
      </c>
      <c r="B15" s="25">
        <f t="shared" ref="B15:U15" si="1">B14/(1+$B$5)^B10</f>
        <v>4222797.518226197</v>
      </c>
      <c r="C15" s="25">
        <f t="shared" si="1"/>
        <v>5943601.7954478217</v>
      </c>
      <c r="D15" s="25">
        <f t="shared" si="1"/>
        <v>7098232.0259793801</v>
      </c>
      <c r="E15" s="25">
        <f t="shared" si="1"/>
        <v>8847831.0498262383</v>
      </c>
      <c r="F15" s="25">
        <f t="shared" si="1"/>
        <v>10645379.019949201</v>
      </c>
      <c r="G15" s="25">
        <f t="shared" si="1"/>
        <v>11578875.694069808</v>
      </c>
      <c r="H15" s="25">
        <f t="shared" si="1"/>
        <v>12771268.497421801</v>
      </c>
      <c r="I15" s="25">
        <f t="shared" si="1"/>
        <v>13273091.351703476</v>
      </c>
      <c r="J15" s="25">
        <f t="shared" si="1"/>
        <v>13360826.686995534</v>
      </c>
      <c r="K15" s="25">
        <f t="shared" si="1"/>
        <v>17810611.630503044</v>
      </c>
      <c r="L15" s="25">
        <f t="shared" si="1"/>
        <v>8691670.29258487</v>
      </c>
      <c r="M15" s="25">
        <f t="shared" si="1"/>
        <v>8188370.1615766222</v>
      </c>
      <c r="N15" s="25">
        <f t="shared" si="1"/>
        <v>7688860.8567448035</v>
      </c>
      <c r="O15" s="25">
        <f t="shared" si="1"/>
        <v>7201257.981716563</v>
      </c>
      <c r="P15" s="25">
        <f t="shared" si="1"/>
        <v>6730491.0617029034</v>
      </c>
      <c r="Q15" s="25">
        <f t="shared" si="1"/>
        <v>6279507.7128338069</v>
      </c>
      <c r="R15" s="25">
        <f t="shared" si="1"/>
        <v>5849970.8897174448</v>
      </c>
      <c r="S15" s="25">
        <f t="shared" si="1"/>
        <v>5442686.1421152567</v>
      </c>
      <c r="T15" s="25">
        <f t="shared" si="1"/>
        <v>5057875.4507007934</v>
      </c>
      <c r="U15" s="25">
        <f t="shared" si="1"/>
        <v>4695359.1821351368</v>
      </c>
    </row>
    <row r="16" spans="1:21" ht="15" customHeight="1" x14ac:dyDescent="0.3">
      <c r="A16" s="1" t="s">
        <v>59</v>
      </c>
      <c r="B16" s="14">
        <f>NPV(B5,C14:U14)</f>
        <v>167155767.48372445</v>
      </c>
      <c r="C16" s="10"/>
      <c r="D16" s="10"/>
      <c r="E16" s="10"/>
      <c r="F16" s="10"/>
      <c r="G16" s="10"/>
      <c r="H16" s="10"/>
      <c r="I16" s="10"/>
      <c r="J16" s="10"/>
      <c r="K16" s="10"/>
    </row>
    <row r="17" spans="1:21" ht="15" customHeight="1" x14ac:dyDescent="0.3">
      <c r="A17" s="8" t="s">
        <v>60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</row>
    <row r="18" spans="1:21" ht="15" customHeight="1" x14ac:dyDescent="0.3">
      <c r="A18" s="1" t="s">
        <v>61</v>
      </c>
      <c r="B18" s="31">
        <v>2716000</v>
      </c>
      <c r="C18" s="31">
        <v>17269860</v>
      </c>
      <c r="D18" s="31">
        <v>33700299</v>
      </c>
      <c r="E18" s="31">
        <v>42287232</v>
      </c>
      <c r="F18" s="31">
        <v>27214559</v>
      </c>
      <c r="G18" s="31">
        <v>6812050</v>
      </c>
      <c r="I18" s="10"/>
      <c r="J18" s="10"/>
      <c r="K18" s="10"/>
      <c r="L18" s="30"/>
    </row>
    <row r="19" spans="1:21" x14ac:dyDescent="0.3">
      <c r="A19" s="1" t="s">
        <v>62</v>
      </c>
      <c r="B19" s="22">
        <f t="shared" ref="B19:U19" si="2">B14-B18</f>
        <v>1506797.518226197</v>
      </c>
      <c r="C19" s="22">
        <f t="shared" si="2"/>
        <v>-10613025.989098439</v>
      </c>
      <c r="D19" s="22">
        <f t="shared" si="2"/>
        <v>-24796276.746611465</v>
      </c>
      <c r="E19" s="22">
        <f t="shared" si="2"/>
        <v>-29856666.418829717</v>
      </c>
      <c r="F19" s="22">
        <f t="shared" si="2"/>
        <v>-10463849.017572101</v>
      </c>
      <c r="G19" s="22">
        <f t="shared" si="2"/>
        <v>13593885.28025056</v>
      </c>
      <c r="H19" s="22">
        <f t="shared" si="2"/>
        <v>25208219.478786938</v>
      </c>
      <c r="I19" s="22">
        <f t="shared" si="2"/>
        <v>29342576.270013321</v>
      </c>
      <c r="J19" s="22">
        <f t="shared" si="2"/>
        <v>33080914.881857939</v>
      </c>
      <c r="K19" s="22">
        <f t="shared" si="2"/>
        <v>49390228.769743256</v>
      </c>
      <c r="L19" s="22">
        <f t="shared" si="2"/>
        <v>26995008.605743326</v>
      </c>
      <c r="M19" s="22">
        <f t="shared" si="2"/>
        <v>28483654.971062988</v>
      </c>
      <c r="N19" s="22">
        <f t="shared" si="2"/>
        <v>29955617.307911951</v>
      </c>
      <c r="O19" s="22">
        <f t="shared" si="2"/>
        <v>31422639.598453648</v>
      </c>
      <c r="P19" s="22">
        <f t="shared" si="2"/>
        <v>32892665.552073747</v>
      </c>
      <c r="Q19" s="22">
        <f t="shared" si="2"/>
        <v>34371298.401957631</v>
      </c>
      <c r="R19" s="22">
        <f t="shared" si="2"/>
        <v>35862624.397160813</v>
      </c>
      <c r="S19" s="22">
        <f t="shared" si="2"/>
        <v>37369705.594556913</v>
      </c>
      <c r="T19" s="22">
        <f t="shared" si="2"/>
        <v>38894889.211367957</v>
      </c>
      <c r="U19" s="22">
        <f t="shared" si="2"/>
        <v>40440009.686674356</v>
      </c>
    </row>
    <row r="20" spans="1:21" x14ac:dyDescent="0.3">
      <c r="A20" s="1" t="s">
        <v>63</v>
      </c>
      <c r="B20" s="22">
        <f t="shared" ref="B20:H20" si="3">B18/(1+$B$5)^B10</f>
        <v>2716000</v>
      </c>
      <c r="C20" s="22">
        <f t="shared" si="3"/>
        <v>15419517.857142856</v>
      </c>
      <c r="D20" s="22">
        <f t="shared" si="3"/>
        <v>26865672.03443877</v>
      </c>
      <c r="E20" s="22">
        <f t="shared" si="3"/>
        <v>30099216.472303197</v>
      </c>
      <c r="F20" s="22">
        <f t="shared" si="3"/>
        <v>17295344.240314905</v>
      </c>
      <c r="G20" s="22">
        <f t="shared" si="3"/>
        <v>3865340.1124978838</v>
      </c>
      <c r="H20" s="22">
        <f t="shared" si="3"/>
        <v>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</row>
    <row r="21" spans="1:21" x14ac:dyDescent="0.3">
      <c r="A21" s="1" t="s">
        <v>64</v>
      </c>
      <c r="B21" s="22">
        <f>SUM(B20:H20)</f>
        <v>96261090.716697603</v>
      </c>
      <c r="C21" s="22"/>
      <c r="D21" s="22"/>
      <c r="E21" s="22"/>
      <c r="F21" s="22"/>
      <c r="G21" s="22"/>
      <c r="H21" s="22"/>
      <c r="I21" s="22"/>
      <c r="J21" s="22"/>
      <c r="K21" s="22"/>
      <c r="L21" s="23"/>
      <c r="M21" s="23"/>
      <c r="N21" s="23"/>
      <c r="O21" s="23"/>
      <c r="P21" s="23"/>
      <c r="Q21" s="23"/>
      <c r="R21" s="23"/>
      <c r="S21" s="23"/>
      <c r="T21" s="23"/>
      <c r="U21" s="23"/>
    </row>
    <row r="22" spans="1:21" x14ac:dyDescent="0.3">
      <c r="A22" s="1" t="s">
        <v>65</v>
      </c>
      <c r="B22" s="24">
        <f t="shared" ref="B22:U22" si="4">B15-B20</f>
        <v>1506797.518226197</v>
      </c>
      <c r="C22" s="24">
        <f t="shared" si="4"/>
        <v>-9475916.0616950355</v>
      </c>
      <c r="D22" s="24">
        <f t="shared" si="4"/>
        <v>-19767440.008459389</v>
      </c>
      <c r="E22" s="24">
        <f t="shared" si="4"/>
        <v>-21251385.422476958</v>
      </c>
      <c r="F22" s="24">
        <f t="shared" si="4"/>
        <v>-6649965.2203657031</v>
      </c>
      <c r="G22" s="24">
        <f t="shared" si="4"/>
        <v>7713535.5815719245</v>
      </c>
      <c r="H22" s="24">
        <f t="shared" si="4"/>
        <v>12771268.497421801</v>
      </c>
      <c r="I22" s="24">
        <f t="shared" si="4"/>
        <v>13273091.351703476</v>
      </c>
      <c r="J22" s="24">
        <f t="shared" si="4"/>
        <v>13360826.686995534</v>
      </c>
      <c r="K22" s="24">
        <f t="shared" si="4"/>
        <v>17810611.630503044</v>
      </c>
      <c r="L22" s="24">
        <f t="shared" si="4"/>
        <v>8691670.29258487</v>
      </c>
      <c r="M22" s="24">
        <f t="shared" si="4"/>
        <v>8188370.1615766222</v>
      </c>
      <c r="N22" s="24">
        <f t="shared" si="4"/>
        <v>7688860.8567448035</v>
      </c>
      <c r="O22" s="24">
        <f t="shared" si="4"/>
        <v>7201257.981716563</v>
      </c>
      <c r="P22" s="24">
        <f t="shared" si="4"/>
        <v>6730491.0617029034</v>
      </c>
      <c r="Q22" s="24">
        <f t="shared" si="4"/>
        <v>6279507.7128338069</v>
      </c>
      <c r="R22" s="24">
        <f t="shared" si="4"/>
        <v>5849970.8897174448</v>
      </c>
      <c r="S22" s="24">
        <f t="shared" si="4"/>
        <v>5442686.1421152567</v>
      </c>
      <c r="T22" s="24">
        <f t="shared" si="4"/>
        <v>5057875.4507007934</v>
      </c>
      <c r="U22" s="24">
        <f t="shared" si="4"/>
        <v>4695359.1821351368</v>
      </c>
    </row>
    <row r="23" spans="1:21" x14ac:dyDescent="0.3">
      <c r="A23" s="16" t="s">
        <v>66</v>
      </c>
      <c r="B23" s="17">
        <f>NPV(B5,B19:U19)</f>
        <v>67069173.468975931</v>
      </c>
    </row>
    <row r="24" spans="1:21" hidden="1" x14ac:dyDescent="0.3">
      <c r="A24" s="16" t="s">
        <v>67</v>
      </c>
      <c r="B24" s="18">
        <f>SUM(B22:K22)</f>
        <v>9291424.5534248892</v>
      </c>
    </row>
    <row r="25" spans="1:21" x14ac:dyDescent="0.3">
      <c r="A25" s="16" t="s">
        <v>68</v>
      </c>
      <c r="B25" s="19">
        <f>B16/B21</f>
        <v>1.736483206653811</v>
      </c>
    </row>
    <row r="26" spans="1:21" x14ac:dyDescent="0.3">
      <c r="A26" s="16" t="s">
        <v>69</v>
      </c>
      <c r="B26" s="20">
        <f>IRR(B19:U19)</f>
        <v>0.25820981115327624</v>
      </c>
    </row>
    <row r="29" spans="1:21" x14ac:dyDescent="0.3">
      <c r="B29" s="6"/>
      <c r="C29" s="6"/>
      <c r="D29" s="6"/>
      <c r="E29" s="6"/>
      <c r="F29" s="6"/>
      <c r="G29" s="6"/>
    </row>
  </sheetData>
  <mergeCells count="1">
    <mergeCell ref="A1:D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37ACED558D920340853A3F29B5197579" ma:contentTypeVersion="199" ma:contentTypeDescription="The base project type from which other project content types inherit their information." ma:contentTypeScope="" ma:versionID="5cab67510fb9c2ca501e02d974401e7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21cbbf94f69fdc69146f30e5d7c9fd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PR-L1153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3AC4315CCA4B0D48BDD3221DFB19FAFD" ma:contentTypeVersion="199" ma:contentTypeDescription="A content type to manage public (operations) IDB documents" ma:contentTypeScope="" ma:versionID="82be3e8ab60d51001dcefb603cd6805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075a4176d68c64f4a4d2046ac6e6edb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PR-L115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>R0002738241</Record_x0020_Number>
    <Key_x0020_Document xmlns="cdc7663a-08f0-4737-9e8c-148ce897a09c">false</Key_x0020_Document>
    <Division_x0020_or_x0020_Unit xmlns="cdc7663a-08f0-4737-9e8c-148ce897a09c">IFD/ICS</Division_x0020_or_x0020_Unit>
    <Document_x0020_Author xmlns="cdc7663a-08f0-4737-9e8c-148ce897a09c">Rojas Gonzalez, Sonia Amalia</Document_x0020_Author>
    <_dlc_DocId xmlns="cdc7663a-08f0-4737-9e8c-148ce897a09c">EZSHARE-2066643345-24</_dlc_DocId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Paraguay</TermName>
          <TermId xmlns="http://schemas.microsoft.com/office/infopath/2007/PartnerControls">50282442-27e7-4526-9d04-55bf5da33a10</TermId>
        </TermInfo>
      </Terms>
    </ic46d7e087fd4a108fb86518ca413cc6>
    <Operation_x0020_Type xmlns="cdc7663a-08f0-4737-9e8c-148ce897a09c">Loan Operation</Operation_x0020_Type>
    <TaxCatchAll xmlns="cdc7663a-08f0-4737-9e8c-148ce897a09c">
      <Value>24</Value>
      <Value>29</Value>
      <Value>36</Value>
      <Value>1</Value>
      <Value>129</Value>
    </TaxCatchAll>
    <Fiscal_x0020_Year_x0020_IDB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PR-L1153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SISCOR_x0020_Number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 - Simultaneous Disclosure</Access_x0020_to_x0020_Information_x00a0_Policy>
    <Identifier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REFORM / MODERNIZATION OF THE STATE</TermName>
          <TermId xmlns="http://schemas.microsoft.com/office/infopath/2007/PartnerControls">c8fda4a7-691a-4c65-b227-9825197b5cd2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E-GOVERNMENT</TermName>
          <TermId xmlns="http://schemas.microsoft.com/office/infopath/2007/PartnerControls">281505e9-fdf9-47b0-b36a-d5df63f0fdea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https://idbg.sharepoint.com/teams/EZ-PR-LON/PR-L1153/_layouts/15/DocIdRedir.aspx?ID=EZSHARE-2066643345-24</Url>
      <Description>EZSHARE-2066643345-24</Description>
    </_dlc_DocIdUrl>
    <Phase xmlns="cdc7663a-08f0-4737-9e8c-148ce897a09c" xsi:nil="true"/>
    <Other_x0020_Author xmlns="cdc7663a-08f0-4737-9e8c-148ce897a09c" xsi:nil="true"/>
    <IDBDocs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A25B400A-2829-4C3E-99E9-87FF39D5101B}"/>
</file>

<file path=customXml/itemProps2.xml><?xml version="1.0" encoding="utf-8"?>
<ds:datastoreItem xmlns:ds="http://schemas.openxmlformats.org/officeDocument/2006/customXml" ds:itemID="{B39465D1-24A8-4CE3-93F9-3C19D09DB837}"/>
</file>

<file path=customXml/itemProps3.xml><?xml version="1.0" encoding="utf-8"?>
<ds:datastoreItem xmlns:ds="http://schemas.openxmlformats.org/officeDocument/2006/customXml" ds:itemID="{52F19BEF-43E5-4968-812A-471795E82B2C}"/>
</file>

<file path=customXml/itemProps4.xml><?xml version="1.0" encoding="utf-8"?>
<ds:datastoreItem xmlns:ds="http://schemas.openxmlformats.org/officeDocument/2006/customXml" ds:itemID="{D9AA99EE-7C3B-45BF-B3C0-618ED37A54F4}"/>
</file>

<file path=customXml/itemProps5.xml><?xml version="1.0" encoding="utf-8"?>
<ds:datastoreItem xmlns:ds="http://schemas.openxmlformats.org/officeDocument/2006/customXml" ds:itemID="{A699474D-5AE6-44E9-8512-2132A91193CA}"/>
</file>

<file path=customXml/itemProps6.xml><?xml version="1.0" encoding="utf-8"?>
<ds:datastoreItem xmlns:ds="http://schemas.openxmlformats.org/officeDocument/2006/customXml" ds:itemID="{41CD7C87-0D4B-4283-92C6-5BA5E78131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Parametros</vt:lpstr>
      <vt:lpstr>Escenario Base</vt:lpstr>
      <vt:lpstr>Escenario conservador</vt:lpstr>
      <vt:lpstr>Escenario Optimista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Harold Villalba</dc:creator>
  <cp:keywords/>
  <cp:lastModifiedBy>Rojas Gonzalez, Sonia Amalia</cp:lastModifiedBy>
  <dcterms:created xsi:type="dcterms:W3CDTF">2018-06-07T19:02:02Z</dcterms:created>
  <dcterms:modified xsi:type="dcterms:W3CDTF">2018-10-04T21:15:59Z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129;#E-GOVERNMENT|281505e9-fdf9-47b0-b36a-d5df63f0fdea</vt:lpwstr>
  </property>
  <property fmtid="{D5CDD505-2E9C-101B-9397-08002B2CF9AE}" pid="7" name="Country">
    <vt:lpwstr>24;#Paraguay|50282442-27e7-4526-9d04-55bf5da33a10</vt:lpwstr>
  </property>
  <property fmtid="{D5CDD505-2E9C-101B-9397-08002B2CF9AE}" pid="8" name="Fund IDB">
    <vt:lpwstr>29;#ORC|c028a4b2-ad8b-4cf4-9cac-a2ae6a778e23</vt:lpwstr>
  </property>
  <property fmtid="{D5CDD505-2E9C-101B-9397-08002B2CF9AE}" pid="9" name="_dlc_DocIdItemGuid">
    <vt:lpwstr>a4ee241c-2241-4cf5-8df1-707db5e3593b</vt:lpwstr>
  </property>
  <property fmtid="{D5CDD505-2E9C-101B-9397-08002B2CF9AE}" pid="10" name="Sector IDB">
    <vt:lpwstr>36;#REFORM / MODERNIZATION OF THE STATE|c8fda4a7-691a-4c65-b227-9825197b5cd2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Disclosure Activity">
    <vt:lpwstr>Loan Proposal</vt:lpwstr>
  </property>
  <property fmtid="{D5CDD505-2E9C-101B-9397-08002B2CF9AE}" pid="13" name="ContentTypeId">
    <vt:lpwstr>0x0101001A458A224826124E8B45B1D613300CFC003AC4315CCA4B0D48BDD3221DFB19FAFD</vt:lpwstr>
  </property>
</Properties>
</file>